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defaultThemeVersion="202300"/>
  <xr:revisionPtr revIDLastSave="0" documentId="13_ncr:1_{55A0D828-7F30-47D1-9DDD-F47A4E47AC21}" xr6:coauthVersionLast="47" xr6:coauthVersionMax="47" xr10:uidLastSave="{00000000-0000-0000-0000-000000000000}"/>
  <bookViews>
    <workbookView xWindow="28680" yWindow="-3360" windowWidth="29040" windowHeight="15840" tabRatio="406" xr2:uid="{80FDB9C4-FE2A-4D83-833C-4809003DC5CD}"/>
  </bookViews>
  <sheets>
    <sheet name="P2 AB602 ADA" sheetId="5" r:id="rId1"/>
    <sheet name="ANR1 AB602 ADA " sheetId="6" r:id="rId2"/>
    <sheet name="ANR3 AB602 ADA" sheetId="7" r:id="rId3"/>
  </sheets>
  <definedNames>
    <definedName name="_xlnm._FilterDatabase" localSheetId="1" hidden="1">'ANR1 AB602 ADA '!$A$4:$AR$4</definedName>
    <definedName name="_xlnm._FilterDatabase" localSheetId="2" hidden="1">'ANR3 AB602 ADA'!$A$4:$BB$4</definedName>
    <definedName name="_xlnm._FilterDatabase" localSheetId="0" hidden="1">'P2 AB602 ADA'!$A$4:$AR$1663</definedName>
    <definedName name="AW385a1076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53" i="7" l="1"/>
  <c r="J1653" i="7"/>
  <c r="K1653" i="7"/>
  <c r="L1653" i="7"/>
  <c r="M1653" i="7"/>
  <c r="N1653" i="7"/>
  <c r="O1653" i="7"/>
  <c r="P1653" i="7"/>
  <c r="Q1653" i="7"/>
  <c r="R1653" i="7"/>
  <c r="S1653" i="7"/>
  <c r="T1653" i="7"/>
  <c r="U1653" i="7"/>
  <c r="V1653" i="7"/>
  <c r="W1653" i="7"/>
  <c r="X1653" i="7"/>
  <c r="Y1653" i="7"/>
  <c r="Z1653" i="7"/>
  <c r="AA1653" i="7"/>
  <c r="AB1653" i="7"/>
  <c r="AC1653" i="7"/>
  <c r="AD1653" i="7"/>
  <c r="AE1653" i="7"/>
  <c r="AF1653" i="7"/>
  <c r="AG1653" i="7"/>
  <c r="AH1653" i="7"/>
  <c r="AI1653" i="7"/>
  <c r="AJ1653" i="7"/>
  <c r="AK1653" i="7"/>
  <c r="AL1653" i="7"/>
  <c r="AM1653" i="7"/>
  <c r="AN1653" i="7"/>
  <c r="AO1653" i="7"/>
  <c r="AP1653" i="7"/>
  <c r="AQ1653" i="7"/>
  <c r="AR1653" i="7"/>
  <c r="I1659" i="6"/>
  <c r="J1659" i="6"/>
  <c r="K1659" i="6"/>
  <c r="L1659" i="6"/>
  <c r="M1659" i="6"/>
  <c r="N1659" i="6"/>
  <c r="O1659" i="6"/>
  <c r="P1659" i="6"/>
  <c r="Q1659" i="6"/>
  <c r="R1659" i="6"/>
  <c r="S1659" i="6"/>
  <c r="T1659" i="6"/>
  <c r="U1659" i="6"/>
  <c r="V1659" i="6"/>
  <c r="W1659" i="6"/>
  <c r="X1659" i="6"/>
  <c r="Y1659" i="6"/>
  <c r="Z1659" i="6"/>
  <c r="AA1659" i="6"/>
  <c r="AB1659" i="6"/>
  <c r="AC1659" i="6"/>
  <c r="AD1659" i="6"/>
  <c r="AE1659" i="6"/>
  <c r="AF1659" i="6"/>
  <c r="AG1659" i="6"/>
  <c r="AH1659" i="6"/>
  <c r="AI1659" i="6"/>
  <c r="AJ1659" i="6"/>
  <c r="AK1659" i="6"/>
  <c r="AL1659" i="6"/>
  <c r="AM1659" i="6"/>
  <c r="AN1659" i="6"/>
  <c r="AO1659" i="6"/>
  <c r="AP1659" i="6"/>
  <c r="AQ1659" i="6"/>
  <c r="AR1659" i="6"/>
  <c r="I1659" i="5"/>
  <c r="J1659" i="5"/>
  <c r="K1659" i="5"/>
  <c r="L1659" i="5"/>
  <c r="M1659" i="5"/>
  <c r="N1659" i="5"/>
  <c r="O1659" i="5"/>
  <c r="P1659" i="5"/>
  <c r="Q1659" i="5"/>
  <c r="R1659" i="5"/>
  <c r="S1659" i="5"/>
  <c r="T1659" i="5"/>
  <c r="U1659" i="5"/>
  <c r="V1659" i="5"/>
  <c r="W1659" i="5"/>
  <c r="X1659" i="5"/>
  <c r="Y1659" i="5"/>
  <c r="Z1659" i="5"/>
  <c r="AA1659" i="5"/>
  <c r="AB1659" i="5"/>
  <c r="AC1659" i="5"/>
  <c r="AD1659" i="5"/>
  <c r="AE1659" i="5"/>
  <c r="AF1659" i="5"/>
  <c r="AG1659" i="5"/>
  <c r="AH1659" i="5"/>
  <c r="AI1659" i="5"/>
  <c r="AJ1659" i="5"/>
  <c r="AK1659" i="5"/>
  <c r="AL1659" i="5"/>
  <c r="AM1659" i="5"/>
  <c r="AN1659" i="5"/>
  <c r="AO1659" i="5"/>
  <c r="AP1659" i="5"/>
  <c r="AQ1659" i="5"/>
  <c r="AR1659" i="5"/>
  <c r="H1653" i="7"/>
  <c r="C398" i="7" l="1"/>
  <c r="A398" i="7"/>
  <c r="C397" i="7"/>
  <c r="A397" i="7"/>
  <c r="C401" i="7"/>
  <c r="A401" i="7"/>
  <c r="C1187" i="7"/>
  <c r="A1187" i="7"/>
  <c r="C399" i="7"/>
  <c r="A399" i="7"/>
  <c r="C400" i="7"/>
  <c r="A400" i="7"/>
  <c r="C396" i="7"/>
  <c r="A396" i="7"/>
  <c r="C460" i="7"/>
  <c r="A460" i="7"/>
  <c r="C1186" i="7"/>
  <c r="A1186" i="7"/>
  <c r="C459" i="7"/>
  <c r="A459" i="7"/>
  <c r="C1185" i="7"/>
  <c r="A1185" i="7"/>
  <c r="C1184" i="7"/>
  <c r="A1184" i="7"/>
  <c r="C458" i="7"/>
  <c r="A458" i="7"/>
  <c r="C457" i="7"/>
  <c r="A457" i="7"/>
  <c r="C456" i="7"/>
  <c r="A456" i="7"/>
  <c r="C1183" i="7"/>
  <c r="A1183" i="7"/>
  <c r="C455" i="7"/>
  <c r="A455" i="7"/>
  <c r="C79" i="7"/>
  <c r="A79" i="7"/>
  <c r="C75" i="7"/>
  <c r="A75" i="7"/>
  <c r="C72" i="7"/>
  <c r="A72" i="7"/>
  <c r="C61" i="7"/>
  <c r="A61" i="7"/>
  <c r="C73" i="7"/>
  <c r="A73" i="7"/>
  <c r="C68" i="7"/>
  <c r="A68" i="7"/>
  <c r="C76" i="7"/>
  <c r="A76" i="7"/>
  <c r="C78" i="7"/>
  <c r="A78" i="7"/>
  <c r="C67" i="7"/>
  <c r="A67" i="7"/>
  <c r="C66" i="7"/>
  <c r="A66" i="7"/>
  <c r="C69" i="7"/>
  <c r="A69" i="7"/>
  <c r="C65" i="7"/>
  <c r="A65" i="7"/>
  <c r="C71" i="7"/>
  <c r="A71" i="7"/>
  <c r="C64" i="7"/>
  <c r="A64" i="7"/>
  <c r="C77" i="7"/>
  <c r="A77" i="7"/>
  <c r="C63" i="7"/>
  <c r="A63" i="7"/>
  <c r="C62" i="7"/>
  <c r="A62" i="7"/>
  <c r="C70" i="7"/>
  <c r="A70" i="7"/>
  <c r="C60" i="7"/>
  <c r="A60" i="7"/>
  <c r="C1182" i="7"/>
  <c r="A1182" i="7"/>
  <c r="C59" i="7"/>
  <c r="A59" i="7"/>
  <c r="C1566" i="7"/>
  <c r="A1566" i="7"/>
  <c r="C1565" i="7"/>
  <c r="A1565" i="7"/>
  <c r="C1564" i="7"/>
  <c r="A1564" i="7"/>
  <c r="C1563" i="7"/>
  <c r="A1563" i="7"/>
  <c r="C1562" i="7"/>
  <c r="A1562" i="7"/>
  <c r="C1561" i="7"/>
  <c r="A1561" i="7"/>
  <c r="C1560" i="7"/>
  <c r="A1560" i="7"/>
  <c r="C1559" i="7"/>
  <c r="A1559" i="7"/>
  <c r="C1558" i="7"/>
  <c r="A1558" i="7"/>
  <c r="C1557" i="7"/>
  <c r="A1557" i="7"/>
  <c r="C1556" i="7"/>
  <c r="A1556" i="7"/>
  <c r="C1555" i="7"/>
  <c r="A1555" i="7"/>
  <c r="C656" i="7"/>
  <c r="A656" i="7"/>
  <c r="C655" i="7"/>
  <c r="A655" i="7"/>
  <c r="C629" i="7"/>
  <c r="A629" i="7"/>
  <c r="C630" i="7"/>
  <c r="A630" i="7"/>
  <c r="C628" i="7"/>
  <c r="A628" i="7"/>
  <c r="C622" i="7"/>
  <c r="A622" i="7"/>
  <c r="C654" i="7"/>
  <c r="A654" i="7"/>
  <c r="C616" i="7"/>
  <c r="A616" i="7"/>
  <c r="C614" i="7"/>
  <c r="A614" i="7"/>
  <c r="C618" i="7"/>
  <c r="A618" i="7"/>
  <c r="C653" i="7"/>
  <c r="A653" i="7"/>
  <c r="C652" i="7"/>
  <c r="A652" i="7"/>
  <c r="C651" i="7"/>
  <c r="A651" i="7"/>
  <c r="C627" i="7"/>
  <c r="A627" i="7"/>
  <c r="C650" i="7"/>
  <c r="A650" i="7"/>
  <c r="C620" i="7"/>
  <c r="A620" i="7"/>
  <c r="C649" i="7"/>
  <c r="A649" i="7"/>
  <c r="C1264" i="7"/>
  <c r="A1264" i="7"/>
  <c r="C648" i="7"/>
  <c r="A648" i="7"/>
  <c r="C647" i="7"/>
  <c r="A647" i="7"/>
  <c r="C646" i="7"/>
  <c r="A646" i="7"/>
  <c r="C645" i="7"/>
  <c r="A645" i="7"/>
  <c r="C644" i="7"/>
  <c r="A644" i="7"/>
  <c r="C643" i="7"/>
  <c r="A643" i="7"/>
  <c r="C642" i="7"/>
  <c r="A642" i="7"/>
  <c r="C623" i="7"/>
  <c r="A623" i="7"/>
  <c r="C626" i="7"/>
  <c r="A626" i="7"/>
  <c r="C641" i="7"/>
  <c r="A641" i="7"/>
  <c r="C640" i="7"/>
  <c r="A640" i="7"/>
  <c r="C639" i="7"/>
  <c r="A639" i="7"/>
  <c r="C619" i="7"/>
  <c r="A619" i="7"/>
  <c r="C638" i="7"/>
  <c r="A638" i="7"/>
  <c r="C624" i="7"/>
  <c r="A624" i="7"/>
  <c r="C637" i="7"/>
  <c r="A637" i="7"/>
  <c r="C636" i="7"/>
  <c r="A636" i="7"/>
  <c r="C617" i="7"/>
  <c r="A617" i="7"/>
  <c r="C635" i="7"/>
  <c r="A635" i="7"/>
  <c r="C615" i="7"/>
  <c r="A615" i="7"/>
  <c r="C634" i="7"/>
  <c r="A634" i="7"/>
  <c r="C621" i="7"/>
  <c r="A621" i="7"/>
  <c r="C633" i="7"/>
  <c r="A633" i="7"/>
  <c r="C1181" i="7"/>
  <c r="A1181" i="7"/>
  <c r="C632" i="7"/>
  <c r="A632" i="7"/>
  <c r="C1180" i="7"/>
  <c r="A1180" i="7"/>
  <c r="C625" i="7"/>
  <c r="A625" i="7"/>
  <c r="C631" i="7"/>
  <c r="A631" i="7"/>
  <c r="C1179" i="7"/>
  <c r="A1179" i="7"/>
  <c r="C657" i="7"/>
  <c r="A657" i="7"/>
  <c r="C658" i="7"/>
  <c r="A658" i="7"/>
  <c r="C659" i="7"/>
  <c r="A659" i="7"/>
  <c r="C613" i="7"/>
  <c r="A613" i="7"/>
  <c r="C89" i="7"/>
  <c r="A89" i="7"/>
  <c r="C88" i="7"/>
  <c r="A88" i="7"/>
  <c r="C87" i="7"/>
  <c r="A87" i="7"/>
  <c r="C86" i="7"/>
  <c r="A86" i="7"/>
  <c r="C85" i="7"/>
  <c r="A85" i="7"/>
  <c r="C84" i="7"/>
  <c r="A84" i="7"/>
  <c r="C83" i="7"/>
  <c r="A83" i="7"/>
  <c r="C82" i="7"/>
  <c r="A82" i="7"/>
  <c r="C81" i="7"/>
  <c r="A81" i="7"/>
  <c r="C80" i="7"/>
  <c r="A80" i="7"/>
  <c r="C57" i="7"/>
  <c r="A57" i="7"/>
  <c r="C56" i="7"/>
  <c r="A56" i="7"/>
  <c r="C50" i="7"/>
  <c r="A50" i="7"/>
  <c r="C49" i="7"/>
  <c r="A49" i="7"/>
  <c r="C52" i="7"/>
  <c r="A52" i="7"/>
  <c r="C55" i="7"/>
  <c r="A55" i="7"/>
  <c r="C54" i="7"/>
  <c r="A54" i="7"/>
  <c r="C51" i="7"/>
  <c r="A51" i="7"/>
  <c r="C53" i="7"/>
  <c r="A53" i="7"/>
  <c r="C48" i="7"/>
  <c r="A48" i="7"/>
  <c r="C47" i="7"/>
  <c r="A47" i="7"/>
  <c r="C46" i="7"/>
  <c r="A46" i="7"/>
  <c r="C45" i="7"/>
  <c r="A45" i="7"/>
  <c r="C44" i="7"/>
  <c r="A44" i="7"/>
  <c r="C1177" i="7"/>
  <c r="A1177" i="7"/>
  <c r="C519" i="7"/>
  <c r="A519" i="7"/>
  <c r="C509" i="7"/>
  <c r="A509" i="7"/>
  <c r="C1176" i="7"/>
  <c r="A1176" i="7"/>
  <c r="C518" i="7"/>
  <c r="A518" i="7"/>
  <c r="C508" i="7"/>
  <c r="A508" i="7"/>
  <c r="C517" i="7"/>
  <c r="A517" i="7"/>
  <c r="C1175" i="7"/>
  <c r="A1175" i="7"/>
  <c r="C516" i="7"/>
  <c r="A516" i="7"/>
  <c r="C515" i="7"/>
  <c r="A515" i="7"/>
  <c r="C1533" i="7"/>
  <c r="A1533" i="7"/>
  <c r="C514" i="7"/>
  <c r="A514" i="7"/>
  <c r="C507" i="7"/>
  <c r="A507" i="7"/>
  <c r="C513" i="7"/>
  <c r="A513" i="7"/>
  <c r="C512" i="7"/>
  <c r="A512" i="7"/>
  <c r="C511" i="7"/>
  <c r="A511" i="7"/>
  <c r="C510" i="7"/>
  <c r="A510" i="7"/>
  <c r="C520" i="7"/>
  <c r="A520" i="7"/>
  <c r="C506" i="7"/>
  <c r="A506" i="7"/>
  <c r="C1649" i="7"/>
  <c r="A1649" i="7"/>
  <c r="C1635" i="7"/>
  <c r="A1635" i="7"/>
  <c r="C1630" i="7"/>
  <c r="A1630" i="7"/>
  <c r="C1632" i="7"/>
  <c r="A1632" i="7"/>
  <c r="C1643" i="7"/>
  <c r="A1643" i="7"/>
  <c r="C1629" i="7"/>
  <c r="A1629" i="7"/>
  <c r="C1648" i="7"/>
  <c r="A1648" i="7"/>
  <c r="C1634" i="7"/>
  <c r="A1634" i="7"/>
  <c r="C1633" i="7"/>
  <c r="A1633" i="7"/>
  <c r="C1647" i="7"/>
  <c r="A1647" i="7"/>
  <c r="C1638" i="7"/>
  <c r="A1638" i="7"/>
  <c r="C1646" i="7"/>
  <c r="A1646" i="7"/>
  <c r="C1631" i="7"/>
  <c r="A1631" i="7"/>
  <c r="C1641" i="7"/>
  <c r="A1641" i="7"/>
  <c r="C1174" i="7"/>
  <c r="A1174" i="7"/>
  <c r="C1651" i="7"/>
  <c r="A1651" i="7"/>
  <c r="C1173" i="7"/>
  <c r="A1173" i="7"/>
  <c r="C1172" i="7"/>
  <c r="A1172" i="7"/>
  <c r="C1652" i="7"/>
  <c r="A1652" i="7"/>
  <c r="C1645" i="7"/>
  <c r="A1645" i="7"/>
  <c r="C1637" i="7"/>
  <c r="A1637" i="7"/>
  <c r="C1642" i="7"/>
  <c r="A1642" i="7"/>
  <c r="C1640" i="7"/>
  <c r="A1640" i="7"/>
  <c r="C1644" i="7"/>
  <c r="A1644" i="7"/>
  <c r="C1628" i="7"/>
  <c r="A1628" i="7"/>
  <c r="C1636" i="7"/>
  <c r="A1636" i="7"/>
  <c r="C1639" i="7"/>
  <c r="A1639" i="7"/>
  <c r="C1171" i="7"/>
  <c r="A1171" i="7"/>
  <c r="C1627" i="7"/>
  <c r="A1627" i="7"/>
  <c r="C1626" i="7"/>
  <c r="A1626" i="7"/>
  <c r="C368" i="7"/>
  <c r="A368" i="7"/>
  <c r="C367" i="7"/>
  <c r="A367" i="7"/>
  <c r="C1170" i="7"/>
  <c r="A1170" i="7"/>
  <c r="C336" i="7"/>
  <c r="A336" i="7"/>
  <c r="C364" i="7"/>
  <c r="A364" i="7"/>
  <c r="C363" i="7"/>
  <c r="A363" i="7"/>
  <c r="C362" i="7"/>
  <c r="A362" i="7"/>
  <c r="C365" i="7"/>
  <c r="A365" i="7"/>
  <c r="C366" i="7"/>
  <c r="A366" i="7"/>
  <c r="C361" i="7"/>
  <c r="A361" i="7"/>
  <c r="C1169" i="7"/>
  <c r="A1169" i="7"/>
  <c r="C1168" i="7"/>
  <c r="A1168" i="7"/>
  <c r="C360" i="7"/>
  <c r="A360" i="7"/>
  <c r="C374" i="7"/>
  <c r="A374" i="7"/>
  <c r="C370" i="7"/>
  <c r="A370" i="7"/>
  <c r="C359" i="7"/>
  <c r="A359" i="7"/>
  <c r="C358" i="7"/>
  <c r="A358" i="7"/>
  <c r="C357" i="7"/>
  <c r="A357" i="7"/>
  <c r="C356" i="7"/>
  <c r="A356" i="7"/>
  <c r="C355" i="7"/>
  <c r="A355" i="7"/>
  <c r="C369" i="7"/>
  <c r="A369" i="7"/>
  <c r="C354" i="7"/>
  <c r="A354" i="7"/>
  <c r="C353" i="7"/>
  <c r="A353" i="7"/>
  <c r="C352" i="7"/>
  <c r="A352" i="7"/>
  <c r="C1166" i="7"/>
  <c r="A1166" i="7"/>
  <c r="C351" i="7"/>
  <c r="A351" i="7"/>
  <c r="C1165" i="7"/>
  <c r="A1165" i="7"/>
  <c r="C350" i="7"/>
  <c r="A350" i="7"/>
  <c r="C349" i="7"/>
  <c r="A349" i="7"/>
  <c r="C348" i="7"/>
  <c r="A348" i="7"/>
  <c r="C347" i="7"/>
  <c r="A347" i="7"/>
  <c r="C371" i="7"/>
  <c r="A371" i="7"/>
  <c r="C373" i="7"/>
  <c r="A373" i="7"/>
  <c r="C346" i="7"/>
  <c r="A346" i="7"/>
  <c r="C345" i="7"/>
  <c r="A345" i="7"/>
  <c r="C344" i="7"/>
  <c r="A344" i="7"/>
  <c r="C372" i="7"/>
  <c r="A372" i="7"/>
  <c r="C343" i="7"/>
  <c r="A343" i="7"/>
  <c r="C1532" i="7"/>
  <c r="A1532" i="7"/>
  <c r="C342" i="7"/>
  <c r="A342" i="7"/>
  <c r="C341" i="7"/>
  <c r="A341" i="7"/>
  <c r="C340" i="7"/>
  <c r="A340" i="7"/>
  <c r="C339" i="7"/>
  <c r="A339" i="7"/>
  <c r="C338" i="7"/>
  <c r="A338" i="7"/>
  <c r="C337" i="7"/>
  <c r="A337" i="7"/>
  <c r="C335" i="7"/>
  <c r="A335" i="7"/>
  <c r="C334" i="7"/>
  <c r="A334" i="7"/>
  <c r="C333" i="7"/>
  <c r="A333" i="7"/>
  <c r="C332" i="7"/>
  <c r="A332" i="7"/>
  <c r="C331" i="7"/>
  <c r="A331" i="7"/>
  <c r="C330" i="7"/>
  <c r="A330" i="7"/>
  <c r="C1499" i="7"/>
  <c r="A1499" i="7"/>
  <c r="C329" i="7"/>
  <c r="A329" i="7"/>
  <c r="C1531" i="7"/>
  <c r="A1531" i="7"/>
  <c r="C1530" i="7"/>
  <c r="A1530" i="7"/>
  <c r="C1529" i="7"/>
  <c r="A1529" i="7"/>
  <c r="C1528" i="7"/>
  <c r="A1528" i="7"/>
  <c r="C1164" i="7"/>
  <c r="A1164" i="7"/>
  <c r="C592" i="7"/>
  <c r="A592" i="7"/>
  <c r="C1163" i="7"/>
  <c r="A1163" i="7"/>
  <c r="C490" i="7"/>
  <c r="A490" i="7"/>
  <c r="C489" i="7"/>
  <c r="A489" i="7"/>
  <c r="C488" i="7"/>
  <c r="A488" i="7"/>
  <c r="C1162" i="7"/>
  <c r="A1162" i="7"/>
  <c r="C487" i="7"/>
  <c r="A487" i="7"/>
  <c r="C486" i="7"/>
  <c r="A486" i="7"/>
  <c r="C1161" i="7"/>
  <c r="A1161" i="7"/>
  <c r="C485" i="7"/>
  <c r="A485" i="7"/>
  <c r="C326" i="7"/>
  <c r="A326" i="7"/>
  <c r="C312" i="7"/>
  <c r="A312" i="7"/>
  <c r="C311" i="7"/>
  <c r="A311" i="7"/>
  <c r="C309" i="7"/>
  <c r="A309" i="7"/>
  <c r="C325" i="7"/>
  <c r="A325" i="7"/>
  <c r="C306" i="7"/>
  <c r="A306" i="7"/>
  <c r="C310" i="7"/>
  <c r="A310" i="7"/>
  <c r="C324" i="7"/>
  <c r="A324" i="7"/>
  <c r="C305" i="7"/>
  <c r="A305" i="7"/>
  <c r="C304" i="7"/>
  <c r="A304" i="7"/>
  <c r="C303" i="7"/>
  <c r="A303" i="7"/>
  <c r="C323" i="7"/>
  <c r="A323" i="7"/>
  <c r="C322" i="7"/>
  <c r="A322" i="7"/>
  <c r="C321" i="7"/>
  <c r="A321" i="7"/>
  <c r="C320" i="7"/>
  <c r="A320" i="7"/>
  <c r="C314" i="7"/>
  <c r="A314" i="7"/>
  <c r="C302" i="7"/>
  <c r="A302" i="7"/>
  <c r="C319" i="7"/>
  <c r="A319" i="7"/>
  <c r="C318" i="7"/>
  <c r="A318" i="7"/>
  <c r="C313" i="7"/>
  <c r="A313" i="7"/>
  <c r="C307" i="7"/>
  <c r="A307" i="7"/>
  <c r="C317" i="7"/>
  <c r="A317" i="7"/>
  <c r="C316" i="7"/>
  <c r="A316" i="7"/>
  <c r="C315" i="7"/>
  <c r="A315" i="7"/>
  <c r="C308" i="7"/>
  <c r="A308" i="7"/>
  <c r="C328" i="7"/>
  <c r="A328" i="7"/>
  <c r="C327" i="7"/>
  <c r="A327" i="7"/>
  <c r="C301" i="7"/>
  <c r="A301" i="7"/>
  <c r="C376" i="7"/>
  <c r="A376" i="7"/>
  <c r="C375" i="7"/>
  <c r="A375" i="7"/>
  <c r="C215" i="7"/>
  <c r="A215" i="7"/>
  <c r="C202" i="7"/>
  <c r="A202" i="7"/>
  <c r="C214" i="7"/>
  <c r="A214" i="7"/>
  <c r="C213" i="7"/>
  <c r="A213" i="7"/>
  <c r="C1160" i="7"/>
  <c r="A1160" i="7"/>
  <c r="C198" i="7"/>
  <c r="A198" i="7"/>
  <c r="C212" i="7"/>
  <c r="A212" i="7"/>
  <c r="C218" i="7"/>
  <c r="A218" i="7"/>
  <c r="C196" i="7"/>
  <c r="A196" i="7"/>
  <c r="C195" i="7"/>
  <c r="A195" i="7"/>
  <c r="C211" i="7"/>
  <c r="A211" i="7"/>
  <c r="C210" i="7"/>
  <c r="A210" i="7"/>
  <c r="C209" i="7"/>
  <c r="A209" i="7"/>
  <c r="C194" i="7"/>
  <c r="A194" i="7"/>
  <c r="C208" i="7"/>
  <c r="A208" i="7"/>
  <c r="C207" i="7"/>
  <c r="A207" i="7"/>
  <c r="C201" i="7"/>
  <c r="A201" i="7"/>
  <c r="C206" i="7"/>
  <c r="A206" i="7"/>
  <c r="C199" i="7"/>
  <c r="A199" i="7"/>
  <c r="C193" i="7"/>
  <c r="A193" i="7"/>
  <c r="C216" i="7"/>
  <c r="A216" i="7"/>
  <c r="C192" i="7"/>
  <c r="A192" i="7"/>
  <c r="C1159" i="7"/>
  <c r="A1159" i="7"/>
  <c r="C1158" i="7"/>
  <c r="A1158" i="7"/>
  <c r="C1157" i="7"/>
  <c r="A1157" i="7"/>
  <c r="C200" i="7"/>
  <c r="A200" i="7"/>
  <c r="C205" i="7"/>
  <c r="A205" i="7"/>
  <c r="C191" i="7"/>
  <c r="A191" i="7"/>
  <c r="C203" i="7"/>
  <c r="A203" i="7"/>
  <c r="C204" i="7"/>
  <c r="A204" i="7"/>
  <c r="C197" i="7"/>
  <c r="A197" i="7"/>
  <c r="C1155" i="7"/>
  <c r="A1155" i="7"/>
  <c r="C217" i="7"/>
  <c r="A217" i="7"/>
  <c r="C1154" i="7"/>
  <c r="A1154" i="7"/>
  <c r="C190" i="7"/>
  <c r="A190" i="7"/>
  <c r="C1153" i="7"/>
  <c r="A1153" i="7"/>
  <c r="C1152" i="7"/>
  <c r="A1152" i="7"/>
  <c r="C1491" i="7"/>
  <c r="A1491" i="7"/>
  <c r="C1487" i="7"/>
  <c r="A1487" i="7"/>
  <c r="C1497" i="7"/>
  <c r="A1497" i="7"/>
  <c r="C1489" i="7"/>
  <c r="A1489" i="7"/>
  <c r="C1490" i="7"/>
  <c r="A1490" i="7"/>
  <c r="C1488" i="7"/>
  <c r="A1488" i="7"/>
  <c r="C1151" i="7"/>
  <c r="A1151" i="7"/>
  <c r="C1427" i="7"/>
  <c r="A1427" i="7"/>
  <c r="C1495" i="7"/>
  <c r="A1495" i="7"/>
  <c r="C1494" i="7"/>
  <c r="A1494" i="7"/>
  <c r="C1486" i="7"/>
  <c r="A1486" i="7"/>
  <c r="C1493" i="7"/>
  <c r="A1493" i="7"/>
  <c r="C1492" i="7"/>
  <c r="A1492" i="7"/>
  <c r="C1496" i="7"/>
  <c r="A1496" i="7"/>
  <c r="C1485" i="7"/>
  <c r="A1485" i="7"/>
  <c r="C1150" i="7"/>
  <c r="A1150" i="7"/>
  <c r="C1149" i="7"/>
  <c r="A1149" i="7"/>
  <c r="C1334" i="7"/>
  <c r="A1334" i="7"/>
  <c r="C1324" i="7"/>
  <c r="A1324" i="7"/>
  <c r="C1431" i="7"/>
  <c r="A1431" i="7"/>
  <c r="C1323" i="7"/>
  <c r="A1323" i="7"/>
  <c r="C1341" i="7"/>
  <c r="A1341" i="7"/>
  <c r="C1148" i="7"/>
  <c r="A1148" i="7"/>
  <c r="C1147" i="7"/>
  <c r="A1147" i="7"/>
  <c r="C1146" i="7"/>
  <c r="A1146" i="7"/>
  <c r="C1327" i="7"/>
  <c r="A1327" i="7"/>
  <c r="C1344" i="7"/>
  <c r="A1344" i="7"/>
  <c r="C1336" i="7"/>
  <c r="A1336" i="7"/>
  <c r="C1335" i="7"/>
  <c r="A1335" i="7"/>
  <c r="C1328" i="7"/>
  <c r="A1328" i="7"/>
  <c r="C1345" i="7"/>
  <c r="A1345" i="7"/>
  <c r="C1346" i="7"/>
  <c r="A1346" i="7"/>
  <c r="C1527" i="7"/>
  <c r="A1527" i="7"/>
  <c r="C1339" i="7"/>
  <c r="A1339" i="7"/>
  <c r="C1322" i="7"/>
  <c r="A1322" i="7"/>
  <c r="C1321" i="7"/>
  <c r="A1321" i="7"/>
  <c r="C1319" i="7"/>
  <c r="A1319" i="7"/>
  <c r="C1320" i="7"/>
  <c r="A1320" i="7"/>
  <c r="C1343" i="7"/>
  <c r="A1343" i="7"/>
  <c r="C1318" i="7"/>
  <c r="A1318" i="7"/>
  <c r="C1325" i="7"/>
  <c r="A1325" i="7"/>
  <c r="C1144" i="7"/>
  <c r="A1144" i="7"/>
  <c r="C1338" i="7"/>
  <c r="A1338" i="7"/>
  <c r="C1430" i="7"/>
  <c r="A1430" i="7"/>
  <c r="C1143" i="7"/>
  <c r="A1143" i="7"/>
  <c r="C1142" i="7"/>
  <c r="A1142" i="7"/>
  <c r="C1141" i="7"/>
  <c r="A1141" i="7"/>
  <c r="C1140" i="7"/>
  <c r="A1140" i="7"/>
  <c r="C1526" i="7"/>
  <c r="A1526" i="7"/>
  <c r="C1333" i="7"/>
  <c r="A1333" i="7"/>
  <c r="C1332" i="7"/>
  <c r="A1332" i="7"/>
  <c r="C1139" i="7"/>
  <c r="A1139" i="7"/>
  <c r="C1138" i="7"/>
  <c r="A1138" i="7"/>
  <c r="C1525" i="7"/>
  <c r="A1525" i="7"/>
  <c r="C1137" i="7"/>
  <c r="A1137" i="7"/>
  <c r="C1524" i="7"/>
  <c r="A1524" i="7"/>
  <c r="C1523" i="7"/>
  <c r="A1523" i="7"/>
  <c r="C1136" i="7"/>
  <c r="A1136" i="7"/>
  <c r="C1135" i="7"/>
  <c r="A1135" i="7"/>
  <c r="C1133" i="7"/>
  <c r="A1133" i="7"/>
  <c r="C1331" i="7"/>
  <c r="A1331" i="7"/>
  <c r="C1432" i="7"/>
  <c r="A1432" i="7"/>
  <c r="C1317" i="7"/>
  <c r="A1317" i="7"/>
  <c r="C1316" i="7"/>
  <c r="A1316" i="7"/>
  <c r="C1315" i="7"/>
  <c r="A1315" i="7"/>
  <c r="C1330" i="7"/>
  <c r="A1330" i="7"/>
  <c r="C1132" i="7"/>
  <c r="A1132" i="7"/>
  <c r="C1131" i="7"/>
  <c r="A1131" i="7"/>
  <c r="C1130" i="7"/>
  <c r="A1130" i="7"/>
  <c r="C1329" i="7"/>
  <c r="A1329" i="7"/>
  <c r="C1129" i="7"/>
  <c r="A1129" i="7"/>
  <c r="C1522" i="7"/>
  <c r="A1522" i="7"/>
  <c r="C1521" i="7"/>
  <c r="A1521" i="7"/>
  <c r="C1128" i="7"/>
  <c r="A1128" i="7"/>
  <c r="C1127" i="7"/>
  <c r="A1127" i="7"/>
  <c r="C1126" i="7"/>
  <c r="A1126" i="7"/>
  <c r="C1125" i="7"/>
  <c r="A1125" i="7"/>
  <c r="C1124" i="7"/>
  <c r="A1124" i="7"/>
  <c r="C1122" i="7"/>
  <c r="A1122" i="7"/>
  <c r="C1121" i="7"/>
  <c r="A1121" i="7"/>
  <c r="C1120" i="7"/>
  <c r="A1120" i="7"/>
  <c r="C1119" i="7"/>
  <c r="A1119" i="7"/>
  <c r="C1118" i="7"/>
  <c r="A1118" i="7"/>
  <c r="C1117" i="7"/>
  <c r="A1117" i="7"/>
  <c r="C1116" i="7"/>
  <c r="A1116" i="7"/>
  <c r="C1115" i="7"/>
  <c r="A1115" i="7"/>
  <c r="C1429" i="7"/>
  <c r="A1429" i="7"/>
  <c r="C1342" i="7"/>
  <c r="A1342" i="7"/>
  <c r="C1340" i="7"/>
  <c r="A1340" i="7"/>
  <c r="C1337" i="7"/>
  <c r="A1337" i="7"/>
  <c r="C1326" i="7"/>
  <c r="A1326" i="7"/>
  <c r="C1314" i="7"/>
  <c r="A1314" i="7"/>
  <c r="C1114" i="7"/>
  <c r="A1114" i="7"/>
  <c r="C1113" i="7"/>
  <c r="A1113" i="7"/>
  <c r="C1111" i="7"/>
  <c r="A1111" i="7"/>
  <c r="C1110" i="7"/>
  <c r="A1110" i="7"/>
  <c r="C257" i="7"/>
  <c r="A257" i="7"/>
  <c r="C255" i="7"/>
  <c r="A255" i="7"/>
  <c r="C254" i="7"/>
  <c r="A254" i="7"/>
  <c r="C1109" i="7"/>
  <c r="A1109" i="7"/>
  <c r="C252" i="7"/>
  <c r="A252" i="7"/>
  <c r="C251" i="7"/>
  <c r="A251" i="7"/>
  <c r="C250" i="7"/>
  <c r="A250" i="7"/>
  <c r="C249" i="7"/>
  <c r="A249" i="7"/>
  <c r="C237" i="7"/>
  <c r="A237" i="7"/>
  <c r="C235" i="7"/>
  <c r="A235" i="7"/>
  <c r="C248" i="7"/>
  <c r="A248" i="7"/>
  <c r="C247" i="7"/>
  <c r="A247" i="7"/>
  <c r="C256" i="7"/>
  <c r="A256" i="7"/>
  <c r="C239" i="7"/>
  <c r="A239" i="7"/>
  <c r="C234" i="7"/>
  <c r="A234" i="7"/>
  <c r="C246" i="7"/>
  <c r="A246" i="7"/>
  <c r="C233" i="7"/>
  <c r="A233" i="7"/>
  <c r="C245" i="7"/>
  <c r="A245" i="7"/>
  <c r="C244" i="7"/>
  <c r="A244" i="7"/>
  <c r="C238" i="7"/>
  <c r="A238" i="7"/>
  <c r="C243" i="7"/>
  <c r="A243" i="7"/>
  <c r="C236" i="7"/>
  <c r="A236" i="7"/>
  <c r="C1108" i="7"/>
  <c r="A1108" i="7"/>
  <c r="C1107" i="7"/>
  <c r="A1107" i="7"/>
  <c r="C1106" i="7"/>
  <c r="A1106" i="7"/>
  <c r="C253" i="7"/>
  <c r="A253" i="7"/>
  <c r="C242" i="7"/>
  <c r="A242" i="7"/>
  <c r="C241" i="7"/>
  <c r="A241" i="7"/>
  <c r="C240" i="7"/>
  <c r="A240" i="7"/>
  <c r="C566" i="7"/>
  <c r="A566" i="7"/>
  <c r="C572" i="7"/>
  <c r="A572" i="7"/>
  <c r="C576" i="7"/>
  <c r="A576" i="7"/>
  <c r="C573" i="7"/>
  <c r="A573" i="7"/>
  <c r="C581" i="7"/>
  <c r="A581" i="7"/>
  <c r="C569" i="7"/>
  <c r="A569" i="7"/>
  <c r="C580" i="7"/>
  <c r="A580" i="7"/>
  <c r="C568" i="7"/>
  <c r="A568" i="7"/>
  <c r="C565" i="7"/>
  <c r="A565" i="7"/>
  <c r="C574" i="7"/>
  <c r="A574" i="7"/>
  <c r="C564" i="7"/>
  <c r="A564" i="7"/>
  <c r="C563" i="7"/>
  <c r="A563" i="7"/>
  <c r="C1105" i="7"/>
  <c r="A1105" i="7"/>
  <c r="C578" i="7"/>
  <c r="A578" i="7"/>
  <c r="C575" i="7"/>
  <c r="A575" i="7"/>
  <c r="C562" i="7"/>
  <c r="A562" i="7"/>
  <c r="C579" i="7"/>
  <c r="A579" i="7"/>
  <c r="C1104" i="7"/>
  <c r="A1104" i="7"/>
  <c r="C561" i="7"/>
  <c r="A561" i="7"/>
  <c r="C560" i="7"/>
  <c r="A560" i="7"/>
  <c r="C559" i="7"/>
  <c r="A559" i="7"/>
  <c r="C558" i="7"/>
  <c r="A558" i="7"/>
  <c r="C557" i="7"/>
  <c r="A557" i="7"/>
  <c r="C571" i="7"/>
  <c r="A571" i="7"/>
  <c r="C556" i="7"/>
  <c r="A556" i="7"/>
  <c r="C1103" i="7"/>
  <c r="A1103" i="7"/>
  <c r="C567" i="7"/>
  <c r="A567" i="7"/>
  <c r="C1102" i="7"/>
  <c r="A1102" i="7"/>
  <c r="C555" i="7"/>
  <c r="A555" i="7"/>
  <c r="C554" i="7"/>
  <c r="A554" i="7"/>
  <c r="C570" i="7"/>
  <c r="A570" i="7"/>
  <c r="C553" i="7"/>
  <c r="A553" i="7"/>
  <c r="C552" i="7"/>
  <c r="A552" i="7"/>
  <c r="C551" i="7"/>
  <c r="A551" i="7"/>
  <c r="C550" i="7"/>
  <c r="A550" i="7"/>
  <c r="C577" i="7"/>
  <c r="A577" i="7"/>
  <c r="C549" i="7"/>
  <c r="A549" i="7"/>
  <c r="C99" i="7"/>
  <c r="A99" i="7"/>
  <c r="C100" i="7"/>
  <c r="A100" i="7"/>
  <c r="C98" i="7"/>
  <c r="A98" i="7"/>
  <c r="C97" i="7"/>
  <c r="A97" i="7"/>
  <c r="C92" i="7"/>
  <c r="A92" i="7"/>
  <c r="C102" i="7"/>
  <c r="A102" i="7"/>
  <c r="C96" i="7"/>
  <c r="A96" i="7"/>
  <c r="C93" i="7"/>
  <c r="A93" i="7"/>
  <c r="C95" i="7"/>
  <c r="A95" i="7"/>
  <c r="C91" i="7"/>
  <c r="A91" i="7"/>
  <c r="C94" i="7"/>
  <c r="A94" i="7"/>
  <c r="C101" i="7"/>
  <c r="A101" i="7"/>
  <c r="C90" i="7"/>
  <c r="A90" i="7"/>
  <c r="C407" i="7"/>
  <c r="A407" i="7"/>
  <c r="C416" i="7"/>
  <c r="A416" i="7"/>
  <c r="C1100" i="7"/>
  <c r="A1100" i="7"/>
  <c r="C1099" i="7"/>
  <c r="A1099" i="7"/>
  <c r="C1098" i="7"/>
  <c r="A1098" i="7"/>
  <c r="C415" i="7"/>
  <c r="A415" i="7"/>
  <c r="C1097" i="7"/>
  <c r="A1097" i="7"/>
  <c r="C1096" i="7"/>
  <c r="A1096" i="7"/>
  <c r="C1095" i="7"/>
  <c r="A1095" i="7"/>
  <c r="C1520" i="7"/>
  <c r="A1520" i="7"/>
  <c r="C1094" i="7"/>
  <c r="A1094" i="7"/>
  <c r="C1093" i="7"/>
  <c r="A1093" i="7"/>
  <c r="C1092" i="7"/>
  <c r="A1092" i="7"/>
  <c r="C1091" i="7"/>
  <c r="A1091" i="7"/>
  <c r="C1089" i="7"/>
  <c r="A1089" i="7"/>
  <c r="C1088" i="7"/>
  <c r="A1088" i="7"/>
  <c r="C1087" i="7"/>
  <c r="A1087" i="7"/>
  <c r="C1086" i="7"/>
  <c r="A1086" i="7"/>
  <c r="C1085" i="7"/>
  <c r="A1085" i="7"/>
  <c r="C483" i="7"/>
  <c r="A483" i="7"/>
  <c r="C1084" i="7"/>
  <c r="A1084" i="7"/>
  <c r="C413" i="7"/>
  <c r="A413" i="7"/>
  <c r="C761" i="7"/>
  <c r="A761" i="7"/>
  <c r="C1083" i="7"/>
  <c r="A1083" i="7"/>
  <c r="C1082" i="7"/>
  <c r="A1082" i="7"/>
  <c r="C1081" i="7"/>
  <c r="A1081" i="7"/>
  <c r="C1080" i="7"/>
  <c r="A1080" i="7"/>
  <c r="C1078" i="7"/>
  <c r="A1078" i="7"/>
  <c r="C1077" i="7"/>
  <c r="A1077" i="7"/>
  <c r="C1076" i="7"/>
  <c r="A1076" i="7"/>
  <c r="C1075" i="7"/>
  <c r="A1075" i="7"/>
  <c r="C1263" i="7"/>
  <c r="A1263" i="7"/>
  <c r="C1074" i="7"/>
  <c r="A1074" i="7"/>
  <c r="C408" i="7"/>
  <c r="A408" i="7"/>
  <c r="C760" i="7"/>
  <c r="A760" i="7"/>
  <c r="C412" i="7"/>
  <c r="A412" i="7"/>
  <c r="C1073" i="7"/>
  <c r="A1073" i="7"/>
  <c r="C1072" i="7"/>
  <c r="A1072" i="7"/>
  <c r="C1071" i="7"/>
  <c r="A1071" i="7"/>
  <c r="C762" i="7"/>
  <c r="A762" i="7"/>
  <c r="C1070" i="7"/>
  <c r="A1070" i="7"/>
  <c r="C759" i="7"/>
  <c r="A759" i="7"/>
  <c r="C411" i="7"/>
  <c r="A411" i="7"/>
  <c r="C410" i="7"/>
  <c r="A410" i="7"/>
  <c r="C414" i="7"/>
  <c r="A414" i="7"/>
  <c r="C409" i="7"/>
  <c r="A409" i="7"/>
  <c r="C1069" i="7"/>
  <c r="A1069" i="7"/>
  <c r="C406" i="7"/>
  <c r="A406" i="7"/>
  <c r="C1067" i="7"/>
  <c r="A1067" i="7"/>
  <c r="C1066" i="7"/>
  <c r="A1066" i="7"/>
  <c r="C1065" i="7"/>
  <c r="A1065" i="7"/>
  <c r="C1064" i="7"/>
  <c r="A1064" i="7"/>
  <c r="C1063" i="7"/>
  <c r="A1063" i="7"/>
  <c r="C1062" i="7"/>
  <c r="A1062" i="7"/>
  <c r="C1061" i="7"/>
  <c r="A1061" i="7"/>
  <c r="C1060" i="7"/>
  <c r="A1060" i="7"/>
  <c r="C1059" i="7"/>
  <c r="A1059" i="7"/>
  <c r="C1058" i="7"/>
  <c r="A1058" i="7"/>
  <c r="C1624" i="7"/>
  <c r="A1624" i="7"/>
  <c r="C1625" i="7"/>
  <c r="A1625" i="7"/>
  <c r="C1056" i="7"/>
  <c r="A1056" i="7"/>
  <c r="C1055" i="7"/>
  <c r="A1055" i="7"/>
  <c r="C1054" i="7"/>
  <c r="A1054" i="7"/>
  <c r="C1053" i="7"/>
  <c r="A1053" i="7"/>
  <c r="C1052" i="7"/>
  <c r="A1052" i="7"/>
  <c r="C1426" i="7"/>
  <c r="A1426" i="7"/>
  <c r="C1051" i="7"/>
  <c r="A1051" i="7"/>
  <c r="C1050" i="7"/>
  <c r="A1050" i="7"/>
  <c r="C1049" i="7"/>
  <c r="A1049" i="7"/>
  <c r="C1048" i="7"/>
  <c r="A1048" i="7"/>
  <c r="C1047" i="7"/>
  <c r="A1047" i="7"/>
  <c r="C1045" i="7"/>
  <c r="A1045" i="7"/>
  <c r="C1044" i="7"/>
  <c r="A1044" i="7"/>
  <c r="C1043" i="7"/>
  <c r="A1043" i="7"/>
  <c r="C1042" i="7"/>
  <c r="A1042" i="7"/>
  <c r="C1375" i="7"/>
  <c r="A1375" i="7"/>
  <c r="C1041" i="7"/>
  <c r="A1041" i="7"/>
  <c r="C1519" i="7"/>
  <c r="A1519" i="7"/>
  <c r="C1518" i="7"/>
  <c r="A1518" i="7"/>
  <c r="C1517" i="7"/>
  <c r="A1517" i="7"/>
  <c r="C1040" i="7"/>
  <c r="A1040" i="7"/>
  <c r="C1516" i="7"/>
  <c r="A1516" i="7"/>
  <c r="C1039" i="7"/>
  <c r="A1039" i="7"/>
  <c r="C1377" i="7"/>
  <c r="A1377" i="7"/>
  <c r="C1038" i="7"/>
  <c r="A1038" i="7"/>
  <c r="C1422" i="7"/>
  <c r="A1422" i="7"/>
  <c r="C1037" i="7"/>
  <c r="A1037" i="7"/>
  <c r="C1036" i="7"/>
  <c r="A1036" i="7"/>
  <c r="C1419" i="7"/>
  <c r="A1419" i="7"/>
  <c r="C1414" i="7"/>
  <c r="A1414" i="7"/>
  <c r="C1034" i="7"/>
  <c r="A1034" i="7"/>
  <c r="C1033" i="7"/>
  <c r="A1033" i="7"/>
  <c r="C1032" i="7"/>
  <c r="A1032" i="7"/>
  <c r="C1424" i="7"/>
  <c r="A1424" i="7"/>
  <c r="C1425" i="7"/>
  <c r="A1425" i="7"/>
  <c r="C1031" i="7"/>
  <c r="A1031" i="7"/>
  <c r="C1030" i="7"/>
  <c r="A1030" i="7"/>
  <c r="C1368" i="7"/>
  <c r="A1368" i="7"/>
  <c r="C1379" i="7"/>
  <c r="A1379" i="7"/>
  <c r="C1367" i="7"/>
  <c r="A1367" i="7"/>
  <c r="C1423" i="7"/>
  <c r="A1423" i="7"/>
  <c r="C1366" i="7"/>
  <c r="A1366" i="7"/>
  <c r="C1390" i="7"/>
  <c r="A1390" i="7"/>
  <c r="C1376" i="7"/>
  <c r="A1376" i="7"/>
  <c r="C1421" i="7"/>
  <c r="A1421" i="7"/>
  <c r="C1025" i="7"/>
  <c r="A1025" i="7"/>
  <c r="C1023" i="7"/>
  <c r="A1023" i="7"/>
  <c r="C1022" i="7"/>
  <c r="A1022" i="7"/>
  <c r="C1021" i="7"/>
  <c r="A1021" i="7"/>
  <c r="C1020" i="7"/>
  <c r="A1020" i="7"/>
  <c r="C1019" i="7"/>
  <c r="A1019" i="7"/>
  <c r="C1026" i="7"/>
  <c r="A1026" i="7"/>
  <c r="C1018" i="7"/>
  <c r="A1018" i="7"/>
  <c r="C1017" i="7"/>
  <c r="A1017" i="7"/>
  <c r="C1016" i="7"/>
  <c r="A1016" i="7"/>
  <c r="C1015" i="7"/>
  <c r="A1015" i="7"/>
  <c r="C1029" i="7"/>
  <c r="A1029" i="7"/>
  <c r="C1028" i="7"/>
  <c r="A1028" i="7"/>
  <c r="C1027" i="7"/>
  <c r="A1027" i="7"/>
  <c r="C1014" i="7"/>
  <c r="A1014" i="7"/>
  <c r="C1012" i="7"/>
  <c r="A1012" i="7"/>
  <c r="C1011" i="7"/>
  <c r="A1011" i="7"/>
  <c r="C1010" i="7"/>
  <c r="A1010" i="7"/>
  <c r="C1009" i="7"/>
  <c r="A1009" i="7"/>
  <c r="C1008" i="7"/>
  <c r="A1008" i="7"/>
  <c r="C1007" i="7"/>
  <c r="A1007" i="7"/>
  <c r="C1006" i="7"/>
  <c r="A1006" i="7"/>
  <c r="C1005" i="7"/>
  <c r="A1005" i="7"/>
  <c r="C1004" i="7"/>
  <c r="A1004" i="7"/>
  <c r="C1003" i="7"/>
  <c r="A1003" i="7"/>
  <c r="C1001" i="7"/>
  <c r="A1001" i="7"/>
  <c r="C1000" i="7"/>
  <c r="A1000" i="7"/>
  <c r="C999" i="7"/>
  <c r="A999" i="7"/>
  <c r="C998" i="7"/>
  <c r="A998" i="7"/>
  <c r="C997" i="7"/>
  <c r="A997" i="7"/>
  <c r="C1450" i="7"/>
  <c r="A1450" i="7"/>
  <c r="C996" i="7"/>
  <c r="A996" i="7"/>
  <c r="C995" i="7"/>
  <c r="A995" i="7"/>
  <c r="C994" i="7"/>
  <c r="A994" i="7"/>
  <c r="C993" i="7"/>
  <c r="A993" i="7"/>
  <c r="C992" i="7"/>
  <c r="A992" i="7"/>
  <c r="C990" i="7"/>
  <c r="A990" i="7"/>
  <c r="C989" i="7"/>
  <c r="A989" i="7"/>
  <c r="C988" i="7"/>
  <c r="A988" i="7"/>
  <c r="C987" i="7"/>
  <c r="A987" i="7"/>
  <c r="C986" i="7"/>
  <c r="A986" i="7"/>
  <c r="C521" i="7"/>
  <c r="A521" i="7"/>
  <c r="C1420" i="7"/>
  <c r="A1420" i="7"/>
  <c r="C1374" i="7"/>
  <c r="A1374" i="7"/>
  <c r="C1428" i="7"/>
  <c r="A1428" i="7"/>
  <c r="C1365" i="7"/>
  <c r="A1365" i="7"/>
  <c r="C985" i="7"/>
  <c r="A985" i="7"/>
  <c r="C984" i="7"/>
  <c r="A984" i="7"/>
  <c r="C1515" i="7"/>
  <c r="A1515" i="7"/>
  <c r="C983" i="7"/>
  <c r="A983" i="7"/>
  <c r="C1389" i="7"/>
  <c r="A1389" i="7"/>
  <c r="C1388" i="7"/>
  <c r="A1388" i="7"/>
  <c r="C1386" i="7"/>
  <c r="A1386" i="7"/>
  <c r="C1391" i="7"/>
  <c r="A1391" i="7"/>
  <c r="C1387" i="7"/>
  <c r="A1387" i="7"/>
  <c r="C1378" i="7"/>
  <c r="A1378" i="7"/>
  <c r="C982" i="7"/>
  <c r="A982" i="7"/>
  <c r="C981" i="7"/>
  <c r="A981" i="7"/>
  <c r="C979" i="7"/>
  <c r="A979" i="7"/>
  <c r="C978" i="7"/>
  <c r="A978" i="7"/>
  <c r="C185" i="7"/>
  <c r="A185" i="7"/>
  <c r="C1373" i="7"/>
  <c r="A1373" i="7"/>
  <c r="C1385" i="7"/>
  <c r="A1385" i="7"/>
  <c r="C977" i="7"/>
  <c r="A977" i="7"/>
  <c r="C1384" i="7"/>
  <c r="A1384" i="7"/>
  <c r="C1418" i="7"/>
  <c r="A1418" i="7"/>
  <c r="C1417" i="7"/>
  <c r="A1417" i="7"/>
  <c r="C976" i="7"/>
  <c r="A976" i="7"/>
  <c r="C975" i="7"/>
  <c r="A975" i="7"/>
  <c r="C1372" i="7"/>
  <c r="A1372" i="7"/>
  <c r="C974" i="7"/>
  <c r="A974" i="7"/>
  <c r="C1371" i="7"/>
  <c r="A1371" i="7"/>
  <c r="C1416" i="7"/>
  <c r="A1416" i="7"/>
  <c r="C1415" i="7"/>
  <c r="A1415" i="7"/>
  <c r="C973" i="7"/>
  <c r="A973" i="7"/>
  <c r="C972" i="7"/>
  <c r="A972" i="7"/>
  <c r="C971" i="7"/>
  <c r="A971" i="7"/>
  <c r="C970" i="7"/>
  <c r="A970" i="7"/>
  <c r="C968" i="7"/>
  <c r="A968" i="7"/>
  <c r="C1383" i="7"/>
  <c r="A1383" i="7"/>
  <c r="C1364" i="7"/>
  <c r="A1364" i="7"/>
  <c r="C967" i="7"/>
  <c r="A967" i="7"/>
  <c r="C1472" i="7"/>
  <c r="A1472" i="7"/>
  <c r="C1363" i="7"/>
  <c r="A1363" i="7"/>
  <c r="C1413" i="7"/>
  <c r="A1413" i="7"/>
  <c r="C1382" i="7"/>
  <c r="A1382" i="7"/>
  <c r="C966" i="7"/>
  <c r="A966" i="7"/>
  <c r="C1370" i="7"/>
  <c r="A1370" i="7"/>
  <c r="C1381" i="7"/>
  <c r="A1381" i="7"/>
  <c r="C965" i="7"/>
  <c r="A965" i="7"/>
  <c r="C964" i="7"/>
  <c r="A964" i="7"/>
  <c r="C963" i="7"/>
  <c r="A963" i="7"/>
  <c r="C962" i="7"/>
  <c r="A962" i="7"/>
  <c r="C961" i="7"/>
  <c r="A961" i="7"/>
  <c r="C960" i="7"/>
  <c r="A960" i="7"/>
  <c r="C959" i="7"/>
  <c r="A959" i="7"/>
  <c r="C957" i="7"/>
  <c r="A957" i="7"/>
  <c r="C956" i="7"/>
  <c r="A956" i="7"/>
  <c r="C955" i="7"/>
  <c r="A955" i="7"/>
  <c r="C954" i="7"/>
  <c r="A954" i="7"/>
  <c r="C1412" i="7"/>
  <c r="A1412" i="7"/>
  <c r="C1380" i="7"/>
  <c r="A1380" i="7"/>
  <c r="C1369" i="7"/>
  <c r="A1369" i="7"/>
  <c r="C1362" i="7"/>
  <c r="A1362" i="7"/>
  <c r="C1454" i="7"/>
  <c r="A1454" i="7"/>
  <c r="C1436" i="7"/>
  <c r="A1436" i="7"/>
  <c r="C1543" i="7"/>
  <c r="A1543" i="7"/>
  <c r="C1294" i="7"/>
  <c r="A1294" i="7"/>
  <c r="C1471" i="7"/>
  <c r="A1471" i="7"/>
  <c r="C953" i="7"/>
  <c r="A953" i="7"/>
  <c r="C1470" i="7"/>
  <c r="A1470" i="7"/>
  <c r="C952" i="7"/>
  <c r="A952" i="7"/>
  <c r="C1514" i="7"/>
  <c r="A1514" i="7"/>
  <c r="C1441" i="7"/>
  <c r="A1441" i="7"/>
  <c r="C1469" i="7"/>
  <c r="A1469" i="7"/>
  <c r="C1468" i="7"/>
  <c r="A1468" i="7"/>
  <c r="C951" i="7"/>
  <c r="A951" i="7"/>
  <c r="C1467" i="7"/>
  <c r="A1467" i="7"/>
  <c r="C950" i="7"/>
  <c r="A950" i="7"/>
  <c r="C1440" i="7"/>
  <c r="A1440" i="7"/>
  <c r="C1448" i="7"/>
  <c r="A1448" i="7"/>
  <c r="C1444" i="7"/>
  <c r="A1444" i="7"/>
  <c r="C1437" i="7"/>
  <c r="A1437" i="7"/>
  <c r="C949" i="7"/>
  <c r="A949" i="7"/>
  <c r="C1554" i="7"/>
  <c r="A1554" i="7"/>
  <c r="C1447" i="7"/>
  <c r="A1447" i="7"/>
  <c r="C1446" i="7"/>
  <c r="A1446" i="7"/>
  <c r="C1445" i="7"/>
  <c r="A1445" i="7"/>
  <c r="C1548" i="7"/>
  <c r="A1548" i="7"/>
  <c r="C948" i="7"/>
  <c r="A948" i="7"/>
  <c r="C774" i="7"/>
  <c r="A774" i="7"/>
  <c r="C1547" i="7"/>
  <c r="A1547" i="7"/>
  <c r="C1466" i="7"/>
  <c r="A1466" i="7"/>
  <c r="C1546" i="7"/>
  <c r="A1546" i="7"/>
  <c r="C1553" i="7"/>
  <c r="A1553" i="7"/>
  <c r="C1552" i="7"/>
  <c r="A1552" i="7"/>
  <c r="C1551" i="7"/>
  <c r="A1551" i="7"/>
  <c r="C1443" i="7"/>
  <c r="A1443" i="7"/>
  <c r="C1545" i="7"/>
  <c r="A1545" i="7"/>
  <c r="C1442" i="7"/>
  <c r="A1442" i="7"/>
  <c r="C1544" i="7"/>
  <c r="A1544" i="7"/>
  <c r="C1542" i="7"/>
  <c r="A1542" i="7"/>
  <c r="C1433" i="7"/>
  <c r="A1433" i="7"/>
  <c r="C1513" i="7"/>
  <c r="A1513" i="7"/>
  <c r="C946" i="7"/>
  <c r="A946" i="7"/>
  <c r="C1512" i="7"/>
  <c r="A1512" i="7"/>
  <c r="C186" i="7"/>
  <c r="A186" i="7"/>
  <c r="C1449" i="7"/>
  <c r="A1449" i="7"/>
  <c r="C1244" i="7"/>
  <c r="A1244" i="7"/>
  <c r="C1541" i="7"/>
  <c r="A1541" i="7"/>
  <c r="C1540" i="7"/>
  <c r="A1540" i="7"/>
  <c r="C1550" i="7"/>
  <c r="A1550" i="7"/>
  <c r="C1465" i="7"/>
  <c r="A1465" i="7"/>
  <c r="C1539" i="7"/>
  <c r="A1539" i="7"/>
  <c r="C1538" i="7"/>
  <c r="A1538" i="7"/>
  <c r="C1537" i="7"/>
  <c r="A1537" i="7"/>
  <c r="C1439" i="7"/>
  <c r="A1439" i="7"/>
  <c r="C1438" i="7"/>
  <c r="A1438" i="7"/>
  <c r="C1536" i="7"/>
  <c r="A1536" i="7"/>
  <c r="C1464" i="7"/>
  <c r="A1464" i="7"/>
  <c r="C1435" i="7"/>
  <c r="A1435" i="7"/>
  <c r="C1463" i="7"/>
  <c r="A1463" i="7"/>
  <c r="C1453" i="7"/>
  <c r="A1453" i="7"/>
  <c r="C945" i="7"/>
  <c r="A945" i="7"/>
  <c r="C944" i="7"/>
  <c r="A944" i="7"/>
  <c r="C1451" i="7"/>
  <c r="A1451" i="7"/>
  <c r="C1455" i="7"/>
  <c r="A1455" i="7"/>
  <c r="C1549" i="7"/>
  <c r="A1549" i="7"/>
  <c r="C1535" i="7"/>
  <c r="A1535" i="7"/>
  <c r="C1434" i="7"/>
  <c r="A1434" i="7"/>
  <c r="C1474" i="7"/>
  <c r="A1474" i="7"/>
  <c r="C1484" i="7"/>
  <c r="A1484" i="7"/>
  <c r="C1483" i="7"/>
  <c r="A1483" i="7"/>
  <c r="C1482" i="7"/>
  <c r="A1482" i="7"/>
  <c r="C1477" i="7"/>
  <c r="A1477" i="7"/>
  <c r="C1481" i="7"/>
  <c r="A1481" i="7"/>
  <c r="C1476" i="7"/>
  <c r="A1476" i="7"/>
  <c r="C1480" i="7"/>
  <c r="A1480" i="7"/>
  <c r="C943" i="7"/>
  <c r="A943" i="7"/>
  <c r="C1475" i="7"/>
  <c r="A1475" i="7"/>
  <c r="C1479" i="7"/>
  <c r="A1479" i="7"/>
  <c r="C1478" i="7"/>
  <c r="A1478" i="7"/>
  <c r="C1473" i="7"/>
  <c r="A1473" i="7"/>
  <c r="C942" i="7"/>
  <c r="A942" i="7"/>
  <c r="C941" i="7"/>
  <c r="A941" i="7"/>
  <c r="C940" i="7"/>
  <c r="A940" i="7"/>
  <c r="C939" i="7"/>
  <c r="A939" i="7"/>
  <c r="C938" i="7"/>
  <c r="A938" i="7"/>
  <c r="C709" i="7"/>
  <c r="A709" i="7"/>
  <c r="C471" i="7"/>
  <c r="A471" i="7"/>
  <c r="C937" i="7"/>
  <c r="A937" i="7"/>
  <c r="C710" i="7"/>
  <c r="A710" i="7"/>
  <c r="C466" i="7"/>
  <c r="A466" i="7"/>
  <c r="C935" i="7"/>
  <c r="A935" i="7"/>
  <c r="C934" i="7"/>
  <c r="A934" i="7"/>
  <c r="C933" i="7"/>
  <c r="A933" i="7"/>
  <c r="C404" i="7"/>
  <c r="A404" i="7"/>
  <c r="C678" i="7"/>
  <c r="A678" i="7"/>
  <c r="C932" i="7"/>
  <c r="A932" i="7"/>
  <c r="C931" i="7"/>
  <c r="A931" i="7"/>
  <c r="C930" i="7"/>
  <c r="A930" i="7"/>
  <c r="C929" i="7"/>
  <c r="A929" i="7"/>
  <c r="C402" i="7"/>
  <c r="A402" i="7"/>
  <c r="C928" i="7"/>
  <c r="A928" i="7"/>
  <c r="C927" i="7"/>
  <c r="A927" i="7"/>
  <c r="C926" i="7"/>
  <c r="A926" i="7"/>
  <c r="C924" i="7"/>
  <c r="A924" i="7"/>
  <c r="C484" i="7"/>
  <c r="A484" i="7"/>
  <c r="C1262" i="7"/>
  <c r="A1262" i="7"/>
  <c r="C1261" i="7"/>
  <c r="A1261" i="7"/>
  <c r="C467" i="7"/>
  <c r="A467" i="7"/>
  <c r="C923" i="7"/>
  <c r="A923" i="7"/>
  <c r="C465" i="7"/>
  <c r="A465" i="7"/>
  <c r="C464" i="7"/>
  <c r="A464" i="7"/>
  <c r="C468" i="7"/>
  <c r="A468" i="7"/>
  <c r="C1246" i="7"/>
  <c r="A1246" i="7"/>
  <c r="C470" i="7"/>
  <c r="A470" i="7"/>
  <c r="C922" i="7"/>
  <c r="A922" i="7"/>
  <c r="C403" i="7"/>
  <c r="A403" i="7"/>
  <c r="C793" i="7"/>
  <c r="A793" i="7"/>
  <c r="C469" i="7"/>
  <c r="A469" i="7"/>
  <c r="C921" i="7"/>
  <c r="A921" i="7"/>
  <c r="C920" i="7"/>
  <c r="A920" i="7"/>
  <c r="C463" i="7"/>
  <c r="A463" i="7"/>
  <c r="C164" i="7"/>
  <c r="A164" i="7"/>
  <c r="C183" i="7"/>
  <c r="A183" i="7"/>
  <c r="C919" i="7"/>
  <c r="A919" i="7"/>
  <c r="C918" i="7"/>
  <c r="A918" i="7"/>
  <c r="C219" i="7"/>
  <c r="A219" i="7"/>
  <c r="C917" i="7"/>
  <c r="A917" i="7"/>
  <c r="C182" i="7"/>
  <c r="A182" i="7"/>
  <c r="C916" i="7"/>
  <c r="A916" i="7"/>
  <c r="C174" i="7"/>
  <c r="A174" i="7"/>
  <c r="C181" i="7"/>
  <c r="A181" i="7"/>
  <c r="C169" i="7"/>
  <c r="A169" i="7"/>
  <c r="C915" i="7"/>
  <c r="A915" i="7"/>
  <c r="C660" i="7"/>
  <c r="A660" i="7"/>
  <c r="C170" i="7"/>
  <c r="A170" i="7"/>
  <c r="C168" i="7"/>
  <c r="A168" i="7"/>
  <c r="C189" i="7"/>
  <c r="A189" i="7"/>
  <c r="C180" i="7"/>
  <c r="A180" i="7"/>
  <c r="C179" i="7"/>
  <c r="A179" i="7"/>
  <c r="C167" i="7"/>
  <c r="A167" i="7"/>
  <c r="C1313" i="7"/>
  <c r="A1313" i="7"/>
  <c r="C187" i="7"/>
  <c r="A187" i="7"/>
  <c r="C166" i="7"/>
  <c r="A166" i="7"/>
  <c r="C178" i="7"/>
  <c r="A178" i="7"/>
  <c r="C177" i="7"/>
  <c r="A177" i="7"/>
  <c r="C176" i="7"/>
  <c r="A176" i="7"/>
  <c r="C175" i="7"/>
  <c r="A175" i="7"/>
  <c r="C1243" i="7"/>
  <c r="A1243" i="7"/>
  <c r="C913" i="7"/>
  <c r="A913" i="7"/>
  <c r="C912" i="7"/>
  <c r="A912" i="7"/>
  <c r="C173" i="7"/>
  <c r="A173" i="7"/>
  <c r="C172" i="7"/>
  <c r="A172" i="7"/>
  <c r="C171" i="7"/>
  <c r="A171" i="7"/>
  <c r="C911" i="7"/>
  <c r="A911" i="7"/>
  <c r="C910" i="7"/>
  <c r="A910" i="7"/>
  <c r="C909" i="7"/>
  <c r="A909" i="7"/>
  <c r="C908" i="7"/>
  <c r="A908" i="7"/>
  <c r="C1452" i="7"/>
  <c r="A1452" i="7"/>
  <c r="C1462" i="7"/>
  <c r="A1462" i="7"/>
  <c r="C907" i="7"/>
  <c r="A907" i="7"/>
  <c r="C906" i="7"/>
  <c r="A906" i="7"/>
  <c r="C905" i="7"/>
  <c r="A905" i="7"/>
  <c r="C904" i="7"/>
  <c r="A904" i="7"/>
  <c r="C188" i="7"/>
  <c r="A188" i="7"/>
  <c r="C184" i="7"/>
  <c r="A184" i="7"/>
  <c r="C165" i="7"/>
  <c r="A165" i="7"/>
  <c r="C902" i="7"/>
  <c r="A902" i="7"/>
  <c r="C5" i="7"/>
  <c r="A5" i="7"/>
  <c r="C6" i="7"/>
  <c r="A6" i="7"/>
  <c r="C901" i="7"/>
  <c r="A901" i="7"/>
  <c r="C1410" i="7"/>
  <c r="A1410" i="7"/>
  <c r="C900" i="7"/>
  <c r="A900" i="7"/>
  <c r="C1409" i="7"/>
  <c r="A1409" i="7"/>
  <c r="C899" i="7"/>
  <c r="A899" i="7"/>
  <c r="C1403" i="7"/>
  <c r="A1403" i="7"/>
  <c r="C1411" i="7"/>
  <c r="A1411" i="7"/>
  <c r="C898" i="7"/>
  <c r="A898" i="7"/>
  <c r="C1408" i="7"/>
  <c r="A1408" i="7"/>
  <c r="C1407" i="7"/>
  <c r="A1407" i="7"/>
  <c r="C897" i="7"/>
  <c r="A897" i="7"/>
  <c r="C896" i="7"/>
  <c r="A896" i="7"/>
  <c r="C1406" i="7"/>
  <c r="A1406" i="7"/>
  <c r="C1404" i="7"/>
  <c r="A1404" i="7"/>
  <c r="C1405" i="7"/>
  <c r="A1405" i="7"/>
  <c r="C1402" i="7"/>
  <c r="A1402" i="7"/>
  <c r="C895" i="7"/>
  <c r="A895" i="7"/>
  <c r="C1401" i="7"/>
  <c r="A1401" i="7"/>
  <c r="C1400" i="7"/>
  <c r="A1400" i="7"/>
  <c r="C1399" i="7"/>
  <c r="A1399" i="7"/>
  <c r="C1398" i="7"/>
  <c r="A1398" i="7"/>
  <c r="C1397" i="7"/>
  <c r="A1397" i="7"/>
  <c r="C1396" i="7"/>
  <c r="A1396" i="7"/>
  <c r="C1395" i="7"/>
  <c r="A1395" i="7"/>
  <c r="C1394" i="7"/>
  <c r="A1394" i="7"/>
  <c r="C1393" i="7"/>
  <c r="A1393" i="7"/>
  <c r="C1392" i="7"/>
  <c r="A1392" i="7"/>
  <c r="C894" i="7"/>
  <c r="A894" i="7"/>
  <c r="C1301" i="7"/>
  <c r="A1301" i="7"/>
  <c r="C481" i="7"/>
  <c r="A481" i="7"/>
  <c r="C1650" i="7"/>
  <c r="A1650" i="7"/>
  <c r="C1302" i="7"/>
  <c r="A1302" i="7"/>
  <c r="C476" i="7"/>
  <c r="A476" i="7"/>
  <c r="C1300" i="7"/>
  <c r="A1300" i="7"/>
  <c r="C893" i="7"/>
  <c r="A893" i="7"/>
  <c r="C891" i="7"/>
  <c r="A891" i="7"/>
  <c r="C890" i="7"/>
  <c r="A890" i="7"/>
  <c r="C1293" i="7"/>
  <c r="A1293" i="7"/>
  <c r="C479" i="7"/>
  <c r="A479" i="7"/>
  <c r="C461" i="7"/>
  <c r="A461" i="7"/>
  <c r="C888" i="7"/>
  <c r="A888" i="7"/>
  <c r="C889" i="7"/>
  <c r="A889" i="7"/>
  <c r="C478" i="7"/>
  <c r="A478" i="7"/>
  <c r="C475" i="7"/>
  <c r="A475" i="7"/>
  <c r="C477" i="7"/>
  <c r="A477" i="7"/>
  <c r="C1299" i="7"/>
  <c r="A1299" i="7"/>
  <c r="C1310" i="7"/>
  <c r="A1310" i="7"/>
  <c r="C1303" i="7"/>
  <c r="A1303" i="7"/>
  <c r="C472" i="7"/>
  <c r="A472" i="7"/>
  <c r="C887" i="7"/>
  <c r="A887" i="7"/>
  <c r="C474" i="7"/>
  <c r="A474" i="7"/>
  <c r="C480" i="7"/>
  <c r="A480" i="7"/>
  <c r="C1311" i="7"/>
  <c r="A1311" i="7"/>
  <c r="C1309" i="7"/>
  <c r="A1309" i="7"/>
  <c r="C473" i="7"/>
  <c r="A473" i="7"/>
  <c r="C1298" i="7"/>
  <c r="A1298" i="7"/>
  <c r="C1297" i="7"/>
  <c r="A1297" i="7"/>
  <c r="C743" i="7"/>
  <c r="A743" i="7"/>
  <c r="C886" i="7"/>
  <c r="A886" i="7"/>
  <c r="C885" i="7"/>
  <c r="A885" i="7"/>
  <c r="C884" i="7"/>
  <c r="A884" i="7"/>
  <c r="C883" i="7"/>
  <c r="A883" i="7"/>
  <c r="C679" i="7"/>
  <c r="A679" i="7"/>
  <c r="C1308" i="7"/>
  <c r="A1308" i="7"/>
  <c r="C462" i="7"/>
  <c r="A462" i="7"/>
  <c r="C1296" i="7"/>
  <c r="A1296" i="7"/>
  <c r="C882" i="7"/>
  <c r="A882" i="7"/>
  <c r="C880" i="7"/>
  <c r="A880" i="7"/>
  <c r="C1304" i="7"/>
  <c r="A1304" i="7"/>
  <c r="C1312" i="7"/>
  <c r="A1312" i="7"/>
  <c r="C879" i="7"/>
  <c r="A879" i="7"/>
  <c r="C1292" i="7"/>
  <c r="A1292" i="7"/>
  <c r="C878" i="7"/>
  <c r="A878" i="7"/>
  <c r="C1291" i="7"/>
  <c r="A1291" i="7"/>
  <c r="C1290" i="7"/>
  <c r="A1290" i="7"/>
  <c r="C877" i="7"/>
  <c r="A877" i="7"/>
  <c r="C876" i="7"/>
  <c r="A876" i="7"/>
  <c r="C875" i="7"/>
  <c r="A875" i="7"/>
  <c r="C874" i="7"/>
  <c r="A874" i="7"/>
  <c r="C873" i="7"/>
  <c r="A873" i="7"/>
  <c r="C872" i="7"/>
  <c r="A872" i="7"/>
  <c r="C871" i="7"/>
  <c r="A871" i="7"/>
  <c r="C869" i="7"/>
  <c r="A869" i="7"/>
  <c r="C868" i="7"/>
  <c r="A868" i="7"/>
  <c r="C867" i="7"/>
  <c r="A867" i="7"/>
  <c r="C866" i="7"/>
  <c r="A866" i="7"/>
  <c r="C865" i="7"/>
  <c r="A865" i="7"/>
  <c r="C864" i="7"/>
  <c r="A864" i="7"/>
  <c r="C1307" i="7"/>
  <c r="A1307" i="7"/>
  <c r="C1359" i="7"/>
  <c r="A1359" i="7"/>
  <c r="C1355" i="7"/>
  <c r="A1355" i="7"/>
  <c r="C1351" i="7"/>
  <c r="A1351" i="7"/>
  <c r="C1350" i="7"/>
  <c r="A1350" i="7"/>
  <c r="C863" i="7"/>
  <c r="A863" i="7"/>
  <c r="C1352" i="7"/>
  <c r="A1352" i="7"/>
  <c r="C1349" i="7"/>
  <c r="A1349" i="7"/>
  <c r="C1348" i="7"/>
  <c r="A1348" i="7"/>
  <c r="C1353" i="7"/>
  <c r="A1353" i="7"/>
  <c r="C1354" i="7"/>
  <c r="A1354" i="7"/>
  <c r="C1361" i="7"/>
  <c r="A1361" i="7"/>
  <c r="C1360" i="7"/>
  <c r="A1360" i="7"/>
  <c r="C1357" i="7"/>
  <c r="A1357" i="7"/>
  <c r="C1358" i="7"/>
  <c r="A1358" i="7"/>
  <c r="C1356" i="7"/>
  <c r="A1356" i="7"/>
  <c r="C1347" i="7"/>
  <c r="A1347" i="7"/>
  <c r="C612" i="7"/>
  <c r="A612" i="7"/>
  <c r="C611" i="7"/>
  <c r="A611" i="7"/>
  <c r="C608" i="7"/>
  <c r="A608" i="7"/>
  <c r="C610" i="7"/>
  <c r="A610" i="7"/>
  <c r="C609" i="7"/>
  <c r="A609" i="7"/>
  <c r="C607" i="7"/>
  <c r="A607" i="7"/>
  <c r="C279" i="7"/>
  <c r="A279" i="7"/>
  <c r="C278" i="7"/>
  <c r="A278" i="7"/>
  <c r="C1511" i="7"/>
  <c r="A1511" i="7"/>
  <c r="C277" i="7"/>
  <c r="A277" i="7"/>
  <c r="C272" i="7"/>
  <c r="A272" i="7"/>
  <c r="C267" i="7"/>
  <c r="A267" i="7"/>
  <c r="C266" i="7"/>
  <c r="A266" i="7"/>
  <c r="C265" i="7"/>
  <c r="A265" i="7"/>
  <c r="C275" i="7"/>
  <c r="A275" i="7"/>
  <c r="C274" i="7"/>
  <c r="A274" i="7"/>
  <c r="C264" i="7"/>
  <c r="A264" i="7"/>
  <c r="C269" i="7"/>
  <c r="A269" i="7"/>
  <c r="C263" i="7"/>
  <c r="A263" i="7"/>
  <c r="C273" i="7"/>
  <c r="A273" i="7"/>
  <c r="C862" i="7"/>
  <c r="A862" i="7"/>
  <c r="C1510" i="7"/>
  <c r="A1510" i="7"/>
  <c r="C271" i="7"/>
  <c r="A271" i="7"/>
  <c r="C276" i="7"/>
  <c r="A276" i="7"/>
  <c r="C282" i="7"/>
  <c r="A282" i="7"/>
  <c r="C268" i="7"/>
  <c r="A268" i="7"/>
  <c r="C262" i="7"/>
  <c r="A262" i="7"/>
  <c r="C261" i="7"/>
  <c r="A261" i="7"/>
  <c r="C281" i="7"/>
  <c r="A281" i="7"/>
  <c r="C260" i="7"/>
  <c r="A260" i="7"/>
  <c r="C270" i="7"/>
  <c r="A270" i="7"/>
  <c r="C280" i="7"/>
  <c r="A280" i="7"/>
  <c r="C259" i="7"/>
  <c r="A259" i="7"/>
  <c r="C1509" i="7"/>
  <c r="A1509" i="7"/>
  <c r="C1508" i="7"/>
  <c r="A1508" i="7"/>
  <c r="C1507" i="7"/>
  <c r="A1507" i="7"/>
  <c r="C258" i="7"/>
  <c r="A258" i="7"/>
  <c r="C584" i="7"/>
  <c r="A584" i="7"/>
  <c r="C583" i="7"/>
  <c r="A583" i="7"/>
  <c r="C582" i="7"/>
  <c r="A582" i="7"/>
  <c r="C677" i="7"/>
  <c r="A677" i="7"/>
  <c r="C676" i="7"/>
  <c r="A676" i="7"/>
  <c r="C675" i="7"/>
  <c r="A675" i="7"/>
  <c r="C674" i="7"/>
  <c r="A674" i="7"/>
  <c r="C1622" i="7"/>
  <c r="A1622" i="7"/>
  <c r="C1621" i="7"/>
  <c r="A1621" i="7"/>
  <c r="C1615" i="7"/>
  <c r="A1615" i="7"/>
  <c r="C1607" i="7"/>
  <c r="A1607" i="7"/>
  <c r="C1618" i="7"/>
  <c r="A1618" i="7"/>
  <c r="C1617" i="7"/>
  <c r="A1617" i="7"/>
  <c r="C1620" i="7"/>
  <c r="A1620" i="7"/>
  <c r="C1616" i="7"/>
  <c r="A1616" i="7"/>
  <c r="C1623" i="7"/>
  <c r="A1623" i="7"/>
  <c r="C1614" i="7"/>
  <c r="A1614" i="7"/>
  <c r="C1613" i="7"/>
  <c r="A1613" i="7"/>
  <c r="C1612" i="7"/>
  <c r="A1612" i="7"/>
  <c r="C1611" i="7"/>
  <c r="A1611" i="7"/>
  <c r="C1610" i="7"/>
  <c r="A1610" i="7"/>
  <c r="C1619" i="7"/>
  <c r="A1619" i="7"/>
  <c r="C1609" i="7"/>
  <c r="A1609" i="7"/>
  <c r="C1608" i="7"/>
  <c r="A1608" i="7"/>
  <c r="C1606" i="7"/>
  <c r="A1606" i="7"/>
  <c r="C1605" i="7"/>
  <c r="A1605" i="7"/>
  <c r="C1604" i="7"/>
  <c r="A1604" i="7"/>
  <c r="C1603" i="7"/>
  <c r="A1603" i="7"/>
  <c r="C232" i="7"/>
  <c r="A232" i="7"/>
  <c r="C231" i="7"/>
  <c r="A231" i="7"/>
  <c r="C230" i="7"/>
  <c r="A230" i="7"/>
  <c r="C229" i="7"/>
  <c r="A229" i="7"/>
  <c r="C861" i="7"/>
  <c r="A861" i="7"/>
  <c r="C228" i="7"/>
  <c r="A228" i="7"/>
  <c r="C227" i="7"/>
  <c r="A227" i="7"/>
  <c r="C226" i="7"/>
  <c r="A226" i="7"/>
  <c r="C225" i="7"/>
  <c r="A225" i="7"/>
  <c r="C224" i="7"/>
  <c r="A224" i="7"/>
  <c r="C223" i="7"/>
  <c r="A223" i="7"/>
  <c r="C222" i="7"/>
  <c r="A222" i="7"/>
  <c r="C221" i="7"/>
  <c r="A221" i="7"/>
  <c r="C220" i="7"/>
  <c r="A220" i="7"/>
  <c r="C9" i="7"/>
  <c r="A9" i="7"/>
  <c r="C8" i="7"/>
  <c r="A8" i="7"/>
  <c r="C298" i="7"/>
  <c r="A298" i="7"/>
  <c r="C297" i="7"/>
  <c r="A297" i="7"/>
  <c r="C295" i="7"/>
  <c r="A295" i="7"/>
  <c r="C293" i="7"/>
  <c r="A293" i="7"/>
  <c r="C294" i="7"/>
  <c r="A294" i="7"/>
  <c r="C292" i="7"/>
  <c r="A292" i="7"/>
  <c r="C291" i="7"/>
  <c r="A291" i="7"/>
  <c r="C290" i="7"/>
  <c r="A290" i="7"/>
  <c r="C860" i="7"/>
  <c r="A860" i="7"/>
  <c r="C296" i="7"/>
  <c r="A296" i="7"/>
  <c r="C299" i="7"/>
  <c r="A299" i="7"/>
  <c r="C289" i="7"/>
  <c r="A289" i="7"/>
  <c r="C288" i="7"/>
  <c r="A288" i="7"/>
  <c r="C287" i="7"/>
  <c r="A287" i="7"/>
  <c r="C300" i="7"/>
  <c r="A300" i="7"/>
  <c r="C286" i="7"/>
  <c r="A286" i="7"/>
  <c r="C285" i="7"/>
  <c r="A285" i="7"/>
  <c r="C284" i="7"/>
  <c r="A284" i="7"/>
  <c r="C858" i="7"/>
  <c r="A858" i="7"/>
  <c r="C283" i="7"/>
  <c r="A283" i="7"/>
  <c r="C22" i="7"/>
  <c r="A22" i="7"/>
  <c r="C23" i="7"/>
  <c r="A23" i="7"/>
  <c r="C18" i="7"/>
  <c r="A18" i="7"/>
  <c r="C17" i="7"/>
  <c r="A17" i="7"/>
  <c r="C16" i="7"/>
  <c r="A16" i="7"/>
  <c r="C15" i="7"/>
  <c r="A15" i="7"/>
  <c r="C24" i="7"/>
  <c r="A24" i="7"/>
  <c r="C21" i="7"/>
  <c r="A21" i="7"/>
  <c r="C19" i="7"/>
  <c r="A19" i="7"/>
  <c r="C20" i="7"/>
  <c r="A20" i="7"/>
  <c r="C11" i="7"/>
  <c r="A11" i="7"/>
  <c r="C14" i="7"/>
  <c r="A14" i="7"/>
  <c r="C13" i="7"/>
  <c r="A13" i="7"/>
  <c r="C10" i="7"/>
  <c r="A10" i="7"/>
  <c r="C12" i="7"/>
  <c r="A12" i="7"/>
  <c r="C7" i="7"/>
  <c r="A7" i="7"/>
  <c r="C742" i="7"/>
  <c r="A742" i="7"/>
  <c r="C1289" i="7"/>
  <c r="A1289" i="7"/>
  <c r="C857" i="7"/>
  <c r="A857" i="7"/>
  <c r="C856" i="7"/>
  <c r="A856" i="7"/>
  <c r="C855" i="7"/>
  <c r="A855" i="7"/>
  <c r="C854" i="7"/>
  <c r="A854" i="7"/>
  <c r="C745" i="7"/>
  <c r="A745" i="7"/>
  <c r="C779" i="7"/>
  <c r="A779" i="7"/>
  <c r="C853" i="7"/>
  <c r="A853" i="7"/>
  <c r="C741" i="7"/>
  <c r="A741" i="7"/>
  <c r="C740" i="7"/>
  <c r="A740" i="7"/>
  <c r="C852" i="7"/>
  <c r="A852" i="7"/>
  <c r="C851" i="7"/>
  <c r="A851" i="7"/>
  <c r="C850" i="7"/>
  <c r="A850" i="7"/>
  <c r="C1288" i="7"/>
  <c r="A1288" i="7"/>
  <c r="C849" i="7"/>
  <c r="A849" i="7"/>
  <c r="C847" i="7"/>
  <c r="A847" i="7"/>
  <c r="C846" i="7"/>
  <c r="A846" i="7"/>
  <c r="C1506" i="7"/>
  <c r="A1506" i="7"/>
  <c r="C845" i="7"/>
  <c r="A845" i="7"/>
  <c r="C844" i="7"/>
  <c r="A844" i="7"/>
  <c r="C720" i="7"/>
  <c r="A720" i="7"/>
  <c r="C792" i="7"/>
  <c r="A792" i="7"/>
  <c r="C772" i="7"/>
  <c r="A772" i="7"/>
  <c r="C775" i="7"/>
  <c r="A775" i="7"/>
  <c r="C672" i="7"/>
  <c r="A672" i="7"/>
  <c r="C683" i="7"/>
  <c r="A683" i="7"/>
  <c r="C843" i="7"/>
  <c r="A843" i="7"/>
  <c r="C842" i="7"/>
  <c r="A842" i="7"/>
  <c r="C841" i="7"/>
  <c r="A841" i="7"/>
  <c r="C1287" i="7"/>
  <c r="A1287" i="7"/>
  <c r="C840" i="7"/>
  <c r="A840" i="7"/>
  <c r="C839" i="7"/>
  <c r="A839" i="7"/>
  <c r="C838" i="7"/>
  <c r="A838" i="7"/>
  <c r="C1295" i="7"/>
  <c r="A1295" i="7"/>
  <c r="C718" i="7"/>
  <c r="A718" i="7"/>
  <c r="C1286" i="7"/>
  <c r="A1286" i="7"/>
  <c r="C836" i="7"/>
  <c r="A836" i="7"/>
  <c r="C835" i="7"/>
  <c r="A835" i="7"/>
  <c r="C726" i="7"/>
  <c r="A726" i="7"/>
  <c r="C525" i="7"/>
  <c r="A525" i="7"/>
  <c r="C530" i="7"/>
  <c r="A530" i="7"/>
  <c r="C717" i="7"/>
  <c r="A717" i="7"/>
  <c r="C778" i="7"/>
  <c r="A778" i="7"/>
  <c r="C776" i="7"/>
  <c r="A776" i="7"/>
  <c r="C773" i="7"/>
  <c r="A773" i="7"/>
  <c r="C791" i="7"/>
  <c r="A791" i="7"/>
  <c r="C739" i="7"/>
  <c r="A739" i="7"/>
  <c r="C790" i="7"/>
  <c r="A790" i="7"/>
  <c r="C729" i="7"/>
  <c r="A729" i="7"/>
  <c r="C529" i="7"/>
  <c r="A529" i="7"/>
  <c r="C789" i="7"/>
  <c r="A789" i="7"/>
  <c r="C730" i="7"/>
  <c r="A730" i="7"/>
  <c r="C524" i="7"/>
  <c r="A524" i="7"/>
  <c r="C788" i="7"/>
  <c r="A788" i="7"/>
  <c r="C787" i="7"/>
  <c r="A787" i="7"/>
  <c r="C834" i="7"/>
  <c r="A834" i="7"/>
  <c r="C725" i="7"/>
  <c r="A725" i="7"/>
  <c r="C1461" i="7"/>
  <c r="A1461" i="7"/>
  <c r="C1460" i="7"/>
  <c r="A1460" i="7"/>
  <c r="C1459" i="7"/>
  <c r="A1459" i="7"/>
  <c r="C1458" i="7"/>
  <c r="A1458" i="7"/>
  <c r="C757" i="7"/>
  <c r="A757" i="7"/>
  <c r="C724" i="7"/>
  <c r="A724" i="7"/>
  <c r="C738" i="7"/>
  <c r="A738" i="7"/>
  <c r="C833" i="7"/>
  <c r="A833" i="7"/>
  <c r="C832" i="7"/>
  <c r="A832" i="7"/>
  <c r="C711" i="7"/>
  <c r="A711" i="7"/>
  <c r="C763" i="7"/>
  <c r="A763" i="7"/>
  <c r="C728" i="7"/>
  <c r="A728" i="7"/>
  <c r="C786" i="7"/>
  <c r="A786" i="7"/>
  <c r="C756" i="7"/>
  <c r="A756" i="7"/>
  <c r="C785" i="7"/>
  <c r="A785" i="7"/>
  <c r="C723" i="7"/>
  <c r="A723" i="7"/>
  <c r="C528" i="7"/>
  <c r="A528" i="7"/>
  <c r="C831" i="7"/>
  <c r="A831" i="7"/>
  <c r="C830" i="7"/>
  <c r="A830" i="7"/>
  <c r="C829" i="7"/>
  <c r="A829" i="7"/>
  <c r="C828" i="7"/>
  <c r="A828" i="7"/>
  <c r="C1285" i="7"/>
  <c r="A1285" i="7"/>
  <c r="C1284" i="7"/>
  <c r="A1284" i="7"/>
  <c r="C827" i="7"/>
  <c r="A827" i="7"/>
  <c r="C825" i="7"/>
  <c r="A825" i="7"/>
  <c r="C824" i="7"/>
  <c r="A824" i="7"/>
  <c r="C823" i="7"/>
  <c r="A823" i="7"/>
  <c r="C1283" i="7"/>
  <c r="A1283" i="7"/>
  <c r="C822" i="7"/>
  <c r="A822" i="7"/>
  <c r="C821" i="7"/>
  <c r="A821" i="7"/>
  <c r="C671" i="7"/>
  <c r="A671" i="7"/>
  <c r="C754" i="7"/>
  <c r="A754" i="7"/>
  <c r="C527" i="7"/>
  <c r="A527" i="7"/>
  <c r="C820" i="7"/>
  <c r="A820" i="7"/>
  <c r="C750" i="7"/>
  <c r="A750" i="7"/>
  <c r="C746" i="7"/>
  <c r="A746" i="7"/>
  <c r="C737" i="7"/>
  <c r="A737" i="7"/>
  <c r="C819" i="7"/>
  <c r="A819" i="7"/>
  <c r="C731" i="7"/>
  <c r="A731" i="7"/>
  <c r="C74" i="7"/>
  <c r="A74" i="7"/>
  <c r="C818" i="7"/>
  <c r="A818" i="7"/>
  <c r="C817" i="7"/>
  <c r="A817" i="7"/>
  <c r="C716" i="7"/>
  <c r="A716" i="7"/>
  <c r="C753" i="7"/>
  <c r="A753" i="7"/>
  <c r="C1505" i="7"/>
  <c r="A1505" i="7"/>
  <c r="C715" i="7"/>
  <c r="A715" i="7"/>
  <c r="C816" i="7"/>
  <c r="A816" i="7"/>
  <c r="C1282" i="7"/>
  <c r="A1282" i="7"/>
  <c r="C744" i="7"/>
  <c r="A744" i="7"/>
  <c r="C749" i="7"/>
  <c r="A749" i="7"/>
  <c r="C736" i="7"/>
  <c r="A736" i="7"/>
  <c r="C714" i="7"/>
  <c r="A714" i="7"/>
  <c r="C735" i="7"/>
  <c r="A735" i="7"/>
  <c r="C734" i="7"/>
  <c r="A734" i="7"/>
  <c r="C814" i="7"/>
  <c r="A814" i="7"/>
  <c r="C719" i="7"/>
  <c r="A719" i="7"/>
  <c r="C771" i="7"/>
  <c r="A771" i="7"/>
  <c r="C751" i="7"/>
  <c r="A751" i="7"/>
  <c r="C784" i="7"/>
  <c r="A784" i="7"/>
  <c r="C733" i="7"/>
  <c r="A733" i="7"/>
  <c r="C526" i="7"/>
  <c r="A526" i="7"/>
  <c r="C783" i="7"/>
  <c r="A783" i="7"/>
  <c r="C782" i="7"/>
  <c r="A782" i="7"/>
  <c r="C531" i="7"/>
  <c r="A531" i="7"/>
  <c r="C713" i="7"/>
  <c r="A713" i="7"/>
  <c r="C813" i="7"/>
  <c r="A813" i="7"/>
  <c r="C1281" i="7"/>
  <c r="A1281" i="7"/>
  <c r="C781" i="7"/>
  <c r="A781" i="7"/>
  <c r="C755" i="7"/>
  <c r="A755" i="7"/>
  <c r="C522" i="7"/>
  <c r="A522" i="7"/>
  <c r="C764" i="7"/>
  <c r="A764" i="7"/>
  <c r="C770" i="7"/>
  <c r="A770" i="7"/>
  <c r="C769" i="7"/>
  <c r="A769" i="7"/>
  <c r="C748" i="7"/>
  <c r="A748" i="7"/>
  <c r="C747" i="7"/>
  <c r="A747" i="7"/>
  <c r="C732" i="7"/>
  <c r="A732" i="7"/>
  <c r="C727" i="7"/>
  <c r="A727" i="7"/>
  <c r="C752" i="7"/>
  <c r="A752" i="7"/>
  <c r="C768" i="7"/>
  <c r="A768" i="7"/>
  <c r="C523" i="7"/>
  <c r="A523" i="7"/>
  <c r="C722" i="7"/>
  <c r="A722" i="7"/>
  <c r="C767" i="7"/>
  <c r="A767" i="7"/>
  <c r="C777" i="7"/>
  <c r="A777" i="7"/>
  <c r="C766" i="7"/>
  <c r="A766" i="7"/>
  <c r="C765" i="7"/>
  <c r="A765" i="7"/>
  <c r="C780" i="7"/>
  <c r="A780" i="7"/>
  <c r="C812" i="7"/>
  <c r="A812" i="7"/>
  <c r="C712" i="7"/>
  <c r="A712" i="7"/>
  <c r="C721" i="7"/>
  <c r="A721" i="7"/>
  <c r="C811" i="7"/>
  <c r="A811" i="7"/>
  <c r="C1457" i="7"/>
  <c r="A1457" i="7"/>
  <c r="C1280" i="7"/>
  <c r="A1280" i="7"/>
  <c r="C1279" i="7"/>
  <c r="A1279" i="7"/>
  <c r="C810" i="7"/>
  <c r="A810" i="7"/>
  <c r="C1278" i="7"/>
  <c r="A1278" i="7"/>
  <c r="C809" i="7"/>
  <c r="A809" i="7"/>
  <c r="C1277" i="7"/>
  <c r="A1277" i="7"/>
  <c r="C1276" i="7"/>
  <c r="A1276" i="7"/>
  <c r="C1275" i="7"/>
  <c r="A1275" i="7"/>
  <c r="C808" i="7"/>
  <c r="A808" i="7"/>
  <c r="C1274" i="7"/>
  <c r="A1274" i="7"/>
  <c r="C807" i="7"/>
  <c r="A807" i="7"/>
  <c r="C1273" i="7"/>
  <c r="A1273" i="7"/>
  <c r="C806" i="7"/>
  <c r="A806" i="7"/>
  <c r="C1272" i="7"/>
  <c r="A1272" i="7"/>
  <c r="C1271" i="7"/>
  <c r="A1271" i="7"/>
  <c r="C805" i="7"/>
  <c r="A805" i="7"/>
  <c r="C1270" i="7"/>
  <c r="A1270" i="7"/>
  <c r="C1242" i="7"/>
  <c r="A1242" i="7"/>
  <c r="C1241" i="7"/>
  <c r="A1241" i="7"/>
  <c r="C1240" i="7"/>
  <c r="A1240" i="7"/>
  <c r="C1239" i="7"/>
  <c r="A1239" i="7"/>
  <c r="C1238" i="7"/>
  <c r="A1238" i="7"/>
  <c r="C1237" i="7"/>
  <c r="A1237" i="7"/>
  <c r="C1269" i="7"/>
  <c r="A1269" i="7"/>
  <c r="C1236" i="7"/>
  <c r="A1236" i="7"/>
  <c r="C1265" i="7"/>
  <c r="A1265" i="7"/>
  <c r="C758" i="7"/>
  <c r="A758" i="7"/>
  <c r="C115" i="7"/>
  <c r="A115" i="7"/>
  <c r="C113" i="7"/>
  <c r="A113" i="7"/>
  <c r="C112" i="7"/>
  <c r="A112" i="7"/>
  <c r="C114" i="7"/>
  <c r="A114" i="7"/>
  <c r="C106" i="7"/>
  <c r="A106" i="7"/>
  <c r="C111" i="7"/>
  <c r="A111" i="7"/>
  <c r="C110" i="7"/>
  <c r="A110" i="7"/>
  <c r="C109" i="7"/>
  <c r="A109" i="7"/>
  <c r="C105" i="7"/>
  <c r="A105" i="7"/>
  <c r="C108" i="7"/>
  <c r="A108" i="7"/>
  <c r="C104" i="7"/>
  <c r="A104" i="7"/>
  <c r="C107" i="7"/>
  <c r="A107" i="7"/>
  <c r="C103" i="7"/>
  <c r="A103" i="7"/>
  <c r="C591" i="7"/>
  <c r="A591" i="7"/>
  <c r="C1235" i="7"/>
  <c r="A1235" i="7"/>
  <c r="C590" i="7"/>
  <c r="A590" i="7"/>
  <c r="C586" i="7"/>
  <c r="A586" i="7"/>
  <c r="C589" i="7"/>
  <c r="A589" i="7"/>
  <c r="C588" i="7"/>
  <c r="A588" i="7"/>
  <c r="C587" i="7"/>
  <c r="A587" i="7"/>
  <c r="C585" i="7"/>
  <c r="A585" i="7"/>
  <c r="C34" i="7"/>
  <c r="A34" i="7"/>
  <c r="C37" i="7"/>
  <c r="A37" i="7"/>
  <c r="C32" i="7"/>
  <c r="A32" i="7"/>
  <c r="C30" i="7"/>
  <c r="A30" i="7"/>
  <c r="C36" i="7"/>
  <c r="A36" i="7"/>
  <c r="C1260" i="7"/>
  <c r="A1260" i="7"/>
  <c r="C29" i="7"/>
  <c r="A29" i="7"/>
  <c r="C35" i="7"/>
  <c r="A35" i="7"/>
  <c r="C38" i="7"/>
  <c r="A38" i="7"/>
  <c r="C31" i="7"/>
  <c r="A31" i="7"/>
  <c r="C28" i="7"/>
  <c r="A28" i="7"/>
  <c r="C33" i="7"/>
  <c r="A33" i="7"/>
  <c r="C27" i="7"/>
  <c r="A27" i="7"/>
  <c r="C1234" i="7"/>
  <c r="A1234" i="7"/>
  <c r="C26" i="7"/>
  <c r="A26" i="7"/>
  <c r="C25" i="7"/>
  <c r="A25" i="7"/>
  <c r="C140" i="7"/>
  <c r="A140" i="7"/>
  <c r="C131" i="7"/>
  <c r="A131" i="7"/>
  <c r="C1498" i="7"/>
  <c r="A1498" i="7"/>
  <c r="C158" i="7"/>
  <c r="A158" i="7"/>
  <c r="C126" i="7"/>
  <c r="A126" i="7"/>
  <c r="C124" i="7"/>
  <c r="A124" i="7"/>
  <c r="C157" i="7"/>
  <c r="A157" i="7"/>
  <c r="C135" i="7"/>
  <c r="A135" i="7"/>
  <c r="C130" i="7"/>
  <c r="A130" i="7"/>
  <c r="C123" i="7"/>
  <c r="A123" i="7"/>
  <c r="C122" i="7"/>
  <c r="A122" i="7"/>
  <c r="C139" i="7"/>
  <c r="A139" i="7"/>
  <c r="C134" i="7"/>
  <c r="A134" i="7"/>
  <c r="C156" i="7"/>
  <c r="A156" i="7"/>
  <c r="C129" i="7"/>
  <c r="A129" i="7"/>
  <c r="C155" i="7"/>
  <c r="A155" i="7"/>
  <c r="C142" i="7"/>
  <c r="A142" i="7"/>
  <c r="C133" i="7"/>
  <c r="A133" i="7"/>
  <c r="C132" i="7"/>
  <c r="A132" i="7"/>
  <c r="C154" i="7"/>
  <c r="A154" i="7"/>
  <c r="C153" i="7"/>
  <c r="A153" i="7"/>
  <c r="C1268" i="7"/>
  <c r="A1268" i="7"/>
  <c r="C1233" i="7"/>
  <c r="A1233" i="7"/>
  <c r="C1267" i="7"/>
  <c r="A1267" i="7"/>
  <c r="C1232" i="7"/>
  <c r="A1232" i="7"/>
  <c r="C1231" i="7"/>
  <c r="A1231" i="7"/>
  <c r="C136" i="7"/>
  <c r="A136" i="7"/>
  <c r="C152" i="7"/>
  <c r="A152" i="7"/>
  <c r="C121" i="7"/>
  <c r="A121" i="7"/>
  <c r="C151" i="7"/>
  <c r="A151" i="7"/>
  <c r="C161" i="7"/>
  <c r="A161" i="7"/>
  <c r="C141" i="7"/>
  <c r="A141" i="7"/>
  <c r="C128" i="7"/>
  <c r="A128" i="7"/>
  <c r="C150" i="7"/>
  <c r="A150" i="7"/>
  <c r="C137" i="7"/>
  <c r="A137" i="7"/>
  <c r="C58" i="7"/>
  <c r="A58" i="7"/>
  <c r="C120" i="7"/>
  <c r="A120" i="7"/>
  <c r="C149" i="7"/>
  <c r="A149" i="7"/>
  <c r="C138" i="7"/>
  <c r="A138" i="7"/>
  <c r="C119" i="7"/>
  <c r="A119" i="7"/>
  <c r="C148" i="7"/>
  <c r="A148" i="7"/>
  <c r="C147" i="7"/>
  <c r="A147" i="7"/>
  <c r="C146" i="7"/>
  <c r="A146" i="7"/>
  <c r="C125" i="7"/>
  <c r="A125" i="7"/>
  <c r="C127" i="7"/>
  <c r="A127" i="7"/>
  <c r="C145" i="7"/>
  <c r="A145" i="7"/>
  <c r="C143" i="7"/>
  <c r="A143" i="7"/>
  <c r="C708" i="7"/>
  <c r="A708" i="7"/>
  <c r="C144" i="7"/>
  <c r="A144" i="7"/>
  <c r="C118" i="7"/>
  <c r="A118" i="7"/>
  <c r="C395" i="7"/>
  <c r="A395" i="7"/>
  <c r="C117" i="7"/>
  <c r="A117" i="7"/>
  <c r="C163" i="7"/>
  <c r="A163" i="7"/>
  <c r="C162" i="7"/>
  <c r="A162" i="7"/>
  <c r="C160" i="7"/>
  <c r="A160" i="7"/>
  <c r="C159" i="7"/>
  <c r="A159" i="7"/>
  <c r="C116" i="7"/>
  <c r="A116" i="7"/>
  <c r="C454" i="7"/>
  <c r="A454" i="7"/>
  <c r="C453" i="7"/>
  <c r="A453" i="7"/>
  <c r="C451" i="7"/>
  <c r="A451" i="7"/>
  <c r="C450" i="7"/>
  <c r="A450" i="7"/>
  <c r="C449" i="7"/>
  <c r="A449" i="7"/>
  <c r="C452" i="7"/>
  <c r="A452" i="7"/>
  <c r="C448" i="7"/>
  <c r="A448" i="7"/>
  <c r="C546" i="7"/>
  <c r="A546" i="7"/>
  <c r="C545" i="7"/>
  <c r="A545" i="7"/>
  <c r="C544" i="7"/>
  <c r="A544" i="7"/>
  <c r="C548" i="7"/>
  <c r="A548" i="7"/>
  <c r="C543" i="7"/>
  <c r="A543" i="7"/>
  <c r="C542" i="7"/>
  <c r="A542" i="7"/>
  <c r="C547" i="7"/>
  <c r="A547" i="7"/>
  <c r="C541" i="7"/>
  <c r="A541" i="7"/>
  <c r="C540" i="7"/>
  <c r="A540" i="7"/>
  <c r="C539" i="7"/>
  <c r="A539" i="7"/>
  <c r="C1456" i="7"/>
  <c r="A1456" i="7"/>
  <c r="C538" i="7"/>
  <c r="A538" i="7"/>
  <c r="C537" i="7"/>
  <c r="A537" i="7"/>
  <c r="C536" i="7"/>
  <c r="A536" i="7"/>
  <c r="C535" i="7"/>
  <c r="A535" i="7"/>
  <c r="C534" i="7"/>
  <c r="A534" i="7"/>
  <c r="C533" i="7"/>
  <c r="A533" i="7"/>
  <c r="C532" i="7"/>
  <c r="A532" i="7"/>
  <c r="C1600" i="7"/>
  <c r="A1600" i="7"/>
  <c r="C1602" i="7"/>
  <c r="A1602" i="7"/>
  <c r="C1598" i="7"/>
  <c r="A1598" i="7"/>
  <c r="C1596" i="7"/>
  <c r="A1596" i="7"/>
  <c r="C1595" i="7"/>
  <c r="A1595" i="7"/>
  <c r="C1590" i="7"/>
  <c r="A1590" i="7"/>
  <c r="C1589" i="7"/>
  <c r="A1589" i="7"/>
  <c r="C1588" i="7"/>
  <c r="A1588" i="7"/>
  <c r="C1587" i="7"/>
  <c r="A1587" i="7"/>
  <c r="C1586" i="7"/>
  <c r="A1586" i="7"/>
  <c r="C1585" i="7"/>
  <c r="A1585" i="7"/>
  <c r="C1584" i="7"/>
  <c r="A1584" i="7"/>
  <c r="C1583" i="7"/>
  <c r="A1583" i="7"/>
  <c r="C1581" i="7"/>
  <c r="A1581" i="7"/>
  <c r="C1597" i="7"/>
  <c r="A1597" i="7"/>
  <c r="C1580" i="7"/>
  <c r="A1580" i="7"/>
  <c r="C1593" i="7"/>
  <c r="A1593" i="7"/>
  <c r="C1579" i="7"/>
  <c r="A1579" i="7"/>
  <c r="C1578" i="7"/>
  <c r="A1578" i="7"/>
  <c r="C1577" i="7"/>
  <c r="A1577" i="7"/>
  <c r="C1594" i="7"/>
  <c r="A1594" i="7"/>
  <c r="C1576" i="7"/>
  <c r="A1576" i="7"/>
  <c r="C1575" i="7"/>
  <c r="A1575" i="7"/>
  <c r="C1574" i="7"/>
  <c r="A1574" i="7"/>
  <c r="C1573" i="7"/>
  <c r="A1573" i="7"/>
  <c r="C1572" i="7"/>
  <c r="A1572" i="7"/>
  <c r="C1571" i="7"/>
  <c r="A1571" i="7"/>
  <c r="C1592" i="7"/>
  <c r="A1592" i="7"/>
  <c r="C1570" i="7"/>
  <c r="A1570" i="7"/>
  <c r="C1569" i="7"/>
  <c r="A1569" i="7"/>
  <c r="C1582" i="7"/>
  <c r="A1582" i="7"/>
  <c r="C1568" i="7"/>
  <c r="A1568" i="7"/>
  <c r="C1230" i="7"/>
  <c r="A1230" i="7"/>
  <c r="C1601" i="7"/>
  <c r="A1601" i="7"/>
  <c r="C1567" i="7"/>
  <c r="A1567" i="7"/>
  <c r="C669" i="7"/>
  <c r="A669" i="7"/>
  <c r="C663" i="7"/>
  <c r="A663" i="7"/>
  <c r="C662" i="7"/>
  <c r="A662" i="7"/>
  <c r="C668" i="7"/>
  <c r="A668" i="7"/>
  <c r="C667" i="7"/>
  <c r="A667" i="7"/>
  <c r="C666" i="7"/>
  <c r="A666" i="7"/>
  <c r="C1266" i="7"/>
  <c r="A1266" i="7"/>
  <c r="C665" i="7"/>
  <c r="A665" i="7"/>
  <c r="C664" i="7"/>
  <c r="A664" i="7"/>
  <c r="C670" i="7"/>
  <c r="A670" i="7"/>
  <c r="C661" i="7"/>
  <c r="A661" i="7"/>
  <c r="C447" i="7"/>
  <c r="A447" i="7"/>
  <c r="C440" i="7"/>
  <c r="A440" i="7"/>
  <c r="C439" i="7"/>
  <c r="A439" i="7"/>
  <c r="C438" i="7"/>
  <c r="A438" i="7"/>
  <c r="C436" i="7"/>
  <c r="A436" i="7"/>
  <c r="C419" i="7"/>
  <c r="A419" i="7"/>
  <c r="C435" i="7"/>
  <c r="A435" i="7"/>
  <c r="C434" i="7"/>
  <c r="A434" i="7"/>
  <c r="C431" i="7"/>
  <c r="A431" i="7"/>
  <c r="C1259" i="7"/>
  <c r="A1259" i="7"/>
  <c r="C1229" i="7"/>
  <c r="A1229" i="7"/>
  <c r="C432" i="7"/>
  <c r="A432" i="7"/>
  <c r="C423" i="7"/>
  <c r="A423" i="7"/>
  <c r="C446" i="7"/>
  <c r="A446" i="7"/>
  <c r="C430" i="7"/>
  <c r="A430" i="7"/>
  <c r="C429" i="7"/>
  <c r="A429" i="7"/>
  <c r="C1258" i="7"/>
  <c r="A1258" i="7"/>
  <c r="C422" i="7"/>
  <c r="A422" i="7"/>
  <c r="C445" i="7"/>
  <c r="A445" i="7"/>
  <c r="C428" i="7"/>
  <c r="A428" i="7"/>
  <c r="C421" i="7"/>
  <c r="A421" i="7"/>
  <c r="C1228" i="7"/>
  <c r="A1228" i="7"/>
  <c r="C420" i="7"/>
  <c r="A420" i="7"/>
  <c r="C444" i="7"/>
  <c r="A444" i="7"/>
  <c r="C427" i="7"/>
  <c r="A427" i="7"/>
  <c r="C426" i="7"/>
  <c r="A426" i="7"/>
  <c r="C424" i="7"/>
  <c r="A424" i="7"/>
  <c r="C418" i="7"/>
  <c r="A418" i="7"/>
  <c r="C1227" i="7"/>
  <c r="A1227" i="7"/>
  <c r="C1257" i="7"/>
  <c r="A1257" i="7"/>
  <c r="C1256" i="7"/>
  <c r="A1256" i="7"/>
  <c r="C1226" i="7"/>
  <c r="A1226" i="7"/>
  <c r="C1255" i="7"/>
  <c r="A1255" i="7"/>
  <c r="C1225" i="7"/>
  <c r="A1225" i="7"/>
  <c r="C1224" i="7"/>
  <c r="A1224" i="7"/>
  <c r="C482" i="7"/>
  <c r="A482" i="7"/>
  <c r="C433" i="7"/>
  <c r="A433" i="7"/>
  <c r="C425" i="7"/>
  <c r="A425" i="7"/>
  <c r="C1245" i="7"/>
  <c r="A1245" i="7"/>
  <c r="C443" i="7"/>
  <c r="A443" i="7"/>
  <c r="C442" i="7"/>
  <c r="A442" i="7"/>
  <c r="C437" i="7"/>
  <c r="A437" i="7"/>
  <c r="C441" i="7"/>
  <c r="A441" i="7"/>
  <c r="C1254" i="7"/>
  <c r="A1254" i="7"/>
  <c r="C1253" i="7"/>
  <c r="A1253" i="7"/>
  <c r="C1252" i="7"/>
  <c r="A1252" i="7"/>
  <c r="C1251" i="7"/>
  <c r="A1251" i="7"/>
  <c r="C1250" i="7"/>
  <c r="A1250" i="7"/>
  <c r="C1249" i="7"/>
  <c r="A1249" i="7"/>
  <c r="C1248" i="7"/>
  <c r="A1248" i="7"/>
  <c r="C1247" i="7"/>
  <c r="A1247" i="7"/>
  <c r="C417" i="7"/>
  <c r="A417" i="7"/>
  <c r="C502" i="7"/>
  <c r="A502" i="7"/>
  <c r="C505" i="7"/>
  <c r="A505" i="7"/>
  <c r="C500" i="7"/>
  <c r="A500" i="7"/>
  <c r="C499" i="7"/>
  <c r="A499" i="7"/>
  <c r="C498" i="7"/>
  <c r="A498" i="7"/>
  <c r="C497" i="7"/>
  <c r="A497" i="7"/>
  <c r="C496" i="7"/>
  <c r="A496" i="7"/>
  <c r="C504" i="7"/>
  <c r="A504" i="7"/>
  <c r="C680" i="7"/>
  <c r="A680" i="7"/>
  <c r="C503" i="7"/>
  <c r="A503" i="7"/>
  <c r="C495" i="7"/>
  <c r="A495" i="7"/>
  <c r="C494" i="7"/>
  <c r="A494" i="7"/>
  <c r="C501" i="7"/>
  <c r="A501" i="7"/>
  <c r="C493" i="7"/>
  <c r="A493" i="7"/>
  <c r="C1223" i="7"/>
  <c r="A1223" i="7"/>
  <c r="C1222" i="7"/>
  <c r="A1222" i="7"/>
  <c r="C1221" i="7"/>
  <c r="A1221" i="7"/>
  <c r="C405" i="7"/>
  <c r="A405" i="7"/>
  <c r="C492" i="7"/>
  <c r="A492" i="7"/>
  <c r="C1220" i="7"/>
  <c r="A1220" i="7"/>
  <c r="C794" i="7"/>
  <c r="A794" i="7"/>
  <c r="C491" i="7"/>
  <c r="A491" i="7"/>
  <c r="C1591" i="7"/>
  <c r="A1591" i="7"/>
  <c r="C1599" i="7"/>
  <c r="A1599" i="7"/>
  <c r="C1219" i="7"/>
  <c r="A1219" i="7"/>
  <c r="C384" i="7"/>
  <c r="A384" i="7"/>
  <c r="C1534" i="7"/>
  <c r="A1534" i="7"/>
  <c r="C1504" i="7"/>
  <c r="A1504" i="7"/>
  <c r="C1218" i="7"/>
  <c r="A1218" i="7"/>
  <c r="C1217" i="7"/>
  <c r="A1217" i="7"/>
  <c r="C1216" i="7"/>
  <c r="A1216" i="7"/>
  <c r="C1215" i="7"/>
  <c r="A1215" i="7"/>
  <c r="C1214" i="7"/>
  <c r="A1214" i="7"/>
  <c r="C1213" i="7"/>
  <c r="A1213" i="7"/>
  <c r="C393" i="7"/>
  <c r="A393" i="7"/>
  <c r="C388" i="7"/>
  <c r="A388" i="7"/>
  <c r="C383" i="7"/>
  <c r="A383" i="7"/>
  <c r="C382" i="7"/>
  <c r="A382" i="7"/>
  <c r="C1212" i="7"/>
  <c r="A1212" i="7"/>
  <c r="C394" i="7"/>
  <c r="A394" i="7"/>
  <c r="C381" i="7"/>
  <c r="A381" i="7"/>
  <c r="C387" i="7"/>
  <c r="A387" i="7"/>
  <c r="C385" i="7"/>
  <c r="A385" i="7"/>
  <c r="C380" i="7"/>
  <c r="A380" i="7"/>
  <c r="C379" i="7"/>
  <c r="A379" i="7"/>
  <c r="C377" i="7"/>
  <c r="A377" i="7"/>
  <c r="C390" i="7"/>
  <c r="A390" i="7"/>
  <c r="C1211" i="7"/>
  <c r="A1211" i="7"/>
  <c r="C392" i="7"/>
  <c r="A392" i="7"/>
  <c r="C378" i="7"/>
  <c r="A378" i="7"/>
  <c r="C1210" i="7"/>
  <c r="A1210" i="7"/>
  <c r="C1209" i="7"/>
  <c r="A1209" i="7"/>
  <c r="C1208" i="7"/>
  <c r="A1208" i="7"/>
  <c r="C386" i="7"/>
  <c r="A386" i="7"/>
  <c r="C391" i="7"/>
  <c r="A391" i="7"/>
  <c r="C1206" i="7"/>
  <c r="A1206" i="7"/>
  <c r="C1207" i="7"/>
  <c r="A1207" i="7"/>
  <c r="C1205" i="7"/>
  <c r="A1205" i="7"/>
  <c r="C1204" i="7"/>
  <c r="A1204" i="7"/>
  <c r="C1203" i="7"/>
  <c r="A1203" i="7"/>
  <c r="C1202" i="7"/>
  <c r="A1202" i="7"/>
  <c r="C1201" i="7"/>
  <c r="A1201" i="7"/>
  <c r="C389" i="7"/>
  <c r="A389" i="7"/>
  <c r="C43" i="7"/>
  <c r="A43" i="7"/>
  <c r="C42" i="7"/>
  <c r="A42" i="7"/>
  <c r="C41" i="7"/>
  <c r="A41" i="7"/>
  <c r="C40" i="7"/>
  <c r="A40" i="7"/>
  <c r="C39" i="7"/>
  <c r="A39" i="7"/>
  <c r="C705" i="7"/>
  <c r="A705" i="7"/>
  <c r="C706" i="7"/>
  <c r="A706" i="7"/>
  <c r="C704" i="7"/>
  <c r="A704" i="7"/>
  <c r="C703" i="7"/>
  <c r="A703" i="7"/>
  <c r="C707" i="7"/>
  <c r="A707" i="7"/>
  <c r="C702" i="7"/>
  <c r="A702" i="7"/>
  <c r="C606" i="7"/>
  <c r="A606" i="7"/>
  <c r="C605" i="7"/>
  <c r="A605" i="7"/>
  <c r="C599" i="7"/>
  <c r="A599" i="7"/>
  <c r="C1200" i="7"/>
  <c r="A1200" i="7"/>
  <c r="C604" i="7"/>
  <c r="A604" i="7"/>
  <c r="C598" i="7"/>
  <c r="A598" i="7"/>
  <c r="C600" i="7"/>
  <c r="A600" i="7"/>
  <c r="C1199" i="7"/>
  <c r="A1199" i="7"/>
  <c r="C597" i="7"/>
  <c r="A597" i="7"/>
  <c r="C596" i="7"/>
  <c r="A596" i="7"/>
  <c r="C595" i="7"/>
  <c r="A595" i="7"/>
  <c r="C603" i="7"/>
  <c r="A603" i="7"/>
  <c r="C1198" i="7"/>
  <c r="A1198" i="7"/>
  <c r="C1197" i="7"/>
  <c r="A1197" i="7"/>
  <c r="C1196" i="7"/>
  <c r="A1196" i="7"/>
  <c r="C1195" i="7"/>
  <c r="A1195" i="7"/>
  <c r="C1194" i="7"/>
  <c r="A1194" i="7"/>
  <c r="C1193" i="7"/>
  <c r="A1193" i="7"/>
  <c r="C1192" i="7"/>
  <c r="A1192" i="7"/>
  <c r="C1191" i="7"/>
  <c r="A1191" i="7"/>
  <c r="C602" i="7"/>
  <c r="A602" i="7"/>
  <c r="C601" i="7"/>
  <c r="A601" i="7"/>
  <c r="C594" i="7"/>
  <c r="A594" i="7"/>
  <c r="C1190" i="7"/>
  <c r="A1190" i="7"/>
  <c r="C1189" i="7"/>
  <c r="A1189" i="7"/>
  <c r="C593" i="7"/>
  <c r="A593" i="7"/>
  <c r="C1306" i="7"/>
  <c r="A1306" i="7"/>
  <c r="C1305" i="7"/>
  <c r="A1305" i="7"/>
  <c r="C681" i="7"/>
  <c r="A681" i="7"/>
  <c r="C682" i="7"/>
  <c r="A682" i="7"/>
  <c r="C1188" i="7"/>
  <c r="A1188" i="7"/>
  <c r="C701" i="7"/>
  <c r="A701" i="7"/>
  <c r="C696" i="7"/>
  <c r="A696" i="7"/>
  <c r="C699" i="7"/>
  <c r="A699" i="7"/>
  <c r="C1178" i="7"/>
  <c r="A1178" i="7"/>
  <c r="C1167" i="7"/>
  <c r="A1167" i="7"/>
  <c r="C691" i="7"/>
  <c r="A691" i="7"/>
  <c r="C690" i="7"/>
  <c r="A690" i="7"/>
  <c r="C687" i="7"/>
  <c r="A687" i="7"/>
  <c r="C1156" i="7"/>
  <c r="A1156" i="7"/>
  <c r="C1145" i="7"/>
  <c r="A1145" i="7"/>
  <c r="C1134" i="7"/>
  <c r="A1134" i="7"/>
  <c r="C1123" i="7"/>
  <c r="A1123" i="7"/>
  <c r="C1112" i="7"/>
  <c r="A1112" i="7"/>
  <c r="C1101" i="7"/>
  <c r="A1101" i="7"/>
  <c r="C1090" i="7"/>
  <c r="A1090" i="7"/>
  <c r="C1079" i="7"/>
  <c r="A1079" i="7"/>
  <c r="C1068" i="7"/>
  <c r="A1068" i="7"/>
  <c r="C1057" i="7"/>
  <c r="A1057" i="7"/>
  <c r="C1046" i="7"/>
  <c r="A1046" i="7"/>
  <c r="C1035" i="7"/>
  <c r="A1035" i="7"/>
  <c r="C1024" i="7"/>
  <c r="A1024" i="7"/>
  <c r="C1013" i="7"/>
  <c r="A1013" i="7"/>
  <c r="C1002" i="7"/>
  <c r="A1002" i="7"/>
  <c r="C991" i="7"/>
  <c r="A991" i="7"/>
  <c r="C980" i="7"/>
  <c r="A980" i="7"/>
  <c r="C969" i="7"/>
  <c r="A969" i="7"/>
  <c r="C958" i="7"/>
  <c r="A958" i="7"/>
  <c r="C947" i="7"/>
  <c r="A947" i="7"/>
  <c r="C936" i="7"/>
  <c r="A936" i="7"/>
  <c r="C925" i="7"/>
  <c r="A925" i="7"/>
  <c r="C914" i="7"/>
  <c r="A914" i="7"/>
  <c r="C903" i="7"/>
  <c r="A903" i="7"/>
  <c r="C892" i="7"/>
  <c r="A892" i="7"/>
  <c r="C881" i="7"/>
  <c r="A881" i="7"/>
  <c r="C1503" i="7"/>
  <c r="A1503" i="7"/>
  <c r="C673" i="7"/>
  <c r="A673" i="7"/>
  <c r="C694" i="7"/>
  <c r="A694" i="7"/>
  <c r="C695" i="7"/>
  <c r="A695" i="7"/>
  <c r="C700" i="7"/>
  <c r="A700" i="7"/>
  <c r="C697" i="7"/>
  <c r="A697" i="7"/>
  <c r="C870" i="7"/>
  <c r="A870" i="7"/>
  <c r="C1502" i="7"/>
  <c r="A1502" i="7"/>
  <c r="C859" i="7"/>
  <c r="A859" i="7"/>
  <c r="C848" i="7"/>
  <c r="A848" i="7"/>
  <c r="C692" i="7"/>
  <c r="A692" i="7"/>
  <c r="C693" i="7"/>
  <c r="A693" i="7"/>
  <c r="C686" i="7"/>
  <c r="A686" i="7"/>
  <c r="C689" i="7"/>
  <c r="A689" i="7"/>
  <c r="C685" i="7"/>
  <c r="A685" i="7"/>
  <c r="C684" i="7"/>
  <c r="A684" i="7"/>
  <c r="C837" i="7"/>
  <c r="A837" i="7"/>
  <c r="C1501" i="7"/>
  <c r="A1501" i="7"/>
  <c r="C826" i="7"/>
  <c r="A826" i="7"/>
  <c r="C688" i="7"/>
  <c r="A688" i="7"/>
  <c r="C815" i="7"/>
  <c r="A815" i="7"/>
  <c r="C804" i="7"/>
  <c r="A804" i="7"/>
  <c r="C803" i="7"/>
  <c r="A803" i="7"/>
  <c r="C802" i="7"/>
  <c r="A802" i="7"/>
  <c r="C801" i="7"/>
  <c r="A801" i="7"/>
  <c r="C1500" i="7"/>
  <c r="A1500" i="7"/>
  <c r="C800" i="7"/>
  <c r="A800" i="7"/>
  <c r="C799" i="7"/>
  <c r="A799" i="7"/>
  <c r="C798" i="7"/>
  <c r="A798" i="7"/>
  <c r="C797" i="7"/>
  <c r="A797" i="7"/>
  <c r="C796" i="7"/>
  <c r="A796" i="7"/>
  <c r="C795" i="7"/>
  <c r="A795" i="7"/>
  <c r="C698" i="7"/>
  <c r="A698" i="7"/>
  <c r="H1659" i="6" l="1"/>
  <c r="H1659" i="5"/>
  <c r="C393" i="6"/>
  <c r="A393" i="6"/>
  <c r="C392" i="6"/>
  <c r="A392" i="6"/>
  <c r="C396" i="6"/>
  <c r="A396" i="6"/>
  <c r="C1177" i="6"/>
  <c r="A1177" i="6"/>
  <c r="C394" i="6"/>
  <c r="A394" i="6"/>
  <c r="C401" i="6"/>
  <c r="A401" i="6"/>
  <c r="C395" i="6"/>
  <c r="A395" i="6"/>
  <c r="C402" i="6"/>
  <c r="A402" i="6"/>
  <c r="C391" i="6"/>
  <c r="A391" i="6"/>
  <c r="C457" i="6"/>
  <c r="A457" i="6"/>
  <c r="C1176" i="6"/>
  <c r="A1176" i="6"/>
  <c r="C456" i="6"/>
  <c r="A456" i="6"/>
  <c r="C1175" i="6"/>
  <c r="A1175" i="6"/>
  <c r="C1174" i="6"/>
  <c r="A1174" i="6"/>
  <c r="C455" i="6"/>
  <c r="A455" i="6"/>
  <c r="C454" i="6"/>
  <c r="A454" i="6"/>
  <c r="C453" i="6"/>
  <c r="A453" i="6"/>
  <c r="C1173" i="6"/>
  <c r="A1173" i="6"/>
  <c r="C452" i="6"/>
  <c r="A452" i="6"/>
  <c r="C79" i="6"/>
  <c r="A79" i="6"/>
  <c r="C75" i="6"/>
  <c r="A75" i="6"/>
  <c r="C72" i="6"/>
  <c r="A72" i="6"/>
  <c r="C61" i="6"/>
  <c r="A61" i="6"/>
  <c r="C73" i="6"/>
  <c r="A73" i="6"/>
  <c r="C68" i="6"/>
  <c r="A68" i="6"/>
  <c r="C76" i="6"/>
  <c r="A76" i="6"/>
  <c r="C78" i="6"/>
  <c r="A78" i="6"/>
  <c r="C67" i="6"/>
  <c r="A67" i="6"/>
  <c r="C66" i="6"/>
  <c r="A66" i="6"/>
  <c r="C69" i="6"/>
  <c r="A69" i="6"/>
  <c r="C65" i="6"/>
  <c r="A65" i="6"/>
  <c r="C71" i="6"/>
  <c r="A71" i="6"/>
  <c r="C64" i="6"/>
  <c r="A64" i="6"/>
  <c r="C77" i="6"/>
  <c r="A77" i="6"/>
  <c r="C63" i="6"/>
  <c r="A63" i="6"/>
  <c r="C62" i="6"/>
  <c r="A62" i="6"/>
  <c r="C70" i="6"/>
  <c r="A70" i="6"/>
  <c r="C60" i="6"/>
  <c r="A60" i="6"/>
  <c r="C1172" i="6"/>
  <c r="A1172" i="6"/>
  <c r="C59" i="6"/>
  <c r="A59" i="6"/>
  <c r="C1572" i="6"/>
  <c r="A1572" i="6"/>
  <c r="C1571" i="6"/>
  <c r="A1571" i="6"/>
  <c r="C1570" i="6"/>
  <c r="A1570" i="6"/>
  <c r="C1569" i="6"/>
  <c r="A1569" i="6"/>
  <c r="C1568" i="6"/>
  <c r="A1568" i="6"/>
  <c r="C1567" i="6"/>
  <c r="A1567" i="6"/>
  <c r="C1566" i="6"/>
  <c r="A1566" i="6"/>
  <c r="C1565" i="6"/>
  <c r="A1565" i="6"/>
  <c r="C1564" i="6"/>
  <c r="A1564" i="6"/>
  <c r="C1563" i="6"/>
  <c r="A1563" i="6"/>
  <c r="C1562" i="6"/>
  <c r="A1562" i="6"/>
  <c r="C1561" i="6"/>
  <c r="A1561" i="6"/>
  <c r="C653" i="6"/>
  <c r="A653" i="6"/>
  <c r="C652" i="6"/>
  <c r="A652" i="6"/>
  <c r="C626" i="6"/>
  <c r="A626" i="6"/>
  <c r="C627" i="6"/>
  <c r="A627" i="6"/>
  <c r="C625" i="6"/>
  <c r="A625" i="6"/>
  <c r="C619" i="6"/>
  <c r="A619" i="6"/>
  <c r="C651" i="6"/>
  <c r="A651" i="6"/>
  <c r="C613" i="6"/>
  <c r="A613" i="6"/>
  <c r="C611" i="6"/>
  <c r="A611" i="6"/>
  <c r="C615" i="6"/>
  <c r="A615" i="6"/>
  <c r="C650" i="6"/>
  <c r="A650" i="6"/>
  <c r="C649" i="6"/>
  <c r="A649" i="6"/>
  <c r="C648" i="6"/>
  <c r="A648" i="6"/>
  <c r="C624" i="6"/>
  <c r="A624" i="6"/>
  <c r="C647" i="6"/>
  <c r="A647" i="6"/>
  <c r="C617" i="6"/>
  <c r="A617" i="6"/>
  <c r="C646" i="6"/>
  <c r="A646" i="6"/>
  <c r="C1271" i="6"/>
  <c r="A1271" i="6"/>
  <c r="C645" i="6"/>
  <c r="A645" i="6"/>
  <c r="C644" i="6"/>
  <c r="A644" i="6"/>
  <c r="C643" i="6"/>
  <c r="A643" i="6"/>
  <c r="C642" i="6"/>
  <c r="A642" i="6"/>
  <c r="C641" i="6"/>
  <c r="A641" i="6"/>
  <c r="C640" i="6"/>
  <c r="A640" i="6"/>
  <c r="C639" i="6"/>
  <c r="A639" i="6"/>
  <c r="C620" i="6"/>
  <c r="A620" i="6"/>
  <c r="C623" i="6"/>
  <c r="A623" i="6"/>
  <c r="C638" i="6"/>
  <c r="A638" i="6"/>
  <c r="C637" i="6"/>
  <c r="A637" i="6"/>
  <c r="C636" i="6"/>
  <c r="A636" i="6"/>
  <c r="C616" i="6"/>
  <c r="A616" i="6"/>
  <c r="C635" i="6"/>
  <c r="A635" i="6"/>
  <c r="C621" i="6"/>
  <c r="A621" i="6"/>
  <c r="C634" i="6"/>
  <c r="A634" i="6"/>
  <c r="C633" i="6"/>
  <c r="A633" i="6"/>
  <c r="C614" i="6"/>
  <c r="A614" i="6"/>
  <c r="C632" i="6"/>
  <c r="A632" i="6"/>
  <c r="C612" i="6"/>
  <c r="A612" i="6"/>
  <c r="C631" i="6"/>
  <c r="A631" i="6"/>
  <c r="C618" i="6"/>
  <c r="A618" i="6"/>
  <c r="C630" i="6"/>
  <c r="A630" i="6"/>
  <c r="C1171" i="6"/>
  <c r="A1171" i="6"/>
  <c r="C629" i="6"/>
  <c r="A629" i="6"/>
  <c r="C1170" i="6"/>
  <c r="A1170" i="6"/>
  <c r="C622" i="6"/>
  <c r="A622" i="6"/>
  <c r="C628" i="6"/>
  <c r="A628" i="6"/>
  <c r="C1169" i="6"/>
  <c r="A1169" i="6"/>
  <c r="C654" i="6"/>
  <c r="A654" i="6"/>
  <c r="C655" i="6"/>
  <c r="A655" i="6"/>
  <c r="C656" i="6"/>
  <c r="A656" i="6"/>
  <c r="C610" i="6"/>
  <c r="A610" i="6"/>
  <c r="C89" i="6"/>
  <c r="A89" i="6"/>
  <c r="C88" i="6"/>
  <c r="A88" i="6"/>
  <c r="C87" i="6"/>
  <c r="A87" i="6"/>
  <c r="C86" i="6"/>
  <c r="A86" i="6"/>
  <c r="C85" i="6"/>
  <c r="A85" i="6"/>
  <c r="C84" i="6"/>
  <c r="A84" i="6"/>
  <c r="C83" i="6"/>
  <c r="A83" i="6"/>
  <c r="C82" i="6"/>
  <c r="A82" i="6"/>
  <c r="C81" i="6"/>
  <c r="A81" i="6"/>
  <c r="C80" i="6"/>
  <c r="A80" i="6"/>
  <c r="C57" i="6"/>
  <c r="A57" i="6"/>
  <c r="C56" i="6"/>
  <c r="A56" i="6"/>
  <c r="C50" i="6"/>
  <c r="A50" i="6"/>
  <c r="C49" i="6"/>
  <c r="A49" i="6"/>
  <c r="C52" i="6"/>
  <c r="A52" i="6"/>
  <c r="C55" i="6"/>
  <c r="A55" i="6"/>
  <c r="C54" i="6"/>
  <c r="A54" i="6"/>
  <c r="C51" i="6"/>
  <c r="A51" i="6"/>
  <c r="C53" i="6"/>
  <c r="A53" i="6"/>
  <c r="C48" i="6"/>
  <c r="A48" i="6"/>
  <c r="C47" i="6"/>
  <c r="A47" i="6"/>
  <c r="C46" i="6"/>
  <c r="A46" i="6"/>
  <c r="C45" i="6"/>
  <c r="A45" i="6"/>
  <c r="C44" i="6"/>
  <c r="A44" i="6"/>
  <c r="C1167" i="6"/>
  <c r="A1167" i="6"/>
  <c r="C516" i="6"/>
  <c r="A516" i="6"/>
  <c r="C506" i="6"/>
  <c r="A506" i="6"/>
  <c r="C1166" i="6"/>
  <c r="A1166" i="6"/>
  <c r="C515" i="6"/>
  <c r="A515" i="6"/>
  <c r="C505" i="6"/>
  <c r="A505" i="6"/>
  <c r="C514" i="6"/>
  <c r="A514" i="6"/>
  <c r="C1165" i="6"/>
  <c r="A1165" i="6"/>
  <c r="C513" i="6"/>
  <c r="A513" i="6"/>
  <c r="C1186" i="6"/>
  <c r="A1186" i="6"/>
  <c r="C512" i="6"/>
  <c r="A512" i="6"/>
  <c r="C1539" i="6"/>
  <c r="A1539" i="6"/>
  <c r="C511" i="6"/>
  <c r="A511" i="6"/>
  <c r="C504" i="6"/>
  <c r="A504" i="6"/>
  <c r="C510" i="6"/>
  <c r="A510" i="6"/>
  <c r="C509" i="6"/>
  <c r="A509" i="6"/>
  <c r="C508" i="6"/>
  <c r="A508" i="6"/>
  <c r="C507" i="6"/>
  <c r="A507" i="6"/>
  <c r="C517" i="6"/>
  <c r="A517" i="6"/>
  <c r="C503" i="6"/>
  <c r="A503" i="6"/>
  <c r="C1655" i="6"/>
  <c r="A1655" i="6"/>
  <c r="C1641" i="6"/>
  <c r="A1641" i="6"/>
  <c r="C1636" i="6"/>
  <c r="A1636" i="6"/>
  <c r="C1638" i="6"/>
  <c r="A1638" i="6"/>
  <c r="C1649" i="6"/>
  <c r="A1649" i="6"/>
  <c r="C1635" i="6"/>
  <c r="A1635" i="6"/>
  <c r="C1654" i="6"/>
  <c r="A1654" i="6"/>
  <c r="C1640" i="6"/>
  <c r="A1640" i="6"/>
  <c r="C1639" i="6"/>
  <c r="A1639" i="6"/>
  <c r="C1653" i="6"/>
  <c r="A1653" i="6"/>
  <c r="C1644" i="6"/>
  <c r="A1644" i="6"/>
  <c r="C1652" i="6"/>
  <c r="A1652" i="6"/>
  <c r="C1637" i="6"/>
  <c r="A1637" i="6"/>
  <c r="C1647" i="6"/>
  <c r="A1647" i="6"/>
  <c r="C1164" i="6"/>
  <c r="A1164" i="6"/>
  <c r="C1657" i="6"/>
  <c r="A1657" i="6"/>
  <c r="C1163" i="6"/>
  <c r="A1163" i="6"/>
  <c r="C1162" i="6"/>
  <c r="A1162" i="6"/>
  <c r="C1658" i="6"/>
  <c r="A1658" i="6"/>
  <c r="C1651" i="6"/>
  <c r="A1651" i="6"/>
  <c r="C1643" i="6"/>
  <c r="A1643" i="6"/>
  <c r="C1648" i="6"/>
  <c r="A1648" i="6"/>
  <c r="C1646" i="6"/>
  <c r="A1646" i="6"/>
  <c r="C1650" i="6"/>
  <c r="A1650" i="6"/>
  <c r="C1634" i="6"/>
  <c r="A1634" i="6"/>
  <c r="C1642" i="6"/>
  <c r="A1642" i="6"/>
  <c r="C1645" i="6"/>
  <c r="A1645" i="6"/>
  <c r="C1161" i="6"/>
  <c r="A1161" i="6"/>
  <c r="C1633" i="6"/>
  <c r="A1633" i="6"/>
  <c r="C1632" i="6"/>
  <c r="A1632" i="6"/>
  <c r="C364" i="6"/>
  <c r="A364" i="6"/>
  <c r="C363" i="6"/>
  <c r="A363" i="6"/>
  <c r="C1160" i="6"/>
  <c r="A1160" i="6"/>
  <c r="C332" i="6"/>
  <c r="A332" i="6"/>
  <c r="C360" i="6"/>
  <c r="A360" i="6"/>
  <c r="C359" i="6"/>
  <c r="A359" i="6"/>
  <c r="C358" i="6"/>
  <c r="A358" i="6"/>
  <c r="C361" i="6"/>
  <c r="A361" i="6"/>
  <c r="C362" i="6"/>
  <c r="A362" i="6"/>
  <c r="C357" i="6"/>
  <c r="A357" i="6"/>
  <c r="C1159" i="6"/>
  <c r="A1159" i="6"/>
  <c r="C1158" i="6"/>
  <c r="A1158" i="6"/>
  <c r="C356" i="6"/>
  <c r="A356" i="6"/>
  <c r="C369" i="6"/>
  <c r="A369" i="6"/>
  <c r="C355" i="6"/>
  <c r="A355" i="6"/>
  <c r="C354" i="6"/>
  <c r="A354" i="6"/>
  <c r="C353" i="6"/>
  <c r="A353" i="6"/>
  <c r="C352" i="6"/>
  <c r="A352" i="6"/>
  <c r="C351" i="6"/>
  <c r="A351" i="6"/>
  <c r="C365" i="6"/>
  <c r="A365" i="6"/>
  <c r="C350" i="6"/>
  <c r="A350" i="6"/>
  <c r="C349" i="6"/>
  <c r="A349" i="6"/>
  <c r="C348" i="6"/>
  <c r="A348" i="6"/>
  <c r="C1156" i="6"/>
  <c r="A1156" i="6"/>
  <c r="C347" i="6"/>
  <c r="A347" i="6"/>
  <c r="C1155" i="6"/>
  <c r="A1155" i="6"/>
  <c r="C346" i="6"/>
  <c r="A346" i="6"/>
  <c r="C345" i="6"/>
  <c r="A345" i="6"/>
  <c r="C344" i="6"/>
  <c r="A344" i="6"/>
  <c r="C343" i="6"/>
  <c r="A343" i="6"/>
  <c r="C366" i="6"/>
  <c r="A366" i="6"/>
  <c r="C368" i="6"/>
  <c r="A368" i="6"/>
  <c r="C342" i="6"/>
  <c r="A342" i="6"/>
  <c r="C341" i="6"/>
  <c r="A341" i="6"/>
  <c r="C340" i="6"/>
  <c r="A340" i="6"/>
  <c r="C367" i="6"/>
  <c r="A367" i="6"/>
  <c r="C339" i="6"/>
  <c r="A339" i="6"/>
  <c r="C1538" i="6"/>
  <c r="A1538" i="6"/>
  <c r="C338" i="6"/>
  <c r="A338" i="6"/>
  <c r="C337" i="6"/>
  <c r="A337" i="6"/>
  <c r="C336" i="6"/>
  <c r="A336" i="6"/>
  <c r="C335" i="6"/>
  <c r="A335" i="6"/>
  <c r="C334" i="6"/>
  <c r="A334" i="6"/>
  <c r="C333" i="6"/>
  <c r="A333" i="6"/>
  <c r="C331" i="6"/>
  <c r="A331" i="6"/>
  <c r="C330" i="6"/>
  <c r="A330" i="6"/>
  <c r="C329" i="6"/>
  <c r="A329" i="6"/>
  <c r="C328" i="6"/>
  <c r="A328" i="6"/>
  <c r="C327" i="6"/>
  <c r="A327" i="6"/>
  <c r="C326" i="6"/>
  <c r="A326" i="6"/>
  <c r="C1505" i="6"/>
  <c r="A1505" i="6"/>
  <c r="C325" i="6"/>
  <c r="A325" i="6"/>
  <c r="C1537" i="6"/>
  <c r="A1537" i="6"/>
  <c r="C1536" i="6"/>
  <c r="A1536" i="6"/>
  <c r="C1535" i="6"/>
  <c r="A1535" i="6"/>
  <c r="C1534" i="6"/>
  <c r="A1534" i="6"/>
  <c r="C1154" i="6"/>
  <c r="A1154" i="6"/>
  <c r="C589" i="6"/>
  <c r="A589" i="6"/>
  <c r="C1153" i="6"/>
  <c r="A1153" i="6"/>
  <c r="C487" i="6"/>
  <c r="A487" i="6"/>
  <c r="C486" i="6"/>
  <c r="A486" i="6"/>
  <c r="C485" i="6"/>
  <c r="A485" i="6"/>
  <c r="C1152" i="6"/>
  <c r="A1152" i="6"/>
  <c r="C484" i="6"/>
  <c r="A484" i="6"/>
  <c r="C483" i="6"/>
  <c r="A483" i="6"/>
  <c r="C1151" i="6"/>
  <c r="A1151" i="6"/>
  <c r="C482" i="6"/>
  <c r="A482" i="6"/>
  <c r="C322" i="6"/>
  <c r="A322" i="6"/>
  <c r="C309" i="6"/>
  <c r="A309" i="6"/>
  <c r="C308" i="6"/>
  <c r="A308" i="6"/>
  <c r="C306" i="6"/>
  <c r="A306" i="6"/>
  <c r="C321" i="6"/>
  <c r="A321" i="6"/>
  <c r="C303" i="6"/>
  <c r="A303" i="6"/>
  <c r="C307" i="6"/>
  <c r="A307" i="6"/>
  <c r="C320" i="6"/>
  <c r="A320" i="6"/>
  <c r="C302" i="6"/>
  <c r="A302" i="6"/>
  <c r="C301" i="6"/>
  <c r="A301" i="6"/>
  <c r="C300" i="6"/>
  <c r="A300" i="6"/>
  <c r="C319" i="6"/>
  <c r="A319" i="6"/>
  <c r="C318" i="6"/>
  <c r="A318" i="6"/>
  <c r="C317" i="6"/>
  <c r="A317" i="6"/>
  <c r="C316" i="6"/>
  <c r="A316" i="6"/>
  <c r="C311" i="6"/>
  <c r="A311" i="6"/>
  <c r="C299" i="6"/>
  <c r="A299" i="6"/>
  <c r="C315" i="6"/>
  <c r="A315" i="6"/>
  <c r="C310" i="6"/>
  <c r="A310" i="6"/>
  <c r="C304" i="6"/>
  <c r="A304" i="6"/>
  <c r="C314" i="6"/>
  <c r="A314" i="6"/>
  <c r="C313" i="6"/>
  <c r="A313" i="6"/>
  <c r="C312" i="6"/>
  <c r="A312" i="6"/>
  <c r="C305" i="6"/>
  <c r="A305" i="6"/>
  <c r="C324" i="6"/>
  <c r="A324" i="6"/>
  <c r="C323" i="6"/>
  <c r="A323" i="6"/>
  <c r="C298" i="6"/>
  <c r="A298" i="6"/>
  <c r="C371" i="6"/>
  <c r="A371" i="6"/>
  <c r="C370" i="6"/>
  <c r="A370" i="6"/>
  <c r="C212" i="6"/>
  <c r="A212" i="6"/>
  <c r="C199" i="6"/>
  <c r="A199" i="6"/>
  <c r="C211" i="6"/>
  <c r="A211" i="6"/>
  <c r="C210" i="6"/>
  <c r="A210" i="6"/>
  <c r="C1150" i="6"/>
  <c r="A1150" i="6"/>
  <c r="C195" i="6"/>
  <c r="A195" i="6"/>
  <c r="C209" i="6"/>
  <c r="A209" i="6"/>
  <c r="C215" i="6"/>
  <c r="A215" i="6"/>
  <c r="C193" i="6"/>
  <c r="A193" i="6"/>
  <c r="C192" i="6"/>
  <c r="A192" i="6"/>
  <c r="C208" i="6"/>
  <c r="A208" i="6"/>
  <c r="C207" i="6"/>
  <c r="A207" i="6"/>
  <c r="C206" i="6"/>
  <c r="A206" i="6"/>
  <c r="C191" i="6"/>
  <c r="A191" i="6"/>
  <c r="C205" i="6"/>
  <c r="A205" i="6"/>
  <c r="C204" i="6"/>
  <c r="A204" i="6"/>
  <c r="C198" i="6"/>
  <c r="A198" i="6"/>
  <c r="C203" i="6"/>
  <c r="A203" i="6"/>
  <c r="C196" i="6"/>
  <c r="A196" i="6"/>
  <c r="C190" i="6"/>
  <c r="A190" i="6"/>
  <c r="C213" i="6"/>
  <c r="A213" i="6"/>
  <c r="C189" i="6"/>
  <c r="A189" i="6"/>
  <c r="C1149" i="6"/>
  <c r="A1149" i="6"/>
  <c r="C1148" i="6"/>
  <c r="A1148" i="6"/>
  <c r="C1147" i="6"/>
  <c r="A1147" i="6"/>
  <c r="C197" i="6"/>
  <c r="A197" i="6"/>
  <c r="C202" i="6"/>
  <c r="A202" i="6"/>
  <c r="C188" i="6"/>
  <c r="A188" i="6"/>
  <c r="C200" i="6"/>
  <c r="A200" i="6"/>
  <c r="C201" i="6"/>
  <c r="A201" i="6"/>
  <c r="C194" i="6"/>
  <c r="A194" i="6"/>
  <c r="C1145" i="6"/>
  <c r="A1145" i="6"/>
  <c r="C214" i="6"/>
  <c r="A214" i="6"/>
  <c r="C1144" i="6"/>
  <c r="A1144" i="6"/>
  <c r="C187" i="6"/>
  <c r="A187" i="6"/>
  <c r="C1143" i="6"/>
  <c r="A1143" i="6"/>
  <c r="C1142" i="6"/>
  <c r="A1142" i="6"/>
  <c r="C1497" i="6"/>
  <c r="A1497" i="6"/>
  <c r="C1493" i="6"/>
  <c r="A1493" i="6"/>
  <c r="C1503" i="6"/>
  <c r="A1503" i="6"/>
  <c r="C1495" i="6"/>
  <c r="A1495" i="6"/>
  <c r="C1496" i="6"/>
  <c r="A1496" i="6"/>
  <c r="C1494" i="6"/>
  <c r="A1494" i="6"/>
  <c r="C1141" i="6"/>
  <c r="A1141" i="6"/>
  <c r="C1432" i="6"/>
  <c r="A1432" i="6"/>
  <c r="C1501" i="6"/>
  <c r="A1501" i="6"/>
  <c r="C1500" i="6"/>
  <c r="A1500" i="6"/>
  <c r="C1492" i="6"/>
  <c r="A1492" i="6"/>
  <c r="C1499" i="6"/>
  <c r="A1499" i="6"/>
  <c r="C1498" i="6"/>
  <c r="A1498" i="6"/>
  <c r="C1502" i="6"/>
  <c r="A1502" i="6"/>
  <c r="C1491" i="6"/>
  <c r="A1491" i="6"/>
  <c r="C1140" i="6"/>
  <c r="A1140" i="6"/>
  <c r="C1341" i="6"/>
  <c r="A1341" i="6"/>
  <c r="C1331" i="6"/>
  <c r="A1331" i="6"/>
  <c r="C1436" i="6"/>
  <c r="A1436" i="6"/>
  <c r="C1330" i="6"/>
  <c r="A1330" i="6"/>
  <c r="C1348" i="6"/>
  <c r="A1348" i="6"/>
  <c r="C1139" i="6"/>
  <c r="A1139" i="6"/>
  <c r="C1138" i="6"/>
  <c r="A1138" i="6"/>
  <c r="C1137" i="6"/>
  <c r="A1137" i="6"/>
  <c r="C1334" i="6"/>
  <c r="A1334" i="6"/>
  <c r="C1351" i="6"/>
  <c r="A1351" i="6"/>
  <c r="C1343" i="6"/>
  <c r="A1343" i="6"/>
  <c r="C1342" i="6"/>
  <c r="A1342" i="6"/>
  <c r="C1335" i="6"/>
  <c r="A1335" i="6"/>
  <c r="C1352" i="6"/>
  <c r="A1352" i="6"/>
  <c r="C1353" i="6"/>
  <c r="A1353" i="6"/>
  <c r="C1533" i="6"/>
  <c r="A1533" i="6"/>
  <c r="C1346" i="6"/>
  <c r="A1346" i="6"/>
  <c r="C1329" i="6"/>
  <c r="A1329" i="6"/>
  <c r="C1328" i="6"/>
  <c r="A1328" i="6"/>
  <c r="C1326" i="6"/>
  <c r="A1326" i="6"/>
  <c r="C1327" i="6"/>
  <c r="A1327" i="6"/>
  <c r="C1350" i="6"/>
  <c r="A1350" i="6"/>
  <c r="C1325" i="6"/>
  <c r="A1325" i="6"/>
  <c r="C1332" i="6"/>
  <c r="A1332" i="6"/>
  <c r="C1135" i="6"/>
  <c r="A1135" i="6"/>
  <c r="C1345" i="6"/>
  <c r="A1345" i="6"/>
  <c r="C1435" i="6"/>
  <c r="A1435" i="6"/>
  <c r="C1134" i="6"/>
  <c r="A1134" i="6"/>
  <c r="C1133" i="6"/>
  <c r="A1133" i="6"/>
  <c r="C1132" i="6"/>
  <c r="A1132" i="6"/>
  <c r="C1131" i="6"/>
  <c r="A1131" i="6"/>
  <c r="C1532" i="6"/>
  <c r="A1532" i="6"/>
  <c r="C1340" i="6"/>
  <c r="A1340" i="6"/>
  <c r="C1339" i="6"/>
  <c r="A1339" i="6"/>
  <c r="C1130" i="6"/>
  <c r="A1130" i="6"/>
  <c r="C1129" i="6"/>
  <c r="A1129" i="6"/>
  <c r="C1531" i="6"/>
  <c r="A1531" i="6"/>
  <c r="C1128" i="6"/>
  <c r="A1128" i="6"/>
  <c r="C1530" i="6"/>
  <c r="A1530" i="6"/>
  <c r="C1529" i="6"/>
  <c r="A1529" i="6"/>
  <c r="C1127" i="6"/>
  <c r="A1127" i="6"/>
  <c r="C1126" i="6"/>
  <c r="A1126" i="6"/>
  <c r="C1124" i="6"/>
  <c r="A1124" i="6"/>
  <c r="C1338" i="6"/>
  <c r="A1338" i="6"/>
  <c r="C1437" i="6"/>
  <c r="A1437" i="6"/>
  <c r="C1324" i="6"/>
  <c r="A1324" i="6"/>
  <c r="C1323" i="6"/>
  <c r="A1323" i="6"/>
  <c r="C1322" i="6"/>
  <c r="A1322" i="6"/>
  <c r="C1337" i="6"/>
  <c r="A1337" i="6"/>
  <c r="C1123" i="6"/>
  <c r="A1123" i="6"/>
  <c r="C1122" i="6"/>
  <c r="A1122" i="6"/>
  <c r="C1121" i="6"/>
  <c r="A1121" i="6"/>
  <c r="C1336" i="6"/>
  <c r="A1336" i="6"/>
  <c r="C1120" i="6"/>
  <c r="A1120" i="6"/>
  <c r="C1528" i="6"/>
  <c r="A1528" i="6"/>
  <c r="C1527" i="6"/>
  <c r="A1527" i="6"/>
  <c r="C1119" i="6"/>
  <c r="A1119" i="6"/>
  <c r="C1118" i="6"/>
  <c r="A1118" i="6"/>
  <c r="C1117" i="6"/>
  <c r="A1117" i="6"/>
  <c r="C1116" i="6"/>
  <c r="A1116" i="6"/>
  <c r="C1114" i="6"/>
  <c r="A1114" i="6"/>
  <c r="C1113" i="6"/>
  <c r="A1113" i="6"/>
  <c r="C1112" i="6"/>
  <c r="A1112" i="6"/>
  <c r="C1111" i="6"/>
  <c r="A1111" i="6"/>
  <c r="C1110" i="6"/>
  <c r="A1110" i="6"/>
  <c r="C1109" i="6"/>
  <c r="A1109" i="6"/>
  <c r="C1108" i="6"/>
  <c r="A1108" i="6"/>
  <c r="C1107" i="6"/>
  <c r="A1107" i="6"/>
  <c r="C1434" i="6"/>
  <c r="A1434" i="6"/>
  <c r="C1349" i="6"/>
  <c r="A1349" i="6"/>
  <c r="C1347" i="6"/>
  <c r="A1347" i="6"/>
  <c r="C1344" i="6"/>
  <c r="A1344" i="6"/>
  <c r="C1333" i="6"/>
  <c r="A1333" i="6"/>
  <c r="C1321" i="6"/>
  <c r="A1321" i="6"/>
  <c r="C1106" i="6"/>
  <c r="A1106" i="6"/>
  <c r="C1105" i="6"/>
  <c r="A1105" i="6"/>
  <c r="C1103" i="6"/>
  <c r="A1103" i="6"/>
  <c r="C1102" i="6"/>
  <c r="A1102" i="6"/>
  <c r="C254" i="6"/>
  <c r="A254" i="6"/>
  <c r="C252" i="6"/>
  <c r="A252" i="6"/>
  <c r="C251" i="6"/>
  <c r="A251" i="6"/>
  <c r="C1101" i="6"/>
  <c r="A1101" i="6"/>
  <c r="C249" i="6"/>
  <c r="A249" i="6"/>
  <c r="C248" i="6"/>
  <c r="A248" i="6"/>
  <c r="C247" i="6"/>
  <c r="A247" i="6"/>
  <c r="C246" i="6"/>
  <c r="A246" i="6"/>
  <c r="C234" i="6"/>
  <c r="A234" i="6"/>
  <c r="C232" i="6"/>
  <c r="A232" i="6"/>
  <c r="C245" i="6"/>
  <c r="A245" i="6"/>
  <c r="C244" i="6"/>
  <c r="A244" i="6"/>
  <c r="C253" i="6"/>
  <c r="A253" i="6"/>
  <c r="C236" i="6"/>
  <c r="A236" i="6"/>
  <c r="C231" i="6"/>
  <c r="A231" i="6"/>
  <c r="C243" i="6"/>
  <c r="A243" i="6"/>
  <c r="C230" i="6"/>
  <c r="A230" i="6"/>
  <c r="C242" i="6"/>
  <c r="A242" i="6"/>
  <c r="C241" i="6"/>
  <c r="A241" i="6"/>
  <c r="C235" i="6"/>
  <c r="A235" i="6"/>
  <c r="C240" i="6"/>
  <c r="A240" i="6"/>
  <c r="C233" i="6"/>
  <c r="A233" i="6"/>
  <c r="C1100" i="6"/>
  <c r="A1100" i="6"/>
  <c r="C1099" i="6"/>
  <c r="A1099" i="6"/>
  <c r="C1098" i="6"/>
  <c r="A1098" i="6"/>
  <c r="C250" i="6"/>
  <c r="A250" i="6"/>
  <c r="C239" i="6"/>
  <c r="A239" i="6"/>
  <c r="C238" i="6"/>
  <c r="A238" i="6"/>
  <c r="C237" i="6"/>
  <c r="A237" i="6"/>
  <c r="C563" i="6"/>
  <c r="A563" i="6"/>
  <c r="C569" i="6"/>
  <c r="A569" i="6"/>
  <c r="C573" i="6"/>
  <c r="A573" i="6"/>
  <c r="C570" i="6"/>
  <c r="A570" i="6"/>
  <c r="C578" i="6"/>
  <c r="A578" i="6"/>
  <c r="C566" i="6"/>
  <c r="A566" i="6"/>
  <c r="C577" i="6"/>
  <c r="A577" i="6"/>
  <c r="C565" i="6"/>
  <c r="A565" i="6"/>
  <c r="C562" i="6"/>
  <c r="A562" i="6"/>
  <c r="C571" i="6"/>
  <c r="A571" i="6"/>
  <c r="C561" i="6"/>
  <c r="A561" i="6"/>
  <c r="C560" i="6"/>
  <c r="A560" i="6"/>
  <c r="C1097" i="6"/>
  <c r="A1097" i="6"/>
  <c r="C575" i="6"/>
  <c r="A575" i="6"/>
  <c r="C572" i="6"/>
  <c r="A572" i="6"/>
  <c r="C559" i="6"/>
  <c r="A559" i="6"/>
  <c r="C576" i="6"/>
  <c r="A576" i="6"/>
  <c r="C1096" i="6"/>
  <c r="A1096" i="6"/>
  <c r="C558" i="6"/>
  <c r="A558" i="6"/>
  <c r="C557" i="6"/>
  <c r="A557" i="6"/>
  <c r="C556" i="6"/>
  <c r="A556" i="6"/>
  <c r="C555" i="6"/>
  <c r="A555" i="6"/>
  <c r="C554" i="6"/>
  <c r="A554" i="6"/>
  <c r="C568" i="6"/>
  <c r="A568" i="6"/>
  <c r="C553" i="6"/>
  <c r="A553" i="6"/>
  <c r="C1095" i="6"/>
  <c r="A1095" i="6"/>
  <c r="C564" i="6"/>
  <c r="A564" i="6"/>
  <c r="C1094" i="6"/>
  <c r="A1094" i="6"/>
  <c r="C552" i="6"/>
  <c r="A552" i="6"/>
  <c r="C551" i="6"/>
  <c r="A551" i="6"/>
  <c r="C567" i="6"/>
  <c r="A567" i="6"/>
  <c r="C550" i="6"/>
  <c r="A550" i="6"/>
  <c r="C549" i="6"/>
  <c r="A549" i="6"/>
  <c r="C548" i="6"/>
  <c r="A548" i="6"/>
  <c r="C547" i="6"/>
  <c r="A547" i="6"/>
  <c r="C574" i="6"/>
  <c r="A574" i="6"/>
  <c r="C546" i="6"/>
  <c r="A546" i="6"/>
  <c r="C99" i="6"/>
  <c r="A99" i="6"/>
  <c r="C100" i="6"/>
  <c r="A100" i="6"/>
  <c r="C98" i="6"/>
  <c r="A98" i="6"/>
  <c r="C97" i="6"/>
  <c r="A97" i="6"/>
  <c r="C92" i="6"/>
  <c r="A92" i="6"/>
  <c r="C102" i="6"/>
  <c r="A102" i="6"/>
  <c r="C96" i="6"/>
  <c r="A96" i="6"/>
  <c r="C93" i="6"/>
  <c r="A93" i="6"/>
  <c r="C95" i="6"/>
  <c r="A95" i="6"/>
  <c r="C91" i="6"/>
  <c r="A91" i="6"/>
  <c r="C94" i="6"/>
  <c r="A94" i="6"/>
  <c r="C101" i="6"/>
  <c r="A101" i="6"/>
  <c r="C90" i="6"/>
  <c r="A90" i="6"/>
  <c r="C404" i="6"/>
  <c r="A404" i="6"/>
  <c r="C413" i="6"/>
  <c r="A413" i="6"/>
  <c r="C1092" i="6"/>
  <c r="A1092" i="6"/>
  <c r="C1091" i="6"/>
  <c r="A1091" i="6"/>
  <c r="C1090" i="6"/>
  <c r="A1090" i="6"/>
  <c r="C412" i="6"/>
  <c r="A412" i="6"/>
  <c r="C1089" i="6"/>
  <c r="A1089" i="6"/>
  <c r="C1088" i="6"/>
  <c r="A1088" i="6"/>
  <c r="C1087" i="6"/>
  <c r="A1087" i="6"/>
  <c r="C1526" i="6"/>
  <c r="A1526" i="6"/>
  <c r="C1086" i="6"/>
  <c r="A1086" i="6"/>
  <c r="C1085" i="6"/>
  <c r="A1085" i="6"/>
  <c r="C1084" i="6"/>
  <c r="A1084" i="6"/>
  <c r="C1083" i="6"/>
  <c r="A1083" i="6"/>
  <c r="C1081" i="6"/>
  <c r="A1081" i="6"/>
  <c r="C1080" i="6"/>
  <c r="A1080" i="6"/>
  <c r="C1079" i="6"/>
  <c r="A1079" i="6"/>
  <c r="C1078" i="6"/>
  <c r="A1078" i="6"/>
  <c r="C1077" i="6"/>
  <c r="A1077" i="6"/>
  <c r="C480" i="6"/>
  <c r="A480" i="6"/>
  <c r="C1076" i="6"/>
  <c r="A1076" i="6"/>
  <c r="C410" i="6"/>
  <c r="A410" i="6"/>
  <c r="C755" i="6"/>
  <c r="A755" i="6"/>
  <c r="C1075" i="6"/>
  <c r="A1075" i="6"/>
  <c r="C1074" i="6"/>
  <c r="A1074" i="6"/>
  <c r="C1073" i="6"/>
  <c r="A1073" i="6"/>
  <c r="C1072" i="6"/>
  <c r="A1072" i="6"/>
  <c r="C1070" i="6"/>
  <c r="A1070" i="6"/>
  <c r="C1069" i="6"/>
  <c r="A1069" i="6"/>
  <c r="C1068" i="6"/>
  <c r="A1068" i="6"/>
  <c r="C1067" i="6"/>
  <c r="A1067" i="6"/>
  <c r="C1270" i="6"/>
  <c r="A1270" i="6"/>
  <c r="C1066" i="6"/>
  <c r="A1066" i="6"/>
  <c r="C405" i="6"/>
  <c r="A405" i="6"/>
  <c r="C754" i="6"/>
  <c r="A754" i="6"/>
  <c r="C409" i="6"/>
  <c r="A409" i="6"/>
  <c r="C1065" i="6"/>
  <c r="A1065" i="6"/>
  <c r="C1064" i="6"/>
  <c r="A1064" i="6"/>
  <c r="C1063" i="6"/>
  <c r="A1063" i="6"/>
  <c r="C756" i="6"/>
  <c r="A756" i="6"/>
  <c r="C1062" i="6"/>
  <c r="A1062" i="6"/>
  <c r="C753" i="6"/>
  <c r="A753" i="6"/>
  <c r="C408" i="6"/>
  <c r="A408" i="6"/>
  <c r="C407" i="6"/>
  <c r="A407" i="6"/>
  <c r="C411" i="6"/>
  <c r="A411" i="6"/>
  <c r="C406" i="6"/>
  <c r="A406" i="6"/>
  <c r="C1061" i="6"/>
  <c r="A1061" i="6"/>
  <c r="C403" i="6"/>
  <c r="A403" i="6"/>
  <c r="C1059" i="6"/>
  <c r="A1059" i="6"/>
  <c r="C1058" i="6"/>
  <c r="A1058" i="6"/>
  <c r="C1057" i="6"/>
  <c r="A1057" i="6"/>
  <c r="C1056" i="6"/>
  <c r="A1056" i="6"/>
  <c r="C1055" i="6"/>
  <c r="A1055" i="6"/>
  <c r="C1054" i="6"/>
  <c r="A1054" i="6"/>
  <c r="C1053" i="6"/>
  <c r="A1053" i="6"/>
  <c r="C1052" i="6"/>
  <c r="A1052" i="6"/>
  <c r="C1051" i="6"/>
  <c r="A1051" i="6"/>
  <c r="C1050" i="6"/>
  <c r="A1050" i="6"/>
  <c r="C1630" i="6"/>
  <c r="A1630" i="6"/>
  <c r="C1631" i="6"/>
  <c r="A1631" i="6"/>
  <c r="C1048" i="6"/>
  <c r="A1048" i="6"/>
  <c r="C1047" i="6"/>
  <c r="A1047" i="6"/>
  <c r="C1046" i="6"/>
  <c r="A1046" i="6"/>
  <c r="C1045" i="6"/>
  <c r="A1045" i="6"/>
  <c r="C1044" i="6"/>
  <c r="A1044" i="6"/>
  <c r="C1431" i="6"/>
  <c r="A1431" i="6"/>
  <c r="C1043" i="6"/>
  <c r="A1043" i="6"/>
  <c r="C1042" i="6"/>
  <c r="A1042" i="6"/>
  <c r="C1041" i="6"/>
  <c r="A1041" i="6"/>
  <c r="C1040" i="6"/>
  <c r="A1040" i="6"/>
  <c r="C1039" i="6"/>
  <c r="A1039" i="6"/>
  <c r="C1037" i="6"/>
  <c r="A1037" i="6"/>
  <c r="C1036" i="6"/>
  <c r="A1036" i="6"/>
  <c r="C1035" i="6"/>
  <c r="A1035" i="6"/>
  <c r="C1034" i="6"/>
  <c r="A1034" i="6"/>
  <c r="C1382" i="6"/>
  <c r="A1382" i="6"/>
  <c r="C1033" i="6"/>
  <c r="A1033" i="6"/>
  <c r="C1525" i="6"/>
  <c r="A1525" i="6"/>
  <c r="C1524" i="6"/>
  <c r="A1524" i="6"/>
  <c r="C1523" i="6"/>
  <c r="A1523" i="6"/>
  <c r="C1032" i="6"/>
  <c r="A1032" i="6"/>
  <c r="C1522" i="6"/>
  <c r="A1522" i="6"/>
  <c r="C1031" i="6"/>
  <c r="A1031" i="6"/>
  <c r="C1384" i="6"/>
  <c r="A1384" i="6"/>
  <c r="C1030" i="6"/>
  <c r="A1030" i="6"/>
  <c r="C1427" i="6"/>
  <c r="A1427" i="6"/>
  <c r="C1029" i="6"/>
  <c r="A1029" i="6"/>
  <c r="C1028" i="6"/>
  <c r="A1028" i="6"/>
  <c r="C1424" i="6"/>
  <c r="A1424" i="6"/>
  <c r="C1419" i="6"/>
  <c r="A1419" i="6"/>
  <c r="C1026" i="6"/>
  <c r="A1026" i="6"/>
  <c r="C1025" i="6"/>
  <c r="A1025" i="6"/>
  <c r="C1024" i="6"/>
  <c r="A1024" i="6"/>
  <c r="C1429" i="6"/>
  <c r="A1429" i="6"/>
  <c r="C1430" i="6"/>
  <c r="A1430" i="6"/>
  <c r="C1023" i="6"/>
  <c r="A1023" i="6"/>
  <c r="C1022" i="6"/>
  <c r="A1022" i="6"/>
  <c r="C1375" i="6"/>
  <c r="A1375" i="6"/>
  <c r="C1185" i="6"/>
  <c r="A1185" i="6"/>
  <c r="C1192" i="6"/>
  <c r="A1192" i="6"/>
  <c r="C1386" i="6"/>
  <c r="A1386" i="6"/>
  <c r="C1374" i="6"/>
  <c r="A1374" i="6"/>
  <c r="C1428" i="6"/>
  <c r="A1428" i="6"/>
  <c r="C1373" i="6"/>
  <c r="A1373" i="6"/>
  <c r="C1397" i="6"/>
  <c r="A1397" i="6"/>
  <c r="C1383" i="6"/>
  <c r="A1383" i="6"/>
  <c r="C1426" i="6"/>
  <c r="A1426" i="6"/>
  <c r="C1017" i="6"/>
  <c r="A1017" i="6"/>
  <c r="C1015" i="6"/>
  <c r="A1015" i="6"/>
  <c r="C1014" i="6"/>
  <c r="A1014" i="6"/>
  <c r="C1013" i="6"/>
  <c r="A1013" i="6"/>
  <c r="C1012" i="6"/>
  <c r="A1012" i="6"/>
  <c r="C1011" i="6"/>
  <c r="A1011" i="6"/>
  <c r="C1018" i="6"/>
  <c r="A1018" i="6"/>
  <c r="C1010" i="6"/>
  <c r="A1010" i="6"/>
  <c r="C1009" i="6"/>
  <c r="A1009" i="6"/>
  <c r="C1008" i="6"/>
  <c r="A1008" i="6"/>
  <c r="C1007" i="6"/>
  <c r="A1007" i="6"/>
  <c r="C1021" i="6"/>
  <c r="A1021" i="6"/>
  <c r="C1020" i="6"/>
  <c r="A1020" i="6"/>
  <c r="C1019" i="6"/>
  <c r="A1019" i="6"/>
  <c r="C1006" i="6"/>
  <c r="A1006" i="6"/>
  <c r="C1004" i="6"/>
  <c r="A1004" i="6"/>
  <c r="C1003" i="6"/>
  <c r="A1003" i="6"/>
  <c r="C1002" i="6"/>
  <c r="A1002" i="6"/>
  <c r="C1001" i="6"/>
  <c r="A1001" i="6"/>
  <c r="C1000" i="6"/>
  <c r="A1000" i="6"/>
  <c r="C999" i="6"/>
  <c r="A999" i="6"/>
  <c r="C998" i="6"/>
  <c r="A998" i="6"/>
  <c r="C997" i="6"/>
  <c r="A997" i="6"/>
  <c r="C996" i="6"/>
  <c r="A996" i="6"/>
  <c r="C995" i="6"/>
  <c r="A995" i="6"/>
  <c r="C993" i="6"/>
  <c r="A993" i="6"/>
  <c r="C992" i="6"/>
  <c r="A992" i="6"/>
  <c r="C991" i="6"/>
  <c r="A991" i="6"/>
  <c r="C990" i="6"/>
  <c r="A990" i="6"/>
  <c r="C989" i="6"/>
  <c r="A989" i="6"/>
  <c r="C1455" i="6"/>
  <c r="A1455" i="6"/>
  <c r="C988" i="6"/>
  <c r="A988" i="6"/>
  <c r="C987" i="6"/>
  <c r="A987" i="6"/>
  <c r="C986" i="6"/>
  <c r="A986" i="6"/>
  <c r="C985" i="6"/>
  <c r="A985" i="6"/>
  <c r="C984" i="6"/>
  <c r="A984" i="6"/>
  <c r="C982" i="6"/>
  <c r="A982" i="6"/>
  <c r="C981" i="6"/>
  <c r="A981" i="6"/>
  <c r="C980" i="6"/>
  <c r="A980" i="6"/>
  <c r="C979" i="6"/>
  <c r="A979" i="6"/>
  <c r="C978" i="6"/>
  <c r="A978" i="6"/>
  <c r="C518" i="6"/>
  <c r="A518" i="6"/>
  <c r="C1425" i="6"/>
  <c r="A1425" i="6"/>
  <c r="C1381" i="6"/>
  <c r="A1381" i="6"/>
  <c r="C1433" i="6"/>
  <c r="A1433" i="6"/>
  <c r="C1372" i="6"/>
  <c r="A1372" i="6"/>
  <c r="C977" i="6"/>
  <c r="A977" i="6"/>
  <c r="C976" i="6"/>
  <c r="A976" i="6"/>
  <c r="C1521" i="6"/>
  <c r="A1521" i="6"/>
  <c r="C975" i="6"/>
  <c r="A975" i="6"/>
  <c r="C1396" i="6"/>
  <c r="A1396" i="6"/>
  <c r="C1395" i="6"/>
  <c r="A1395" i="6"/>
  <c r="C1393" i="6"/>
  <c r="A1393" i="6"/>
  <c r="C1398" i="6"/>
  <c r="A1398" i="6"/>
  <c r="C1394" i="6"/>
  <c r="A1394" i="6"/>
  <c r="C1385" i="6"/>
  <c r="A1385" i="6"/>
  <c r="C974" i="6"/>
  <c r="A974" i="6"/>
  <c r="C973" i="6"/>
  <c r="A973" i="6"/>
  <c r="C971" i="6"/>
  <c r="A971" i="6"/>
  <c r="C970" i="6"/>
  <c r="A970" i="6"/>
  <c r="C1189" i="6"/>
  <c r="A1189" i="6"/>
  <c r="C1380" i="6"/>
  <c r="A1380" i="6"/>
  <c r="C1392" i="6"/>
  <c r="A1392" i="6"/>
  <c r="C969" i="6"/>
  <c r="A969" i="6"/>
  <c r="C1391" i="6"/>
  <c r="A1391" i="6"/>
  <c r="C1423" i="6"/>
  <c r="A1423" i="6"/>
  <c r="C1422" i="6"/>
  <c r="A1422" i="6"/>
  <c r="C968" i="6"/>
  <c r="A968" i="6"/>
  <c r="C967" i="6"/>
  <c r="A967" i="6"/>
  <c r="C1379" i="6"/>
  <c r="A1379" i="6"/>
  <c r="C966" i="6"/>
  <c r="A966" i="6"/>
  <c r="C1378" i="6"/>
  <c r="A1378" i="6"/>
  <c r="C1421" i="6"/>
  <c r="A1421" i="6"/>
  <c r="C1420" i="6"/>
  <c r="A1420" i="6"/>
  <c r="C965" i="6"/>
  <c r="A965" i="6"/>
  <c r="C964" i="6"/>
  <c r="A964" i="6"/>
  <c r="C963" i="6"/>
  <c r="A963" i="6"/>
  <c r="C962" i="6"/>
  <c r="A962" i="6"/>
  <c r="C960" i="6"/>
  <c r="A960" i="6"/>
  <c r="C1390" i="6"/>
  <c r="A1390" i="6"/>
  <c r="C1371" i="6"/>
  <c r="A1371" i="6"/>
  <c r="C959" i="6"/>
  <c r="A959" i="6"/>
  <c r="C1477" i="6"/>
  <c r="A1477" i="6"/>
  <c r="C1370" i="6"/>
  <c r="A1370" i="6"/>
  <c r="C1418" i="6"/>
  <c r="A1418" i="6"/>
  <c r="C1389" i="6"/>
  <c r="A1389" i="6"/>
  <c r="C958" i="6"/>
  <c r="A958" i="6"/>
  <c r="C1377" i="6"/>
  <c r="A1377" i="6"/>
  <c r="C1388" i="6"/>
  <c r="A1388" i="6"/>
  <c r="C957" i="6"/>
  <c r="A957" i="6"/>
  <c r="C956" i="6"/>
  <c r="A956" i="6"/>
  <c r="C955" i="6"/>
  <c r="A955" i="6"/>
  <c r="C954" i="6"/>
  <c r="A954" i="6"/>
  <c r="C953" i="6"/>
  <c r="A953" i="6"/>
  <c r="C952" i="6"/>
  <c r="A952" i="6"/>
  <c r="C951" i="6"/>
  <c r="A951" i="6"/>
  <c r="C949" i="6"/>
  <c r="A949" i="6"/>
  <c r="C948" i="6"/>
  <c r="A948" i="6"/>
  <c r="C947" i="6"/>
  <c r="A947" i="6"/>
  <c r="C946" i="6"/>
  <c r="A946" i="6"/>
  <c r="C1417" i="6"/>
  <c r="A1417" i="6"/>
  <c r="C1387" i="6"/>
  <c r="A1387" i="6"/>
  <c r="C1376" i="6"/>
  <c r="A1376" i="6"/>
  <c r="C1369" i="6"/>
  <c r="A1369" i="6"/>
  <c r="C1459" i="6"/>
  <c r="A1459" i="6"/>
  <c r="C1441" i="6"/>
  <c r="A1441" i="6"/>
  <c r="C1549" i="6"/>
  <c r="A1549" i="6"/>
  <c r="C1299" i="6"/>
  <c r="A1299" i="6"/>
  <c r="C1476" i="6"/>
  <c r="A1476" i="6"/>
  <c r="C945" i="6"/>
  <c r="A945" i="6"/>
  <c r="C1475" i="6"/>
  <c r="A1475" i="6"/>
  <c r="C944" i="6"/>
  <c r="A944" i="6"/>
  <c r="C1520" i="6"/>
  <c r="A1520" i="6"/>
  <c r="C1446" i="6"/>
  <c r="A1446" i="6"/>
  <c r="C1474" i="6"/>
  <c r="A1474" i="6"/>
  <c r="C1473" i="6"/>
  <c r="A1473" i="6"/>
  <c r="C943" i="6"/>
  <c r="A943" i="6"/>
  <c r="C1472" i="6"/>
  <c r="A1472" i="6"/>
  <c r="C942" i="6"/>
  <c r="A942" i="6"/>
  <c r="C1445" i="6"/>
  <c r="A1445" i="6"/>
  <c r="C1453" i="6"/>
  <c r="A1453" i="6"/>
  <c r="C1449" i="6"/>
  <c r="A1449" i="6"/>
  <c r="C1442" i="6"/>
  <c r="A1442" i="6"/>
  <c r="C941" i="6"/>
  <c r="A941" i="6"/>
  <c r="C1560" i="6"/>
  <c r="A1560" i="6"/>
  <c r="C1452" i="6"/>
  <c r="A1452" i="6"/>
  <c r="C1451" i="6"/>
  <c r="A1451" i="6"/>
  <c r="C1450" i="6"/>
  <c r="A1450" i="6"/>
  <c r="C1554" i="6"/>
  <c r="A1554" i="6"/>
  <c r="C940" i="6"/>
  <c r="A940" i="6"/>
  <c r="C768" i="6"/>
  <c r="A768" i="6"/>
  <c r="C1553" i="6"/>
  <c r="A1553" i="6"/>
  <c r="C1471" i="6"/>
  <c r="A1471" i="6"/>
  <c r="C1552" i="6"/>
  <c r="A1552" i="6"/>
  <c r="C1559" i="6"/>
  <c r="A1559" i="6"/>
  <c r="C1558" i="6"/>
  <c r="A1558" i="6"/>
  <c r="C1557" i="6"/>
  <c r="A1557" i="6"/>
  <c r="C1448" i="6"/>
  <c r="A1448" i="6"/>
  <c r="C1551" i="6"/>
  <c r="A1551" i="6"/>
  <c r="C1447" i="6"/>
  <c r="A1447" i="6"/>
  <c r="C1550" i="6"/>
  <c r="A1550" i="6"/>
  <c r="C1548" i="6"/>
  <c r="A1548" i="6"/>
  <c r="C1438" i="6"/>
  <c r="A1438" i="6"/>
  <c r="C1519" i="6"/>
  <c r="A1519" i="6"/>
  <c r="C938" i="6"/>
  <c r="A938" i="6"/>
  <c r="C1518" i="6"/>
  <c r="A1518" i="6"/>
  <c r="C1187" i="6"/>
  <c r="A1187" i="6"/>
  <c r="C1454" i="6"/>
  <c r="A1454" i="6"/>
  <c r="C1478" i="6"/>
  <c r="A1478" i="6"/>
  <c r="C1251" i="6"/>
  <c r="A1251" i="6"/>
  <c r="C1547" i="6"/>
  <c r="A1547" i="6"/>
  <c r="C1546" i="6"/>
  <c r="A1546" i="6"/>
  <c r="C1556" i="6"/>
  <c r="A1556" i="6"/>
  <c r="C1470" i="6"/>
  <c r="A1470" i="6"/>
  <c r="C1545" i="6"/>
  <c r="A1545" i="6"/>
  <c r="C1544" i="6"/>
  <c r="A1544" i="6"/>
  <c r="C1543" i="6"/>
  <c r="A1543" i="6"/>
  <c r="C1444" i="6"/>
  <c r="A1444" i="6"/>
  <c r="C1443" i="6"/>
  <c r="A1443" i="6"/>
  <c r="C1542" i="6"/>
  <c r="A1542" i="6"/>
  <c r="C1469" i="6"/>
  <c r="A1469" i="6"/>
  <c r="C1440" i="6"/>
  <c r="A1440" i="6"/>
  <c r="C1468" i="6"/>
  <c r="A1468" i="6"/>
  <c r="C1458" i="6"/>
  <c r="A1458" i="6"/>
  <c r="C937" i="6"/>
  <c r="A937" i="6"/>
  <c r="C936" i="6"/>
  <c r="A936" i="6"/>
  <c r="C1456" i="6"/>
  <c r="A1456" i="6"/>
  <c r="C1460" i="6"/>
  <c r="A1460" i="6"/>
  <c r="C1555" i="6"/>
  <c r="A1555" i="6"/>
  <c r="C1541" i="6"/>
  <c r="A1541" i="6"/>
  <c r="C1439" i="6"/>
  <c r="A1439" i="6"/>
  <c r="C1480" i="6"/>
  <c r="A1480" i="6"/>
  <c r="C1490" i="6"/>
  <c r="A1490" i="6"/>
  <c r="C1489" i="6"/>
  <c r="A1489" i="6"/>
  <c r="C1488" i="6"/>
  <c r="A1488" i="6"/>
  <c r="C1483" i="6"/>
  <c r="A1483" i="6"/>
  <c r="C1487" i="6"/>
  <c r="A1487" i="6"/>
  <c r="C1482" i="6"/>
  <c r="A1482" i="6"/>
  <c r="C1486" i="6"/>
  <c r="A1486" i="6"/>
  <c r="C935" i="6"/>
  <c r="A935" i="6"/>
  <c r="C1481" i="6"/>
  <c r="A1481" i="6"/>
  <c r="C1485" i="6"/>
  <c r="A1485" i="6"/>
  <c r="C1484" i="6"/>
  <c r="A1484" i="6"/>
  <c r="C1479" i="6"/>
  <c r="A1479" i="6"/>
  <c r="C934" i="6"/>
  <c r="A934" i="6"/>
  <c r="C933" i="6"/>
  <c r="A933" i="6"/>
  <c r="C932" i="6"/>
  <c r="A932" i="6"/>
  <c r="C931" i="6"/>
  <c r="A931" i="6"/>
  <c r="C930" i="6"/>
  <c r="A930" i="6"/>
  <c r="C706" i="6"/>
  <c r="A706" i="6"/>
  <c r="C468" i="6"/>
  <c r="A468" i="6"/>
  <c r="C929" i="6"/>
  <c r="A929" i="6"/>
  <c r="C707" i="6"/>
  <c r="A707" i="6"/>
  <c r="C463" i="6"/>
  <c r="A463" i="6"/>
  <c r="C927" i="6"/>
  <c r="A927" i="6"/>
  <c r="C926" i="6"/>
  <c r="A926" i="6"/>
  <c r="C925" i="6"/>
  <c r="A925" i="6"/>
  <c r="C399" i="6"/>
  <c r="A399" i="6"/>
  <c r="C675" i="6"/>
  <c r="A675" i="6"/>
  <c r="C924" i="6"/>
  <c r="A924" i="6"/>
  <c r="C923" i="6"/>
  <c r="A923" i="6"/>
  <c r="C922" i="6"/>
  <c r="A922" i="6"/>
  <c r="C921" i="6"/>
  <c r="A921" i="6"/>
  <c r="C397" i="6"/>
  <c r="A397" i="6"/>
  <c r="C920" i="6"/>
  <c r="A920" i="6"/>
  <c r="C919" i="6"/>
  <c r="A919" i="6"/>
  <c r="C918" i="6"/>
  <c r="A918" i="6"/>
  <c r="C916" i="6"/>
  <c r="A916" i="6"/>
  <c r="C481" i="6"/>
  <c r="A481" i="6"/>
  <c r="C1269" i="6"/>
  <c r="A1269" i="6"/>
  <c r="C1268" i="6"/>
  <c r="A1268" i="6"/>
  <c r="C464" i="6"/>
  <c r="A464" i="6"/>
  <c r="C915" i="6"/>
  <c r="A915" i="6"/>
  <c r="C462" i="6"/>
  <c r="A462" i="6"/>
  <c r="C461" i="6"/>
  <c r="A461" i="6"/>
  <c r="C465" i="6"/>
  <c r="A465" i="6"/>
  <c r="C1181" i="6"/>
  <c r="A1181" i="6"/>
  <c r="C1253" i="6"/>
  <c r="A1253" i="6"/>
  <c r="C467" i="6"/>
  <c r="A467" i="6"/>
  <c r="C914" i="6"/>
  <c r="A914" i="6"/>
  <c r="C398" i="6"/>
  <c r="A398" i="6"/>
  <c r="C787" i="6"/>
  <c r="A787" i="6"/>
  <c r="C466" i="6"/>
  <c r="A466" i="6"/>
  <c r="C1180" i="6"/>
  <c r="A1180" i="6"/>
  <c r="C913" i="6"/>
  <c r="A913" i="6"/>
  <c r="C912" i="6"/>
  <c r="A912" i="6"/>
  <c r="C460" i="6"/>
  <c r="A460" i="6"/>
  <c r="C164" i="6"/>
  <c r="A164" i="6"/>
  <c r="C183" i="6"/>
  <c r="A183" i="6"/>
  <c r="C911" i="6"/>
  <c r="A911" i="6"/>
  <c r="C910" i="6"/>
  <c r="A910" i="6"/>
  <c r="C216" i="6"/>
  <c r="A216" i="6"/>
  <c r="C909" i="6"/>
  <c r="A909" i="6"/>
  <c r="C182" i="6"/>
  <c r="A182" i="6"/>
  <c r="C908" i="6"/>
  <c r="A908" i="6"/>
  <c r="C174" i="6"/>
  <c r="A174" i="6"/>
  <c r="C181" i="6"/>
  <c r="A181" i="6"/>
  <c r="C169" i="6"/>
  <c r="A169" i="6"/>
  <c r="C907" i="6"/>
  <c r="A907" i="6"/>
  <c r="C657" i="6"/>
  <c r="A657" i="6"/>
  <c r="C170" i="6"/>
  <c r="A170" i="6"/>
  <c r="C168" i="6"/>
  <c r="A168" i="6"/>
  <c r="C186" i="6"/>
  <c r="A186" i="6"/>
  <c r="C180" i="6"/>
  <c r="A180" i="6"/>
  <c r="C179" i="6"/>
  <c r="A179" i="6"/>
  <c r="C167" i="6"/>
  <c r="A167" i="6"/>
  <c r="C1320" i="6"/>
  <c r="A1320" i="6"/>
  <c r="C184" i="6"/>
  <c r="A184" i="6"/>
  <c r="C166" i="6"/>
  <c r="A166" i="6"/>
  <c r="C178" i="6"/>
  <c r="A178" i="6"/>
  <c r="C177" i="6"/>
  <c r="A177" i="6"/>
  <c r="C176" i="6"/>
  <c r="A176" i="6"/>
  <c r="C175" i="6"/>
  <c r="A175" i="6"/>
  <c r="C1250" i="6"/>
  <c r="A1250" i="6"/>
  <c r="C905" i="6"/>
  <c r="A905" i="6"/>
  <c r="C904" i="6"/>
  <c r="A904" i="6"/>
  <c r="C173" i="6"/>
  <c r="A173" i="6"/>
  <c r="C172" i="6"/>
  <c r="A172" i="6"/>
  <c r="C171" i="6"/>
  <c r="A171" i="6"/>
  <c r="C903" i="6"/>
  <c r="A903" i="6"/>
  <c r="C902" i="6"/>
  <c r="A902" i="6"/>
  <c r="C901" i="6"/>
  <c r="A901" i="6"/>
  <c r="C900" i="6"/>
  <c r="A900" i="6"/>
  <c r="C1457" i="6"/>
  <c r="A1457" i="6"/>
  <c r="C1467" i="6"/>
  <c r="A1467" i="6"/>
  <c r="C899" i="6"/>
  <c r="A899" i="6"/>
  <c r="C898" i="6"/>
  <c r="A898" i="6"/>
  <c r="C897" i="6"/>
  <c r="A897" i="6"/>
  <c r="C896" i="6"/>
  <c r="A896" i="6"/>
  <c r="C185" i="6"/>
  <c r="A185" i="6"/>
  <c r="C1194" i="6"/>
  <c r="A1194" i="6"/>
  <c r="C165" i="6"/>
  <c r="A165" i="6"/>
  <c r="C894" i="6"/>
  <c r="A894" i="6"/>
  <c r="C5" i="6"/>
  <c r="A5" i="6"/>
  <c r="C6" i="6"/>
  <c r="A6" i="6"/>
  <c r="C893" i="6"/>
  <c r="A893" i="6"/>
  <c r="C892" i="6"/>
  <c r="A892" i="6"/>
  <c r="C1416" i="6"/>
  <c r="A1416" i="6"/>
  <c r="C1410" i="6"/>
  <c r="A1410" i="6"/>
  <c r="C1191" i="6"/>
  <c r="A1191" i="6"/>
  <c r="C891" i="6"/>
  <c r="A891" i="6"/>
  <c r="C1415" i="6"/>
  <c r="A1415" i="6"/>
  <c r="C1414" i="6"/>
  <c r="A1414" i="6"/>
  <c r="C890" i="6"/>
  <c r="A890" i="6"/>
  <c r="C889" i="6"/>
  <c r="A889" i="6"/>
  <c r="C1413" i="6"/>
  <c r="A1413" i="6"/>
  <c r="C1411" i="6"/>
  <c r="A1411" i="6"/>
  <c r="C1412" i="6"/>
  <c r="A1412" i="6"/>
  <c r="C1409" i="6"/>
  <c r="A1409" i="6"/>
  <c r="C888" i="6"/>
  <c r="A888" i="6"/>
  <c r="C1408" i="6"/>
  <c r="A1408" i="6"/>
  <c r="C1407" i="6"/>
  <c r="A1407" i="6"/>
  <c r="C1406" i="6"/>
  <c r="A1406" i="6"/>
  <c r="C1405" i="6"/>
  <c r="A1405" i="6"/>
  <c r="C1404" i="6"/>
  <c r="A1404" i="6"/>
  <c r="C1403" i="6"/>
  <c r="A1403" i="6"/>
  <c r="C1402" i="6"/>
  <c r="A1402" i="6"/>
  <c r="C1401" i="6"/>
  <c r="A1401" i="6"/>
  <c r="C1400" i="6"/>
  <c r="A1400" i="6"/>
  <c r="C1399" i="6"/>
  <c r="A1399" i="6"/>
  <c r="C887" i="6"/>
  <c r="A887" i="6"/>
  <c r="C1308" i="6"/>
  <c r="A1308" i="6"/>
  <c r="C478" i="6"/>
  <c r="A478" i="6"/>
  <c r="C1656" i="6"/>
  <c r="A1656" i="6"/>
  <c r="C1309" i="6"/>
  <c r="A1309" i="6"/>
  <c r="C473" i="6"/>
  <c r="A473" i="6"/>
  <c r="C1307" i="6"/>
  <c r="A1307" i="6"/>
  <c r="C886" i="6"/>
  <c r="A886" i="6"/>
  <c r="C884" i="6"/>
  <c r="A884" i="6"/>
  <c r="C883" i="6"/>
  <c r="A883" i="6"/>
  <c r="C1298" i="6"/>
  <c r="A1298" i="6"/>
  <c r="C476" i="6"/>
  <c r="A476" i="6"/>
  <c r="C458" i="6"/>
  <c r="A458" i="6"/>
  <c r="C881" i="6"/>
  <c r="A881" i="6"/>
  <c r="C882" i="6"/>
  <c r="A882" i="6"/>
  <c r="C475" i="6"/>
  <c r="A475" i="6"/>
  <c r="C472" i="6"/>
  <c r="A472" i="6"/>
  <c r="C474" i="6"/>
  <c r="A474" i="6"/>
  <c r="C1306" i="6"/>
  <c r="A1306" i="6"/>
  <c r="C1317" i="6"/>
  <c r="A1317" i="6"/>
  <c r="C1310" i="6"/>
  <c r="A1310" i="6"/>
  <c r="C469" i="6"/>
  <c r="A469" i="6"/>
  <c r="C880" i="6"/>
  <c r="A880" i="6"/>
  <c r="C471" i="6"/>
  <c r="A471" i="6"/>
  <c r="C477" i="6"/>
  <c r="A477" i="6"/>
  <c r="C1318" i="6"/>
  <c r="A1318" i="6"/>
  <c r="C1316" i="6"/>
  <c r="A1316" i="6"/>
  <c r="C470" i="6"/>
  <c r="A470" i="6"/>
  <c r="C1305" i="6"/>
  <c r="A1305" i="6"/>
  <c r="C1304" i="6"/>
  <c r="A1304" i="6"/>
  <c r="C739" i="6"/>
  <c r="A739" i="6"/>
  <c r="C879" i="6"/>
  <c r="A879" i="6"/>
  <c r="C878" i="6"/>
  <c r="A878" i="6"/>
  <c r="C877" i="6"/>
  <c r="A877" i="6"/>
  <c r="C876" i="6"/>
  <c r="A876" i="6"/>
  <c r="C676" i="6"/>
  <c r="A676" i="6"/>
  <c r="C1315" i="6"/>
  <c r="A1315" i="6"/>
  <c r="C459" i="6"/>
  <c r="A459" i="6"/>
  <c r="C1303" i="6"/>
  <c r="A1303" i="6"/>
  <c r="C875" i="6"/>
  <c r="A875" i="6"/>
  <c r="C873" i="6"/>
  <c r="A873" i="6"/>
  <c r="C1311" i="6"/>
  <c r="A1311" i="6"/>
  <c r="C1319" i="6"/>
  <c r="A1319" i="6"/>
  <c r="C872" i="6"/>
  <c r="A872" i="6"/>
  <c r="C1178" i="6"/>
  <c r="A1178" i="6"/>
  <c r="C1182" i="6"/>
  <c r="A1182" i="6"/>
  <c r="C1184" i="6"/>
  <c r="A1184" i="6"/>
  <c r="C1297" i="6"/>
  <c r="A1297" i="6"/>
  <c r="C871" i="6"/>
  <c r="A871" i="6"/>
  <c r="C1296" i="6"/>
  <c r="A1296" i="6"/>
  <c r="C1295" i="6"/>
  <c r="A1295" i="6"/>
  <c r="C870" i="6"/>
  <c r="A870" i="6"/>
  <c r="C869" i="6"/>
  <c r="A869" i="6"/>
  <c r="C868" i="6"/>
  <c r="A868" i="6"/>
  <c r="C867" i="6"/>
  <c r="A867" i="6"/>
  <c r="C866" i="6"/>
  <c r="A866" i="6"/>
  <c r="C865" i="6"/>
  <c r="A865" i="6"/>
  <c r="C864" i="6"/>
  <c r="A864" i="6"/>
  <c r="C862" i="6"/>
  <c r="A862" i="6"/>
  <c r="C861" i="6"/>
  <c r="A861" i="6"/>
  <c r="C860" i="6"/>
  <c r="A860" i="6"/>
  <c r="C859" i="6"/>
  <c r="A859" i="6"/>
  <c r="C858" i="6"/>
  <c r="A858" i="6"/>
  <c r="C857" i="6"/>
  <c r="A857" i="6"/>
  <c r="C1314" i="6"/>
  <c r="A1314" i="6"/>
  <c r="C1366" i="6"/>
  <c r="A1366" i="6"/>
  <c r="C1362" i="6"/>
  <c r="A1362" i="6"/>
  <c r="C1358" i="6"/>
  <c r="A1358" i="6"/>
  <c r="C1357" i="6"/>
  <c r="A1357" i="6"/>
  <c r="C856" i="6"/>
  <c r="A856" i="6"/>
  <c r="C1359" i="6"/>
  <c r="A1359" i="6"/>
  <c r="C1356" i="6"/>
  <c r="A1356" i="6"/>
  <c r="C1355" i="6"/>
  <c r="A1355" i="6"/>
  <c r="C1360" i="6"/>
  <c r="A1360" i="6"/>
  <c r="C1361" i="6"/>
  <c r="A1361" i="6"/>
  <c r="C1368" i="6"/>
  <c r="A1368" i="6"/>
  <c r="C1367" i="6"/>
  <c r="A1367" i="6"/>
  <c r="C1364" i="6"/>
  <c r="A1364" i="6"/>
  <c r="C1365" i="6"/>
  <c r="A1365" i="6"/>
  <c r="C1363" i="6"/>
  <c r="A1363" i="6"/>
  <c r="C1354" i="6"/>
  <c r="A1354" i="6"/>
  <c r="C609" i="6"/>
  <c r="A609" i="6"/>
  <c r="C608" i="6"/>
  <c r="A608" i="6"/>
  <c r="C605" i="6"/>
  <c r="A605" i="6"/>
  <c r="C607" i="6"/>
  <c r="A607" i="6"/>
  <c r="C606" i="6"/>
  <c r="A606" i="6"/>
  <c r="C1300" i="6"/>
  <c r="A1300" i="6"/>
  <c r="C604" i="6"/>
  <c r="A604" i="6"/>
  <c r="C276" i="6"/>
  <c r="A276" i="6"/>
  <c r="C275" i="6"/>
  <c r="A275" i="6"/>
  <c r="C1517" i="6"/>
  <c r="A1517" i="6"/>
  <c r="C274" i="6"/>
  <c r="A274" i="6"/>
  <c r="C269" i="6"/>
  <c r="A269" i="6"/>
  <c r="C264" i="6"/>
  <c r="A264" i="6"/>
  <c r="C263" i="6"/>
  <c r="A263" i="6"/>
  <c r="C262" i="6"/>
  <c r="A262" i="6"/>
  <c r="C272" i="6"/>
  <c r="A272" i="6"/>
  <c r="C271" i="6"/>
  <c r="A271" i="6"/>
  <c r="C261" i="6"/>
  <c r="A261" i="6"/>
  <c r="C266" i="6"/>
  <c r="A266" i="6"/>
  <c r="C260" i="6"/>
  <c r="A260" i="6"/>
  <c r="C270" i="6"/>
  <c r="A270" i="6"/>
  <c r="C855" i="6"/>
  <c r="A855" i="6"/>
  <c r="C1516" i="6"/>
  <c r="A1516" i="6"/>
  <c r="C268" i="6"/>
  <c r="A268" i="6"/>
  <c r="C273" i="6"/>
  <c r="A273" i="6"/>
  <c r="C279" i="6"/>
  <c r="A279" i="6"/>
  <c r="C265" i="6"/>
  <c r="A265" i="6"/>
  <c r="C259" i="6"/>
  <c r="A259" i="6"/>
  <c r="C258" i="6"/>
  <c r="A258" i="6"/>
  <c r="C278" i="6"/>
  <c r="A278" i="6"/>
  <c r="C257" i="6"/>
  <c r="A257" i="6"/>
  <c r="C267" i="6"/>
  <c r="A267" i="6"/>
  <c r="C277" i="6"/>
  <c r="A277" i="6"/>
  <c r="C256" i="6"/>
  <c r="A256" i="6"/>
  <c r="C1515" i="6"/>
  <c r="A1515" i="6"/>
  <c r="C1514" i="6"/>
  <c r="A1514" i="6"/>
  <c r="C1513" i="6"/>
  <c r="A1513" i="6"/>
  <c r="C255" i="6"/>
  <c r="A255" i="6"/>
  <c r="C581" i="6"/>
  <c r="A581" i="6"/>
  <c r="C580" i="6"/>
  <c r="A580" i="6"/>
  <c r="C579" i="6"/>
  <c r="A579" i="6"/>
  <c r="C674" i="6"/>
  <c r="A674" i="6"/>
  <c r="C673" i="6"/>
  <c r="A673" i="6"/>
  <c r="C672" i="6"/>
  <c r="A672" i="6"/>
  <c r="C671" i="6"/>
  <c r="A671" i="6"/>
  <c r="C1628" i="6"/>
  <c r="A1628" i="6"/>
  <c r="C1627" i="6"/>
  <c r="A1627" i="6"/>
  <c r="C1621" i="6"/>
  <c r="A1621" i="6"/>
  <c r="C1613" i="6"/>
  <c r="A1613" i="6"/>
  <c r="C1624" i="6"/>
  <c r="A1624" i="6"/>
  <c r="C1623" i="6"/>
  <c r="A1623" i="6"/>
  <c r="C1626" i="6"/>
  <c r="A1626" i="6"/>
  <c r="C1622" i="6"/>
  <c r="A1622" i="6"/>
  <c r="C1629" i="6"/>
  <c r="A1629" i="6"/>
  <c r="C1620" i="6"/>
  <c r="A1620" i="6"/>
  <c r="C1619" i="6"/>
  <c r="A1619" i="6"/>
  <c r="C1618" i="6"/>
  <c r="A1618" i="6"/>
  <c r="C1617" i="6"/>
  <c r="A1617" i="6"/>
  <c r="C1616" i="6"/>
  <c r="A1616" i="6"/>
  <c r="C1625" i="6"/>
  <c r="A1625" i="6"/>
  <c r="C1615" i="6"/>
  <c r="A1615" i="6"/>
  <c r="C1614" i="6"/>
  <c r="A1614" i="6"/>
  <c r="C1612" i="6"/>
  <c r="A1612" i="6"/>
  <c r="C1611" i="6"/>
  <c r="A1611" i="6"/>
  <c r="C1610" i="6"/>
  <c r="A1610" i="6"/>
  <c r="C1609" i="6"/>
  <c r="A1609" i="6"/>
  <c r="C229" i="6"/>
  <c r="A229" i="6"/>
  <c r="C228" i="6"/>
  <c r="A228" i="6"/>
  <c r="C227" i="6"/>
  <c r="A227" i="6"/>
  <c r="C226" i="6"/>
  <c r="A226" i="6"/>
  <c r="C225" i="6"/>
  <c r="A225" i="6"/>
  <c r="C224" i="6"/>
  <c r="A224" i="6"/>
  <c r="C223" i="6"/>
  <c r="A223" i="6"/>
  <c r="C222" i="6"/>
  <c r="A222" i="6"/>
  <c r="C221" i="6"/>
  <c r="A221" i="6"/>
  <c r="C220" i="6"/>
  <c r="A220" i="6"/>
  <c r="C219" i="6"/>
  <c r="A219" i="6"/>
  <c r="C218" i="6"/>
  <c r="A218" i="6"/>
  <c r="C217" i="6"/>
  <c r="A217" i="6"/>
  <c r="C9" i="6"/>
  <c r="A9" i="6"/>
  <c r="C8" i="6"/>
  <c r="A8" i="6"/>
  <c r="C295" i="6"/>
  <c r="A295" i="6"/>
  <c r="C294" i="6"/>
  <c r="A294" i="6"/>
  <c r="C292" i="6"/>
  <c r="A292" i="6"/>
  <c r="C290" i="6"/>
  <c r="A290" i="6"/>
  <c r="C291" i="6"/>
  <c r="A291" i="6"/>
  <c r="C289" i="6"/>
  <c r="A289" i="6"/>
  <c r="C288" i="6"/>
  <c r="A288" i="6"/>
  <c r="C287" i="6"/>
  <c r="A287" i="6"/>
  <c r="C854" i="6"/>
  <c r="A854" i="6"/>
  <c r="C293" i="6"/>
  <c r="A293" i="6"/>
  <c r="C296" i="6"/>
  <c r="A296" i="6"/>
  <c r="C286" i="6"/>
  <c r="A286" i="6"/>
  <c r="C285" i="6"/>
  <c r="A285" i="6"/>
  <c r="C284" i="6"/>
  <c r="A284" i="6"/>
  <c r="C297" i="6"/>
  <c r="A297" i="6"/>
  <c r="C283" i="6"/>
  <c r="A283" i="6"/>
  <c r="C282" i="6"/>
  <c r="A282" i="6"/>
  <c r="C281" i="6"/>
  <c r="A281" i="6"/>
  <c r="C852" i="6"/>
  <c r="A852" i="6"/>
  <c r="C280" i="6"/>
  <c r="A280" i="6"/>
  <c r="C22" i="6"/>
  <c r="A22" i="6"/>
  <c r="C23" i="6"/>
  <c r="A23" i="6"/>
  <c r="C18" i="6"/>
  <c r="A18" i="6"/>
  <c r="C17" i="6"/>
  <c r="A17" i="6"/>
  <c r="C16" i="6"/>
  <c r="A16" i="6"/>
  <c r="C15" i="6"/>
  <c r="A15" i="6"/>
  <c r="C24" i="6"/>
  <c r="A24" i="6"/>
  <c r="C21" i="6"/>
  <c r="A21" i="6"/>
  <c r="C19" i="6"/>
  <c r="A19" i="6"/>
  <c r="C20" i="6"/>
  <c r="A20" i="6"/>
  <c r="C11" i="6"/>
  <c r="A11" i="6"/>
  <c r="C14" i="6"/>
  <c r="A14" i="6"/>
  <c r="C13" i="6"/>
  <c r="A13" i="6"/>
  <c r="C10" i="6"/>
  <c r="A10" i="6"/>
  <c r="C12" i="6"/>
  <c r="A12" i="6"/>
  <c r="C7" i="6"/>
  <c r="A7" i="6"/>
  <c r="C1301" i="6"/>
  <c r="A1301" i="6"/>
  <c r="C1294" i="6"/>
  <c r="A1294" i="6"/>
  <c r="C851" i="6"/>
  <c r="A851" i="6"/>
  <c r="C850" i="6"/>
  <c r="A850" i="6"/>
  <c r="C849" i="6"/>
  <c r="A849" i="6"/>
  <c r="C848" i="6"/>
  <c r="A848" i="6"/>
  <c r="C740" i="6"/>
  <c r="A740" i="6"/>
  <c r="C773" i="6"/>
  <c r="A773" i="6"/>
  <c r="C847" i="6"/>
  <c r="A847" i="6"/>
  <c r="C738" i="6"/>
  <c r="A738" i="6"/>
  <c r="C737" i="6"/>
  <c r="A737" i="6"/>
  <c r="C846" i="6"/>
  <c r="A846" i="6"/>
  <c r="C845" i="6"/>
  <c r="A845" i="6"/>
  <c r="C844" i="6"/>
  <c r="A844" i="6"/>
  <c r="C1293" i="6"/>
  <c r="A1293" i="6"/>
  <c r="C843" i="6"/>
  <c r="A843" i="6"/>
  <c r="C841" i="6"/>
  <c r="A841" i="6"/>
  <c r="C840" i="6"/>
  <c r="A840" i="6"/>
  <c r="C1512" i="6"/>
  <c r="A1512" i="6"/>
  <c r="C839" i="6"/>
  <c r="A839" i="6"/>
  <c r="C838" i="6"/>
  <c r="A838" i="6"/>
  <c r="C717" i="6"/>
  <c r="A717" i="6"/>
  <c r="C786" i="6"/>
  <c r="A786" i="6"/>
  <c r="C766" i="6"/>
  <c r="A766" i="6"/>
  <c r="C769" i="6"/>
  <c r="A769" i="6"/>
  <c r="C669" i="6"/>
  <c r="A669" i="6"/>
  <c r="C680" i="6"/>
  <c r="A680" i="6"/>
  <c r="C837" i="6"/>
  <c r="A837" i="6"/>
  <c r="C836" i="6"/>
  <c r="A836" i="6"/>
  <c r="C835" i="6"/>
  <c r="A835" i="6"/>
  <c r="C1292" i="6"/>
  <c r="A1292" i="6"/>
  <c r="C834" i="6"/>
  <c r="A834" i="6"/>
  <c r="C833" i="6"/>
  <c r="A833" i="6"/>
  <c r="C832" i="6"/>
  <c r="A832" i="6"/>
  <c r="C1302" i="6"/>
  <c r="A1302" i="6"/>
  <c r="C715" i="6"/>
  <c r="A715" i="6"/>
  <c r="C1291" i="6"/>
  <c r="A1291" i="6"/>
  <c r="C830" i="6"/>
  <c r="A830" i="6"/>
  <c r="C829" i="6"/>
  <c r="A829" i="6"/>
  <c r="C723" i="6"/>
  <c r="A723" i="6"/>
  <c r="C522" i="6"/>
  <c r="A522" i="6"/>
  <c r="C527" i="6"/>
  <c r="A527" i="6"/>
  <c r="C714" i="6"/>
  <c r="A714" i="6"/>
  <c r="C772" i="6"/>
  <c r="A772" i="6"/>
  <c r="C770" i="6"/>
  <c r="A770" i="6"/>
  <c r="C767" i="6"/>
  <c r="A767" i="6"/>
  <c r="C785" i="6"/>
  <c r="A785" i="6"/>
  <c r="C736" i="6"/>
  <c r="A736" i="6"/>
  <c r="C784" i="6"/>
  <c r="A784" i="6"/>
  <c r="C726" i="6"/>
  <c r="A726" i="6"/>
  <c r="C526" i="6"/>
  <c r="A526" i="6"/>
  <c r="C783" i="6"/>
  <c r="A783" i="6"/>
  <c r="C727" i="6"/>
  <c r="A727" i="6"/>
  <c r="C521" i="6"/>
  <c r="A521" i="6"/>
  <c r="C782" i="6"/>
  <c r="A782" i="6"/>
  <c r="C781" i="6"/>
  <c r="A781" i="6"/>
  <c r="C828" i="6"/>
  <c r="A828" i="6"/>
  <c r="C722" i="6"/>
  <c r="A722" i="6"/>
  <c r="C1466" i="6"/>
  <c r="A1466" i="6"/>
  <c r="C1465" i="6"/>
  <c r="A1465" i="6"/>
  <c r="C1464" i="6"/>
  <c r="A1464" i="6"/>
  <c r="C1463" i="6"/>
  <c r="A1463" i="6"/>
  <c r="C751" i="6"/>
  <c r="A751" i="6"/>
  <c r="C721" i="6"/>
  <c r="A721" i="6"/>
  <c r="C735" i="6"/>
  <c r="A735" i="6"/>
  <c r="C827" i="6"/>
  <c r="A827" i="6"/>
  <c r="C826" i="6"/>
  <c r="A826" i="6"/>
  <c r="C708" i="6"/>
  <c r="A708" i="6"/>
  <c r="C757" i="6"/>
  <c r="A757" i="6"/>
  <c r="C725" i="6"/>
  <c r="A725" i="6"/>
  <c r="C780" i="6"/>
  <c r="A780" i="6"/>
  <c r="C750" i="6"/>
  <c r="A750" i="6"/>
  <c r="C779" i="6"/>
  <c r="A779" i="6"/>
  <c r="C720" i="6"/>
  <c r="A720" i="6"/>
  <c r="C525" i="6"/>
  <c r="A525" i="6"/>
  <c r="C825" i="6"/>
  <c r="A825" i="6"/>
  <c r="C824" i="6"/>
  <c r="A824" i="6"/>
  <c r="C823" i="6"/>
  <c r="A823" i="6"/>
  <c r="C822" i="6"/>
  <c r="A822" i="6"/>
  <c r="C1290" i="6"/>
  <c r="A1290" i="6"/>
  <c r="C1289" i="6"/>
  <c r="A1289" i="6"/>
  <c r="C821" i="6"/>
  <c r="A821" i="6"/>
  <c r="C819" i="6"/>
  <c r="A819" i="6"/>
  <c r="C818" i="6"/>
  <c r="A818" i="6"/>
  <c r="C817" i="6"/>
  <c r="A817" i="6"/>
  <c r="C1288" i="6"/>
  <c r="A1288" i="6"/>
  <c r="C816" i="6"/>
  <c r="A816" i="6"/>
  <c r="C815" i="6"/>
  <c r="A815" i="6"/>
  <c r="C668" i="6"/>
  <c r="A668" i="6"/>
  <c r="C748" i="6"/>
  <c r="A748" i="6"/>
  <c r="C524" i="6"/>
  <c r="A524" i="6"/>
  <c r="C814" i="6"/>
  <c r="A814" i="6"/>
  <c r="C744" i="6"/>
  <c r="A744" i="6"/>
  <c r="C741" i="6"/>
  <c r="A741" i="6"/>
  <c r="C734" i="6"/>
  <c r="A734" i="6"/>
  <c r="C813" i="6"/>
  <c r="A813" i="6"/>
  <c r="C728" i="6"/>
  <c r="A728" i="6"/>
  <c r="C74" i="6"/>
  <c r="A74" i="6"/>
  <c r="C812" i="6"/>
  <c r="A812" i="6"/>
  <c r="C811" i="6"/>
  <c r="A811" i="6"/>
  <c r="C713" i="6"/>
  <c r="A713" i="6"/>
  <c r="C747" i="6"/>
  <c r="A747" i="6"/>
  <c r="C1511" i="6"/>
  <c r="A1511" i="6"/>
  <c r="C712" i="6"/>
  <c r="A712" i="6"/>
  <c r="C810" i="6"/>
  <c r="A810" i="6"/>
  <c r="C1188" i="6"/>
  <c r="A1188" i="6"/>
  <c r="C1287" i="6"/>
  <c r="A1287" i="6"/>
  <c r="C1196" i="6"/>
  <c r="A1196" i="6"/>
  <c r="C1195" i="6"/>
  <c r="A1195" i="6"/>
  <c r="C733" i="6"/>
  <c r="A733" i="6"/>
  <c r="C711" i="6"/>
  <c r="A711" i="6"/>
  <c r="C732" i="6"/>
  <c r="A732" i="6"/>
  <c r="C731" i="6"/>
  <c r="A731" i="6"/>
  <c r="C808" i="6"/>
  <c r="A808" i="6"/>
  <c r="C716" i="6"/>
  <c r="A716" i="6"/>
  <c r="C765" i="6"/>
  <c r="A765" i="6"/>
  <c r="C745" i="6"/>
  <c r="A745" i="6"/>
  <c r="C778" i="6"/>
  <c r="A778" i="6"/>
  <c r="C730" i="6"/>
  <c r="A730" i="6"/>
  <c r="C523" i="6"/>
  <c r="A523" i="6"/>
  <c r="C777" i="6"/>
  <c r="A777" i="6"/>
  <c r="C776" i="6"/>
  <c r="A776" i="6"/>
  <c r="C528" i="6"/>
  <c r="A528" i="6"/>
  <c r="C710" i="6"/>
  <c r="A710" i="6"/>
  <c r="C807" i="6"/>
  <c r="A807" i="6"/>
  <c r="C1286" i="6"/>
  <c r="A1286" i="6"/>
  <c r="C775" i="6"/>
  <c r="A775" i="6"/>
  <c r="C749" i="6"/>
  <c r="A749" i="6"/>
  <c r="C519" i="6"/>
  <c r="A519" i="6"/>
  <c r="C758" i="6"/>
  <c r="A758" i="6"/>
  <c r="C764" i="6"/>
  <c r="A764" i="6"/>
  <c r="C763" i="6"/>
  <c r="A763" i="6"/>
  <c r="C743" i="6"/>
  <c r="A743" i="6"/>
  <c r="C742" i="6"/>
  <c r="A742" i="6"/>
  <c r="C729" i="6"/>
  <c r="A729" i="6"/>
  <c r="C724" i="6"/>
  <c r="A724" i="6"/>
  <c r="C746" i="6"/>
  <c r="A746" i="6"/>
  <c r="C762" i="6"/>
  <c r="A762" i="6"/>
  <c r="C520" i="6"/>
  <c r="A520" i="6"/>
  <c r="C719" i="6"/>
  <c r="A719" i="6"/>
  <c r="C761" i="6"/>
  <c r="A761" i="6"/>
  <c r="C771" i="6"/>
  <c r="A771" i="6"/>
  <c r="C760" i="6"/>
  <c r="A760" i="6"/>
  <c r="C759" i="6"/>
  <c r="A759" i="6"/>
  <c r="C774" i="6"/>
  <c r="A774" i="6"/>
  <c r="C806" i="6"/>
  <c r="A806" i="6"/>
  <c r="C709" i="6"/>
  <c r="A709" i="6"/>
  <c r="C718" i="6"/>
  <c r="A718" i="6"/>
  <c r="C805" i="6"/>
  <c r="A805" i="6"/>
  <c r="C1462" i="6"/>
  <c r="A1462" i="6"/>
  <c r="C1285" i="6"/>
  <c r="A1285" i="6"/>
  <c r="C1284" i="6"/>
  <c r="A1284" i="6"/>
  <c r="C804" i="6"/>
  <c r="A804" i="6"/>
  <c r="C803" i="6"/>
  <c r="A803" i="6"/>
  <c r="C1283" i="6"/>
  <c r="A1283" i="6"/>
  <c r="C1282" i="6"/>
  <c r="A1282" i="6"/>
  <c r="C1281" i="6"/>
  <c r="A1281" i="6"/>
  <c r="C802" i="6"/>
  <c r="A802" i="6"/>
  <c r="C1280" i="6"/>
  <c r="A1280" i="6"/>
  <c r="C801" i="6"/>
  <c r="A801" i="6"/>
  <c r="C1279" i="6"/>
  <c r="A1279" i="6"/>
  <c r="C800" i="6"/>
  <c r="A800" i="6"/>
  <c r="C1278" i="6"/>
  <c r="A1278" i="6"/>
  <c r="C1277" i="6"/>
  <c r="A1277" i="6"/>
  <c r="C799" i="6"/>
  <c r="A799" i="6"/>
  <c r="C1276" i="6"/>
  <c r="A1276" i="6"/>
  <c r="C1249" i="6"/>
  <c r="A1249" i="6"/>
  <c r="C1248" i="6"/>
  <c r="A1248" i="6"/>
  <c r="C1247" i="6"/>
  <c r="A1247" i="6"/>
  <c r="C1246" i="6"/>
  <c r="A1246" i="6"/>
  <c r="C1245" i="6"/>
  <c r="A1245" i="6"/>
  <c r="C1244" i="6"/>
  <c r="A1244" i="6"/>
  <c r="C1275" i="6"/>
  <c r="A1275" i="6"/>
  <c r="C1243" i="6"/>
  <c r="A1243" i="6"/>
  <c r="C1272" i="6"/>
  <c r="A1272" i="6"/>
  <c r="C752" i="6"/>
  <c r="A752" i="6"/>
  <c r="C115" i="6"/>
  <c r="A115" i="6"/>
  <c r="C113" i="6"/>
  <c r="A113" i="6"/>
  <c r="C112" i="6"/>
  <c r="A112" i="6"/>
  <c r="C114" i="6"/>
  <c r="A114" i="6"/>
  <c r="C106" i="6"/>
  <c r="A106" i="6"/>
  <c r="C111" i="6"/>
  <c r="A111" i="6"/>
  <c r="C110" i="6"/>
  <c r="A110" i="6"/>
  <c r="C109" i="6"/>
  <c r="A109" i="6"/>
  <c r="C105" i="6"/>
  <c r="A105" i="6"/>
  <c r="C108" i="6"/>
  <c r="A108" i="6"/>
  <c r="C104" i="6"/>
  <c r="A104" i="6"/>
  <c r="C107" i="6"/>
  <c r="A107" i="6"/>
  <c r="C103" i="6"/>
  <c r="A103" i="6"/>
  <c r="C588" i="6"/>
  <c r="A588" i="6"/>
  <c r="C1242" i="6"/>
  <c r="A1242" i="6"/>
  <c r="C587" i="6"/>
  <c r="A587" i="6"/>
  <c r="C583" i="6"/>
  <c r="A583" i="6"/>
  <c r="C586" i="6"/>
  <c r="A586" i="6"/>
  <c r="C585" i="6"/>
  <c r="A585" i="6"/>
  <c r="C1183" i="6"/>
  <c r="A1183" i="6"/>
  <c r="C584" i="6"/>
  <c r="A584" i="6"/>
  <c r="C582" i="6"/>
  <c r="A582" i="6"/>
  <c r="C34" i="6"/>
  <c r="A34" i="6"/>
  <c r="C37" i="6"/>
  <c r="A37" i="6"/>
  <c r="C32" i="6"/>
  <c r="A32" i="6"/>
  <c r="C30" i="6"/>
  <c r="A30" i="6"/>
  <c r="C36" i="6"/>
  <c r="A36" i="6"/>
  <c r="C1267" i="6"/>
  <c r="A1267" i="6"/>
  <c r="C29" i="6"/>
  <c r="A29" i="6"/>
  <c r="C35" i="6"/>
  <c r="A35" i="6"/>
  <c r="C38" i="6"/>
  <c r="A38" i="6"/>
  <c r="C31" i="6"/>
  <c r="A31" i="6"/>
  <c r="C28" i="6"/>
  <c r="A28" i="6"/>
  <c r="C33" i="6"/>
  <c r="A33" i="6"/>
  <c r="C27" i="6"/>
  <c r="A27" i="6"/>
  <c r="C1241" i="6"/>
  <c r="A1241" i="6"/>
  <c r="C26" i="6"/>
  <c r="A26" i="6"/>
  <c r="C25" i="6"/>
  <c r="A25" i="6"/>
  <c r="C140" i="6"/>
  <c r="A140" i="6"/>
  <c r="C131" i="6"/>
  <c r="A131" i="6"/>
  <c r="C1504" i="6"/>
  <c r="A1504" i="6"/>
  <c r="C158" i="6"/>
  <c r="A158" i="6"/>
  <c r="C126" i="6"/>
  <c r="A126" i="6"/>
  <c r="C124" i="6"/>
  <c r="A124" i="6"/>
  <c r="C157" i="6"/>
  <c r="A157" i="6"/>
  <c r="C135" i="6"/>
  <c r="A135" i="6"/>
  <c r="C130" i="6"/>
  <c r="A130" i="6"/>
  <c r="C123" i="6"/>
  <c r="A123" i="6"/>
  <c r="C122" i="6"/>
  <c r="A122" i="6"/>
  <c r="C139" i="6"/>
  <c r="A139" i="6"/>
  <c r="C134" i="6"/>
  <c r="A134" i="6"/>
  <c r="C156" i="6"/>
  <c r="A156" i="6"/>
  <c r="C129" i="6"/>
  <c r="A129" i="6"/>
  <c r="C155" i="6"/>
  <c r="A155" i="6"/>
  <c r="C142" i="6"/>
  <c r="A142" i="6"/>
  <c r="C133" i="6"/>
  <c r="A133" i="6"/>
  <c r="C132" i="6"/>
  <c r="A132" i="6"/>
  <c r="C154" i="6"/>
  <c r="A154" i="6"/>
  <c r="C153" i="6"/>
  <c r="A153" i="6"/>
  <c r="C1274" i="6"/>
  <c r="A1274" i="6"/>
  <c r="C1240" i="6"/>
  <c r="A1240" i="6"/>
  <c r="C1273" i="6"/>
  <c r="A1273" i="6"/>
  <c r="C1239" i="6"/>
  <c r="A1239" i="6"/>
  <c r="C1238" i="6"/>
  <c r="A1238" i="6"/>
  <c r="C136" i="6"/>
  <c r="A136" i="6"/>
  <c r="C152" i="6"/>
  <c r="A152" i="6"/>
  <c r="C121" i="6"/>
  <c r="A121" i="6"/>
  <c r="C151" i="6"/>
  <c r="A151" i="6"/>
  <c r="C161" i="6"/>
  <c r="A161" i="6"/>
  <c r="C141" i="6"/>
  <c r="A141" i="6"/>
  <c r="C128" i="6"/>
  <c r="A128" i="6"/>
  <c r="C150" i="6"/>
  <c r="A150" i="6"/>
  <c r="C137" i="6"/>
  <c r="A137" i="6"/>
  <c r="C58" i="6"/>
  <c r="A58" i="6"/>
  <c r="C120" i="6"/>
  <c r="A120" i="6"/>
  <c r="C149" i="6"/>
  <c r="A149" i="6"/>
  <c r="C138" i="6"/>
  <c r="A138" i="6"/>
  <c r="C119" i="6"/>
  <c r="A119" i="6"/>
  <c r="C148" i="6"/>
  <c r="A148" i="6"/>
  <c r="C147" i="6"/>
  <c r="A147" i="6"/>
  <c r="C146" i="6"/>
  <c r="A146" i="6"/>
  <c r="C125" i="6"/>
  <c r="A125" i="6"/>
  <c r="C127" i="6"/>
  <c r="A127" i="6"/>
  <c r="C145" i="6"/>
  <c r="A145" i="6"/>
  <c r="C143" i="6"/>
  <c r="A143" i="6"/>
  <c r="C705" i="6"/>
  <c r="A705" i="6"/>
  <c r="C144" i="6"/>
  <c r="A144" i="6"/>
  <c r="C118" i="6"/>
  <c r="A118" i="6"/>
  <c r="C390" i="6"/>
  <c r="A390" i="6"/>
  <c r="C117" i="6"/>
  <c r="A117" i="6"/>
  <c r="C163" i="6"/>
  <c r="A163" i="6"/>
  <c r="C162" i="6"/>
  <c r="A162" i="6"/>
  <c r="C160" i="6"/>
  <c r="A160" i="6"/>
  <c r="C159" i="6"/>
  <c r="A159" i="6"/>
  <c r="C116" i="6"/>
  <c r="A116" i="6"/>
  <c r="C451" i="6"/>
  <c r="A451" i="6"/>
  <c r="C450" i="6"/>
  <c r="A450" i="6"/>
  <c r="C448" i="6"/>
  <c r="A448" i="6"/>
  <c r="C447" i="6"/>
  <c r="A447" i="6"/>
  <c r="C446" i="6"/>
  <c r="A446" i="6"/>
  <c r="C449" i="6"/>
  <c r="A449" i="6"/>
  <c r="C445" i="6"/>
  <c r="A445" i="6"/>
  <c r="C543" i="6"/>
  <c r="A543" i="6"/>
  <c r="C542" i="6"/>
  <c r="A542" i="6"/>
  <c r="C541" i="6"/>
  <c r="A541" i="6"/>
  <c r="C545" i="6"/>
  <c r="A545" i="6"/>
  <c r="C540" i="6"/>
  <c r="A540" i="6"/>
  <c r="C539" i="6"/>
  <c r="A539" i="6"/>
  <c r="C544" i="6"/>
  <c r="A544" i="6"/>
  <c r="C538" i="6"/>
  <c r="A538" i="6"/>
  <c r="C537" i="6"/>
  <c r="A537" i="6"/>
  <c r="C536" i="6"/>
  <c r="A536" i="6"/>
  <c r="C1461" i="6"/>
  <c r="A1461" i="6"/>
  <c r="C535" i="6"/>
  <c r="A535" i="6"/>
  <c r="C534" i="6"/>
  <c r="A534" i="6"/>
  <c r="C533" i="6"/>
  <c r="A533" i="6"/>
  <c r="C532" i="6"/>
  <c r="A532" i="6"/>
  <c r="C531" i="6"/>
  <c r="A531" i="6"/>
  <c r="C530" i="6"/>
  <c r="A530" i="6"/>
  <c r="C529" i="6"/>
  <c r="A529" i="6"/>
  <c r="C1606" i="6"/>
  <c r="A1606" i="6"/>
  <c r="C1608" i="6"/>
  <c r="A1608" i="6"/>
  <c r="C1604" i="6"/>
  <c r="A1604" i="6"/>
  <c r="C1602" i="6"/>
  <c r="A1602" i="6"/>
  <c r="C1601" i="6"/>
  <c r="A1601" i="6"/>
  <c r="C1596" i="6"/>
  <c r="A1596" i="6"/>
  <c r="C1595" i="6"/>
  <c r="A1595" i="6"/>
  <c r="C1594" i="6"/>
  <c r="A1594" i="6"/>
  <c r="C1593" i="6"/>
  <c r="A1593" i="6"/>
  <c r="C1592" i="6"/>
  <c r="A1592" i="6"/>
  <c r="C1591" i="6"/>
  <c r="A1591" i="6"/>
  <c r="C1590" i="6"/>
  <c r="A1590" i="6"/>
  <c r="C1589" i="6"/>
  <c r="A1589" i="6"/>
  <c r="C1587" i="6"/>
  <c r="A1587" i="6"/>
  <c r="C1603" i="6"/>
  <c r="A1603" i="6"/>
  <c r="C1586" i="6"/>
  <c r="A1586" i="6"/>
  <c r="C1599" i="6"/>
  <c r="A1599" i="6"/>
  <c r="C1585" i="6"/>
  <c r="A1585" i="6"/>
  <c r="C1584" i="6"/>
  <c r="A1584" i="6"/>
  <c r="C1583" i="6"/>
  <c r="A1583" i="6"/>
  <c r="C1600" i="6"/>
  <c r="A1600" i="6"/>
  <c r="C1582" i="6"/>
  <c r="A1582" i="6"/>
  <c r="C1581" i="6"/>
  <c r="A1581" i="6"/>
  <c r="C1580" i="6"/>
  <c r="A1580" i="6"/>
  <c r="C1579" i="6"/>
  <c r="A1579" i="6"/>
  <c r="C1578" i="6"/>
  <c r="A1578" i="6"/>
  <c r="C1577" i="6"/>
  <c r="A1577" i="6"/>
  <c r="C1598" i="6"/>
  <c r="A1598" i="6"/>
  <c r="C1576" i="6"/>
  <c r="A1576" i="6"/>
  <c r="C1575" i="6"/>
  <c r="A1575" i="6"/>
  <c r="C1588" i="6"/>
  <c r="A1588" i="6"/>
  <c r="C1574" i="6"/>
  <c r="A1574" i="6"/>
  <c r="C1237" i="6"/>
  <c r="A1237" i="6"/>
  <c r="C1607" i="6"/>
  <c r="A1607" i="6"/>
  <c r="C1573" i="6"/>
  <c r="A1573" i="6"/>
  <c r="C666" i="6"/>
  <c r="A666" i="6"/>
  <c r="C660" i="6"/>
  <c r="A660" i="6"/>
  <c r="C659" i="6"/>
  <c r="A659" i="6"/>
  <c r="C665" i="6"/>
  <c r="A665" i="6"/>
  <c r="C664" i="6"/>
  <c r="A664" i="6"/>
  <c r="C663" i="6"/>
  <c r="A663" i="6"/>
  <c r="C1193" i="6"/>
  <c r="A1193" i="6"/>
  <c r="C662" i="6"/>
  <c r="A662" i="6"/>
  <c r="C661" i="6"/>
  <c r="A661" i="6"/>
  <c r="C667" i="6"/>
  <c r="A667" i="6"/>
  <c r="C658" i="6"/>
  <c r="A658" i="6"/>
  <c r="C444" i="6"/>
  <c r="A444" i="6"/>
  <c r="C437" i="6"/>
  <c r="A437" i="6"/>
  <c r="C436" i="6"/>
  <c r="A436" i="6"/>
  <c r="C435" i="6"/>
  <c r="A435" i="6"/>
  <c r="C433" i="6"/>
  <c r="A433" i="6"/>
  <c r="C416" i="6"/>
  <c r="A416" i="6"/>
  <c r="C432" i="6"/>
  <c r="A432" i="6"/>
  <c r="C431" i="6"/>
  <c r="A431" i="6"/>
  <c r="C428" i="6"/>
  <c r="A428" i="6"/>
  <c r="C1266" i="6"/>
  <c r="A1266" i="6"/>
  <c r="C1236" i="6"/>
  <c r="A1236" i="6"/>
  <c r="C429" i="6"/>
  <c r="A429" i="6"/>
  <c r="C420" i="6"/>
  <c r="A420" i="6"/>
  <c r="C443" i="6"/>
  <c r="A443" i="6"/>
  <c r="C427" i="6"/>
  <c r="A427" i="6"/>
  <c r="C426" i="6"/>
  <c r="A426" i="6"/>
  <c r="C1265" i="6"/>
  <c r="A1265" i="6"/>
  <c r="C419" i="6"/>
  <c r="A419" i="6"/>
  <c r="C442" i="6"/>
  <c r="A442" i="6"/>
  <c r="C425" i="6"/>
  <c r="A425" i="6"/>
  <c r="C418" i="6"/>
  <c r="A418" i="6"/>
  <c r="C1235" i="6"/>
  <c r="A1235" i="6"/>
  <c r="C417" i="6"/>
  <c r="A417" i="6"/>
  <c r="C441" i="6"/>
  <c r="A441" i="6"/>
  <c r="C424" i="6"/>
  <c r="A424" i="6"/>
  <c r="C423" i="6"/>
  <c r="A423" i="6"/>
  <c r="C421" i="6"/>
  <c r="A421" i="6"/>
  <c r="C415" i="6"/>
  <c r="A415" i="6"/>
  <c r="C1234" i="6"/>
  <c r="A1234" i="6"/>
  <c r="C1264" i="6"/>
  <c r="A1264" i="6"/>
  <c r="C1263" i="6"/>
  <c r="A1263" i="6"/>
  <c r="C1233" i="6"/>
  <c r="A1233" i="6"/>
  <c r="C1262" i="6"/>
  <c r="A1262" i="6"/>
  <c r="C1232" i="6"/>
  <c r="A1232" i="6"/>
  <c r="C1231" i="6"/>
  <c r="A1231" i="6"/>
  <c r="C479" i="6"/>
  <c r="A479" i="6"/>
  <c r="C430" i="6"/>
  <c r="A430" i="6"/>
  <c r="C422" i="6"/>
  <c r="A422" i="6"/>
  <c r="C1252" i="6"/>
  <c r="A1252" i="6"/>
  <c r="C440" i="6"/>
  <c r="A440" i="6"/>
  <c r="C439" i="6"/>
  <c r="A439" i="6"/>
  <c r="C434" i="6"/>
  <c r="A434" i="6"/>
  <c r="C438" i="6"/>
  <c r="A438" i="6"/>
  <c r="C1261" i="6"/>
  <c r="A1261" i="6"/>
  <c r="C1260" i="6"/>
  <c r="A1260" i="6"/>
  <c r="C1259" i="6"/>
  <c r="A1259" i="6"/>
  <c r="C1258" i="6"/>
  <c r="A1258" i="6"/>
  <c r="C1257" i="6"/>
  <c r="A1257" i="6"/>
  <c r="C1256" i="6"/>
  <c r="A1256" i="6"/>
  <c r="C1255" i="6"/>
  <c r="A1255" i="6"/>
  <c r="C1254" i="6"/>
  <c r="A1254" i="6"/>
  <c r="C414" i="6"/>
  <c r="A414" i="6"/>
  <c r="C499" i="6"/>
  <c r="A499" i="6"/>
  <c r="C502" i="6"/>
  <c r="A502" i="6"/>
  <c r="C497" i="6"/>
  <c r="A497" i="6"/>
  <c r="C496" i="6"/>
  <c r="A496" i="6"/>
  <c r="C495" i="6"/>
  <c r="A495" i="6"/>
  <c r="C494" i="6"/>
  <c r="A494" i="6"/>
  <c r="C493" i="6"/>
  <c r="A493" i="6"/>
  <c r="C501" i="6"/>
  <c r="A501" i="6"/>
  <c r="C677" i="6"/>
  <c r="A677" i="6"/>
  <c r="C500" i="6"/>
  <c r="A500" i="6"/>
  <c r="C492" i="6"/>
  <c r="A492" i="6"/>
  <c r="C491" i="6"/>
  <c r="A491" i="6"/>
  <c r="C498" i="6"/>
  <c r="A498" i="6"/>
  <c r="C490" i="6"/>
  <c r="A490" i="6"/>
  <c r="C1230" i="6"/>
  <c r="A1230" i="6"/>
  <c r="C1229" i="6"/>
  <c r="A1229" i="6"/>
  <c r="C1228" i="6"/>
  <c r="A1228" i="6"/>
  <c r="C400" i="6"/>
  <c r="A400" i="6"/>
  <c r="C489" i="6"/>
  <c r="A489" i="6"/>
  <c r="C1227" i="6"/>
  <c r="A1227" i="6"/>
  <c r="C788" i="6"/>
  <c r="A788" i="6"/>
  <c r="C488" i="6"/>
  <c r="A488" i="6"/>
  <c r="C1597" i="6"/>
  <c r="A1597" i="6"/>
  <c r="C1605" i="6"/>
  <c r="A1605" i="6"/>
  <c r="C1226" i="6"/>
  <c r="A1226" i="6"/>
  <c r="C379" i="6"/>
  <c r="A379" i="6"/>
  <c r="C1540" i="6"/>
  <c r="A1540" i="6"/>
  <c r="C1510" i="6"/>
  <c r="A1510" i="6"/>
  <c r="C1225" i="6"/>
  <c r="A1225" i="6"/>
  <c r="C1224" i="6"/>
  <c r="A1224" i="6"/>
  <c r="C1223" i="6"/>
  <c r="A1223" i="6"/>
  <c r="C1222" i="6"/>
  <c r="A1222" i="6"/>
  <c r="C1221" i="6"/>
  <c r="A1221" i="6"/>
  <c r="C1220" i="6"/>
  <c r="A1220" i="6"/>
  <c r="C388" i="6"/>
  <c r="A388" i="6"/>
  <c r="C383" i="6"/>
  <c r="A383" i="6"/>
  <c r="C378" i="6"/>
  <c r="A378" i="6"/>
  <c r="C377" i="6"/>
  <c r="A377" i="6"/>
  <c r="C1219" i="6"/>
  <c r="A1219" i="6"/>
  <c r="C389" i="6"/>
  <c r="A389" i="6"/>
  <c r="C376" i="6"/>
  <c r="A376" i="6"/>
  <c r="C382" i="6"/>
  <c r="A382" i="6"/>
  <c r="C380" i="6"/>
  <c r="A380" i="6"/>
  <c r="C375" i="6"/>
  <c r="A375" i="6"/>
  <c r="C374" i="6"/>
  <c r="A374" i="6"/>
  <c r="C372" i="6"/>
  <c r="A372" i="6"/>
  <c r="C385" i="6"/>
  <c r="A385" i="6"/>
  <c r="C1218" i="6"/>
  <c r="A1218" i="6"/>
  <c r="C387" i="6"/>
  <c r="A387" i="6"/>
  <c r="C373" i="6"/>
  <c r="A373" i="6"/>
  <c r="C1217" i="6"/>
  <c r="A1217" i="6"/>
  <c r="C1216" i="6"/>
  <c r="A1216" i="6"/>
  <c r="C1215" i="6"/>
  <c r="A1215" i="6"/>
  <c r="C381" i="6"/>
  <c r="A381" i="6"/>
  <c r="C386" i="6"/>
  <c r="A386" i="6"/>
  <c r="C1213" i="6"/>
  <c r="A1213" i="6"/>
  <c r="C1214" i="6"/>
  <c r="A1214" i="6"/>
  <c r="C1212" i="6"/>
  <c r="A1212" i="6"/>
  <c r="C1211" i="6"/>
  <c r="A1211" i="6"/>
  <c r="C1210" i="6"/>
  <c r="A1210" i="6"/>
  <c r="C1209" i="6"/>
  <c r="A1209" i="6"/>
  <c r="C1208" i="6"/>
  <c r="A1208" i="6"/>
  <c r="C384" i="6"/>
  <c r="A384" i="6"/>
  <c r="C43" i="6"/>
  <c r="A43" i="6"/>
  <c r="C42" i="6"/>
  <c r="A42" i="6"/>
  <c r="C41" i="6"/>
  <c r="A41" i="6"/>
  <c r="C40" i="6"/>
  <c r="A40" i="6"/>
  <c r="C39" i="6"/>
  <c r="A39" i="6"/>
  <c r="C702" i="6"/>
  <c r="A702" i="6"/>
  <c r="C703" i="6"/>
  <c r="A703" i="6"/>
  <c r="C701" i="6"/>
  <c r="A701" i="6"/>
  <c r="C700" i="6"/>
  <c r="A700" i="6"/>
  <c r="C704" i="6"/>
  <c r="A704" i="6"/>
  <c r="C699" i="6"/>
  <c r="A699" i="6"/>
  <c r="C603" i="6"/>
  <c r="A603" i="6"/>
  <c r="C602" i="6"/>
  <c r="A602" i="6"/>
  <c r="C596" i="6"/>
  <c r="A596" i="6"/>
  <c r="C1207" i="6"/>
  <c r="A1207" i="6"/>
  <c r="C601" i="6"/>
  <c r="A601" i="6"/>
  <c r="C595" i="6"/>
  <c r="A595" i="6"/>
  <c r="C597" i="6"/>
  <c r="A597" i="6"/>
  <c r="C1206" i="6"/>
  <c r="A1206" i="6"/>
  <c r="C594" i="6"/>
  <c r="A594" i="6"/>
  <c r="C593" i="6"/>
  <c r="A593" i="6"/>
  <c r="C592" i="6"/>
  <c r="A592" i="6"/>
  <c r="C600" i="6"/>
  <c r="A600" i="6"/>
  <c r="C1205" i="6"/>
  <c r="A1205" i="6"/>
  <c r="C1204" i="6"/>
  <c r="A1204" i="6"/>
  <c r="C1203" i="6"/>
  <c r="A1203" i="6"/>
  <c r="C1202" i="6"/>
  <c r="A1202" i="6"/>
  <c r="C1201" i="6"/>
  <c r="A1201" i="6"/>
  <c r="C1200" i="6"/>
  <c r="A1200" i="6"/>
  <c r="C1199" i="6"/>
  <c r="A1199" i="6"/>
  <c r="C1198" i="6"/>
  <c r="A1198" i="6"/>
  <c r="C599" i="6"/>
  <c r="A599" i="6"/>
  <c r="C598" i="6"/>
  <c r="A598" i="6"/>
  <c r="C591" i="6"/>
  <c r="A591" i="6"/>
  <c r="C1197" i="6"/>
  <c r="A1197" i="6"/>
  <c r="C1190" i="6"/>
  <c r="A1190" i="6"/>
  <c r="C590" i="6"/>
  <c r="A590" i="6"/>
  <c r="C1313" i="6"/>
  <c r="A1313" i="6"/>
  <c r="C1312" i="6"/>
  <c r="A1312" i="6"/>
  <c r="C678" i="6"/>
  <c r="A678" i="6"/>
  <c r="C679" i="6"/>
  <c r="A679" i="6"/>
  <c r="C1179" i="6"/>
  <c r="A1179" i="6"/>
  <c r="C698" i="6"/>
  <c r="A698" i="6"/>
  <c r="C693" i="6"/>
  <c r="A693" i="6"/>
  <c r="C696" i="6"/>
  <c r="A696" i="6"/>
  <c r="C1168" i="6"/>
  <c r="A1168" i="6"/>
  <c r="C1157" i="6"/>
  <c r="A1157" i="6"/>
  <c r="C688" i="6"/>
  <c r="A688" i="6"/>
  <c r="C687" i="6"/>
  <c r="A687" i="6"/>
  <c r="C684" i="6"/>
  <c r="A684" i="6"/>
  <c r="C1146" i="6"/>
  <c r="A1146" i="6"/>
  <c r="C1136" i="6"/>
  <c r="A1136" i="6"/>
  <c r="C1125" i="6"/>
  <c r="A1125" i="6"/>
  <c r="C1115" i="6"/>
  <c r="A1115" i="6"/>
  <c r="C1104" i="6"/>
  <c r="A1104" i="6"/>
  <c r="C1093" i="6"/>
  <c r="A1093" i="6"/>
  <c r="C1082" i="6"/>
  <c r="A1082" i="6"/>
  <c r="C1071" i="6"/>
  <c r="A1071" i="6"/>
  <c r="C1060" i="6"/>
  <c r="A1060" i="6"/>
  <c r="C1049" i="6"/>
  <c r="A1049" i="6"/>
  <c r="C1038" i="6"/>
  <c r="A1038" i="6"/>
  <c r="C1027" i="6"/>
  <c r="A1027" i="6"/>
  <c r="C1016" i="6"/>
  <c r="A1016" i="6"/>
  <c r="C1005" i="6"/>
  <c r="A1005" i="6"/>
  <c r="C994" i="6"/>
  <c r="A994" i="6"/>
  <c r="C983" i="6"/>
  <c r="A983" i="6"/>
  <c r="C972" i="6"/>
  <c r="A972" i="6"/>
  <c r="C961" i="6"/>
  <c r="A961" i="6"/>
  <c r="C950" i="6"/>
  <c r="A950" i="6"/>
  <c r="C939" i="6"/>
  <c r="A939" i="6"/>
  <c r="C928" i="6"/>
  <c r="A928" i="6"/>
  <c r="C917" i="6"/>
  <c r="A917" i="6"/>
  <c r="C906" i="6"/>
  <c r="A906" i="6"/>
  <c r="C895" i="6"/>
  <c r="A895" i="6"/>
  <c r="C885" i="6"/>
  <c r="A885" i="6"/>
  <c r="C874" i="6"/>
  <c r="A874" i="6"/>
  <c r="C1509" i="6"/>
  <c r="A1509" i="6"/>
  <c r="C670" i="6"/>
  <c r="A670" i="6"/>
  <c r="C691" i="6"/>
  <c r="A691" i="6"/>
  <c r="C692" i="6"/>
  <c r="A692" i="6"/>
  <c r="C697" i="6"/>
  <c r="A697" i="6"/>
  <c r="C694" i="6"/>
  <c r="A694" i="6"/>
  <c r="C863" i="6"/>
  <c r="A863" i="6"/>
  <c r="C1508" i="6"/>
  <c r="A1508" i="6"/>
  <c r="C853" i="6"/>
  <c r="A853" i="6"/>
  <c r="C842" i="6"/>
  <c r="A842" i="6"/>
  <c r="C689" i="6"/>
  <c r="A689" i="6"/>
  <c r="C690" i="6"/>
  <c r="A690" i="6"/>
  <c r="C683" i="6"/>
  <c r="A683" i="6"/>
  <c r="C686" i="6"/>
  <c r="A686" i="6"/>
  <c r="C682" i="6"/>
  <c r="A682" i="6"/>
  <c r="C681" i="6"/>
  <c r="A681" i="6"/>
  <c r="C831" i="6"/>
  <c r="A831" i="6"/>
  <c r="C1507" i="6"/>
  <c r="A1507" i="6"/>
  <c r="C820" i="6"/>
  <c r="A820" i="6"/>
  <c r="C685" i="6"/>
  <c r="A685" i="6"/>
  <c r="C809" i="6"/>
  <c r="A809" i="6"/>
  <c r="C798" i="6"/>
  <c r="A798" i="6"/>
  <c r="C797" i="6"/>
  <c r="A797" i="6"/>
  <c r="C796" i="6"/>
  <c r="A796" i="6"/>
  <c r="C795" i="6"/>
  <c r="A795" i="6"/>
  <c r="C1506" i="6"/>
  <c r="A1506" i="6"/>
  <c r="C794" i="6"/>
  <c r="A794" i="6"/>
  <c r="C793" i="6"/>
  <c r="A793" i="6"/>
  <c r="C792" i="6"/>
  <c r="A792" i="6"/>
  <c r="C791" i="6"/>
  <c r="A791" i="6"/>
  <c r="C790" i="6"/>
  <c r="A790" i="6"/>
  <c r="C789" i="6"/>
  <c r="A789" i="6"/>
  <c r="C695" i="6"/>
  <c r="A695" i="6"/>
  <c r="C394" i="5" l="1"/>
  <c r="A394" i="5"/>
  <c r="C393" i="5"/>
  <c r="A393" i="5"/>
  <c r="C397" i="5"/>
  <c r="A397" i="5"/>
  <c r="C1174" i="5"/>
  <c r="A1174" i="5"/>
  <c r="C395" i="5"/>
  <c r="A395" i="5"/>
  <c r="C402" i="5"/>
  <c r="A402" i="5"/>
  <c r="C396" i="5"/>
  <c r="A396" i="5"/>
  <c r="C403" i="5"/>
  <c r="A403" i="5"/>
  <c r="C392" i="5"/>
  <c r="A392" i="5"/>
  <c r="C457" i="5"/>
  <c r="A457" i="5"/>
  <c r="C1173" i="5"/>
  <c r="A1173" i="5"/>
  <c r="C456" i="5"/>
  <c r="A456" i="5"/>
  <c r="C1172" i="5"/>
  <c r="A1172" i="5"/>
  <c r="C1171" i="5"/>
  <c r="A1171" i="5"/>
  <c r="C455" i="5"/>
  <c r="A455" i="5"/>
  <c r="C454" i="5"/>
  <c r="A454" i="5"/>
  <c r="C453" i="5"/>
  <c r="A453" i="5"/>
  <c r="C1170" i="5"/>
  <c r="A1170" i="5"/>
  <c r="C452" i="5"/>
  <c r="A452" i="5"/>
  <c r="C79" i="5"/>
  <c r="A79" i="5"/>
  <c r="C75" i="5"/>
  <c r="A75" i="5"/>
  <c r="C72" i="5"/>
  <c r="A72" i="5"/>
  <c r="C61" i="5"/>
  <c r="A61" i="5"/>
  <c r="C73" i="5"/>
  <c r="A73" i="5"/>
  <c r="C68" i="5"/>
  <c r="A68" i="5"/>
  <c r="C76" i="5"/>
  <c r="A76" i="5"/>
  <c r="C78" i="5"/>
  <c r="A78" i="5"/>
  <c r="C67" i="5"/>
  <c r="A67" i="5"/>
  <c r="C66" i="5"/>
  <c r="A66" i="5"/>
  <c r="C69" i="5"/>
  <c r="A69" i="5"/>
  <c r="C65" i="5"/>
  <c r="A65" i="5"/>
  <c r="C71" i="5"/>
  <c r="A71" i="5"/>
  <c r="C64" i="5"/>
  <c r="A64" i="5"/>
  <c r="C77" i="5"/>
  <c r="A77" i="5"/>
  <c r="C63" i="5"/>
  <c r="A63" i="5"/>
  <c r="C62" i="5"/>
  <c r="A62" i="5"/>
  <c r="C70" i="5"/>
  <c r="A70" i="5"/>
  <c r="C60" i="5"/>
  <c r="A60" i="5"/>
  <c r="C1169" i="5"/>
  <c r="A1169" i="5"/>
  <c r="C59" i="5"/>
  <c r="A59" i="5"/>
  <c r="C1572" i="5"/>
  <c r="A1572" i="5"/>
  <c r="C1571" i="5"/>
  <c r="A1571" i="5"/>
  <c r="C1570" i="5"/>
  <c r="A1570" i="5"/>
  <c r="C1569" i="5"/>
  <c r="A1569" i="5"/>
  <c r="C1568" i="5"/>
  <c r="A1568" i="5"/>
  <c r="C1567" i="5"/>
  <c r="A1567" i="5"/>
  <c r="C1566" i="5"/>
  <c r="A1566" i="5"/>
  <c r="C1565" i="5"/>
  <c r="A1565" i="5"/>
  <c r="C1564" i="5"/>
  <c r="A1564" i="5"/>
  <c r="C1563" i="5"/>
  <c r="A1563" i="5"/>
  <c r="C1562" i="5"/>
  <c r="A1562" i="5"/>
  <c r="C1561" i="5"/>
  <c r="A1561" i="5"/>
  <c r="C653" i="5"/>
  <c r="A653" i="5"/>
  <c r="C652" i="5"/>
  <c r="A652" i="5"/>
  <c r="C626" i="5"/>
  <c r="A626" i="5"/>
  <c r="C627" i="5"/>
  <c r="A627" i="5"/>
  <c r="C625" i="5"/>
  <c r="A625" i="5"/>
  <c r="C619" i="5"/>
  <c r="A619" i="5"/>
  <c r="C651" i="5"/>
  <c r="A651" i="5"/>
  <c r="C613" i="5"/>
  <c r="A613" i="5"/>
  <c r="C611" i="5"/>
  <c r="A611" i="5"/>
  <c r="C615" i="5"/>
  <c r="A615" i="5"/>
  <c r="C650" i="5"/>
  <c r="A650" i="5"/>
  <c r="C649" i="5"/>
  <c r="A649" i="5"/>
  <c r="C648" i="5"/>
  <c r="A648" i="5"/>
  <c r="C624" i="5"/>
  <c r="A624" i="5"/>
  <c r="C647" i="5"/>
  <c r="A647" i="5"/>
  <c r="C617" i="5"/>
  <c r="A617" i="5"/>
  <c r="C646" i="5"/>
  <c r="A646" i="5"/>
  <c r="C1275" i="5"/>
  <c r="A1275" i="5"/>
  <c r="C645" i="5"/>
  <c r="A645" i="5"/>
  <c r="C644" i="5"/>
  <c r="A644" i="5"/>
  <c r="C643" i="5"/>
  <c r="A643" i="5"/>
  <c r="C642" i="5"/>
  <c r="A642" i="5"/>
  <c r="C641" i="5"/>
  <c r="A641" i="5"/>
  <c r="C640" i="5"/>
  <c r="A640" i="5"/>
  <c r="C639" i="5"/>
  <c r="A639" i="5"/>
  <c r="C620" i="5"/>
  <c r="A620" i="5"/>
  <c r="C623" i="5"/>
  <c r="A623" i="5"/>
  <c r="C638" i="5"/>
  <c r="A638" i="5"/>
  <c r="C637" i="5"/>
  <c r="A637" i="5"/>
  <c r="C636" i="5"/>
  <c r="A636" i="5"/>
  <c r="C616" i="5"/>
  <c r="A616" i="5"/>
  <c r="C635" i="5"/>
  <c r="A635" i="5"/>
  <c r="C621" i="5"/>
  <c r="A621" i="5"/>
  <c r="C634" i="5"/>
  <c r="A634" i="5"/>
  <c r="C633" i="5"/>
  <c r="A633" i="5"/>
  <c r="C614" i="5"/>
  <c r="A614" i="5"/>
  <c r="C632" i="5"/>
  <c r="A632" i="5"/>
  <c r="C612" i="5"/>
  <c r="A612" i="5"/>
  <c r="C631" i="5"/>
  <c r="A631" i="5"/>
  <c r="C618" i="5"/>
  <c r="A618" i="5"/>
  <c r="C630" i="5"/>
  <c r="A630" i="5"/>
  <c r="C1168" i="5"/>
  <c r="A1168" i="5"/>
  <c r="C629" i="5"/>
  <c r="A629" i="5"/>
  <c r="C1167" i="5"/>
  <c r="A1167" i="5"/>
  <c r="C622" i="5"/>
  <c r="A622" i="5"/>
  <c r="C628" i="5"/>
  <c r="A628" i="5"/>
  <c r="C1166" i="5"/>
  <c r="A1166" i="5"/>
  <c r="C654" i="5"/>
  <c r="A654" i="5"/>
  <c r="C655" i="5"/>
  <c r="A655" i="5"/>
  <c r="C656" i="5"/>
  <c r="A656" i="5"/>
  <c r="C610" i="5"/>
  <c r="A610" i="5"/>
  <c r="C89" i="5"/>
  <c r="A89" i="5"/>
  <c r="C88" i="5"/>
  <c r="A88" i="5"/>
  <c r="C87" i="5"/>
  <c r="A87" i="5"/>
  <c r="C86" i="5"/>
  <c r="A86" i="5"/>
  <c r="C85" i="5"/>
  <c r="A85" i="5"/>
  <c r="C84" i="5"/>
  <c r="A84" i="5"/>
  <c r="C83" i="5"/>
  <c r="A83" i="5"/>
  <c r="C82" i="5"/>
  <c r="A82" i="5"/>
  <c r="C81" i="5"/>
  <c r="A81" i="5"/>
  <c r="C80" i="5"/>
  <c r="A80" i="5"/>
  <c r="C57" i="5"/>
  <c r="A57" i="5"/>
  <c r="C56" i="5"/>
  <c r="A56" i="5"/>
  <c r="C50" i="5"/>
  <c r="A50" i="5"/>
  <c r="C49" i="5"/>
  <c r="A49" i="5"/>
  <c r="C52" i="5"/>
  <c r="A52" i="5"/>
  <c r="C55" i="5"/>
  <c r="A55" i="5"/>
  <c r="C54" i="5"/>
  <c r="A54" i="5"/>
  <c r="C51" i="5"/>
  <c r="A51" i="5"/>
  <c r="C53" i="5"/>
  <c r="A53" i="5"/>
  <c r="C48" i="5"/>
  <c r="A48" i="5"/>
  <c r="C47" i="5"/>
  <c r="A47" i="5"/>
  <c r="C46" i="5"/>
  <c r="A46" i="5"/>
  <c r="C45" i="5"/>
  <c r="A45" i="5"/>
  <c r="C44" i="5"/>
  <c r="A44" i="5"/>
  <c r="C1164" i="5"/>
  <c r="A1164" i="5"/>
  <c r="C516" i="5"/>
  <c r="A516" i="5"/>
  <c r="C506" i="5"/>
  <c r="A506" i="5"/>
  <c r="C1163" i="5"/>
  <c r="A1163" i="5"/>
  <c r="C515" i="5"/>
  <c r="A515" i="5"/>
  <c r="C505" i="5"/>
  <c r="A505" i="5"/>
  <c r="C514" i="5"/>
  <c r="A514" i="5"/>
  <c r="C1162" i="5"/>
  <c r="A1162" i="5"/>
  <c r="C513" i="5"/>
  <c r="A513" i="5"/>
  <c r="C1183" i="5"/>
  <c r="A1183" i="5"/>
  <c r="C512" i="5"/>
  <c r="A512" i="5"/>
  <c r="C1539" i="5"/>
  <c r="A1539" i="5"/>
  <c r="C511" i="5"/>
  <c r="A511" i="5"/>
  <c r="C504" i="5"/>
  <c r="A504" i="5"/>
  <c r="C510" i="5"/>
  <c r="A510" i="5"/>
  <c r="C509" i="5"/>
  <c r="A509" i="5"/>
  <c r="C508" i="5"/>
  <c r="A508" i="5"/>
  <c r="C507" i="5"/>
  <c r="A507" i="5"/>
  <c r="C517" i="5"/>
  <c r="A517" i="5"/>
  <c r="C503" i="5"/>
  <c r="A503" i="5"/>
  <c r="C1655" i="5"/>
  <c r="A1655" i="5"/>
  <c r="C1641" i="5"/>
  <c r="A1641" i="5"/>
  <c r="C1636" i="5"/>
  <c r="A1636" i="5"/>
  <c r="C1638" i="5"/>
  <c r="A1638" i="5"/>
  <c r="C1649" i="5"/>
  <c r="A1649" i="5"/>
  <c r="C1635" i="5"/>
  <c r="A1635" i="5"/>
  <c r="C1654" i="5"/>
  <c r="A1654" i="5"/>
  <c r="C1640" i="5"/>
  <c r="A1640" i="5"/>
  <c r="C1639" i="5"/>
  <c r="A1639" i="5"/>
  <c r="C1653" i="5"/>
  <c r="A1653" i="5"/>
  <c r="C1644" i="5"/>
  <c r="A1644" i="5"/>
  <c r="C1652" i="5"/>
  <c r="A1652" i="5"/>
  <c r="C1637" i="5"/>
  <c r="A1637" i="5"/>
  <c r="C1647" i="5"/>
  <c r="A1647" i="5"/>
  <c r="C1161" i="5"/>
  <c r="A1161" i="5"/>
  <c r="C1657" i="5"/>
  <c r="A1657" i="5"/>
  <c r="C1160" i="5"/>
  <c r="A1160" i="5"/>
  <c r="C1159" i="5"/>
  <c r="A1159" i="5"/>
  <c r="C1658" i="5"/>
  <c r="A1658" i="5"/>
  <c r="C1651" i="5"/>
  <c r="A1651" i="5"/>
  <c r="C1643" i="5"/>
  <c r="A1643" i="5"/>
  <c r="C1648" i="5"/>
  <c r="A1648" i="5"/>
  <c r="C1646" i="5"/>
  <c r="A1646" i="5"/>
  <c r="C1650" i="5"/>
  <c r="A1650" i="5"/>
  <c r="C1634" i="5"/>
  <c r="A1634" i="5"/>
  <c r="C1642" i="5"/>
  <c r="A1642" i="5"/>
  <c r="C1645" i="5"/>
  <c r="A1645" i="5"/>
  <c r="C1158" i="5"/>
  <c r="A1158" i="5"/>
  <c r="C1633" i="5"/>
  <c r="A1633" i="5"/>
  <c r="C1632" i="5"/>
  <c r="A1632" i="5"/>
  <c r="C365" i="5"/>
  <c r="A365" i="5"/>
  <c r="C364" i="5"/>
  <c r="A364" i="5"/>
  <c r="C1157" i="5"/>
  <c r="A1157" i="5"/>
  <c r="C333" i="5"/>
  <c r="A333" i="5"/>
  <c r="C361" i="5"/>
  <c r="A361" i="5"/>
  <c r="C360" i="5"/>
  <c r="A360" i="5"/>
  <c r="C359" i="5"/>
  <c r="A359" i="5"/>
  <c r="C362" i="5"/>
  <c r="A362" i="5"/>
  <c r="C363" i="5"/>
  <c r="A363" i="5"/>
  <c r="C358" i="5"/>
  <c r="A358" i="5"/>
  <c r="C1156" i="5"/>
  <c r="A1156" i="5"/>
  <c r="C1155" i="5"/>
  <c r="A1155" i="5"/>
  <c r="C357" i="5"/>
  <c r="A357" i="5"/>
  <c r="C370" i="5"/>
  <c r="A370" i="5"/>
  <c r="C356" i="5"/>
  <c r="A356" i="5"/>
  <c r="C355" i="5"/>
  <c r="A355" i="5"/>
  <c r="C354" i="5"/>
  <c r="A354" i="5"/>
  <c r="C353" i="5"/>
  <c r="A353" i="5"/>
  <c r="C352" i="5"/>
  <c r="A352" i="5"/>
  <c r="C366" i="5"/>
  <c r="A366" i="5"/>
  <c r="C351" i="5"/>
  <c r="A351" i="5"/>
  <c r="C350" i="5"/>
  <c r="A350" i="5"/>
  <c r="C349" i="5"/>
  <c r="A349" i="5"/>
  <c r="C1153" i="5"/>
  <c r="A1153" i="5"/>
  <c r="C348" i="5"/>
  <c r="A348" i="5"/>
  <c r="C1152" i="5"/>
  <c r="A1152" i="5"/>
  <c r="C347" i="5"/>
  <c r="A347" i="5"/>
  <c r="C346" i="5"/>
  <c r="A346" i="5"/>
  <c r="C345" i="5"/>
  <c r="A345" i="5"/>
  <c r="C344" i="5"/>
  <c r="A344" i="5"/>
  <c r="C367" i="5"/>
  <c r="A367" i="5"/>
  <c r="C369" i="5"/>
  <c r="A369" i="5"/>
  <c r="C343" i="5"/>
  <c r="A343" i="5"/>
  <c r="C342" i="5"/>
  <c r="A342" i="5"/>
  <c r="C341" i="5"/>
  <c r="A341" i="5"/>
  <c r="C368" i="5"/>
  <c r="A368" i="5"/>
  <c r="C340" i="5"/>
  <c r="A340" i="5"/>
  <c r="C1538" i="5"/>
  <c r="A1538" i="5"/>
  <c r="C339" i="5"/>
  <c r="A339" i="5"/>
  <c r="C338" i="5"/>
  <c r="A338" i="5"/>
  <c r="C337" i="5"/>
  <c r="A337" i="5"/>
  <c r="C336" i="5"/>
  <c r="A336" i="5"/>
  <c r="C335" i="5"/>
  <c r="A335" i="5"/>
  <c r="C334" i="5"/>
  <c r="A334" i="5"/>
  <c r="C332" i="5"/>
  <c r="A332" i="5"/>
  <c r="C331" i="5"/>
  <c r="A331" i="5"/>
  <c r="C330" i="5"/>
  <c r="A330" i="5"/>
  <c r="C329" i="5"/>
  <c r="A329" i="5"/>
  <c r="C328" i="5"/>
  <c r="A328" i="5"/>
  <c r="C327" i="5"/>
  <c r="A327" i="5"/>
  <c r="C1505" i="5"/>
  <c r="A1505" i="5"/>
  <c r="C326" i="5"/>
  <c r="A326" i="5"/>
  <c r="C1537" i="5"/>
  <c r="A1537" i="5"/>
  <c r="C1536" i="5"/>
  <c r="A1536" i="5"/>
  <c r="C1535" i="5"/>
  <c r="A1535" i="5"/>
  <c r="C1534" i="5"/>
  <c r="A1534" i="5"/>
  <c r="C1151" i="5"/>
  <c r="A1151" i="5"/>
  <c r="C589" i="5"/>
  <c r="A589" i="5"/>
  <c r="C1150" i="5"/>
  <c r="A1150" i="5"/>
  <c r="C487" i="5"/>
  <c r="A487" i="5"/>
  <c r="C486" i="5"/>
  <c r="A486" i="5"/>
  <c r="C485" i="5"/>
  <c r="A485" i="5"/>
  <c r="C1149" i="5"/>
  <c r="A1149" i="5"/>
  <c r="C484" i="5"/>
  <c r="A484" i="5"/>
  <c r="C483" i="5"/>
  <c r="A483" i="5"/>
  <c r="C1148" i="5"/>
  <c r="A1148" i="5"/>
  <c r="C482" i="5"/>
  <c r="A482" i="5"/>
  <c r="C323" i="5"/>
  <c r="A323" i="5"/>
  <c r="C310" i="5"/>
  <c r="A310" i="5"/>
  <c r="C309" i="5"/>
  <c r="A309" i="5"/>
  <c r="C307" i="5"/>
  <c r="A307" i="5"/>
  <c r="C322" i="5"/>
  <c r="A322" i="5"/>
  <c r="C304" i="5"/>
  <c r="A304" i="5"/>
  <c r="C308" i="5"/>
  <c r="A308" i="5"/>
  <c r="C321" i="5"/>
  <c r="A321" i="5"/>
  <c r="C303" i="5"/>
  <c r="A303" i="5"/>
  <c r="C302" i="5"/>
  <c r="A302" i="5"/>
  <c r="C301" i="5"/>
  <c r="A301" i="5"/>
  <c r="C320" i="5"/>
  <c r="A320" i="5"/>
  <c r="C319" i="5"/>
  <c r="A319" i="5"/>
  <c r="C318" i="5"/>
  <c r="A318" i="5"/>
  <c r="C317" i="5"/>
  <c r="A317" i="5"/>
  <c r="C312" i="5"/>
  <c r="A312" i="5"/>
  <c r="C300" i="5"/>
  <c r="A300" i="5"/>
  <c r="C316" i="5"/>
  <c r="A316" i="5"/>
  <c r="C311" i="5"/>
  <c r="A311" i="5"/>
  <c r="C305" i="5"/>
  <c r="A305" i="5"/>
  <c r="C315" i="5"/>
  <c r="A315" i="5"/>
  <c r="C314" i="5"/>
  <c r="A314" i="5"/>
  <c r="C313" i="5"/>
  <c r="A313" i="5"/>
  <c r="C306" i="5"/>
  <c r="A306" i="5"/>
  <c r="C325" i="5"/>
  <c r="A325" i="5"/>
  <c r="C324" i="5"/>
  <c r="A324" i="5"/>
  <c r="C299" i="5"/>
  <c r="A299" i="5"/>
  <c r="C372" i="5"/>
  <c r="A372" i="5"/>
  <c r="C371" i="5"/>
  <c r="A371" i="5"/>
  <c r="C213" i="5"/>
  <c r="A213" i="5"/>
  <c r="C200" i="5"/>
  <c r="A200" i="5"/>
  <c r="C212" i="5"/>
  <c r="A212" i="5"/>
  <c r="C211" i="5"/>
  <c r="A211" i="5"/>
  <c r="C1147" i="5"/>
  <c r="A1147" i="5"/>
  <c r="C196" i="5"/>
  <c r="A196" i="5"/>
  <c r="C210" i="5"/>
  <c r="A210" i="5"/>
  <c r="C216" i="5"/>
  <c r="A216" i="5"/>
  <c r="C194" i="5"/>
  <c r="A194" i="5"/>
  <c r="C193" i="5"/>
  <c r="A193" i="5"/>
  <c r="C209" i="5"/>
  <c r="A209" i="5"/>
  <c r="C208" i="5"/>
  <c r="A208" i="5"/>
  <c r="C207" i="5"/>
  <c r="A207" i="5"/>
  <c r="C192" i="5"/>
  <c r="A192" i="5"/>
  <c r="C206" i="5"/>
  <c r="A206" i="5"/>
  <c r="C205" i="5"/>
  <c r="A205" i="5"/>
  <c r="C199" i="5"/>
  <c r="A199" i="5"/>
  <c r="C204" i="5"/>
  <c r="A204" i="5"/>
  <c r="C197" i="5"/>
  <c r="A197" i="5"/>
  <c r="C191" i="5"/>
  <c r="A191" i="5"/>
  <c r="C214" i="5"/>
  <c r="A214" i="5"/>
  <c r="C190" i="5"/>
  <c r="A190" i="5"/>
  <c r="C1146" i="5"/>
  <c r="A1146" i="5"/>
  <c r="C1145" i="5"/>
  <c r="A1145" i="5"/>
  <c r="C1144" i="5"/>
  <c r="A1144" i="5"/>
  <c r="C198" i="5"/>
  <c r="A198" i="5"/>
  <c r="C203" i="5"/>
  <c r="A203" i="5"/>
  <c r="C189" i="5"/>
  <c r="A189" i="5"/>
  <c r="C201" i="5"/>
  <c r="A201" i="5"/>
  <c r="C202" i="5"/>
  <c r="A202" i="5"/>
  <c r="C195" i="5"/>
  <c r="A195" i="5"/>
  <c r="C1142" i="5"/>
  <c r="A1142" i="5"/>
  <c r="C215" i="5"/>
  <c r="A215" i="5"/>
  <c r="C1141" i="5"/>
  <c r="A1141" i="5"/>
  <c r="C188" i="5"/>
  <c r="A188" i="5"/>
  <c r="C1140" i="5"/>
  <c r="A1140" i="5"/>
  <c r="C1139" i="5"/>
  <c r="A1139" i="5"/>
  <c r="C1497" i="5"/>
  <c r="A1497" i="5"/>
  <c r="C1493" i="5"/>
  <c r="A1493" i="5"/>
  <c r="C1503" i="5"/>
  <c r="A1503" i="5"/>
  <c r="C1495" i="5"/>
  <c r="A1495" i="5"/>
  <c r="C1496" i="5"/>
  <c r="A1496" i="5"/>
  <c r="C1494" i="5"/>
  <c r="A1494" i="5"/>
  <c r="C1138" i="5"/>
  <c r="A1138" i="5"/>
  <c r="C1435" i="5"/>
  <c r="A1435" i="5"/>
  <c r="C1501" i="5"/>
  <c r="A1501" i="5"/>
  <c r="C1500" i="5"/>
  <c r="A1500" i="5"/>
  <c r="C1492" i="5"/>
  <c r="A1492" i="5"/>
  <c r="C1499" i="5"/>
  <c r="A1499" i="5"/>
  <c r="C1498" i="5"/>
  <c r="A1498" i="5"/>
  <c r="C1502" i="5"/>
  <c r="A1502" i="5"/>
  <c r="C1491" i="5"/>
  <c r="A1491" i="5"/>
  <c r="C1137" i="5"/>
  <c r="A1137" i="5"/>
  <c r="C1330" i="5"/>
  <c r="A1330" i="5"/>
  <c r="C1356" i="5"/>
  <c r="A1356" i="5"/>
  <c r="C1355" i="5"/>
  <c r="A1355" i="5"/>
  <c r="C1354" i="5"/>
  <c r="A1354" i="5"/>
  <c r="C1353" i="5"/>
  <c r="A1353" i="5"/>
  <c r="C1136" i="5"/>
  <c r="A1136" i="5"/>
  <c r="C1135" i="5"/>
  <c r="A1135" i="5"/>
  <c r="C1134" i="5"/>
  <c r="A1134" i="5"/>
  <c r="C1352" i="5"/>
  <c r="A1352" i="5"/>
  <c r="C1351" i="5"/>
  <c r="A1351" i="5"/>
  <c r="C1332" i="5"/>
  <c r="A1332" i="5"/>
  <c r="C1331" i="5"/>
  <c r="A1331" i="5"/>
  <c r="C1335" i="5"/>
  <c r="A1335" i="5"/>
  <c r="C1350" i="5"/>
  <c r="A1350" i="5"/>
  <c r="C1349" i="5"/>
  <c r="A1349" i="5"/>
  <c r="C1533" i="5"/>
  <c r="A1533" i="5"/>
  <c r="C1334" i="5"/>
  <c r="A1334" i="5"/>
  <c r="C1348" i="5"/>
  <c r="A1348" i="5"/>
  <c r="C1347" i="5"/>
  <c r="A1347" i="5"/>
  <c r="C1346" i="5"/>
  <c r="A1346" i="5"/>
  <c r="C1345" i="5"/>
  <c r="A1345" i="5"/>
  <c r="C1344" i="5"/>
  <c r="A1344" i="5"/>
  <c r="C1343" i="5"/>
  <c r="A1343" i="5"/>
  <c r="C1342" i="5"/>
  <c r="A1342" i="5"/>
  <c r="C1132" i="5"/>
  <c r="A1132" i="5"/>
  <c r="C1333" i="5"/>
  <c r="A1333" i="5"/>
  <c r="C1341" i="5"/>
  <c r="A1341" i="5"/>
  <c r="C1131" i="5"/>
  <c r="A1131" i="5"/>
  <c r="C1130" i="5"/>
  <c r="A1130" i="5"/>
  <c r="C1129" i="5"/>
  <c r="A1129" i="5"/>
  <c r="C1128" i="5"/>
  <c r="A1128" i="5"/>
  <c r="C1532" i="5"/>
  <c r="A1532" i="5"/>
  <c r="C1329" i="5"/>
  <c r="A1329" i="5"/>
  <c r="C1328" i="5"/>
  <c r="A1328" i="5"/>
  <c r="C1127" i="5"/>
  <c r="A1127" i="5"/>
  <c r="C1126" i="5"/>
  <c r="A1126" i="5"/>
  <c r="C1531" i="5"/>
  <c r="A1531" i="5"/>
  <c r="C1125" i="5"/>
  <c r="A1125" i="5"/>
  <c r="C1530" i="5"/>
  <c r="A1530" i="5"/>
  <c r="C1529" i="5"/>
  <c r="A1529" i="5"/>
  <c r="C1124" i="5"/>
  <c r="A1124" i="5"/>
  <c r="C1123" i="5"/>
  <c r="A1123" i="5"/>
  <c r="C1121" i="5"/>
  <c r="A1121" i="5"/>
  <c r="C1327" i="5"/>
  <c r="A1327" i="5"/>
  <c r="C1340" i="5"/>
  <c r="A1340" i="5"/>
  <c r="C1339" i="5"/>
  <c r="A1339" i="5"/>
  <c r="C1338" i="5"/>
  <c r="A1338" i="5"/>
  <c r="C1337" i="5"/>
  <c r="A1337" i="5"/>
  <c r="C1326" i="5"/>
  <c r="A1326" i="5"/>
  <c r="C1120" i="5"/>
  <c r="A1120" i="5"/>
  <c r="C1119" i="5"/>
  <c r="A1119" i="5"/>
  <c r="C1118" i="5"/>
  <c r="A1118" i="5"/>
  <c r="C1325" i="5"/>
  <c r="A1325" i="5"/>
  <c r="C1117" i="5"/>
  <c r="A1117" i="5"/>
  <c r="C1528" i="5"/>
  <c r="A1528" i="5"/>
  <c r="C1527" i="5"/>
  <c r="A1527" i="5"/>
  <c r="C1116" i="5"/>
  <c r="A1116" i="5"/>
  <c r="C1115" i="5"/>
  <c r="A1115" i="5"/>
  <c r="C1114" i="5"/>
  <c r="A1114" i="5"/>
  <c r="C1113" i="5"/>
  <c r="A1113" i="5"/>
  <c r="C1111" i="5"/>
  <c r="A1111" i="5"/>
  <c r="C1110" i="5"/>
  <c r="A1110" i="5"/>
  <c r="C1109" i="5"/>
  <c r="A1109" i="5"/>
  <c r="C1108" i="5"/>
  <c r="A1108" i="5"/>
  <c r="C1107" i="5"/>
  <c r="A1107" i="5"/>
  <c r="C1106" i="5"/>
  <c r="A1106" i="5"/>
  <c r="C1105" i="5"/>
  <c r="A1105" i="5"/>
  <c r="C1104" i="5"/>
  <c r="A1104" i="5"/>
  <c r="C1324" i="5"/>
  <c r="A1324" i="5"/>
  <c r="C1336" i="5"/>
  <c r="A1336" i="5"/>
  <c r="C1103" i="5"/>
  <c r="A1103" i="5"/>
  <c r="C1102" i="5"/>
  <c r="A1102" i="5"/>
  <c r="C1100" i="5"/>
  <c r="A1100" i="5"/>
  <c r="C1099" i="5"/>
  <c r="A1099" i="5"/>
  <c r="C254" i="5"/>
  <c r="A254" i="5"/>
  <c r="C252" i="5"/>
  <c r="A252" i="5"/>
  <c r="C251" i="5"/>
  <c r="A251" i="5"/>
  <c r="C1098" i="5"/>
  <c r="A1098" i="5"/>
  <c r="C249" i="5"/>
  <c r="A249" i="5"/>
  <c r="C248" i="5"/>
  <c r="A248" i="5"/>
  <c r="C247" i="5"/>
  <c r="A247" i="5"/>
  <c r="C246" i="5"/>
  <c r="A246" i="5"/>
  <c r="C234" i="5"/>
  <c r="A234" i="5"/>
  <c r="C232" i="5"/>
  <c r="A232" i="5"/>
  <c r="C245" i="5"/>
  <c r="A245" i="5"/>
  <c r="C244" i="5"/>
  <c r="A244" i="5"/>
  <c r="C253" i="5"/>
  <c r="A253" i="5"/>
  <c r="C236" i="5"/>
  <c r="A236" i="5"/>
  <c r="C231" i="5"/>
  <c r="A231" i="5"/>
  <c r="C243" i="5"/>
  <c r="A243" i="5"/>
  <c r="C255" i="5"/>
  <c r="A255" i="5"/>
  <c r="C242" i="5"/>
  <c r="A242" i="5"/>
  <c r="C241" i="5"/>
  <c r="A241" i="5"/>
  <c r="C235" i="5"/>
  <c r="A235" i="5"/>
  <c r="C240" i="5"/>
  <c r="A240" i="5"/>
  <c r="C233" i="5"/>
  <c r="A233" i="5"/>
  <c r="C1097" i="5"/>
  <c r="A1097" i="5"/>
  <c r="C1096" i="5"/>
  <c r="A1096" i="5"/>
  <c r="C1095" i="5"/>
  <c r="A1095" i="5"/>
  <c r="C250" i="5"/>
  <c r="A250" i="5"/>
  <c r="C239" i="5"/>
  <c r="A239" i="5"/>
  <c r="C238" i="5"/>
  <c r="A238" i="5"/>
  <c r="C237" i="5"/>
  <c r="A237" i="5"/>
  <c r="C563" i="5"/>
  <c r="A563" i="5"/>
  <c r="C569" i="5"/>
  <c r="A569" i="5"/>
  <c r="C573" i="5"/>
  <c r="A573" i="5"/>
  <c r="C570" i="5"/>
  <c r="A570" i="5"/>
  <c r="C578" i="5"/>
  <c r="A578" i="5"/>
  <c r="C566" i="5"/>
  <c r="A566" i="5"/>
  <c r="C577" i="5"/>
  <c r="A577" i="5"/>
  <c r="C565" i="5"/>
  <c r="A565" i="5"/>
  <c r="C562" i="5"/>
  <c r="A562" i="5"/>
  <c r="C571" i="5"/>
  <c r="A571" i="5"/>
  <c r="C561" i="5"/>
  <c r="A561" i="5"/>
  <c r="C560" i="5"/>
  <c r="A560" i="5"/>
  <c r="C1094" i="5"/>
  <c r="A1094" i="5"/>
  <c r="C575" i="5"/>
  <c r="A575" i="5"/>
  <c r="C572" i="5"/>
  <c r="A572" i="5"/>
  <c r="C559" i="5"/>
  <c r="A559" i="5"/>
  <c r="C576" i="5"/>
  <c r="A576" i="5"/>
  <c r="C1093" i="5"/>
  <c r="A1093" i="5"/>
  <c r="C558" i="5"/>
  <c r="A558" i="5"/>
  <c r="C557" i="5"/>
  <c r="A557" i="5"/>
  <c r="C556" i="5"/>
  <c r="A556" i="5"/>
  <c r="C555" i="5"/>
  <c r="A555" i="5"/>
  <c r="C554" i="5"/>
  <c r="A554" i="5"/>
  <c r="C568" i="5"/>
  <c r="A568" i="5"/>
  <c r="C553" i="5"/>
  <c r="A553" i="5"/>
  <c r="C1092" i="5"/>
  <c r="A1092" i="5"/>
  <c r="C564" i="5"/>
  <c r="A564" i="5"/>
  <c r="C1091" i="5"/>
  <c r="A1091" i="5"/>
  <c r="C552" i="5"/>
  <c r="A552" i="5"/>
  <c r="C551" i="5"/>
  <c r="A551" i="5"/>
  <c r="C567" i="5"/>
  <c r="A567" i="5"/>
  <c r="C550" i="5"/>
  <c r="A550" i="5"/>
  <c r="C549" i="5"/>
  <c r="A549" i="5"/>
  <c r="C548" i="5"/>
  <c r="A548" i="5"/>
  <c r="C547" i="5"/>
  <c r="A547" i="5"/>
  <c r="C574" i="5"/>
  <c r="A574" i="5"/>
  <c r="C546" i="5"/>
  <c r="A546" i="5"/>
  <c r="C99" i="5"/>
  <c r="A99" i="5"/>
  <c r="C100" i="5"/>
  <c r="A100" i="5"/>
  <c r="C98" i="5"/>
  <c r="A98" i="5"/>
  <c r="C97" i="5"/>
  <c r="A97" i="5"/>
  <c r="C92" i="5"/>
  <c r="A92" i="5"/>
  <c r="C102" i="5"/>
  <c r="A102" i="5"/>
  <c r="C96" i="5"/>
  <c r="A96" i="5"/>
  <c r="C93" i="5"/>
  <c r="A93" i="5"/>
  <c r="C95" i="5"/>
  <c r="A95" i="5"/>
  <c r="C91" i="5"/>
  <c r="A91" i="5"/>
  <c r="C94" i="5"/>
  <c r="A94" i="5"/>
  <c r="C101" i="5"/>
  <c r="A101" i="5"/>
  <c r="C90" i="5"/>
  <c r="A90" i="5"/>
  <c r="C405" i="5"/>
  <c r="A405" i="5"/>
  <c r="C414" i="5"/>
  <c r="A414" i="5"/>
  <c r="C1089" i="5"/>
  <c r="A1089" i="5"/>
  <c r="C1088" i="5"/>
  <c r="A1088" i="5"/>
  <c r="C1087" i="5"/>
  <c r="A1087" i="5"/>
  <c r="C413" i="5"/>
  <c r="A413" i="5"/>
  <c r="C1086" i="5"/>
  <c r="A1086" i="5"/>
  <c r="C1085" i="5"/>
  <c r="A1085" i="5"/>
  <c r="C1084" i="5"/>
  <c r="A1084" i="5"/>
  <c r="C1526" i="5"/>
  <c r="A1526" i="5"/>
  <c r="C1083" i="5"/>
  <c r="A1083" i="5"/>
  <c r="C1082" i="5"/>
  <c r="A1082" i="5"/>
  <c r="C1081" i="5"/>
  <c r="A1081" i="5"/>
  <c r="C1080" i="5"/>
  <c r="A1080" i="5"/>
  <c r="C1078" i="5"/>
  <c r="A1078" i="5"/>
  <c r="C1077" i="5"/>
  <c r="A1077" i="5"/>
  <c r="C1076" i="5"/>
  <c r="A1076" i="5"/>
  <c r="C1075" i="5"/>
  <c r="A1075" i="5"/>
  <c r="C1074" i="5"/>
  <c r="A1074" i="5"/>
  <c r="C480" i="5"/>
  <c r="A480" i="5"/>
  <c r="C1073" i="5"/>
  <c r="A1073" i="5"/>
  <c r="C411" i="5"/>
  <c r="A411" i="5"/>
  <c r="C755" i="5"/>
  <c r="A755" i="5"/>
  <c r="C1072" i="5"/>
  <c r="A1072" i="5"/>
  <c r="C1071" i="5"/>
  <c r="A1071" i="5"/>
  <c r="C1070" i="5"/>
  <c r="A1070" i="5"/>
  <c r="C1069" i="5"/>
  <c r="A1069" i="5"/>
  <c r="C1067" i="5"/>
  <c r="A1067" i="5"/>
  <c r="C1066" i="5"/>
  <c r="A1066" i="5"/>
  <c r="C1065" i="5"/>
  <c r="A1065" i="5"/>
  <c r="C1064" i="5"/>
  <c r="A1064" i="5"/>
  <c r="C1274" i="5"/>
  <c r="A1274" i="5"/>
  <c r="C1063" i="5"/>
  <c r="A1063" i="5"/>
  <c r="C406" i="5"/>
  <c r="A406" i="5"/>
  <c r="C754" i="5"/>
  <c r="A754" i="5"/>
  <c r="C410" i="5"/>
  <c r="A410" i="5"/>
  <c r="C1062" i="5"/>
  <c r="A1062" i="5"/>
  <c r="C1061" i="5"/>
  <c r="A1061" i="5"/>
  <c r="C1060" i="5"/>
  <c r="A1060" i="5"/>
  <c r="C756" i="5"/>
  <c r="A756" i="5"/>
  <c r="C1059" i="5"/>
  <c r="A1059" i="5"/>
  <c r="C753" i="5"/>
  <c r="A753" i="5"/>
  <c r="C409" i="5"/>
  <c r="A409" i="5"/>
  <c r="C408" i="5"/>
  <c r="A408" i="5"/>
  <c r="C412" i="5"/>
  <c r="A412" i="5"/>
  <c r="C407" i="5"/>
  <c r="A407" i="5"/>
  <c r="C1058" i="5"/>
  <c r="A1058" i="5"/>
  <c r="C404" i="5"/>
  <c r="A404" i="5"/>
  <c r="C1056" i="5"/>
  <c r="A1056" i="5"/>
  <c r="C1055" i="5"/>
  <c r="A1055" i="5"/>
  <c r="C1054" i="5"/>
  <c r="A1054" i="5"/>
  <c r="C1053" i="5"/>
  <c r="A1053" i="5"/>
  <c r="C1052" i="5"/>
  <c r="A1052" i="5"/>
  <c r="C1051" i="5"/>
  <c r="A1051" i="5"/>
  <c r="C1050" i="5"/>
  <c r="A1050" i="5"/>
  <c r="C1049" i="5"/>
  <c r="A1049" i="5"/>
  <c r="C1048" i="5"/>
  <c r="A1048" i="5"/>
  <c r="C1047" i="5"/>
  <c r="A1047" i="5"/>
  <c r="C1630" i="5"/>
  <c r="A1630" i="5"/>
  <c r="C1631" i="5"/>
  <c r="A1631" i="5"/>
  <c r="C1045" i="5"/>
  <c r="A1045" i="5"/>
  <c r="C1044" i="5"/>
  <c r="A1044" i="5"/>
  <c r="C1043" i="5"/>
  <c r="A1043" i="5"/>
  <c r="C1042" i="5"/>
  <c r="A1042" i="5"/>
  <c r="C1041" i="5"/>
  <c r="A1041" i="5"/>
  <c r="C1434" i="5"/>
  <c r="A1434" i="5"/>
  <c r="C1040" i="5"/>
  <c r="A1040" i="5"/>
  <c r="C1039" i="5"/>
  <c r="A1039" i="5"/>
  <c r="C1038" i="5"/>
  <c r="A1038" i="5"/>
  <c r="C1037" i="5"/>
  <c r="A1037" i="5"/>
  <c r="C1036" i="5"/>
  <c r="A1036" i="5"/>
  <c r="C1034" i="5"/>
  <c r="A1034" i="5"/>
  <c r="C1033" i="5"/>
  <c r="A1033" i="5"/>
  <c r="C1032" i="5"/>
  <c r="A1032" i="5"/>
  <c r="C1031" i="5"/>
  <c r="A1031" i="5"/>
  <c r="C1385" i="5"/>
  <c r="A1385" i="5"/>
  <c r="C1030" i="5"/>
  <c r="A1030" i="5"/>
  <c r="C1525" i="5"/>
  <c r="A1525" i="5"/>
  <c r="C1524" i="5"/>
  <c r="A1524" i="5"/>
  <c r="C1523" i="5"/>
  <c r="A1523" i="5"/>
  <c r="C1029" i="5"/>
  <c r="A1029" i="5"/>
  <c r="C1522" i="5"/>
  <c r="A1522" i="5"/>
  <c r="C1028" i="5"/>
  <c r="A1028" i="5"/>
  <c r="C1387" i="5"/>
  <c r="A1387" i="5"/>
  <c r="C1027" i="5"/>
  <c r="A1027" i="5"/>
  <c r="C1430" i="5"/>
  <c r="A1430" i="5"/>
  <c r="C1026" i="5"/>
  <c r="A1026" i="5"/>
  <c r="C1025" i="5"/>
  <c r="A1025" i="5"/>
  <c r="C1427" i="5"/>
  <c r="A1427" i="5"/>
  <c r="C1422" i="5"/>
  <c r="A1422" i="5"/>
  <c r="C1023" i="5"/>
  <c r="A1023" i="5"/>
  <c r="C1022" i="5"/>
  <c r="A1022" i="5"/>
  <c r="C1021" i="5"/>
  <c r="A1021" i="5"/>
  <c r="C1432" i="5"/>
  <c r="A1432" i="5"/>
  <c r="C1433" i="5"/>
  <c r="A1433" i="5"/>
  <c r="C1020" i="5"/>
  <c r="A1020" i="5"/>
  <c r="C1019" i="5"/>
  <c r="A1019" i="5"/>
  <c r="C1378" i="5"/>
  <c r="A1378" i="5"/>
  <c r="C1182" i="5"/>
  <c r="A1182" i="5"/>
  <c r="C1189" i="5"/>
  <c r="A1189" i="5"/>
  <c r="C1389" i="5"/>
  <c r="A1389" i="5"/>
  <c r="C1377" i="5"/>
  <c r="A1377" i="5"/>
  <c r="C1431" i="5"/>
  <c r="A1431" i="5"/>
  <c r="C1376" i="5"/>
  <c r="A1376" i="5"/>
  <c r="C1400" i="5"/>
  <c r="A1400" i="5"/>
  <c r="C1386" i="5"/>
  <c r="A1386" i="5"/>
  <c r="C1429" i="5"/>
  <c r="A1429" i="5"/>
  <c r="C1014" i="5"/>
  <c r="A1014" i="5"/>
  <c r="C1012" i="5"/>
  <c r="A1012" i="5"/>
  <c r="C1011" i="5"/>
  <c r="A1011" i="5"/>
  <c r="C1010" i="5"/>
  <c r="A1010" i="5"/>
  <c r="C1009" i="5"/>
  <c r="A1009" i="5"/>
  <c r="C1008" i="5"/>
  <c r="A1008" i="5"/>
  <c r="C1015" i="5"/>
  <c r="A1015" i="5"/>
  <c r="C1007" i="5"/>
  <c r="A1007" i="5"/>
  <c r="C1006" i="5"/>
  <c r="A1006" i="5"/>
  <c r="C1005" i="5"/>
  <c r="A1005" i="5"/>
  <c r="C1004" i="5"/>
  <c r="A1004" i="5"/>
  <c r="C1018" i="5"/>
  <c r="A1018" i="5"/>
  <c r="C1017" i="5"/>
  <c r="A1017" i="5"/>
  <c r="C1016" i="5"/>
  <c r="A1016" i="5"/>
  <c r="C1003" i="5"/>
  <c r="A1003" i="5"/>
  <c r="C1001" i="5"/>
  <c r="A1001" i="5"/>
  <c r="C1000" i="5"/>
  <c r="A1000" i="5"/>
  <c r="C999" i="5"/>
  <c r="A999" i="5"/>
  <c r="C998" i="5"/>
  <c r="A998" i="5"/>
  <c r="C997" i="5"/>
  <c r="A997" i="5"/>
  <c r="C996" i="5"/>
  <c r="A996" i="5"/>
  <c r="C995" i="5"/>
  <c r="A995" i="5"/>
  <c r="C994" i="5"/>
  <c r="A994" i="5"/>
  <c r="C993" i="5"/>
  <c r="A993" i="5"/>
  <c r="C992" i="5"/>
  <c r="A992" i="5"/>
  <c r="C990" i="5"/>
  <c r="A990" i="5"/>
  <c r="C989" i="5"/>
  <c r="A989" i="5"/>
  <c r="C988" i="5"/>
  <c r="A988" i="5"/>
  <c r="C987" i="5"/>
  <c r="A987" i="5"/>
  <c r="C986" i="5"/>
  <c r="A986" i="5"/>
  <c r="C1454" i="5"/>
  <c r="A1454" i="5"/>
  <c r="C985" i="5"/>
  <c r="A985" i="5"/>
  <c r="C984" i="5"/>
  <c r="A984" i="5"/>
  <c r="C983" i="5"/>
  <c r="A983" i="5"/>
  <c r="C982" i="5"/>
  <c r="A982" i="5"/>
  <c r="C981" i="5"/>
  <c r="A981" i="5"/>
  <c r="C979" i="5"/>
  <c r="A979" i="5"/>
  <c r="C978" i="5"/>
  <c r="A978" i="5"/>
  <c r="C977" i="5"/>
  <c r="A977" i="5"/>
  <c r="C976" i="5"/>
  <c r="A976" i="5"/>
  <c r="C975" i="5"/>
  <c r="A975" i="5"/>
  <c r="C518" i="5"/>
  <c r="A518" i="5"/>
  <c r="C1428" i="5"/>
  <c r="A1428" i="5"/>
  <c r="C1384" i="5"/>
  <c r="A1384" i="5"/>
  <c r="C1436" i="5"/>
  <c r="A1436" i="5"/>
  <c r="C1375" i="5"/>
  <c r="A1375" i="5"/>
  <c r="C974" i="5"/>
  <c r="A974" i="5"/>
  <c r="C973" i="5"/>
  <c r="A973" i="5"/>
  <c r="C1521" i="5"/>
  <c r="A1521" i="5"/>
  <c r="C972" i="5"/>
  <c r="A972" i="5"/>
  <c r="C1399" i="5"/>
  <c r="A1399" i="5"/>
  <c r="C1398" i="5"/>
  <c r="A1398" i="5"/>
  <c r="C1396" i="5"/>
  <c r="A1396" i="5"/>
  <c r="C1401" i="5"/>
  <c r="A1401" i="5"/>
  <c r="C1397" i="5"/>
  <c r="A1397" i="5"/>
  <c r="C1388" i="5"/>
  <c r="A1388" i="5"/>
  <c r="C971" i="5"/>
  <c r="A971" i="5"/>
  <c r="C970" i="5"/>
  <c r="A970" i="5"/>
  <c r="C968" i="5"/>
  <c r="A968" i="5"/>
  <c r="C967" i="5"/>
  <c r="A967" i="5"/>
  <c r="C1186" i="5"/>
  <c r="A1186" i="5"/>
  <c r="C1383" i="5"/>
  <c r="A1383" i="5"/>
  <c r="C1395" i="5"/>
  <c r="A1395" i="5"/>
  <c r="C966" i="5"/>
  <c r="A966" i="5"/>
  <c r="C1394" i="5"/>
  <c r="A1394" i="5"/>
  <c r="C1426" i="5"/>
  <c r="A1426" i="5"/>
  <c r="C1425" i="5"/>
  <c r="A1425" i="5"/>
  <c r="C965" i="5"/>
  <c r="A965" i="5"/>
  <c r="C964" i="5"/>
  <c r="A964" i="5"/>
  <c r="C1382" i="5"/>
  <c r="A1382" i="5"/>
  <c r="C963" i="5"/>
  <c r="A963" i="5"/>
  <c r="C1381" i="5"/>
  <c r="A1381" i="5"/>
  <c r="C1424" i="5"/>
  <c r="A1424" i="5"/>
  <c r="C1423" i="5"/>
  <c r="A1423" i="5"/>
  <c r="C962" i="5"/>
  <c r="A962" i="5"/>
  <c r="C961" i="5"/>
  <c r="A961" i="5"/>
  <c r="C960" i="5"/>
  <c r="A960" i="5"/>
  <c r="C958" i="5"/>
  <c r="A958" i="5"/>
  <c r="C1393" i="5"/>
  <c r="A1393" i="5"/>
  <c r="C1374" i="5"/>
  <c r="A1374" i="5"/>
  <c r="C957" i="5"/>
  <c r="A957" i="5"/>
  <c r="C1475" i="5"/>
  <c r="A1475" i="5"/>
  <c r="C1373" i="5"/>
  <c r="A1373" i="5"/>
  <c r="C1421" i="5"/>
  <c r="A1421" i="5"/>
  <c r="C1392" i="5"/>
  <c r="A1392" i="5"/>
  <c r="C956" i="5"/>
  <c r="A956" i="5"/>
  <c r="C1380" i="5"/>
  <c r="A1380" i="5"/>
  <c r="C1391" i="5"/>
  <c r="A1391" i="5"/>
  <c r="C955" i="5"/>
  <c r="A955" i="5"/>
  <c r="C954" i="5"/>
  <c r="A954" i="5"/>
  <c r="C953" i="5"/>
  <c r="A953" i="5"/>
  <c r="C952" i="5"/>
  <c r="A952" i="5"/>
  <c r="C951" i="5"/>
  <c r="A951" i="5"/>
  <c r="C950" i="5"/>
  <c r="A950" i="5"/>
  <c r="C949" i="5"/>
  <c r="A949" i="5"/>
  <c r="C947" i="5"/>
  <c r="A947" i="5"/>
  <c r="C946" i="5"/>
  <c r="A946" i="5"/>
  <c r="C945" i="5"/>
  <c r="A945" i="5"/>
  <c r="C944" i="5"/>
  <c r="A944" i="5"/>
  <c r="C1420" i="5"/>
  <c r="A1420" i="5"/>
  <c r="C1390" i="5"/>
  <c r="A1390" i="5"/>
  <c r="C1379" i="5"/>
  <c r="A1379" i="5"/>
  <c r="C1372" i="5"/>
  <c r="A1372" i="5"/>
  <c r="C1458" i="5"/>
  <c r="A1458" i="5"/>
  <c r="C1440" i="5"/>
  <c r="A1440" i="5"/>
  <c r="C1549" i="5"/>
  <c r="A1549" i="5"/>
  <c r="C1301" i="5"/>
  <c r="A1301" i="5"/>
  <c r="C1474" i="5"/>
  <c r="A1474" i="5"/>
  <c r="C943" i="5"/>
  <c r="A943" i="5"/>
  <c r="C1199" i="5"/>
  <c r="A1199" i="5"/>
  <c r="C942" i="5"/>
  <c r="A942" i="5"/>
  <c r="C1520" i="5"/>
  <c r="A1520" i="5"/>
  <c r="C1445" i="5"/>
  <c r="A1445" i="5"/>
  <c r="C1473" i="5"/>
  <c r="A1473" i="5"/>
  <c r="C1472" i="5"/>
  <c r="A1472" i="5"/>
  <c r="C941" i="5"/>
  <c r="A941" i="5"/>
  <c r="C1471" i="5"/>
  <c r="A1471" i="5"/>
  <c r="C940" i="5"/>
  <c r="A940" i="5"/>
  <c r="C1444" i="5"/>
  <c r="A1444" i="5"/>
  <c r="C1452" i="5"/>
  <c r="A1452" i="5"/>
  <c r="C1448" i="5"/>
  <c r="A1448" i="5"/>
  <c r="C1441" i="5"/>
  <c r="A1441" i="5"/>
  <c r="C939" i="5"/>
  <c r="A939" i="5"/>
  <c r="C1560" i="5"/>
  <c r="A1560" i="5"/>
  <c r="C1477" i="5"/>
  <c r="A1477" i="5"/>
  <c r="C1451" i="5"/>
  <c r="A1451" i="5"/>
  <c r="C1450" i="5"/>
  <c r="A1450" i="5"/>
  <c r="C1449" i="5"/>
  <c r="A1449" i="5"/>
  <c r="C1554" i="5"/>
  <c r="A1554" i="5"/>
  <c r="C1478" i="5"/>
  <c r="A1478" i="5"/>
  <c r="C938" i="5"/>
  <c r="A938" i="5"/>
  <c r="C768" i="5"/>
  <c r="A768" i="5"/>
  <c r="C1553" i="5"/>
  <c r="A1553" i="5"/>
  <c r="C1470" i="5"/>
  <c r="A1470" i="5"/>
  <c r="C1552" i="5"/>
  <c r="A1552" i="5"/>
  <c r="C1559" i="5"/>
  <c r="A1559" i="5"/>
  <c r="C1558" i="5"/>
  <c r="A1558" i="5"/>
  <c r="C1557" i="5"/>
  <c r="A1557" i="5"/>
  <c r="C1447" i="5"/>
  <c r="A1447" i="5"/>
  <c r="C1551" i="5"/>
  <c r="A1551" i="5"/>
  <c r="C1446" i="5"/>
  <c r="A1446" i="5"/>
  <c r="C1550" i="5"/>
  <c r="A1550" i="5"/>
  <c r="C1548" i="5"/>
  <c r="A1548" i="5"/>
  <c r="C1437" i="5"/>
  <c r="A1437" i="5"/>
  <c r="C1519" i="5"/>
  <c r="A1519" i="5"/>
  <c r="C936" i="5"/>
  <c r="A936" i="5"/>
  <c r="C1518" i="5"/>
  <c r="A1518" i="5"/>
  <c r="C1184" i="5"/>
  <c r="A1184" i="5"/>
  <c r="C1453" i="5"/>
  <c r="A1453" i="5"/>
  <c r="C1476" i="5"/>
  <c r="A1476" i="5"/>
  <c r="C1255" i="5"/>
  <c r="A1255" i="5"/>
  <c r="C1547" i="5"/>
  <c r="A1547" i="5"/>
  <c r="C1546" i="5"/>
  <c r="A1546" i="5"/>
  <c r="C1556" i="5"/>
  <c r="A1556" i="5"/>
  <c r="C1469" i="5"/>
  <c r="A1469" i="5"/>
  <c r="C1545" i="5"/>
  <c r="A1545" i="5"/>
  <c r="C1544" i="5"/>
  <c r="A1544" i="5"/>
  <c r="C1543" i="5"/>
  <c r="A1543" i="5"/>
  <c r="C1443" i="5"/>
  <c r="A1443" i="5"/>
  <c r="C1442" i="5"/>
  <c r="A1442" i="5"/>
  <c r="C1542" i="5"/>
  <c r="A1542" i="5"/>
  <c r="C1468" i="5"/>
  <c r="A1468" i="5"/>
  <c r="C1439" i="5"/>
  <c r="A1439" i="5"/>
  <c r="C1467" i="5"/>
  <c r="A1467" i="5"/>
  <c r="C1457" i="5"/>
  <c r="A1457" i="5"/>
  <c r="C1201" i="5"/>
  <c r="A1201" i="5"/>
  <c r="C935" i="5"/>
  <c r="A935" i="5"/>
  <c r="C934" i="5"/>
  <c r="A934" i="5"/>
  <c r="C1455" i="5"/>
  <c r="A1455" i="5"/>
  <c r="C1459" i="5"/>
  <c r="A1459" i="5"/>
  <c r="C1555" i="5"/>
  <c r="A1555" i="5"/>
  <c r="C1541" i="5"/>
  <c r="A1541" i="5"/>
  <c r="C1438" i="5"/>
  <c r="A1438" i="5"/>
  <c r="C1480" i="5"/>
  <c r="A1480" i="5"/>
  <c r="C1490" i="5"/>
  <c r="A1490" i="5"/>
  <c r="C1489" i="5"/>
  <c r="A1489" i="5"/>
  <c r="C1488" i="5"/>
  <c r="A1488" i="5"/>
  <c r="C1483" i="5"/>
  <c r="A1483" i="5"/>
  <c r="C1487" i="5"/>
  <c r="A1487" i="5"/>
  <c r="C1482" i="5"/>
  <c r="A1482" i="5"/>
  <c r="C1486" i="5"/>
  <c r="A1486" i="5"/>
  <c r="C933" i="5"/>
  <c r="A933" i="5"/>
  <c r="C1481" i="5"/>
  <c r="A1481" i="5"/>
  <c r="C1485" i="5"/>
  <c r="A1485" i="5"/>
  <c r="C1484" i="5"/>
  <c r="A1484" i="5"/>
  <c r="C1479" i="5"/>
  <c r="A1479" i="5"/>
  <c r="C932" i="5"/>
  <c r="A932" i="5"/>
  <c r="C931" i="5"/>
  <c r="A931" i="5"/>
  <c r="C930" i="5"/>
  <c r="A930" i="5"/>
  <c r="C929" i="5"/>
  <c r="A929" i="5"/>
  <c r="C928" i="5"/>
  <c r="A928" i="5"/>
  <c r="C706" i="5"/>
  <c r="A706" i="5"/>
  <c r="C468" i="5"/>
  <c r="A468" i="5"/>
  <c r="C927" i="5"/>
  <c r="A927" i="5"/>
  <c r="C707" i="5"/>
  <c r="A707" i="5"/>
  <c r="C463" i="5"/>
  <c r="A463" i="5"/>
  <c r="C1195" i="5"/>
  <c r="A1195" i="5"/>
  <c r="C925" i="5"/>
  <c r="A925" i="5"/>
  <c r="C924" i="5"/>
  <c r="A924" i="5"/>
  <c r="C923" i="5"/>
  <c r="A923" i="5"/>
  <c r="C400" i="5"/>
  <c r="A400" i="5"/>
  <c r="C675" i="5"/>
  <c r="A675" i="5"/>
  <c r="C922" i="5"/>
  <c r="A922" i="5"/>
  <c r="C921" i="5"/>
  <c r="A921" i="5"/>
  <c r="C920" i="5"/>
  <c r="A920" i="5"/>
  <c r="C919" i="5"/>
  <c r="A919" i="5"/>
  <c r="C398" i="5"/>
  <c r="A398" i="5"/>
  <c r="C918" i="5"/>
  <c r="A918" i="5"/>
  <c r="C917" i="5"/>
  <c r="A917" i="5"/>
  <c r="C916" i="5"/>
  <c r="A916" i="5"/>
  <c r="C914" i="5"/>
  <c r="A914" i="5"/>
  <c r="C481" i="5"/>
  <c r="A481" i="5"/>
  <c r="C1273" i="5"/>
  <c r="A1273" i="5"/>
  <c r="C1272" i="5"/>
  <c r="A1272" i="5"/>
  <c r="C464" i="5"/>
  <c r="A464" i="5"/>
  <c r="C913" i="5"/>
  <c r="A913" i="5"/>
  <c r="C462" i="5"/>
  <c r="A462" i="5"/>
  <c r="C461" i="5"/>
  <c r="A461" i="5"/>
  <c r="C465" i="5"/>
  <c r="A465" i="5"/>
  <c r="C1178" i="5"/>
  <c r="A1178" i="5"/>
  <c r="C1257" i="5"/>
  <c r="A1257" i="5"/>
  <c r="C467" i="5"/>
  <c r="A467" i="5"/>
  <c r="C912" i="5"/>
  <c r="A912" i="5"/>
  <c r="C399" i="5"/>
  <c r="A399" i="5"/>
  <c r="C788" i="5"/>
  <c r="A788" i="5"/>
  <c r="C466" i="5"/>
  <c r="A466" i="5"/>
  <c r="C1177" i="5"/>
  <c r="A1177" i="5"/>
  <c r="C911" i="5"/>
  <c r="A911" i="5"/>
  <c r="C910" i="5"/>
  <c r="A910" i="5"/>
  <c r="C460" i="5"/>
  <c r="A460" i="5"/>
  <c r="C165" i="5"/>
  <c r="A165" i="5"/>
  <c r="C184" i="5"/>
  <c r="A184" i="5"/>
  <c r="C909" i="5"/>
  <c r="A909" i="5"/>
  <c r="C908" i="5"/>
  <c r="A908" i="5"/>
  <c r="C217" i="5"/>
  <c r="A217" i="5"/>
  <c r="C907" i="5"/>
  <c r="A907" i="5"/>
  <c r="C183" i="5"/>
  <c r="A183" i="5"/>
  <c r="C906" i="5"/>
  <c r="A906" i="5"/>
  <c r="C175" i="5"/>
  <c r="A175" i="5"/>
  <c r="C182" i="5"/>
  <c r="A182" i="5"/>
  <c r="C170" i="5"/>
  <c r="A170" i="5"/>
  <c r="C905" i="5"/>
  <c r="A905" i="5"/>
  <c r="C657" i="5"/>
  <c r="A657" i="5"/>
  <c r="C171" i="5"/>
  <c r="A171" i="5"/>
  <c r="C169" i="5"/>
  <c r="A169" i="5"/>
  <c r="C187" i="5"/>
  <c r="A187" i="5"/>
  <c r="C181" i="5"/>
  <c r="A181" i="5"/>
  <c r="C180" i="5"/>
  <c r="A180" i="5"/>
  <c r="C168" i="5"/>
  <c r="A168" i="5"/>
  <c r="C1323" i="5"/>
  <c r="A1323" i="5"/>
  <c r="C185" i="5"/>
  <c r="A185" i="5"/>
  <c r="C167" i="5"/>
  <c r="A167" i="5"/>
  <c r="C179" i="5"/>
  <c r="A179" i="5"/>
  <c r="C178" i="5"/>
  <c r="A178" i="5"/>
  <c r="C177" i="5"/>
  <c r="A177" i="5"/>
  <c r="C176" i="5"/>
  <c r="A176" i="5"/>
  <c r="C1254" i="5"/>
  <c r="A1254" i="5"/>
  <c r="C903" i="5"/>
  <c r="A903" i="5"/>
  <c r="C902" i="5"/>
  <c r="A902" i="5"/>
  <c r="C174" i="5"/>
  <c r="A174" i="5"/>
  <c r="C173" i="5"/>
  <c r="A173" i="5"/>
  <c r="C172" i="5"/>
  <c r="A172" i="5"/>
  <c r="C901" i="5"/>
  <c r="A901" i="5"/>
  <c r="C900" i="5"/>
  <c r="A900" i="5"/>
  <c r="C899" i="5"/>
  <c r="A899" i="5"/>
  <c r="C898" i="5"/>
  <c r="A898" i="5"/>
  <c r="C1456" i="5"/>
  <c r="A1456" i="5"/>
  <c r="C1466" i="5"/>
  <c r="A1466" i="5"/>
  <c r="C897" i="5"/>
  <c r="A897" i="5"/>
  <c r="C896" i="5"/>
  <c r="A896" i="5"/>
  <c r="C895" i="5"/>
  <c r="A895" i="5"/>
  <c r="C894" i="5"/>
  <c r="A894" i="5"/>
  <c r="C186" i="5"/>
  <c r="A186" i="5"/>
  <c r="C1191" i="5"/>
  <c r="A1191" i="5"/>
  <c r="C166" i="5"/>
  <c r="A166" i="5"/>
  <c r="C892" i="5"/>
  <c r="A892" i="5"/>
  <c r="C5" i="5"/>
  <c r="A5" i="5"/>
  <c r="C6" i="5"/>
  <c r="A6" i="5"/>
  <c r="C891" i="5"/>
  <c r="A891" i="5"/>
  <c r="C890" i="5"/>
  <c r="A890" i="5"/>
  <c r="C1419" i="5"/>
  <c r="A1419" i="5"/>
  <c r="C1413" i="5"/>
  <c r="A1413" i="5"/>
  <c r="C1188" i="5"/>
  <c r="A1188" i="5"/>
  <c r="C889" i="5"/>
  <c r="A889" i="5"/>
  <c r="C1418" i="5"/>
  <c r="A1418" i="5"/>
  <c r="C1417" i="5"/>
  <c r="A1417" i="5"/>
  <c r="C888" i="5"/>
  <c r="A888" i="5"/>
  <c r="C887" i="5"/>
  <c r="A887" i="5"/>
  <c r="C1416" i="5"/>
  <c r="A1416" i="5"/>
  <c r="C1414" i="5"/>
  <c r="A1414" i="5"/>
  <c r="C1415" i="5"/>
  <c r="A1415" i="5"/>
  <c r="C1412" i="5"/>
  <c r="A1412" i="5"/>
  <c r="C886" i="5"/>
  <c r="A886" i="5"/>
  <c r="C1411" i="5"/>
  <c r="A1411" i="5"/>
  <c r="C1410" i="5"/>
  <c r="A1410" i="5"/>
  <c r="C1409" i="5"/>
  <c r="A1409" i="5"/>
  <c r="C1408" i="5"/>
  <c r="A1408" i="5"/>
  <c r="C1407" i="5"/>
  <c r="A1407" i="5"/>
  <c r="C1406" i="5"/>
  <c r="A1406" i="5"/>
  <c r="C1405" i="5"/>
  <c r="A1405" i="5"/>
  <c r="C1404" i="5"/>
  <c r="A1404" i="5"/>
  <c r="C1403" i="5"/>
  <c r="A1403" i="5"/>
  <c r="C1402" i="5"/>
  <c r="A1402" i="5"/>
  <c r="C885" i="5"/>
  <c r="A885" i="5"/>
  <c r="C1311" i="5"/>
  <c r="A1311" i="5"/>
  <c r="C1197" i="5"/>
  <c r="A1197" i="5"/>
  <c r="C478" i="5"/>
  <c r="A478" i="5"/>
  <c r="C1656" i="5"/>
  <c r="A1656" i="5"/>
  <c r="C1312" i="5"/>
  <c r="A1312" i="5"/>
  <c r="C473" i="5"/>
  <c r="A473" i="5"/>
  <c r="C1310" i="5"/>
  <c r="A1310" i="5"/>
  <c r="C884" i="5"/>
  <c r="A884" i="5"/>
  <c r="C882" i="5"/>
  <c r="A882" i="5"/>
  <c r="C881" i="5"/>
  <c r="A881" i="5"/>
  <c r="C1300" i="5"/>
  <c r="A1300" i="5"/>
  <c r="C476" i="5"/>
  <c r="A476" i="5"/>
  <c r="C458" i="5"/>
  <c r="A458" i="5"/>
  <c r="C879" i="5"/>
  <c r="A879" i="5"/>
  <c r="C880" i="5"/>
  <c r="A880" i="5"/>
  <c r="C475" i="5"/>
  <c r="A475" i="5"/>
  <c r="C472" i="5"/>
  <c r="A472" i="5"/>
  <c r="C474" i="5"/>
  <c r="A474" i="5"/>
  <c r="C1309" i="5"/>
  <c r="A1309" i="5"/>
  <c r="C1320" i="5"/>
  <c r="A1320" i="5"/>
  <c r="C1313" i="5"/>
  <c r="A1313" i="5"/>
  <c r="C469" i="5"/>
  <c r="A469" i="5"/>
  <c r="C878" i="5"/>
  <c r="A878" i="5"/>
  <c r="C471" i="5"/>
  <c r="A471" i="5"/>
  <c r="C477" i="5"/>
  <c r="A477" i="5"/>
  <c r="C1321" i="5"/>
  <c r="A1321" i="5"/>
  <c r="C1319" i="5"/>
  <c r="A1319" i="5"/>
  <c r="C470" i="5"/>
  <c r="A470" i="5"/>
  <c r="C1308" i="5"/>
  <c r="A1308" i="5"/>
  <c r="C1307" i="5"/>
  <c r="A1307" i="5"/>
  <c r="C739" i="5"/>
  <c r="A739" i="5"/>
  <c r="C1196" i="5"/>
  <c r="A1196" i="5"/>
  <c r="C877" i="5"/>
  <c r="A877" i="5"/>
  <c r="C876" i="5"/>
  <c r="A876" i="5"/>
  <c r="C875" i="5"/>
  <c r="A875" i="5"/>
  <c r="C874" i="5"/>
  <c r="A874" i="5"/>
  <c r="C676" i="5"/>
  <c r="A676" i="5"/>
  <c r="C1318" i="5"/>
  <c r="A1318" i="5"/>
  <c r="C459" i="5"/>
  <c r="A459" i="5"/>
  <c r="C1306" i="5"/>
  <c r="A1306" i="5"/>
  <c r="C873" i="5"/>
  <c r="A873" i="5"/>
  <c r="C871" i="5"/>
  <c r="A871" i="5"/>
  <c r="C1314" i="5"/>
  <c r="A1314" i="5"/>
  <c r="C1322" i="5"/>
  <c r="A1322" i="5"/>
  <c r="C870" i="5"/>
  <c r="A870" i="5"/>
  <c r="C1202" i="5"/>
  <c r="A1202" i="5"/>
  <c r="C1175" i="5"/>
  <c r="A1175" i="5"/>
  <c r="C1179" i="5"/>
  <c r="A1179" i="5"/>
  <c r="C1303" i="5"/>
  <c r="A1303" i="5"/>
  <c r="C1181" i="5"/>
  <c r="A1181" i="5"/>
  <c r="C1299" i="5"/>
  <c r="A1299" i="5"/>
  <c r="C869" i="5"/>
  <c r="A869" i="5"/>
  <c r="C1298" i="5"/>
  <c r="A1298" i="5"/>
  <c r="C1297" i="5"/>
  <c r="A1297" i="5"/>
  <c r="C868" i="5"/>
  <c r="A868" i="5"/>
  <c r="C867" i="5"/>
  <c r="A867" i="5"/>
  <c r="C866" i="5"/>
  <c r="A866" i="5"/>
  <c r="C865" i="5"/>
  <c r="A865" i="5"/>
  <c r="C864" i="5"/>
  <c r="A864" i="5"/>
  <c r="C863" i="5"/>
  <c r="A863" i="5"/>
  <c r="C862" i="5"/>
  <c r="A862" i="5"/>
  <c r="C860" i="5"/>
  <c r="A860" i="5"/>
  <c r="C859" i="5"/>
  <c r="A859" i="5"/>
  <c r="C858" i="5"/>
  <c r="A858" i="5"/>
  <c r="C857" i="5"/>
  <c r="A857" i="5"/>
  <c r="C856" i="5"/>
  <c r="A856" i="5"/>
  <c r="C855" i="5"/>
  <c r="A855" i="5"/>
  <c r="C1317" i="5"/>
  <c r="A1317" i="5"/>
  <c r="C1369" i="5"/>
  <c r="A1369" i="5"/>
  <c r="C1365" i="5"/>
  <c r="A1365" i="5"/>
  <c r="C1361" i="5"/>
  <c r="A1361" i="5"/>
  <c r="C1360" i="5"/>
  <c r="A1360" i="5"/>
  <c r="C854" i="5"/>
  <c r="A854" i="5"/>
  <c r="C1362" i="5"/>
  <c r="A1362" i="5"/>
  <c r="C1359" i="5"/>
  <c r="A1359" i="5"/>
  <c r="C1358" i="5"/>
  <c r="A1358" i="5"/>
  <c r="C1363" i="5"/>
  <c r="A1363" i="5"/>
  <c r="C1364" i="5"/>
  <c r="A1364" i="5"/>
  <c r="C1371" i="5"/>
  <c r="A1371" i="5"/>
  <c r="C1370" i="5"/>
  <c r="A1370" i="5"/>
  <c r="C1367" i="5"/>
  <c r="A1367" i="5"/>
  <c r="C1368" i="5"/>
  <c r="A1368" i="5"/>
  <c r="C1366" i="5"/>
  <c r="A1366" i="5"/>
  <c r="C1357" i="5"/>
  <c r="A1357" i="5"/>
  <c r="C609" i="5"/>
  <c r="A609" i="5"/>
  <c r="C608" i="5"/>
  <c r="A608" i="5"/>
  <c r="C605" i="5"/>
  <c r="A605" i="5"/>
  <c r="C607" i="5"/>
  <c r="A607" i="5"/>
  <c r="C606" i="5"/>
  <c r="A606" i="5"/>
  <c r="C1304" i="5"/>
  <c r="A1304" i="5"/>
  <c r="C1302" i="5"/>
  <c r="A1302" i="5"/>
  <c r="C604" i="5"/>
  <c r="A604" i="5"/>
  <c r="C277" i="5"/>
  <c r="A277" i="5"/>
  <c r="C276" i="5"/>
  <c r="A276" i="5"/>
  <c r="C1517" i="5"/>
  <c r="A1517" i="5"/>
  <c r="C275" i="5"/>
  <c r="A275" i="5"/>
  <c r="C270" i="5"/>
  <c r="A270" i="5"/>
  <c r="C265" i="5"/>
  <c r="A265" i="5"/>
  <c r="C264" i="5"/>
  <c r="A264" i="5"/>
  <c r="C263" i="5"/>
  <c r="A263" i="5"/>
  <c r="C273" i="5"/>
  <c r="A273" i="5"/>
  <c r="C272" i="5"/>
  <c r="A272" i="5"/>
  <c r="C262" i="5"/>
  <c r="A262" i="5"/>
  <c r="C267" i="5"/>
  <c r="A267" i="5"/>
  <c r="C261" i="5"/>
  <c r="A261" i="5"/>
  <c r="C271" i="5"/>
  <c r="A271" i="5"/>
  <c r="C853" i="5"/>
  <c r="A853" i="5"/>
  <c r="C1516" i="5"/>
  <c r="A1516" i="5"/>
  <c r="C269" i="5"/>
  <c r="A269" i="5"/>
  <c r="C274" i="5"/>
  <c r="A274" i="5"/>
  <c r="C280" i="5"/>
  <c r="A280" i="5"/>
  <c r="C266" i="5"/>
  <c r="A266" i="5"/>
  <c r="C260" i="5"/>
  <c r="A260" i="5"/>
  <c r="C259" i="5"/>
  <c r="A259" i="5"/>
  <c r="C279" i="5"/>
  <c r="A279" i="5"/>
  <c r="C258" i="5"/>
  <c r="A258" i="5"/>
  <c r="C268" i="5"/>
  <c r="A268" i="5"/>
  <c r="C278" i="5"/>
  <c r="A278" i="5"/>
  <c r="C257" i="5"/>
  <c r="A257" i="5"/>
  <c r="C1515" i="5"/>
  <c r="A1515" i="5"/>
  <c r="C1514" i="5"/>
  <c r="A1514" i="5"/>
  <c r="C1513" i="5"/>
  <c r="A1513" i="5"/>
  <c r="C256" i="5"/>
  <c r="A256" i="5"/>
  <c r="C581" i="5"/>
  <c r="A581" i="5"/>
  <c r="C580" i="5"/>
  <c r="A580" i="5"/>
  <c r="C579" i="5"/>
  <c r="A579" i="5"/>
  <c r="C674" i="5"/>
  <c r="A674" i="5"/>
  <c r="C673" i="5"/>
  <c r="A673" i="5"/>
  <c r="C672" i="5"/>
  <c r="A672" i="5"/>
  <c r="C671" i="5"/>
  <c r="A671" i="5"/>
  <c r="C1628" i="5"/>
  <c r="A1628" i="5"/>
  <c r="C1627" i="5"/>
  <c r="A1627" i="5"/>
  <c r="C1621" i="5"/>
  <c r="A1621" i="5"/>
  <c r="C1613" i="5"/>
  <c r="A1613" i="5"/>
  <c r="C1624" i="5"/>
  <c r="A1624" i="5"/>
  <c r="C1623" i="5"/>
  <c r="A1623" i="5"/>
  <c r="C1626" i="5"/>
  <c r="A1626" i="5"/>
  <c r="C1622" i="5"/>
  <c r="A1622" i="5"/>
  <c r="C1629" i="5"/>
  <c r="A1629" i="5"/>
  <c r="C1620" i="5"/>
  <c r="A1620" i="5"/>
  <c r="C1619" i="5"/>
  <c r="A1619" i="5"/>
  <c r="C1618" i="5"/>
  <c r="A1618" i="5"/>
  <c r="C1617" i="5"/>
  <c r="A1617" i="5"/>
  <c r="C1616" i="5"/>
  <c r="A1616" i="5"/>
  <c r="C1625" i="5"/>
  <c r="A1625" i="5"/>
  <c r="C1615" i="5"/>
  <c r="A1615" i="5"/>
  <c r="C1614" i="5"/>
  <c r="A1614" i="5"/>
  <c r="C1612" i="5"/>
  <c r="A1612" i="5"/>
  <c r="C1611" i="5"/>
  <c r="A1611" i="5"/>
  <c r="C1610" i="5"/>
  <c r="A1610" i="5"/>
  <c r="C1609" i="5"/>
  <c r="A1609" i="5"/>
  <c r="C230" i="5"/>
  <c r="A230" i="5"/>
  <c r="C229" i="5"/>
  <c r="A229" i="5"/>
  <c r="C228" i="5"/>
  <c r="A228" i="5"/>
  <c r="C227" i="5"/>
  <c r="A227" i="5"/>
  <c r="C226" i="5"/>
  <c r="A226" i="5"/>
  <c r="C225" i="5"/>
  <c r="A225" i="5"/>
  <c r="C224" i="5"/>
  <c r="A224" i="5"/>
  <c r="C223" i="5"/>
  <c r="A223" i="5"/>
  <c r="C222" i="5"/>
  <c r="A222" i="5"/>
  <c r="C221" i="5"/>
  <c r="A221" i="5"/>
  <c r="C220" i="5"/>
  <c r="A220" i="5"/>
  <c r="C219" i="5"/>
  <c r="A219" i="5"/>
  <c r="C218" i="5"/>
  <c r="A218" i="5"/>
  <c r="C9" i="5"/>
  <c r="A9" i="5"/>
  <c r="C8" i="5"/>
  <c r="A8" i="5"/>
  <c r="C296" i="5"/>
  <c r="A296" i="5"/>
  <c r="C295" i="5"/>
  <c r="A295" i="5"/>
  <c r="C293" i="5"/>
  <c r="A293" i="5"/>
  <c r="C291" i="5"/>
  <c r="A291" i="5"/>
  <c r="C292" i="5"/>
  <c r="A292" i="5"/>
  <c r="C290" i="5"/>
  <c r="A290" i="5"/>
  <c r="C289" i="5"/>
  <c r="A289" i="5"/>
  <c r="C288" i="5"/>
  <c r="A288" i="5"/>
  <c r="C852" i="5"/>
  <c r="A852" i="5"/>
  <c r="C294" i="5"/>
  <c r="A294" i="5"/>
  <c r="C297" i="5"/>
  <c r="A297" i="5"/>
  <c r="C287" i="5"/>
  <c r="A287" i="5"/>
  <c r="C286" i="5"/>
  <c r="A286" i="5"/>
  <c r="C285" i="5"/>
  <c r="A285" i="5"/>
  <c r="C298" i="5"/>
  <c r="A298" i="5"/>
  <c r="C284" i="5"/>
  <c r="A284" i="5"/>
  <c r="C283" i="5"/>
  <c r="A283" i="5"/>
  <c r="C282" i="5"/>
  <c r="A282" i="5"/>
  <c r="C850" i="5"/>
  <c r="A850" i="5"/>
  <c r="C281" i="5"/>
  <c r="A281" i="5"/>
  <c r="C22" i="5"/>
  <c r="A22" i="5"/>
  <c r="C23" i="5"/>
  <c r="A23" i="5"/>
  <c r="C18" i="5"/>
  <c r="A18" i="5"/>
  <c r="C17" i="5"/>
  <c r="A17" i="5"/>
  <c r="C16" i="5"/>
  <c r="A16" i="5"/>
  <c r="C15" i="5"/>
  <c r="A15" i="5"/>
  <c r="C24" i="5"/>
  <c r="A24" i="5"/>
  <c r="C21" i="5"/>
  <c r="A21" i="5"/>
  <c r="C19" i="5"/>
  <c r="A19" i="5"/>
  <c r="C20" i="5"/>
  <c r="A20" i="5"/>
  <c r="C11" i="5"/>
  <c r="A11" i="5"/>
  <c r="C14" i="5"/>
  <c r="A14" i="5"/>
  <c r="C13" i="5"/>
  <c r="A13" i="5"/>
  <c r="C10" i="5"/>
  <c r="A10" i="5"/>
  <c r="C12" i="5"/>
  <c r="A12" i="5"/>
  <c r="C7" i="5"/>
  <c r="A7" i="5"/>
  <c r="C1296" i="5"/>
  <c r="A1296" i="5"/>
  <c r="C849" i="5"/>
  <c r="A849" i="5"/>
  <c r="C848" i="5"/>
  <c r="A848" i="5"/>
  <c r="C847" i="5"/>
  <c r="A847" i="5"/>
  <c r="C846" i="5"/>
  <c r="A846" i="5"/>
  <c r="C740" i="5"/>
  <c r="A740" i="5"/>
  <c r="C774" i="5"/>
  <c r="A774" i="5"/>
  <c r="C845" i="5"/>
  <c r="A845" i="5"/>
  <c r="C738" i="5"/>
  <c r="A738" i="5"/>
  <c r="C737" i="5"/>
  <c r="A737" i="5"/>
  <c r="C844" i="5"/>
  <c r="A844" i="5"/>
  <c r="C843" i="5"/>
  <c r="A843" i="5"/>
  <c r="C842" i="5"/>
  <c r="A842" i="5"/>
  <c r="C1295" i="5"/>
  <c r="A1295" i="5"/>
  <c r="C841" i="5"/>
  <c r="A841" i="5"/>
  <c r="C839" i="5"/>
  <c r="A839" i="5"/>
  <c r="C838" i="5"/>
  <c r="A838" i="5"/>
  <c r="C1512" i="5"/>
  <c r="A1512" i="5"/>
  <c r="C837" i="5"/>
  <c r="A837" i="5"/>
  <c r="C836" i="5"/>
  <c r="A836" i="5"/>
  <c r="C717" i="5"/>
  <c r="A717" i="5"/>
  <c r="C787" i="5"/>
  <c r="A787" i="5"/>
  <c r="C766" i="5"/>
  <c r="A766" i="5"/>
  <c r="C769" i="5"/>
  <c r="A769" i="5"/>
  <c r="C669" i="5"/>
  <c r="A669" i="5"/>
  <c r="C680" i="5"/>
  <c r="A680" i="5"/>
  <c r="C835" i="5"/>
  <c r="A835" i="5"/>
  <c r="C834" i="5"/>
  <c r="A834" i="5"/>
  <c r="C1294" i="5"/>
  <c r="A1294" i="5"/>
  <c r="C833" i="5"/>
  <c r="A833" i="5"/>
  <c r="C832" i="5"/>
  <c r="A832" i="5"/>
  <c r="C831" i="5"/>
  <c r="A831" i="5"/>
  <c r="C1305" i="5"/>
  <c r="A1305" i="5"/>
  <c r="C715" i="5"/>
  <c r="A715" i="5"/>
  <c r="C1293" i="5"/>
  <c r="A1293" i="5"/>
  <c r="C829" i="5"/>
  <c r="A829" i="5"/>
  <c r="C828" i="5"/>
  <c r="A828" i="5"/>
  <c r="C723" i="5"/>
  <c r="A723" i="5"/>
  <c r="C522" i="5"/>
  <c r="A522" i="5"/>
  <c r="C527" i="5"/>
  <c r="A527" i="5"/>
  <c r="C714" i="5"/>
  <c r="A714" i="5"/>
  <c r="C772" i="5"/>
  <c r="A772" i="5"/>
  <c r="C770" i="5"/>
  <c r="A770" i="5"/>
  <c r="C767" i="5"/>
  <c r="A767" i="5"/>
  <c r="C786" i="5"/>
  <c r="A786" i="5"/>
  <c r="C736" i="5"/>
  <c r="A736" i="5"/>
  <c r="C785" i="5"/>
  <c r="A785" i="5"/>
  <c r="C726" i="5"/>
  <c r="A726" i="5"/>
  <c r="C526" i="5"/>
  <c r="A526" i="5"/>
  <c r="C784" i="5"/>
  <c r="A784" i="5"/>
  <c r="C727" i="5"/>
  <c r="A727" i="5"/>
  <c r="C521" i="5"/>
  <c r="A521" i="5"/>
  <c r="C783" i="5"/>
  <c r="A783" i="5"/>
  <c r="C782" i="5"/>
  <c r="A782" i="5"/>
  <c r="C827" i="5"/>
  <c r="A827" i="5"/>
  <c r="C722" i="5"/>
  <c r="A722" i="5"/>
  <c r="C1465" i="5"/>
  <c r="A1465" i="5"/>
  <c r="C1464" i="5"/>
  <c r="A1464" i="5"/>
  <c r="C1463" i="5"/>
  <c r="A1463" i="5"/>
  <c r="C1462" i="5"/>
  <c r="A1462" i="5"/>
  <c r="C751" i="5"/>
  <c r="A751" i="5"/>
  <c r="C721" i="5"/>
  <c r="A721" i="5"/>
  <c r="C735" i="5"/>
  <c r="A735" i="5"/>
  <c r="C826" i="5"/>
  <c r="A826" i="5"/>
  <c r="C825" i="5"/>
  <c r="A825" i="5"/>
  <c r="C708" i="5"/>
  <c r="A708" i="5"/>
  <c r="C757" i="5"/>
  <c r="A757" i="5"/>
  <c r="C725" i="5"/>
  <c r="A725" i="5"/>
  <c r="C781" i="5"/>
  <c r="A781" i="5"/>
  <c r="C750" i="5"/>
  <c r="A750" i="5"/>
  <c r="C780" i="5"/>
  <c r="A780" i="5"/>
  <c r="C720" i="5"/>
  <c r="A720" i="5"/>
  <c r="C525" i="5"/>
  <c r="A525" i="5"/>
  <c r="C824" i="5"/>
  <c r="A824" i="5"/>
  <c r="C823" i="5"/>
  <c r="A823" i="5"/>
  <c r="C822" i="5"/>
  <c r="A822" i="5"/>
  <c r="C821" i="5"/>
  <c r="A821" i="5"/>
  <c r="C1292" i="5"/>
  <c r="A1292" i="5"/>
  <c r="C1291" i="5"/>
  <c r="A1291" i="5"/>
  <c r="C820" i="5"/>
  <c r="A820" i="5"/>
  <c r="C818" i="5"/>
  <c r="A818" i="5"/>
  <c r="C817" i="5"/>
  <c r="A817" i="5"/>
  <c r="C816" i="5"/>
  <c r="A816" i="5"/>
  <c r="C1290" i="5"/>
  <c r="A1290" i="5"/>
  <c r="C815" i="5"/>
  <c r="A815" i="5"/>
  <c r="C814" i="5"/>
  <c r="A814" i="5"/>
  <c r="C668" i="5"/>
  <c r="A668" i="5"/>
  <c r="C748" i="5"/>
  <c r="A748" i="5"/>
  <c r="C524" i="5"/>
  <c r="A524" i="5"/>
  <c r="C813" i="5"/>
  <c r="A813" i="5"/>
  <c r="C744" i="5"/>
  <c r="A744" i="5"/>
  <c r="C741" i="5"/>
  <c r="A741" i="5"/>
  <c r="C734" i="5"/>
  <c r="A734" i="5"/>
  <c r="C812" i="5"/>
  <c r="A812" i="5"/>
  <c r="C728" i="5"/>
  <c r="A728" i="5"/>
  <c r="C74" i="5"/>
  <c r="A74" i="5"/>
  <c r="C811" i="5"/>
  <c r="A811" i="5"/>
  <c r="C810" i="5"/>
  <c r="A810" i="5"/>
  <c r="C713" i="5"/>
  <c r="A713" i="5"/>
  <c r="C747" i="5"/>
  <c r="A747" i="5"/>
  <c r="C1511" i="5"/>
  <c r="A1511" i="5"/>
  <c r="C712" i="5"/>
  <c r="A712" i="5"/>
  <c r="C809" i="5"/>
  <c r="A809" i="5"/>
  <c r="C1185" i="5"/>
  <c r="A1185" i="5"/>
  <c r="C1289" i="5"/>
  <c r="A1289" i="5"/>
  <c r="C1193" i="5"/>
  <c r="A1193" i="5"/>
  <c r="C1192" i="5"/>
  <c r="A1192" i="5"/>
  <c r="C733" i="5"/>
  <c r="A733" i="5"/>
  <c r="C711" i="5"/>
  <c r="A711" i="5"/>
  <c r="C732" i="5"/>
  <c r="A732" i="5"/>
  <c r="C731" i="5"/>
  <c r="A731" i="5"/>
  <c r="C807" i="5"/>
  <c r="A807" i="5"/>
  <c r="C716" i="5"/>
  <c r="A716" i="5"/>
  <c r="C765" i="5"/>
  <c r="A765" i="5"/>
  <c r="C745" i="5"/>
  <c r="A745" i="5"/>
  <c r="C779" i="5"/>
  <c r="A779" i="5"/>
  <c r="C730" i="5"/>
  <c r="A730" i="5"/>
  <c r="C523" i="5"/>
  <c r="A523" i="5"/>
  <c r="C778" i="5"/>
  <c r="A778" i="5"/>
  <c r="C777" i="5"/>
  <c r="A777" i="5"/>
  <c r="C528" i="5"/>
  <c r="A528" i="5"/>
  <c r="C710" i="5"/>
  <c r="A710" i="5"/>
  <c r="C773" i="5"/>
  <c r="A773" i="5"/>
  <c r="C806" i="5"/>
  <c r="A806" i="5"/>
  <c r="C1288" i="5"/>
  <c r="A1288" i="5"/>
  <c r="C776" i="5"/>
  <c r="A776" i="5"/>
  <c r="C749" i="5"/>
  <c r="A749" i="5"/>
  <c r="C519" i="5"/>
  <c r="A519" i="5"/>
  <c r="C758" i="5"/>
  <c r="A758" i="5"/>
  <c r="C764" i="5"/>
  <c r="A764" i="5"/>
  <c r="C763" i="5"/>
  <c r="A763" i="5"/>
  <c r="C743" i="5"/>
  <c r="A743" i="5"/>
  <c r="C742" i="5"/>
  <c r="A742" i="5"/>
  <c r="C729" i="5"/>
  <c r="A729" i="5"/>
  <c r="C724" i="5"/>
  <c r="A724" i="5"/>
  <c r="C746" i="5"/>
  <c r="A746" i="5"/>
  <c r="C762" i="5"/>
  <c r="A762" i="5"/>
  <c r="C520" i="5"/>
  <c r="A520" i="5"/>
  <c r="C719" i="5"/>
  <c r="A719" i="5"/>
  <c r="C761" i="5"/>
  <c r="A761" i="5"/>
  <c r="C771" i="5"/>
  <c r="A771" i="5"/>
  <c r="C760" i="5"/>
  <c r="A760" i="5"/>
  <c r="C759" i="5"/>
  <c r="A759" i="5"/>
  <c r="C775" i="5"/>
  <c r="A775" i="5"/>
  <c r="C805" i="5"/>
  <c r="A805" i="5"/>
  <c r="C709" i="5"/>
  <c r="A709" i="5"/>
  <c r="C718" i="5"/>
  <c r="A718" i="5"/>
  <c r="C804" i="5"/>
  <c r="A804" i="5"/>
  <c r="C1461" i="5"/>
  <c r="A1461" i="5"/>
  <c r="C1287" i="5"/>
  <c r="A1287" i="5"/>
  <c r="C1286" i="5"/>
  <c r="A1286" i="5"/>
  <c r="C803" i="5"/>
  <c r="A803" i="5"/>
  <c r="C1285" i="5"/>
  <c r="A1285" i="5"/>
  <c r="C1284" i="5"/>
  <c r="A1284" i="5"/>
  <c r="C802" i="5"/>
  <c r="A802" i="5"/>
  <c r="C1283" i="5"/>
  <c r="A1283" i="5"/>
  <c r="C801" i="5"/>
  <c r="A801" i="5"/>
  <c r="C1282" i="5"/>
  <c r="A1282" i="5"/>
  <c r="C800" i="5"/>
  <c r="A800" i="5"/>
  <c r="C1281" i="5"/>
  <c r="A1281" i="5"/>
  <c r="C1280" i="5"/>
  <c r="A1280" i="5"/>
  <c r="C1253" i="5"/>
  <c r="A1253" i="5"/>
  <c r="C1252" i="5"/>
  <c r="A1252" i="5"/>
  <c r="C1251" i="5"/>
  <c r="A1251" i="5"/>
  <c r="C1250" i="5"/>
  <c r="A1250" i="5"/>
  <c r="C1249" i="5"/>
  <c r="A1249" i="5"/>
  <c r="C1248" i="5"/>
  <c r="A1248" i="5"/>
  <c r="C1279" i="5"/>
  <c r="A1279" i="5"/>
  <c r="C1276" i="5"/>
  <c r="A1276" i="5"/>
  <c r="C752" i="5"/>
  <c r="A752" i="5"/>
  <c r="C115" i="5"/>
  <c r="A115" i="5"/>
  <c r="C113" i="5"/>
  <c r="A113" i="5"/>
  <c r="C112" i="5"/>
  <c r="A112" i="5"/>
  <c r="C114" i="5"/>
  <c r="A114" i="5"/>
  <c r="C106" i="5"/>
  <c r="A106" i="5"/>
  <c r="C111" i="5"/>
  <c r="A111" i="5"/>
  <c r="C110" i="5"/>
  <c r="A110" i="5"/>
  <c r="C109" i="5"/>
  <c r="A109" i="5"/>
  <c r="C105" i="5"/>
  <c r="A105" i="5"/>
  <c r="C108" i="5"/>
  <c r="A108" i="5"/>
  <c r="C104" i="5"/>
  <c r="A104" i="5"/>
  <c r="C107" i="5"/>
  <c r="A107" i="5"/>
  <c r="C103" i="5"/>
  <c r="A103" i="5"/>
  <c r="C588" i="5"/>
  <c r="A588" i="5"/>
  <c r="C1247" i="5"/>
  <c r="A1247" i="5"/>
  <c r="C587" i="5"/>
  <c r="A587" i="5"/>
  <c r="C583" i="5"/>
  <c r="A583" i="5"/>
  <c r="C586" i="5"/>
  <c r="A586" i="5"/>
  <c r="C585" i="5"/>
  <c r="A585" i="5"/>
  <c r="C1180" i="5"/>
  <c r="A1180" i="5"/>
  <c r="C584" i="5"/>
  <c r="A584" i="5"/>
  <c r="C582" i="5"/>
  <c r="A582" i="5"/>
  <c r="C34" i="5"/>
  <c r="A34" i="5"/>
  <c r="C37" i="5"/>
  <c r="A37" i="5"/>
  <c r="C32" i="5"/>
  <c r="A32" i="5"/>
  <c r="C30" i="5"/>
  <c r="A30" i="5"/>
  <c r="C36" i="5"/>
  <c r="A36" i="5"/>
  <c r="C1271" i="5"/>
  <c r="A1271" i="5"/>
  <c r="C29" i="5"/>
  <c r="A29" i="5"/>
  <c r="C35" i="5"/>
  <c r="A35" i="5"/>
  <c r="C38" i="5"/>
  <c r="A38" i="5"/>
  <c r="C31" i="5"/>
  <c r="A31" i="5"/>
  <c r="C28" i="5"/>
  <c r="A28" i="5"/>
  <c r="C33" i="5"/>
  <c r="A33" i="5"/>
  <c r="C27" i="5"/>
  <c r="A27" i="5"/>
  <c r="C1246" i="5"/>
  <c r="A1246" i="5"/>
  <c r="C26" i="5"/>
  <c r="A26" i="5"/>
  <c r="C25" i="5"/>
  <c r="A25" i="5"/>
  <c r="C140" i="5"/>
  <c r="A140" i="5"/>
  <c r="C131" i="5"/>
  <c r="A131" i="5"/>
  <c r="C1504" i="5"/>
  <c r="A1504" i="5"/>
  <c r="C158" i="5"/>
  <c r="A158" i="5"/>
  <c r="C126" i="5"/>
  <c r="A126" i="5"/>
  <c r="C124" i="5"/>
  <c r="A124" i="5"/>
  <c r="C157" i="5"/>
  <c r="A157" i="5"/>
  <c r="C135" i="5"/>
  <c r="A135" i="5"/>
  <c r="C130" i="5"/>
  <c r="A130" i="5"/>
  <c r="C123" i="5"/>
  <c r="A123" i="5"/>
  <c r="C122" i="5"/>
  <c r="A122" i="5"/>
  <c r="C139" i="5"/>
  <c r="A139" i="5"/>
  <c r="C134" i="5"/>
  <c r="A134" i="5"/>
  <c r="C156" i="5"/>
  <c r="A156" i="5"/>
  <c r="C129" i="5"/>
  <c r="A129" i="5"/>
  <c r="C155" i="5"/>
  <c r="A155" i="5"/>
  <c r="C142" i="5"/>
  <c r="A142" i="5"/>
  <c r="C133" i="5"/>
  <c r="A133" i="5"/>
  <c r="C132" i="5"/>
  <c r="A132" i="5"/>
  <c r="C154" i="5"/>
  <c r="A154" i="5"/>
  <c r="C153" i="5"/>
  <c r="A153" i="5"/>
  <c r="C1278" i="5"/>
  <c r="A1278" i="5"/>
  <c r="C1245" i="5"/>
  <c r="A1245" i="5"/>
  <c r="C1277" i="5"/>
  <c r="A1277" i="5"/>
  <c r="C1244" i="5"/>
  <c r="A1244" i="5"/>
  <c r="C1243" i="5"/>
  <c r="A1243" i="5"/>
  <c r="C136" i="5"/>
  <c r="A136" i="5"/>
  <c r="C152" i="5"/>
  <c r="A152" i="5"/>
  <c r="C121" i="5"/>
  <c r="A121" i="5"/>
  <c r="C151" i="5"/>
  <c r="A151" i="5"/>
  <c r="C161" i="5"/>
  <c r="A161" i="5"/>
  <c r="C141" i="5"/>
  <c r="A141" i="5"/>
  <c r="C128" i="5"/>
  <c r="A128" i="5"/>
  <c r="C150" i="5"/>
  <c r="A150" i="5"/>
  <c r="C137" i="5"/>
  <c r="A137" i="5"/>
  <c r="C58" i="5"/>
  <c r="A58" i="5"/>
  <c r="C120" i="5"/>
  <c r="A120" i="5"/>
  <c r="C149" i="5"/>
  <c r="A149" i="5"/>
  <c r="C138" i="5"/>
  <c r="A138" i="5"/>
  <c r="C119" i="5"/>
  <c r="A119" i="5"/>
  <c r="C148" i="5"/>
  <c r="A148" i="5"/>
  <c r="C147" i="5"/>
  <c r="A147" i="5"/>
  <c r="C146" i="5"/>
  <c r="A146" i="5"/>
  <c r="C125" i="5"/>
  <c r="A125" i="5"/>
  <c r="C127" i="5"/>
  <c r="A127" i="5"/>
  <c r="C145" i="5"/>
  <c r="A145" i="5"/>
  <c r="C143" i="5"/>
  <c r="A143" i="5"/>
  <c r="C705" i="5"/>
  <c r="A705" i="5"/>
  <c r="C144" i="5"/>
  <c r="A144" i="5"/>
  <c r="C118" i="5"/>
  <c r="A118" i="5"/>
  <c r="C391" i="5"/>
  <c r="A391" i="5"/>
  <c r="C117" i="5"/>
  <c r="A117" i="5"/>
  <c r="C163" i="5"/>
  <c r="A163" i="5"/>
  <c r="C164" i="5"/>
  <c r="A164" i="5"/>
  <c r="C1200" i="5"/>
  <c r="A1200" i="5"/>
  <c r="C162" i="5"/>
  <c r="A162" i="5"/>
  <c r="C160" i="5"/>
  <c r="A160" i="5"/>
  <c r="C159" i="5"/>
  <c r="A159" i="5"/>
  <c r="C116" i="5"/>
  <c r="A116" i="5"/>
  <c r="C451" i="5"/>
  <c r="A451" i="5"/>
  <c r="C450" i="5"/>
  <c r="A450" i="5"/>
  <c r="C448" i="5"/>
  <c r="A448" i="5"/>
  <c r="C447" i="5"/>
  <c r="A447" i="5"/>
  <c r="C446" i="5"/>
  <c r="A446" i="5"/>
  <c r="C449" i="5"/>
  <c r="A449" i="5"/>
  <c r="C445" i="5"/>
  <c r="A445" i="5"/>
  <c r="C543" i="5"/>
  <c r="A543" i="5"/>
  <c r="C542" i="5"/>
  <c r="A542" i="5"/>
  <c r="C541" i="5"/>
  <c r="A541" i="5"/>
  <c r="C545" i="5"/>
  <c r="A545" i="5"/>
  <c r="C540" i="5"/>
  <c r="A540" i="5"/>
  <c r="C539" i="5"/>
  <c r="A539" i="5"/>
  <c r="C544" i="5"/>
  <c r="A544" i="5"/>
  <c r="C538" i="5"/>
  <c r="A538" i="5"/>
  <c r="C537" i="5"/>
  <c r="A537" i="5"/>
  <c r="C536" i="5"/>
  <c r="A536" i="5"/>
  <c r="C1460" i="5"/>
  <c r="A1460" i="5"/>
  <c r="C535" i="5"/>
  <c r="A535" i="5"/>
  <c r="C534" i="5"/>
  <c r="A534" i="5"/>
  <c r="C533" i="5"/>
  <c r="A533" i="5"/>
  <c r="C532" i="5"/>
  <c r="A532" i="5"/>
  <c r="C531" i="5"/>
  <c r="A531" i="5"/>
  <c r="C530" i="5"/>
  <c r="A530" i="5"/>
  <c r="C529" i="5"/>
  <c r="A529" i="5"/>
  <c r="C1606" i="5"/>
  <c r="A1606" i="5"/>
  <c r="C1608" i="5"/>
  <c r="A1608" i="5"/>
  <c r="C1604" i="5"/>
  <c r="A1604" i="5"/>
  <c r="C1602" i="5"/>
  <c r="A1602" i="5"/>
  <c r="C1601" i="5"/>
  <c r="A1601" i="5"/>
  <c r="C1596" i="5"/>
  <c r="A1596" i="5"/>
  <c r="C1595" i="5"/>
  <c r="A1595" i="5"/>
  <c r="C1594" i="5"/>
  <c r="A1594" i="5"/>
  <c r="C1593" i="5"/>
  <c r="A1593" i="5"/>
  <c r="C1592" i="5"/>
  <c r="A1592" i="5"/>
  <c r="C1591" i="5"/>
  <c r="A1591" i="5"/>
  <c r="C1590" i="5"/>
  <c r="A1590" i="5"/>
  <c r="C1589" i="5"/>
  <c r="A1589" i="5"/>
  <c r="C1587" i="5"/>
  <c r="A1587" i="5"/>
  <c r="C1603" i="5"/>
  <c r="A1603" i="5"/>
  <c r="C1586" i="5"/>
  <c r="A1586" i="5"/>
  <c r="C1599" i="5"/>
  <c r="A1599" i="5"/>
  <c r="C1585" i="5"/>
  <c r="A1585" i="5"/>
  <c r="C1584" i="5"/>
  <c r="A1584" i="5"/>
  <c r="C1583" i="5"/>
  <c r="A1583" i="5"/>
  <c r="C1600" i="5"/>
  <c r="A1600" i="5"/>
  <c r="C1582" i="5"/>
  <c r="A1582" i="5"/>
  <c r="C1581" i="5"/>
  <c r="A1581" i="5"/>
  <c r="C1580" i="5"/>
  <c r="A1580" i="5"/>
  <c r="C1579" i="5"/>
  <c r="A1579" i="5"/>
  <c r="C1578" i="5"/>
  <c r="A1578" i="5"/>
  <c r="C1577" i="5"/>
  <c r="A1577" i="5"/>
  <c r="C1598" i="5"/>
  <c r="A1598" i="5"/>
  <c r="C1576" i="5"/>
  <c r="A1576" i="5"/>
  <c r="C1575" i="5"/>
  <c r="A1575" i="5"/>
  <c r="C1588" i="5"/>
  <c r="A1588" i="5"/>
  <c r="C1574" i="5"/>
  <c r="A1574" i="5"/>
  <c r="C1242" i="5"/>
  <c r="A1242" i="5"/>
  <c r="C1607" i="5"/>
  <c r="A1607" i="5"/>
  <c r="C1573" i="5"/>
  <c r="A1573" i="5"/>
  <c r="C666" i="5"/>
  <c r="A666" i="5"/>
  <c r="C660" i="5"/>
  <c r="A660" i="5"/>
  <c r="C659" i="5"/>
  <c r="A659" i="5"/>
  <c r="C665" i="5"/>
  <c r="A665" i="5"/>
  <c r="C664" i="5"/>
  <c r="A664" i="5"/>
  <c r="C663" i="5"/>
  <c r="A663" i="5"/>
  <c r="C1190" i="5"/>
  <c r="A1190" i="5"/>
  <c r="C662" i="5"/>
  <c r="A662" i="5"/>
  <c r="C661" i="5"/>
  <c r="A661" i="5"/>
  <c r="C667" i="5"/>
  <c r="A667" i="5"/>
  <c r="C658" i="5"/>
  <c r="A658" i="5"/>
  <c r="C444" i="5"/>
  <c r="A444" i="5"/>
  <c r="C438" i="5"/>
  <c r="A438" i="5"/>
  <c r="C437" i="5"/>
  <c r="A437" i="5"/>
  <c r="C436" i="5"/>
  <c r="A436" i="5"/>
  <c r="C434" i="5"/>
  <c r="A434" i="5"/>
  <c r="C417" i="5"/>
  <c r="A417" i="5"/>
  <c r="C433" i="5"/>
  <c r="A433" i="5"/>
  <c r="C432" i="5"/>
  <c r="A432" i="5"/>
  <c r="C429" i="5"/>
  <c r="A429" i="5"/>
  <c r="C1270" i="5"/>
  <c r="A1270" i="5"/>
  <c r="C1241" i="5"/>
  <c r="A1241" i="5"/>
  <c r="C430" i="5"/>
  <c r="A430" i="5"/>
  <c r="C421" i="5"/>
  <c r="A421" i="5"/>
  <c r="C443" i="5"/>
  <c r="A443" i="5"/>
  <c r="C428" i="5"/>
  <c r="A428" i="5"/>
  <c r="C427" i="5"/>
  <c r="A427" i="5"/>
  <c r="C1269" i="5"/>
  <c r="A1269" i="5"/>
  <c r="C420" i="5"/>
  <c r="A420" i="5"/>
  <c r="C442" i="5"/>
  <c r="A442" i="5"/>
  <c r="C426" i="5"/>
  <c r="A426" i="5"/>
  <c r="C419" i="5"/>
  <c r="A419" i="5"/>
  <c r="C1240" i="5"/>
  <c r="A1240" i="5"/>
  <c r="C418" i="5"/>
  <c r="A418" i="5"/>
  <c r="C425" i="5"/>
  <c r="A425" i="5"/>
  <c r="C424" i="5"/>
  <c r="A424" i="5"/>
  <c r="C422" i="5"/>
  <c r="A422" i="5"/>
  <c r="C416" i="5"/>
  <c r="A416" i="5"/>
  <c r="C1239" i="5"/>
  <c r="A1239" i="5"/>
  <c r="C1268" i="5"/>
  <c r="A1268" i="5"/>
  <c r="C1267" i="5"/>
  <c r="A1267" i="5"/>
  <c r="C1238" i="5"/>
  <c r="A1238" i="5"/>
  <c r="C1266" i="5"/>
  <c r="A1266" i="5"/>
  <c r="C1237" i="5"/>
  <c r="A1237" i="5"/>
  <c r="C1236" i="5"/>
  <c r="A1236" i="5"/>
  <c r="C479" i="5"/>
  <c r="A479" i="5"/>
  <c r="C431" i="5"/>
  <c r="A431" i="5"/>
  <c r="C423" i="5"/>
  <c r="A423" i="5"/>
  <c r="C1256" i="5"/>
  <c r="A1256" i="5"/>
  <c r="C441" i="5"/>
  <c r="A441" i="5"/>
  <c r="C440" i="5"/>
  <c r="A440" i="5"/>
  <c r="C435" i="5"/>
  <c r="A435" i="5"/>
  <c r="C439" i="5"/>
  <c r="A439" i="5"/>
  <c r="C1265" i="5"/>
  <c r="A1265" i="5"/>
  <c r="C1264" i="5"/>
  <c r="A1264" i="5"/>
  <c r="C1263" i="5"/>
  <c r="A1263" i="5"/>
  <c r="C1262" i="5"/>
  <c r="A1262" i="5"/>
  <c r="C1261" i="5"/>
  <c r="A1261" i="5"/>
  <c r="C1260" i="5"/>
  <c r="A1260" i="5"/>
  <c r="C1259" i="5"/>
  <c r="A1259" i="5"/>
  <c r="C1258" i="5"/>
  <c r="A1258" i="5"/>
  <c r="C415" i="5"/>
  <c r="A415" i="5"/>
  <c r="C499" i="5"/>
  <c r="A499" i="5"/>
  <c r="C502" i="5"/>
  <c r="A502" i="5"/>
  <c r="C497" i="5"/>
  <c r="A497" i="5"/>
  <c r="C496" i="5"/>
  <c r="A496" i="5"/>
  <c r="C495" i="5"/>
  <c r="A495" i="5"/>
  <c r="C494" i="5"/>
  <c r="A494" i="5"/>
  <c r="C493" i="5"/>
  <c r="A493" i="5"/>
  <c r="C501" i="5"/>
  <c r="A501" i="5"/>
  <c r="C677" i="5"/>
  <c r="A677" i="5"/>
  <c r="C500" i="5"/>
  <c r="A500" i="5"/>
  <c r="C492" i="5"/>
  <c r="A492" i="5"/>
  <c r="C491" i="5"/>
  <c r="A491" i="5"/>
  <c r="C498" i="5"/>
  <c r="A498" i="5"/>
  <c r="C490" i="5"/>
  <c r="A490" i="5"/>
  <c r="C1235" i="5"/>
  <c r="A1235" i="5"/>
  <c r="C1234" i="5"/>
  <c r="A1234" i="5"/>
  <c r="C1233" i="5"/>
  <c r="A1233" i="5"/>
  <c r="C401" i="5"/>
  <c r="A401" i="5"/>
  <c r="C489" i="5"/>
  <c r="A489" i="5"/>
  <c r="C1232" i="5"/>
  <c r="A1232" i="5"/>
  <c r="C789" i="5"/>
  <c r="A789" i="5"/>
  <c r="C488" i="5"/>
  <c r="A488" i="5"/>
  <c r="C1597" i="5"/>
  <c r="A1597" i="5"/>
  <c r="C1605" i="5"/>
  <c r="A1605" i="5"/>
  <c r="C1231" i="5"/>
  <c r="A1231" i="5"/>
  <c r="C380" i="5"/>
  <c r="A380" i="5"/>
  <c r="C1540" i="5"/>
  <c r="A1540" i="5"/>
  <c r="C1510" i="5"/>
  <c r="A1510" i="5"/>
  <c r="C1230" i="5"/>
  <c r="A1230" i="5"/>
  <c r="C1229" i="5"/>
  <c r="A1229" i="5"/>
  <c r="C1228" i="5"/>
  <c r="A1228" i="5"/>
  <c r="C1227" i="5"/>
  <c r="A1227" i="5"/>
  <c r="C1226" i="5"/>
  <c r="A1226" i="5"/>
  <c r="C1225" i="5"/>
  <c r="A1225" i="5"/>
  <c r="C389" i="5"/>
  <c r="A389" i="5"/>
  <c r="C384" i="5"/>
  <c r="A384" i="5"/>
  <c r="C379" i="5"/>
  <c r="A379" i="5"/>
  <c r="C378" i="5"/>
  <c r="A378" i="5"/>
  <c r="C1224" i="5"/>
  <c r="A1224" i="5"/>
  <c r="C390" i="5"/>
  <c r="A390" i="5"/>
  <c r="C377" i="5"/>
  <c r="A377" i="5"/>
  <c r="C383" i="5"/>
  <c r="A383" i="5"/>
  <c r="C381" i="5"/>
  <c r="A381" i="5"/>
  <c r="C376" i="5"/>
  <c r="A376" i="5"/>
  <c r="C375" i="5"/>
  <c r="A375" i="5"/>
  <c r="C373" i="5"/>
  <c r="A373" i="5"/>
  <c r="C386" i="5"/>
  <c r="A386" i="5"/>
  <c r="C1223" i="5"/>
  <c r="A1223" i="5"/>
  <c r="C388" i="5"/>
  <c r="A388" i="5"/>
  <c r="C374" i="5"/>
  <c r="A374" i="5"/>
  <c r="C1222" i="5"/>
  <c r="A1222" i="5"/>
  <c r="C1221" i="5"/>
  <c r="A1221" i="5"/>
  <c r="C1220" i="5"/>
  <c r="A1220" i="5"/>
  <c r="C382" i="5"/>
  <c r="A382" i="5"/>
  <c r="C387" i="5"/>
  <c r="A387" i="5"/>
  <c r="C1218" i="5"/>
  <c r="A1218" i="5"/>
  <c r="C1219" i="5"/>
  <c r="A1219" i="5"/>
  <c r="C1217" i="5"/>
  <c r="A1217" i="5"/>
  <c r="C1216" i="5"/>
  <c r="A1216" i="5"/>
  <c r="C1215" i="5"/>
  <c r="A1215" i="5"/>
  <c r="C1214" i="5"/>
  <c r="A1214" i="5"/>
  <c r="C1213" i="5"/>
  <c r="A1213" i="5"/>
  <c r="C385" i="5"/>
  <c r="A385" i="5"/>
  <c r="C43" i="5"/>
  <c r="A43" i="5"/>
  <c r="C42" i="5"/>
  <c r="A42" i="5"/>
  <c r="C41" i="5"/>
  <c r="A41" i="5"/>
  <c r="C40" i="5"/>
  <c r="A40" i="5"/>
  <c r="C39" i="5"/>
  <c r="A39" i="5"/>
  <c r="C702" i="5"/>
  <c r="A702" i="5"/>
  <c r="C703" i="5"/>
  <c r="A703" i="5"/>
  <c r="C701" i="5"/>
  <c r="A701" i="5"/>
  <c r="C700" i="5"/>
  <c r="A700" i="5"/>
  <c r="C704" i="5"/>
  <c r="A704" i="5"/>
  <c r="C699" i="5"/>
  <c r="A699" i="5"/>
  <c r="C603" i="5"/>
  <c r="A603" i="5"/>
  <c r="C602" i="5"/>
  <c r="A602" i="5"/>
  <c r="C596" i="5"/>
  <c r="A596" i="5"/>
  <c r="C1194" i="5"/>
  <c r="A1194" i="5"/>
  <c r="C1212" i="5"/>
  <c r="A1212" i="5"/>
  <c r="C601" i="5"/>
  <c r="A601" i="5"/>
  <c r="C595" i="5"/>
  <c r="A595" i="5"/>
  <c r="C597" i="5"/>
  <c r="A597" i="5"/>
  <c r="C1211" i="5"/>
  <c r="A1211" i="5"/>
  <c r="C594" i="5"/>
  <c r="A594" i="5"/>
  <c r="C593" i="5"/>
  <c r="A593" i="5"/>
  <c r="C592" i="5"/>
  <c r="A592" i="5"/>
  <c r="C600" i="5"/>
  <c r="A600" i="5"/>
  <c r="C1210" i="5"/>
  <c r="A1210" i="5"/>
  <c r="C1209" i="5"/>
  <c r="A1209" i="5"/>
  <c r="C1208" i="5"/>
  <c r="A1208" i="5"/>
  <c r="C1207" i="5"/>
  <c r="A1207" i="5"/>
  <c r="C1206" i="5"/>
  <c r="A1206" i="5"/>
  <c r="C1205" i="5"/>
  <c r="A1205" i="5"/>
  <c r="C1204" i="5"/>
  <c r="A1204" i="5"/>
  <c r="C1203" i="5"/>
  <c r="A1203" i="5"/>
  <c r="C599" i="5"/>
  <c r="A599" i="5"/>
  <c r="C598" i="5"/>
  <c r="A598" i="5"/>
  <c r="C591" i="5"/>
  <c r="A591" i="5"/>
  <c r="C1198" i="5"/>
  <c r="A1198" i="5"/>
  <c r="C1187" i="5"/>
  <c r="A1187" i="5"/>
  <c r="C590" i="5"/>
  <c r="A590" i="5"/>
  <c r="C1316" i="5"/>
  <c r="A1316" i="5"/>
  <c r="C1315" i="5"/>
  <c r="A1315" i="5"/>
  <c r="C678" i="5"/>
  <c r="A678" i="5"/>
  <c r="C679" i="5"/>
  <c r="A679" i="5"/>
  <c r="C1176" i="5"/>
  <c r="A1176" i="5"/>
  <c r="C698" i="5"/>
  <c r="A698" i="5"/>
  <c r="C693" i="5"/>
  <c r="A693" i="5"/>
  <c r="C696" i="5"/>
  <c r="A696" i="5"/>
  <c r="C1165" i="5"/>
  <c r="A1165" i="5"/>
  <c r="C1154" i="5"/>
  <c r="A1154" i="5"/>
  <c r="C688" i="5"/>
  <c r="A688" i="5"/>
  <c r="C687" i="5"/>
  <c r="A687" i="5"/>
  <c r="C684" i="5"/>
  <c r="A684" i="5"/>
  <c r="C1143" i="5"/>
  <c r="A1143" i="5"/>
  <c r="C1133" i="5"/>
  <c r="A1133" i="5"/>
  <c r="C1122" i="5"/>
  <c r="A1122" i="5"/>
  <c r="C1112" i="5"/>
  <c r="A1112" i="5"/>
  <c r="C1101" i="5"/>
  <c r="A1101" i="5"/>
  <c r="C1090" i="5"/>
  <c r="A1090" i="5"/>
  <c r="C1079" i="5"/>
  <c r="A1079" i="5"/>
  <c r="C1068" i="5"/>
  <c r="A1068" i="5"/>
  <c r="C1057" i="5"/>
  <c r="A1057" i="5"/>
  <c r="C1046" i="5"/>
  <c r="A1046" i="5"/>
  <c r="C1035" i="5"/>
  <c r="A1035" i="5"/>
  <c r="C1024" i="5"/>
  <c r="A1024" i="5"/>
  <c r="C1013" i="5"/>
  <c r="A1013" i="5"/>
  <c r="C1002" i="5"/>
  <c r="A1002" i="5"/>
  <c r="C991" i="5"/>
  <c r="A991" i="5"/>
  <c r="C980" i="5"/>
  <c r="A980" i="5"/>
  <c r="C969" i="5"/>
  <c r="A969" i="5"/>
  <c r="C959" i="5"/>
  <c r="A959" i="5"/>
  <c r="C948" i="5"/>
  <c r="A948" i="5"/>
  <c r="C937" i="5"/>
  <c r="A937" i="5"/>
  <c r="C926" i="5"/>
  <c r="A926" i="5"/>
  <c r="C915" i="5"/>
  <c r="A915" i="5"/>
  <c r="C904" i="5"/>
  <c r="A904" i="5"/>
  <c r="C893" i="5"/>
  <c r="A893" i="5"/>
  <c r="C883" i="5"/>
  <c r="A883" i="5"/>
  <c r="C872" i="5"/>
  <c r="A872" i="5"/>
  <c r="C1509" i="5"/>
  <c r="A1509" i="5"/>
  <c r="C670" i="5"/>
  <c r="A670" i="5"/>
  <c r="C691" i="5"/>
  <c r="A691" i="5"/>
  <c r="C692" i="5"/>
  <c r="A692" i="5"/>
  <c r="C697" i="5"/>
  <c r="A697" i="5"/>
  <c r="C694" i="5"/>
  <c r="A694" i="5"/>
  <c r="C861" i="5"/>
  <c r="A861" i="5"/>
  <c r="C1508" i="5"/>
  <c r="A1508" i="5"/>
  <c r="C851" i="5"/>
  <c r="A851" i="5"/>
  <c r="C840" i="5"/>
  <c r="A840" i="5"/>
  <c r="C689" i="5"/>
  <c r="A689" i="5"/>
  <c r="C690" i="5"/>
  <c r="A690" i="5"/>
  <c r="C683" i="5"/>
  <c r="A683" i="5"/>
  <c r="C686" i="5"/>
  <c r="A686" i="5"/>
  <c r="C682" i="5"/>
  <c r="A682" i="5"/>
  <c r="C681" i="5"/>
  <c r="A681" i="5"/>
  <c r="C830" i="5"/>
  <c r="A830" i="5"/>
  <c r="C1507" i="5"/>
  <c r="A1507" i="5"/>
  <c r="C819" i="5"/>
  <c r="A819" i="5"/>
  <c r="C685" i="5"/>
  <c r="A685" i="5"/>
  <c r="C808" i="5"/>
  <c r="A808" i="5"/>
  <c r="C799" i="5"/>
  <c r="A799" i="5"/>
  <c r="C798" i="5"/>
  <c r="A798" i="5"/>
  <c r="C797" i="5"/>
  <c r="A797" i="5"/>
  <c r="C796" i="5"/>
  <c r="A796" i="5"/>
  <c r="C1506" i="5"/>
  <c r="A1506" i="5"/>
  <c r="C795" i="5"/>
  <c r="A795" i="5"/>
  <c r="C794" i="5"/>
  <c r="A794" i="5"/>
  <c r="C793" i="5"/>
  <c r="A793" i="5"/>
  <c r="C792" i="5"/>
  <c r="A792" i="5"/>
  <c r="C791" i="5"/>
  <c r="A791" i="5"/>
  <c r="C790" i="5"/>
  <c r="A790" i="5"/>
  <c r="C695" i="5"/>
  <c r="A695" i="5"/>
</calcChain>
</file>

<file path=xl/sharedStrings.xml><?xml version="1.0" encoding="utf-8"?>
<sst xmlns="http://schemas.openxmlformats.org/spreadsheetml/2006/main" count="18756" uniqueCount="3672">
  <si>
    <t>CU00</t>
  </si>
  <si>
    <t>Tri-Valley</t>
  </si>
  <si>
    <t>CU03</t>
  </si>
  <si>
    <t>Alameda Co. Office of Education</t>
  </si>
  <si>
    <t>EL00</t>
  </si>
  <si>
    <t>El Dorado COE: Charter</t>
  </si>
  <si>
    <t>EL01</t>
  </si>
  <si>
    <t>Envision Academy for Arts &amp; Technology</t>
  </si>
  <si>
    <t>0811</t>
  </si>
  <si>
    <t>EL02</t>
  </si>
  <si>
    <t>Community School for Creative Education</t>
  </si>
  <si>
    <t>EL03</t>
  </si>
  <si>
    <t>Yu Ming Charter</t>
  </si>
  <si>
    <t>EL04</t>
  </si>
  <si>
    <t>Urban Montessori Charter</t>
  </si>
  <si>
    <t>EL05</t>
  </si>
  <si>
    <t>Epic Charter</t>
  </si>
  <si>
    <t>EL06</t>
  </si>
  <si>
    <t>Alternatives in Action</t>
  </si>
  <si>
    <t>0398</t>
  </si>
  <si>
    <t>SO00</t>
  </si>
  <si>
    <t>Sonoma COE: Charter</t>
  </si>
  <si>
    <t>SO01</t>
  </si>
  <si>
    <t>Oakland Unity Middle School</t>
  </si>
  <si>
    <t>EL07</t>
  </si>
  <si>
    <t>Connecting Waters Charter School, East Bay</t>
  </si>
  <si>
    <t>EL08</t>
  </si>
  <si>
    <t>Aurum Preparatory Academy</t>
  </si>
  <si>
    <t>EL09</t>
  </si>
  <si>
    <t>Hayward Collegiate Charter</t>
  </si>
  <si>
    <t>EL10</t>
  </si>
  <si>
    <t>Cox Academy</t>
  </si>
  <si>
    <t>0740</t>
  </si>
  <si>
    <t>EL11</t>
  </si>
  <si>
    <t>Lazear Charter Academy</t>
  </si>
  <si>
    <t>CR00</t>
  </si>
  <si>
    <t>North Region</t>
  </si>
  <si>
    <t>CR05</t>
  </si>
  <si>
    <t>Alameda Unified</t>
  </si>
  <si>
    <t>EL12</t>
  </si>
  <si>
    <t>Nea Community Learning Center</t>
  </si>
  <si>
    <t>SO02</t>
  </si>
  <si>
    <t>The Academy of Alameda</t>
  </si>
  <si>
    <t>EL13</t>
  </si>
  <si>
    <t>Alameda Community Learning Center</t>
  </si>
  <si>
    <t>0352</t>
  </si>
  <si>
    <t>CR02</t>
  </si>
  <si>
    <t>Berkeley Unified</t>
  </si>
  <si>
    <t>CS00</t>
  </si>
  <si>
    <t>Mid-Alameda County</t>
  </si>
  <si>
    <t>CR03</t>
  </si>
  <si>
    <t>Emery Unified</t>
  </si>
  <si>
    <t>CT00</t>
  </si>
  <si>
    <t>Mission Valley</t>
  </si>
  <si>
    <t>CS05</t>
  </si>
  <si>
    <t>Hayward Unified</t>
  </si>
  <si>
    <t>EL14</t>
  </si>
  <si>
    <t>Leadership Public Schools - Hayward</t>
  </si>
  <si>
    <t>0684</t>
  </si>
  <si>
    <t>EL15</t>
  </si>
  <si>
    <t>Knowledge Enlightens You (KEY) Academy</t>
  </si>
  <si>
    <t>SO03</t>
  </si>
  <si>
    <t>Hayward Twin Oaks Montessori</t>
  </si>
  <si>
    <t>EL16</t>
  </si>
  <si>
    <t>Impact Academy of Arts &amp; Technology</t>
  </si>
  <si>
    <t>0836</t>
  </si>
  <si>
    <t>CU02</t>
  </si>
  <si>
    <t>Livermore Valley Joint Unified</t>
  </si>
  <si>
    <t>CU06</t>
  </si>
  <si>
    <t>Mountain House Elementary</t>
  </si>
  <si>
    <t>CT02</t>
  </si>
  <si>
    <t>Newark Unified</t>
  </si>
  <si>
    <t>CT01</t>
  </si>
  <si>
    <t>New Haven Unified</t>
  </si>
  <si>
    <t>CL00</t>
  </si>
  <si>
    <t>Oakland Unified</t>
  </si>
  <si>
    <t>SO04</t>
  </si>
  <si>
    <t>Oakland Unity High</t>
  </si>
  <si>
    <t>0510</t>
  </si>
  <si>
    <t>EL17</t>
  </si>
  <si>
    <t>Bay Area Technology</t>
  </si>
  <si>
    <t>0661</t>
  </si>
  <si>
    <t>EL18</t>
  </si>
  <si>
    <t>Lighthouse Community Charter High</t>
  </si>
  <si>
    <t>0700</t>
  </si>
  <si>
    <t>EL19</t>
  </si>
  <si>
    <t>Aspire Berkley Maynard Academy</t>
  </si>
  <si>
    <t>0726</t>
  </si>
  <si>
    <t>EL20</t>
  </si>
  <si>
    <t>Achieve Academy</t>
  </si>
  <si>
    <t>0780</t>
  </si>
  <si>
    <t>EL21</t>
  </si>
  <si>
    <t>AIMS College Prep High</t>
  </si>
  <si>
    <t>0765</t>
  </si>
  <si>
    <t>EL22</t>
  </si>
  <si>
    <t>AIMS College Prep Elementary</t>
  </si>
  <si>
    <t>0882</t>
  </si>
  <si>
    <t>EL23</t>
  </si>
  <si>
    <t>Oakland Charter High</t>
  </si>
  <si>
    <t>0883</t>
  </si>
  <si>
    <t>EL24</t>
  </si>
  <si>
    <t>KIPP Bridge Academy</t>
  </si>
  <si>
    <t>0938</t>
  </si>
  <si>
    <t>EL25</t>
  </si>
  <si>
    <t>ARISE High</t>
  </si>
  <si>
    <t>0837</t>
  </si>
  <si>
    <t>EL26</t>
  </si>
  <si>
    <t>Learning Without Limits</t>
  </si>
  <si>
    <t>EL27</t>
  </si>
  <si>
    <t>Aspire Golden State College Preparatory Academy</t>
  </si>
  <si>
    <t>EL28</t>
  </si>
  <si>
    <t>LPS Oakland R &amp; D Campus</t>
  </si>
  <si>
    <t>EL29</t>
  </si>
  <si>
    <t>Aspire College Academy</t>
  </si>
  <si>
    <t>EL30</t>
  </si>
  <si>
    <t>Downtown Charter Academy</t>
  </si>
  <si>
    <t>EL31</t>
  </si>
  <si>
    <t>East Bay Innovation Academy</t>
  </si>
  <si>
    <t>EL32</t>
  </si>
  <si>
    <t>Oakland Military Institute, College Preparatory Academy</t>
  </si>
  <si>
    <t>0349</t>
  </si>
  <si>
    <t>EL33</t>
  </si>
  <si>
    <t>Lighthouse Community Charter</t>
  </si>
  <si>
    <t>0413</t>
  </si>
  <si>
    <t>EL34</t>
  </si>
  <si>
    <t>Aspire Lionel Wilson College Preparatory Academy</t>
  </si>
  <si>
    <t>0465</t>
  </si>
  <si>
    <t>EL35</t>
  </si>
  <si>
    <t>Aspire Triumph Technology Academy</t>
  </si>
  <si>
    <t>EL36</t>
  </si>
  <si>
    <t>Francophone Charter School of Oakland</t>
  </si>
  <si>
    <t>EL37</t>
  </si>
  <si>
    <t>Lodestar: A Lighthouse Community Charter Public</t>
  </si>
  <si>
    <t>EL38</t>
  </si>
  <si>
    <t>Oakland School for the Arts</t>
  </si>
  <si>
    <t>0340</t>
  </si>
  <si>
    <t>EL39</t>
  </si>
  <si>
    <t>Oakland Charter Academy</t>
  </si>
  <si>
    <t>0014</t>
  </si>
  <si>
    <t>EL40</t>
  </si>
  <si>
    <t>AIMS College Prep Middle</t>
  </si>
  <si>
    <t>0106</t>
  </si>
  <si>
    <t>EL41</t>
  </si>
  <si>
    <t>Aspire Monarch Academy</t>
  </si>
  <si>
    <t>0252</t>
  </si>
  <si>
    <t>EL42</t>
  </si>
  <si>
    <t>ASCEND</t>
  </si>
  <si>
    <t>CR04</t>
  </si>
  <si>
    <t>Piedmont City Unified</t>
  </si>
  <si>
    <t>CS02</t>
  </si>
  <si>
    <t>San Leandro Unified</t>
  </si>
  <si>
    <t>CS03</t>
  </si>
  <si>
    <t>San Lorenzo Unified</t>
  </si>
  <si>
    <t>EL43</t>
  </si>
  <si>
    <t>KIPP Summit Academy</t>
  </si>
  <si>
    <t>0524</t>
  </si>
  <si>
    <t>EL44</t>
  </si>
  <si>
    <t>KIPP King Collegiate High</t>
  </si>
  <si>
    <t>0880</t>
  </si>
  <si>
    <t>CU05</t>
  </si>
  <si>
    <t>Dublin Unified</t>
  </si>
  <si>
    <t>CU07</t>
  </si>
  <si>
    <t>Sunol Glen Unified</t>
  </si>
  <si>
    <t>EL45</t>
  </si>
  <si>
    <t>Latitude 37.8 High</t>
  </si>
  <si>
    <t>CP00</t>
  </si>
  <si>
    <t>Tahoe-Alpine</t>
  </si>
  <si>
    <t>CP02</t>
  </si>
  <si>
    <t>Alpine Co. Office of Education</t>
  </si>
  <si>
    <t>CP01</t>
  </si>
  <si>
    <t>Alpine County Unified</t>
  </si>
  <si>
    <t>MD00</t>
  </si>
  <si>
    <t>Amador County</t>
  </si>
  <si>
    <t>MD01</t>
  </si>
  <si>
    <t>Amador County Unified</t>
  </si>
  <si>
    <t>CE00</t>
  </si>
  <si>
    <t>Butte County</t>
  </si>
  <si>
    <t>EL46</t>
  </si>
  <si>
    <t>CORE Butte Charter</t>
  </si>
  <si>
    <t>0945</t>
  </si>
  <si>
    <t>EL47</t>
  </si>
  <si>
    <t>Achieve Charter High School</t>
  </si>
  <si>
    <t>CE01</t>
  </si>
  <si>
    <t>Bangor Union Elementary</t>
  </si>
  <si>
    <t>CE11</t>
  </si>
  <si>
    <t>Biggs Unified</t>
  </si>
  <si>
    <t>CE12</t>
  </si>
  <si>
    <t>Chico Unified</t>
  </si>
  <si>
    <t>EL48</t>
  </si>
  <si>
    <t>Nord Country</t>
  </si>
  <si>
    <t>0729</t>
  </si>
  <si>
    <t>EL49</t>
  </si>
  <si>
    <t>Inspire School of Arts and Sciences</t>
  </si>
  <si>
    <t>EL50</t>
  </si>
  <si>
    <t>Sherwood Montessori</t>
  </si>
  <si>
    <t>EL51</t>
  </si>
  <si>
    <t>Wildflower Open Classroom</t>
  </si>
  <si>
    <t>EL52</t>
  </si>
  <si>
    <t>Pivot Charter School North Valley II</t>
  </si>
  <si>
    <t>EL53</t>
  </si>
  <si>
    <t>Achieve Charter School of Chico</t>
  </si>
  <si>
    <t>EL54</t>
  </si>
  <si>
    <t>Chico Country Day</t>
  </si>
  <si>
    <t>0112</t>
  </si>
  <si>
    <t>EL55</t>
  </si>
  <si>
    <t>Blue Oak Charter</t>
  </si>
  <si>
    <t>0415</t>
  </si>
  <si>
    <t>CE13</t>
  </si>
  <si>
    <t>Durham Unified</t>
  </si>
  <si>
    <t>CE02</t>
  </si>
  <si>
    <t>Golden Feather Union Elementary</t>
  </si>
  <si>
    <t>CE05</t>
  </si>
  <si>
    <t>Manzanita Elementary</t>
  </si>
  <si>
    <t>CE06</t>
  </si>
  <si>
    <t>Oroville City Elementary</t>
  </si>
  <si>
    <t>EL56</t>
  </si>
  <si>
    <t>Stream Charter</t>
  </si>
  <si>
    <t>CE10</t>
  </si>
  <si>
    <t>Oroville Union High</t>
  </si>
  <si>
    <t>CE07</t>
  </si>
  <si>
    <t>Palermo Union Elementary</t>
  </si>
  <si>
    <t>CE14</t>
  </si>
  <si>
    <t>Paradise Unified</t>
  </si>
  <si>
    <t>EL57</t>
  </si>
  <si>
    <t>Achieve Charter School of Paradise Inc.</t>
  </si>
  <si>
    <t>0751</t>
  </si>
  <si>
    <t>CE08</t>
  </si>
  <si>
    <t>Thermalito Union Elementary</t>
  </si>
  <si>
    <t>CE15</t>
  </si>
  <si>
    <t>Pioneer Union Elementary</t>
  </si>
  <si>
    <t>CE16</t>
  </si>
  <si>
    <t>Gridley Unified</t>
  </si>
  <si>
    <t>CV00</t>
  </si>
  <si>
    <t>Calaveras County</t>
  </si>
  <si>
    <t>CV10</t>
  </si>
  <si>
    <t>Mountain Oaks</t>
  </si>
  <si>
    <t>0527</t>
  </si>
  <si>
    <t>CV05</t>
  </si>
  <si>
    <t>Bret Harte Union High</t>
  </si>
  <si>
    <t>CV06</t>
  </si>
  <si>
    <t>Calaveras Unified</t>
  </si>
  <si>
    <t>CV09</t>
  </si>
  <si>
    <t>Mark Twain Union Elementary</t>
  </si>
  <si>
    <t>CV07</t>
  </si>
  <si>
    <t>Vallecito Union</t>
  </si>
  <si>
    <t>AD00</t>
  </si>
  <si>
    <t>Colusa County</t>
  </si>
  <si>
    <t>AD01</t>
  </si>
  <si>
    <t>Colusa Unified</t>
  </si>
  <si>
    <t>AD02</t>
  </si>
  <si>
    <t>Maxwell Unified</t>
  </si>
  <si>
    <t>AD03</t>
  </si>
  <si>
    <t>Pierce Joint Unified</t>
  </si>
  <si>
    <t>AD04</t>
  </si>
  <si>
    <t>Williams Unified</t>
  </si>
  <si>
    <t>AY00</t>
  </si>
  <si>
    <t>Contra Costa County</t>
  </si>
  <si>
    <t>AY16</t>
  </si>
  <si>
    <t>Contra Costa Co. Office of Education</t>
  </si>
  <si>
    <t>EL58</t>
  </si>
  <si>
    <t>Making Waves Academy</t>
  </si>
  <si>
    <t>0868</t>
  </si>
  <si>
    <t>EL59</t>
  </si>
  <si>
    <t>Caliber: Beta Academy</t>
  </si>
  <si>
    <t>EL60</t>
  </si>
  <si>
    <t>Summit Public School K2</t>
  </si>
  <si>
    <t>EL61</t>
  </si>
  <si>
    <t>Contra Costa School of Performing Arts</t>
  </si>
  <si>
    <t>EL62</t>
  </si>
  <si>
    <t>Invictus Academy of Richmond</t>
  </si>
  <si>
    <t>EL64</t>
  </si>
  <si>
    <t>Clayton Valley Charter High</t>
  </si>
  <si>
    <t>EL63</t>
  </si>
  <si>
    <t>Manzanita Middle</t>
  </si>
  <si>
    <t>0333</t>
  </si>
  <si>
    <t>AY18</t>
  </si>
  <si>
    <t>Acalanes Union High</t>
  </si>
  <si>
    <t>AY11</t>
  </si>
  <si>
    <t>Antioch Unified</t>
  </si>
  <si>
    <t>EL65</t>
  </si>
  <si>
    <t>Antioch Charter Academy II</t>
  </si>
  <si>
    <t>0909</t>
  </si>
  <si>
    <t>EL66</t>
  </si>
  <si>
    <t>Rocketship Delta Prep</t>
  </si>
  <si>
    <t>EL67</t>
  </si>
  <si>
    <t>Antioch Charter Academy</t>
  </si>
  <si>
    <t>0143</t>
  </si>
  <si>
    <t>AY01</t>
  </si>
  <si>
    <t>Brentwood Union Elementary</t>
  </si>
  <si>
    <t>AY19</t>
  </si>
  <si>
    <t>Byron Union Elementary</t>
  </si>
  <si>
    <t>EL68</t>
  </si>
  <si>
    <t>Vista Oaks Charter</t>
  </si>
  <si>
    <t>AY17</t>
  </si>
  <si>
    <t>Canyon Elementary</t>
  </si>
  <si>
    <t>AY03</t>
  </si>
  <si>
    <t>Knightsen Elementary</t>
  </si>
  <si>
    <t>AY04</t>
  </si>
  <si>
    <t>Lafayette Elementary</t>
  </si>
  <si>
    <t>AY10</t>
  </si>
  <si>
    <t>Liberty Union High</t>
  </si>
  <si>
    <t>AY13</t>
  </si>
  <si>
    <t>Martinez Unified</t>
  </si>
  <si>
    <t>AY05</t>
  </si>
  <si>
    <t>Moraga Elementary</t>
  </si>
  <si>
    <t>BA00</t>
  </si>
  <si>
    <t>Mt. Diablo Unified</t>
  </si>
  <si>
    <t>EL69</t>
  </si>
  <si>
    <t>Rocketship Futuro Academy</t>
  </si>
  <si>
    <t>AY06</t>
  </si>
  <si>
    <t>Oakley Union Elementary</t>
  </si>
  <si>
    <t>AY07</t>
  </si>
  <si>
    <t>Orinda Union Elementary</t>
  </si>
  <si>
    <t>AY14</t>
  </si>
  <si>
    <t>Pittsburg Unified</t>
  </si>
  <si>
    <t>AZ00</t>
  </si>
  <si>
    <t>West Contra Costa Unified</t>
  </si>
  <si>
    <t>EL70</t>
  </si>
  <si>
    <t>Leadership Public Schools: Richmond</t>
  </si>
  <si>
    <t>0557</t>
  </si>
  <si>
    <t>EL71</t>
  </si>
  <si>
    <t>Richmond Charter Academy</t>
  </si>
  <si>
    <t>EL72</t>
  </si>
  <si>
    <t>Richmond Charter Elementary-Benito Juarez</t>
  </si>
  <si>
    <t>EL73</t>
  </si>
  <si>
    <t>Aspire Richmond California College Preparatory Academy</t>
  </si>
  <si>
    <t>EL74</t>
  </si>
  <si>
    <t>Aspire Richmond Technology Academy</t>
  </si>
  <si>
    <t>EL75</t>
  </si>
  <si>
    <t>Summit Public School: Tamalpais</t>
  </si>
  <si>
    <t>SO05</t>
  </si>
  <si>
    <t>Voices College -Bound Language Academy at West Contra Costa County</t>
  </si>
  <si>
    <t>SR00</t>
  </si>
  <si>
    <t>San Ramon Valley Unified</t>
  </si>
  <si>
    <t>AY08</t>
  </si>
  <si>
    <t>Walnut Creek Elementary</t>
  </si>
  <si>
    <t>EL76</t>
  </si>
  <si>
    <t>John Henry High</t>
  </si>
  <si>
    <t>UU00</t>
  </si>
  <si>
    <t>Humboldt/Del Norte</t>
  </si>
  <si>
    <t>UU39</t>
  </si>
  <si>
    <t>Del Norte Co. Office of Education</t>
  </si>
  <si>
    <t>UU31</t>
  </si>
  <si>
    <t>Del Norte County Unified</t>
  </si>
  <si>
    <t>BU00</t>
  </si>
  <si>
    <t>El Dorado County</t>
  </si>
  <si>
    <t>EL77</t>
  </si>
  <si>
    <t>John Adams Academy - El Dorado Hills</t>
  </si>
  <si>
    <t>BU01</t>
  </si>
  <si>
    <t>Buckeye Union Elementary</t>
  </si>
  <si>
    <t>BC00</t>
  </si>
  <si>
    <t>Yuba County</t>
  </si>
  <si>
    <t>BC09</t>
  </si>
  <si>
    <t>California Montessori Project-Shingle Springs Campus</t>
  </si>
  <si>
    <t>0774</t>
  </si>
  <si>
    <t>EL78</t>
  </si>
  <si>
    <t>Rising Sun Montessori</t>
  </si>
  <si>
    <t>EL79</t>
  </si>
  <si>
    <t>Clarksville Charter School</t>
  </si>
  <si>
    <t>EL80</t>
  </si>
  <si>
    <t>Cottonwood</t>
  </si>
  <si>
    <t>BU02</t>
  </si>
  <si>
    <t>Camino Union Elementary</t>
  </si>
  <si>
    <t>BU10</t>
  </si>
  <si>
    <t>El Dorado Union High</t>
  </si>
  <si>
    <t>BU03</t>
  </si>
  <si>
    <t>Gold Oak Union Elementary</t>
  </si>
  <si>
    <t>BU04</t>
  </si>
  <si>
    <t>Gold Trail Union Elementary</t>
  </si>
  <si>
    <t>BU14</t>
  </si>
  <si>
    <t>Indian Diggings Elementary</t>
  </si>
  <si>
    <t>BU15</t>
  </si>
  <si>
    <t>Latrobe</t>
  </si>
  <si>
    <t>BU05</t>
  </si>
  <si>
    <t>Mother Lode Union Elementary</t>
  </si>
  <si>
    <t>BU06</t>
  </si>
  <si>
    <t>BU07</t>
  </si>
  <si>
    <t>Placerville Union Elementary</t>
  </si>
  <si>
    <t>BU08</t>
  </si>
  <si>
    <t>Pollock Pines Elementary</t>
  </si>
  <si>
    <t>BU09</t>
  </si>
  <si>
    <t>Rescue Union Elementary</t>
  </si>
  <si>
    <t>BU16</t>
  </si>
  <si>
    <t>Silver Fork Elementary</t>
  </si>
  <si>
    <t>BU11</t>
  </si>
  <si>
    <t>Black Oak Mine Unified</t>
  </si>
  <si>
    <t>BE00</t>
  </si>
  <si>
    <t>Fresno County</t>
  </si>
  <si>
    <t>FD00</t>
  </si>
  <si>
    <t>Fresno COE: Charter</t>
  </si>
  <si>
    <t>FD01</t>
  </si>
  <si>
    <t>Crescent View West Public Charter</t>
  </si>
  <si>
    <t>0746</t>
  </si>
  <si>
    <t>FD02</t>
  </si>
  <si>
    <t>Hume Lake Charter</t>
  </si>
  <si>
    <t>0787</t>
  </si>
  <si>
    <t>FD03</t>
  </si>
  <si>
    <t>Big Picture Educational Academy</t>
  </si>
  <si>
    <t>FD04</t>
  </si>
  <si>
    <t>Kepler Neighborhood</t>
  </si>
  <si>
    <t>FD05</t>
  </si>
  <si>
    <t>Career Technical Education Charter</t>
  </si>
  <si>
    <t>FD06</t>
  </si>
  <si>
    <t>Clovis Global Academy</t>
  </si>
  <si>
    <t>FD07</t>
  </si>
  <si>
    <t>Edison-Bethune Charter Academy</t>
  </si>
  <si>
    <t>0195</t>
  </si>
  <si>
    <t>BE49</t>
  </si>
  <si>
    <t>Alvina Elementary</t>
  </si>
  <si>
    <t>BE45</t>
  </si>
  <si>
    <t>Big Creek Elementary</t>
  </si>
  <si>
    <t>BE50</t>
  </si>
  <si>
    <t>Burrel Union Elementary</t>
  </si>
  <si>
    <t>BE51</t>
  </si>
  <si>
    <t>Clay Joint Elementary</t>
  </si>
  <si>
    <t>FB00</t>
  </si>
  <si>
    <t>Clovis Unified</t>
  </si>
  <si>
    <t>BE23</t>
  </si>
  <si>
    <t>Coalinga-Huron Unified</t>
  </si>
  <si>
    <t>BE32</t>
  </si>
  <si>
    <t>Fowler Unified</t>
  </si>
  <si>
    <t>BQ00</t>
  </si>
  <si>
    <t>Fresno Unified</t>
  </si>
  <si>
    <t>EL81</t>
  </si>
  <si>
    <t>Aspen Valley Prep Academy</t>
  </si>
  <si>
    <t>0662</t>
  </si>
  <si>
    <t>EL82</t>
  </si>
  <si>
    <t>Sierra Charter</t>
  </si>
  <si>
    <t>0898</t>
  </si>
  <si>
    <t>FD08</t>
  </si>
  <si>
    <t>University High</t>
  </si>
  <si>
    <t>0890</t>
  </si>
  <si>
    <t>EL83</t>
  </si>
  <si>
    <t>Aspen Meadow Public</t>
  </si>
  <si>
    <t>FD09</t>
  </si>
  <si>
    <t>Endeavor Charter</t>
  </si>
  <si>
    <t>FD10</t>
  </si>
  <si>
    <t>Golden Charter Academy</t>
  </si>
  <si>
    <t>EL84</t>
  </si>
  <si>
    <t>Aspen Ridge Public</t>
  </si>
  <si>
    <t>BE05</t>
  </si>
  <si>
    <t>Kingsburg Elementary Charter</t>
  </si>
  <si>
    <t>BE18</t>
  </si>
  <si>
    <t>Kingsburg Joint Union High</t>
  </si>
  <si>
    <t>BE24</t>
  </si>
  <si>
    <t>Kings Canyon Joint Unified</t>
  </si>
  <si>
    <t>BE25</t>
  </si>
  <si>
    <t>Laton Joint Unified</t>
  </si>
  <si>
    <t>BE52</t>
  </si>
  <si>
    <t>Monroe Elementary</t>
  </si>
  <si>
    <t>BE08</t>
  </si>
  <si>
    <t>Orange Center</t>
  </si>
  <si>
    <t>EL85</t>
  </si>
  <si>
    <t>California Virtual Academy @ Fresno</t>
  </si>
  <si>
    <t>BE09</t>
  </si>
  <si>
    <t>Pacific Union Elementary</t>
  </si>
  <si>
    <t>BE26</t>
  </si>
  <si>
    <t>Parlier Unified</t>
  </si>
  <si>
    <t>BE53</t>
  </si>
  <si>
    <t>Pine Ridge Elementary</t>
  </si>
  <si>
    <t>BE10</t>
  </si>
  <si>
    <t>Raisin City Elementary</t>
  </si>
  <si>
    <t>FD11</t>
  </si>
  <si>
    <t>Ambassador Phillip V. Sanchez II Public Charter</t>
  </si>
  <si>
    <t>BE27</t>
  </si>
  <si>
    <t>Sanger Unified</t>
  </si>
  <si>
    <t>BE28</t>
  </si>
  <si>
    <t>Selma Unified</t>
  </si>
  <si>
    <t>BE54</t>
  </si>
  <si>
    <t>Washington Colony Elementary</t>
  </si>
  <si>
    <t>BE14</t>
  </si>
  <si>
    <t>West Park Elementary</t>
  </si>
  <si>
    <t>BE31</t>
  </si>
  <si>
    <t>Westside Elementary</t>
  </si>
  <si>
    <t>EL86</t>
  </si>
  <si>
    <t>Yosemite Valley Charter</t>
  </si>
  <si>
    <t>FD12</t>
  </si>
  <si>
    <t>Crescent View South II</t>
  </si>
  <si>
    <t>BE30</t>
  </si>
  <si>
    <t>Firebaugh-Las Deltas Unified</t>
  </si>
  <si>
    <t>BE33</t>
  </si>
  <si>
    <t>Central Unified</t>
  </si>
  <si>
    <t>BE36</t>
  </si>
  <si>
    <t>Kerman Unified</t>
  </si>
  <si>
    <t>BE07</t>
  </si>
  <si>
    <t>Mendota Unified</t>
  </si>
  <si>
    <t>BE44</t>
  </si>
  <si>
    <t>Golden Plains Unified</t>
  </si>
  <si>
    <t>BE46</t>
  </si>
  <si>
    <t>Sierra Unified</t>
  </si>
  <si>
    <t>BE47</t>
  </si>
  <si>
    <t>Riverdale Joint Unified</t>
  </si>
  <si>
    <t>BE48</t>
  </si>
  <si>
    <t>Caruthers Unified</t>
  </si>
  <si>
    <t>BE56</t>
  </si>
  <si>
    <t>Washington Unified</t>
  </si>
  <si>
    <t>CI00</t>
  </si>
  <si>
    <t>Glenn County</t>
  </si>
  <si>
    <t>CI13</t>
  </si>
  <si>
    <t>Walden Academy</t>
  </si>
  <si>
    <t>CI05</t>
  </si>
  <si>
    <t>Capay Joint Union Elementary</t>
  </si>
  <si>
    <t>CI08</t>
  </si>
  <si>
    <t>Lake Elementary</t>
  </si>
  <si>
    <t>LA00</t>
  </si>
  <si>
    <t>LA COE: Charter</t>
  </si>
  <si>
    <t>LA01</t>
  </si>
  <si>
    <t>Lake View Charter</t>
  </si>
  <si>
    <t>CI09</t>
  </si>
  <si>
    <t>Plaza Elementary</t>
  </si>
  <si>
    <t>CI10</t>
  </si>
  <si>
    <t>Princeton Joint Unified</t>
  </si>
  <si>
    <t>CI11</t>
  </si>
  <si>
    <t>Stony Creek Joint Unified</t>
  </si>
  <si>
    <t>CI03</t>
  </si>
  <si>
    <t>Willows Unified</t>
  </si>
  <si>
    <t>CI04</t>
  </si>
  <si>
    <t>Orland Joint Unified</t>
  </si>
  <si>
    <t>CI12</t>
  </si>
  <si>
    <t>Hamilton Unified</t>
  </si>
  <si>
    <t>UU41</t>
  </si>
  <si>
    <t>Northern United - Humboldt Charter School</t>
  </si>
  <si>
    <t>EL87</t>
  </si>
  <si>
    <t>Agnes J Johnson Charter</t>
  </si>
  <si>
    <t>UU01</t>
  </si>
  <si>
    <t>Arcata Elementary</t>
  </si>
  <si>
    <t>UU21</t>
  </si>
  <si>
    <t>Northern Humboldt Union High</t>
  </si>
  <si>
    <t>UU02</t>
  </si>
  <si>
    <t>Big Lagoon Union Elementary</t>
  </si>
  <si>
    <t>UU03</t>
  </si>
  <si>
    <t>Blue Lake Union Elementary</t>
  </si>
  <si>
    <t>UU32</t>
  </si>
  <si>
    <t>Bridgeville Elementary</t>
  </si>
  <si>
    <t>UU04</t>
  </si>
  <si>
    <t>Cuddeback Union Elementary</t>
  </si>
  <si>
    <t>UU05</t>
  </si>
  <si>
    <t>Cutten Elementary</t>
  </si>
  <si>
    <t>UU10</t>
  </si>
  <si>
    <t>Fieldbrook Elementary</t>
  </si>
  <si>
    <t>UU12</t>
  </si>
  <si>
    <t>Fortuna Union High</t>
  </si>
  <si>
    <t>UU13</t>
  </si>
  <si>
    <t>Freshwater Elementary</t>
  </si>
  <si>
    <t>UU14</t>
  </si>
  <si>
    <t>Garfield Elementary</t>
  </si>
  <si>
    <t>UU34</t>
  </si>
  <si>
    <t>Green Point Elementary</t>
  </si>
  <si>
    <t>UU15</t>
  </si>
  <si>
    <t>Hydesville Elementary</t>
  </si>
  <si>
    <t>UU16</t>
  </si>
  <si>
    <t>Jacoby Creek Elementary</t>
  </si>
  <si>
    <t>UU17</t>
  </si>
  <si>
    <t>Klamath-Trinity Joint Unified</t>
  </si>
  <si>
    <t>UU33</t>
  </si>
  <si>
    <t>Kneeland Elementary</t>
  </si>
  <si>
    <t>UU18</t>
  </si>
  <si>
    <t>Loleta Union Elementary</t>
  </si>
  <si>
    <t>UU37</t>
  </si>
  <si>
    <t>Maple Creek Elementary</t>
  </si>
  <si>
    <t>UU20</t>
  </si>
  <si>
    <t>McKinleyville Union Elementary</t>
  </si>
  <si>
    <t>UU22</t>
  </si>
  <si>
    <t>Orick Elementary</t>
  </si>
  <si>
    <t>UU23</t>
  </si>
  <si>
    <t>UU24</t>
  </si>
  <si>
    <t>Peninsula Union</t>
  </si>
  <si>
    <t>UU25</t>
  </si>
  <si>
    <t>Rio Dell Elementary</t>
  </si>
  <si>
    <t>UU27</t>
  </si>
  <si>
    <t>Scotia Union Elementary</t>
  </si>
  <si>
    <t>UU28</t>
  </si>
  <si>
    <t>South Bay Union Elementary</t>
  </si>
  <si>
    <t>UU29</t>
  </si>
  <si>
    <t>Southern Humboldt Joint Unified</t>
  </si>
  <si>
    <t>UU30</t>
  </si>
  <si>
    <t>Trinidad Union Elementary</t>
  </si>
  <si>
    <t>UU35</t>
  </si>
  <si>
    <t>Ferndale Unified</t>
  </si>
  <si>
    <t>UU36</t>
  </si>
  <si>
    <t>Mattole Unified</t>
  </si>
  <si>
    <t>UU38</t>
  </si>
  <si>
    <t>Eureka City Schools</t>
  </si>
  <si>
    <t>UU42</t>
  </si>
  <si>
    <t>Pacific View Charter 2.0</t>
  </si>
  <si>
    <t>UU40</t>
  </si>
  <si>
    <t>Fortuna Elementary</t>
  </si>
  <si>
    <t>BZ00</t>
  </si>
  <si>
    <t>Imperial County</t>
  </si>
  <si>
    <t>BZ01</t>
  </si>
  <si>
    <t>Brawley Elementary</t>
  </si>
  <si>
    <t>BZ02</t>
  </si>
  <si>
    <t>Brawley Union High</t>
  </si>
  <si>
    <t>BZ03</t>
  </si>
  <si>
    <t>Calexico Unified</t>
  </si>
  <si>
    <t>BZ04</t>
  </si>
  <si>
    <t>Calipatria Unified</t>
  </si>
  <si>
    <t>BZ05</t>
  </si>
  <si>
    <t>Central Union High</t>
  </si>
  <si>
    <t>BZ06</t>
  </si>
  <si>
    <t>El Centro Elementary</t>
  </si>
  <si>
    <t>SA00</t>
  </si>
  <si>
    <t>San Bernardino COE: Desert Mountain Charter</t>
  </si>
  <si>
    <t>SA01</t>
  </si>
  <si>
    <t>Ballington Academy for the Arts and Sciences</t>
  </si>
  <si>
    <t>BZ07</t>
  </si>
  <si>
    <t>Heber Elementary</t>
  </si>
  <si>
    <t>BZ08</t>
  </si>
  <si>
    <t>Holtville Unified</t>
  </si>
  <si>
    <t>BZ09</t>
  </si>
  <si>
    <t>Imperial Unified</t>
  </si>
  <si>
    <t>BZ15</t>
  </si>
  <si>
    <t>Magnolia Union Elementary</t>
  </si>
  <si>
    <t>BZ10</t>
  </si>
  <si>
    <t>McCabe Union Elementary</t>
  </si>
  <si>
    <t>BZ11</t>
  </si>
  <si>
    <t>Meadows Union Elementary</t>
  </si>
  <si>
    <t>BZ16</t>
  </si>
  <si>
    <t>Mulberry Elementary</t>
  </si>
  <si>
    <t>BZ12</t>
  </si>
  <si>
    <t>San Pasqual Valley Unified</t>
  </si>
  <si>
    <t>BZ13</t>
  </si>
  <si>
    <t>Seeley Union Elementary</t>
  </si>
  <si>
    <t>BZ14</t>
  </si>
  <si>
    <t>Westmorland Union Elementary</t>
  </si>
  <si>
    <t>BF00</t>
  </si>
  <si>
    <t>Inyo County</t>
  </si>
  <si>
    <t>BF06</t>
  </si>
  <si>
    <t>Big Pine Unified</t>
  </si>
  <si>
    <t>BF03</t>
  </si>
  <si>
    <t>Death Valley Unified</t>
  </si>
  <si>
    <t>BF04</t>
  </si>
  <si>
    <t>Lone Pine Unified</t>
  </si>
  <si>
    <t>BF05</t>
  </si>
  <si>
    <t>Owens Valley Unified</t>
  </si>
  <si>
    <t>BF07</t>
  </si>
  <si>
    <t>Round Valley Joint Elementary</t>
  </si>
  <si>
    <t>BF08</t>
  </si>
  <si>
    <t>Bishop Unified</t>
  </si>
  <si>
    <t>AM00</t>
  </si>
  <si>
    <t>Kern County</t>
  </si>
  <si>
    <t>AM48</t>
  </si>
  <si>
    <t>Wonderful College Prep Academy</t>
  </si>
  <si>
    <t>AM49</t>
  </si>
  <si>
    <t>Grow Academy Arvin</t>
  </si>
  <si>
    <t>AM51</t>
  </si>
  <si>
    <t>Wonderful College Prep Academy - Lost Hills</t>
  </si>
  <si>
    <t>AM52</t>
  </si>
  <si>
    <t>Ridgecrest Elementary Academy for Language, Music, and Science</t>
  </si>
  <si>
    <t>AM01</t>
  </si>
  <si>
    <t>Arvin Union</t>
  </si>
  <si>
    <t>BB00</t>
  </si>
  <si>
    <t>Bakersfield City Elementary</t>
  </si>
  <si>
    <t>AM02</t>
  </si>
  <si>
    <t>Beardsley Elementary</t>
  </si>
  <si>
    <t>AM33</t>
  </si>
  <si>
    <t>Blake Elementary</t>
  </si>
  <si>
    <t>CW00</t>
  </si>
  <si>
    <t>Panama-Buena Vista Union SELPA</t>
  </si>
  <si>
    <t>AM31</t>
  </si>
  <si>
    <t>Buttonwillow Union Elementary</t>
  </si>
  <si>
    <t>AM34</t>
  </si>
  <si>
    <t>Caliente Union Elementary</t>
  </si>
  <si>
    <t>AM14</t>
  </si>
  <si>
    <t>Delano Union Elementary</t>
  </si>
  <si>
    <t>AM12</t>
  </si>
  <si>
    <t>Delano Joint Union High</t>
  </si>
  <si>
    <t>AM35</t>
  </si>
  <si>
    <t>Di Giorgio Elementary</t>
  </si>
  <si>
    <t>AM36</t>
  </si>
  <si>
    <t>Edison Elementary</t>
  </si>
  <si>
    <t>AM37</t>
  </si>
  <si>
    <t>Elk Hills Elementary</t>
  </si>
  <si>
    <t>AM04</t>
  </si>
  <si>
    <t>Fairfax Elementary</t>
  </si>
  <si>
    <t>AM26</t>
  </si>
  <si>
    <t>Fruitvale Elementary</t>
  </si>
  <si>
    <t>AM38</t>
  </si>
  <si>
    <t>General Shafter Elementary</t>
  </si>
  <si>
    <t>AM05</t>
  </si>
  <si>
    <t>Greenfield Union</t>
  </si>
  <si>
    <t>AF00</t>
  </si>
  <si>
    <t>Kern Union High</t>
  </si>
  <si>
    <t>AM25</t>
  </si>
  <si>
    <t>Kernville Union Elementary</t>
  </si>
  <si>
    <t>AM39</t>
  </si>
  <si>
    <t>Lakeside Union</t>
  </si>
  <si>
    <t>AM15</t>
  </si>
  <si>
    <t>Lamont Elementary</t>
  </si>
  <si>
    <t>AM29</t>
  </si>
  <si>
    <t>Richland Union Elementary</t>
  </si>
  <si>
    <t>AM50</t>
  </si>
  <si>
    <t>Grow Academy Shafter</t>
  </si>
  <si>
    <t>AM40</t>
  </si>
  <si>
    <t>Linns Valley-Poso Flat Union</t>
  </si>
  <si>
    <t>AM06</t>
  </si>
  <si>
    <t>Lost Hills Union Elementary</t>
  </si>
  <si>
    <t>AM41</t>
  </si>
  <si>
    <t>Maple Elementary</t>
  </si>
  <si>
    <t>AM24</t>
  </si>
  <si>
    <t>Maricopa Unified</t>
  </si>
  <si>
    <t>EL88</t>
  </si>
  <si>
    <t>Insight School of California</t>
  </si>
  <si>
    <t>EL89</t>
  </si>
  <si>
    <t>Peak to Peak Mountain Charter</t>
  </si>
  <si>
    <t>LA02</t>
  </si>
  <si>
    <t>Blue Ridge Academy</t>
  </si>
  <si>
    <t>EL90</t>
  </si>
  <si>
    <t>California Virtual Academy @ Maricopa</t>
  </si>
  <si>
    <t>LA03</t>
  </si>
  <si>
    <t>Heartland Charter</t>
  </si>
  <si>
    <t>AM42</t>
  </si>
  <si>
    <t>McKittrick Elementary</t>
  </si>
  <si>
    <t>AM43</t>
  </si>
  <si>
    <t>Midway Elementary</t>
  </si>
  <si>
    <t>AM19</t>
  </si>
  <si>
    <t>Mojave Unified</t>
  </si>
  <si>
    <t>AM20</t>
  </si>
  <si>
    <t>Muroc Joint Unified</t>
  </si>
  <si>
    <t>AM30</t>
  </si>
  <si>
    <t>Norris Elementary</t>
  </si>
  <si>
    <t>AM44</t>
  </si>
  <si>
    <t>Pond Union Elementary</t>
  </si>
  <si>
    <t>AM16</t>
  </si>
  <si>
    <t>Rosedale Union Elementary</t>
  </si>
  <si>
    <t>AM45</t>
  </si>
  <si>
    <t>Semitropic Elementary</t>
  </si>
  <si>
    <t>AM22</t>
  </si>
  <si>
    <t>Southern Kern Unified</t>
  </si>
  <si>
    <t>AM27</t>
  </si>
  <si>
    <t>South Fork Union</t>
  </si>
  <si>
    <t>AM09</t>
  </si>
  <si>
    <t>Standard Elementary</t>
  </si>
  <si>
    <t>AM10</t>
  </si>
  <si>
    <t>Taft City</t>
  </si>
  <si>
    <t>AM17</t>
  </si>
  <si>
    <t>Taft Union High</t>
  </si>
  <si>
    <t>AM23</t>
  </si>
  <si>
    <t>Tehachapi Unified</t>
  </si>
  <si>
    <t>AM46</t>
  </si>
  <si>
    <t>Vineland Elementary</t>
  </si>
  <si>
    <t>AM11</t>
  </si>
  <si>
    <t>Wasco Union Elementary</t>
  </si>
  <si>
    <t>AM13</t>
  </si>
  <si>
    <t>Wasco Union High</t>
  </si>
  <si>
    <t>AM47</t>
  </si>
  <si>
    <t>Rio Bravo-Greeley Union Elementary</t>
  </si>
  <si>
    <t>SI00</t>
  </si>
  <si>
    <t>Sierra Sands Unified</t>
  </si>
  <si>
    <t>AM18</t>
  </si>
  <si>
    <t>McFarland Unified</t>
  </si>
  <si>
    <t>AM28</t>
  </si>
  <si>
    <t>El Tejon Unified</t>
  </si>
  <si>
    <t>AC00</t>
  </si>
  <si>
    <t>Kings County</t>
  </si>
  <si>
    <t>AC01</t>
  </si>
  <si>
    <t>Armona Union Elementary</t>
  </si>
  <si>
    <t>EL91</t>
  </si>
  <si>
    <t>California Virtual Academy @ Kings</t>
  </si>
  <si>
    <t>0840</t>
  </si>
  <si>
    <t>AC02</t>
  </si>
  <si>
    <t>Central Union Elementary</t>
  </si>
  <si>
    <t>AC08</t>
  </si>
  <si>
    <t>Corcoran Joint Unified</t>
  </si>
  <si>
    <t>AC03</t>
  </si>
  <si>
    <t>Hanford Elementary</t>
  </si>
  <si>
    <t>AC06</t>
  </si>
  <si>
    <t>Hanford Joint Union High</t>
  </si>
  <si>
    <t>AC13</t>
  </si>
  <si>
    <t>Island Union Elementary</t>
  </si>
  <si>
    <t>AC10</t>
  </si>
  <si>
    <t>Kings River-Hardwick Union Elementary</t>
  </si>
  <si>
    <t>AC04</t>
  </si>
  <si>
    <t>Kit Carson Union Elementary</t>
  </si>
  <si>
    <t>FD13</t>
  </si>
  <si>
    <t>Kings Valley Academy II</t>
  </si>
  <si>
    <t>AC11</t>
  </si>
  <si>
    <t>Lakeside Union Elementary</t>
  </si>
  <si>
    <t>AC05</t>
  </si>
  <si>
    <t>Lemoore Union Elementary</t>
  </si>
  <si>
    <t>AC07</t>
  </si>
  <si>
    <t>Lemoore Union High</t>
  </si>
  <si>
    <t>AC12</t>
  </si>
  <si>
    <t>AC09</t>
  </si>
  <si>
    <t>Reef-Sunset Unified</t>
  </si>
  <si>
    <t>CC00</t>
  </si>
  <si>
    <t>Lake County</t>
  </si>
  <si>
    <t>CC04</t>
  </si>
  <si>
    <t>Kelseyville Unified</t>
  </si>
  <si>
    <t>CC05</t>
  </si>
  <si>
    <t>Konocti Unified</t>
  </si>
  <si>
    <t>CC06</t>
  </si>
  <si>
    <t>Lakeport Unified</t>
  </si>
  <si>
    <t>CC02</t>
  </si>
  <si>
    <t>Lucerne Elementary</t>
  </si>
  <si>
    <t>CC07</t>
  </si>
  <si>
    <t>Middletown Unified</t>
  </si>
  <si>
    <t>EL92</t>
  </si>
  <si>
    <t>California Connections Academy @ North Bay</t>
  </si>
  <si>
    <t>CC08</t>
  </si>
  <si>
    <t>Upper Lake Unified</t>
  </si>
  <si>
    <t>AL00</t>
  </si>
  <si>
    <t>Lassen County</t>
  </si>
  <si>
    <t>AL04</t>
  </si>
  <si>
    <t>Big Valley Joint Unified</t>
  </si>
  <si>
    <t>AL01</t>
  </si>
  <si>
    <t>Janesville Union Elementary</t>
  </si>
  <si>
    <t>AL05</t>
  </si>
  <si>
    <t>Johnstonville Elementary</t>
  </si>
  <si>
    <t>AL02</t>
  </si>
  <si>
    <t>Lassen Union High</t>
  </si>
  <si>
    <t>AL06</t>
  </si>
  <si>
    <t>Ravendale-Termo Elementary</t>
  </si>
  <si>
    <t>AL07</t>
  </si>
  <si>
    <t>Richmond Elementary</t>
  </si>
  <si>
    <t>AL08</t>
  </si>
  <si>
    <t>Shaffer Union Elementary</t>
  </si>
  <si>
    <t>AL03</t>
  </si>
  <si>
    <t>Susanville Elementary</t>
  </si>
  <si>
    <t>AL11</t>
  </si>
  <si>
    <t>Thompson Peak Charter</t>
  </si>
  <si>
    <t>AL09</t>
  </si>
  <si>
    <t>Westwood Unified</t>
  </si>
  <si>
    <t>AL10</t>
  </si>
  <si>
    <t>Fort Sage Unified</t>
  </si>
  <si>
    <t>AL12</t>
  </si>
  <si>
    <t>Long Valley</t>
  </si>
  <si>
    <t>DP00</t>
  </si>
  <si>
    <t>Los Angeles County Court Schools</t>
  </si>
  <si>
    <t>EL93</t>
  </si>
  <si>
    <t>North Valley Military Institute College Preparatory Academy</t>
  </si>
  <si>
    <t>0540</t>
  </si>
  <si>
    <t>LA04</t>
  </si>
  <si>
    <t>Jardin de la Infancia</t>
  </si>
  <si>
    <t>0663</t>
  </si>
  <si>
    <t>EL94</t>
  </si>
  <si>
    <t>Aspire Antonio Maria Lugo Academy</t>
  </si>
  <si>
    <t>0694</t>
  </si>
  <si>
    <t>EL95</t>
  </si>
  <si>
    <t>Aspire Ollin University Preparatory Academy</t>
  </si>
  <si>
    <t>0693</t>
  </si>
  <si>
    <t>EL96</t>
  </si>
  <si>
    <t>Magnolia Science Academy 3</t>
  </si>
  <si>
    <t>0917</t>
  </si>
  <si>
    <t>EL97</t>
  </si>
  <si>
    <t>Magnolia Science Academy 2</t>
  </si>
  <si>
    <t>0906</t>
  </si>
  <si>
    <t>EL98</t>
  </si>
  <si>
    <t>Environmental Charter Middle</t>
  </si>
  <si>
    <t>EL99</t>
  </si>
  <si>
    <t>Environmental Charter Middle - Inglewood</t>
  </si>
  <si>
    <t>LA05</t>
  </si>
  <si>
    <t>Lashon Academy</t>
  </si>
  <si>
    <t>EL100</t>
  </si>
  <si>
    <t>Valiente College Preparatory Charter School</t>
  </si>
  <si>
    <t>LA06</t>
  </si>
  <si>
    <t>Intellectual Virtues Academy</t>
  </si>
  <si>
    <t>LA07</t>
  </si>
  <si>
    <t>Russell Westbrook Why Not? Middle</t>
  </si>
  <si>
    <t>EL101</t>
  </si>
  <si>
    <t>Alma Fuerte Public School</t>
  </si>
  <si>
    <t>LA08</t>
  </si>
  <si>
    <t>Russell Westbrook Why Not? High</t>
  </si>
  <si>
    <t>EL102</t>
  </si>
  <si>
    <t>Animo City of Champions Charter High</t>
  </si>
  <si>
    <t>LA09</t>
  </si>
  <si>
    <t>Soleil Academy</t>
  </si>
  <si>
    <t>EL103</t>
  </si>
  <si>
    <t>Magnolia Science Academy 5</t>
  </si>
  <si>
    <t>0987</t>
  </si>
  <si>
    <t>LA10</t>
  </si>
  <si>
    <t>Da Vinci RISE High</t>
  </si>
  <si>
    <t>LA11</t>
  </si>
  <si>
    <t>Lashon Academy City</t>
  </si>
  <si>
    <t>LA12</t>
  </si>
  <si>
    <t>We the People High</t>
  </si>
  <si>
    <t>EL104</t>
  </si>
  <si>
    <t>Environmental Charter High - Gardena</t>
  </si>
  <si>
    <t>LA13</t>
  </si>
  <si>
    <t>T.I.M.E. Community</t>
  </si>
  <si>
    <t>EL105</t>
  </si>
  <si>
    <t>KIPP Poder Public</t>
  </si>
  <si>
    <t>LA14</t>
  </si>
  <si>
    <t>Bridges Preparatory Academy</t>
  </si>
  <si>
    <t>LA15</t>
  </si>
  <si>
    <t>The SEED School of Los Angeles County</t>
  </si>
  <si>
    <t>SA02</t>
  </si>
  <si>
    <t>Odyssey Charter</t>
  </si>
  <si>
    <t>0249</t>
  </si>
  <si>
    <t>EL106</t>
  </si>
  <si>
    <t>Magnolia Science Academy</t>
  </si>
  <si>
    <t>0438</t>
  </si>
  <si>
    <t>DB00</t>
  </si>
  <si>
    <t>ABC Unified</t>
  </si>
  <si>
    <t>DA00</t>
  </si>
  <si>
    <t>Antelope Valley</t>
  </si>
  <si>
    <t>DA01</t>
  </si>
  <si>
    <t>Antelope Valley Union High</t>
  </si>
  <si>
    <t>EL107</t>
  </si>
  <si>
    <t>Desert Sands Charter</t>
  </si>
  <si>
    <t>0411</t>
  </si>
  <si>
    <t>DY00</t>
  </si>
  <si>
    <t>West San Gabriel Valley</t>
  </si>
  <si>
    <t>DY03</t>
  </si>
  <si>
    <t>Arcadia Unified</t>
  </si>
  <si>
    <t>DX00</t>
  </si>
  <si>
    <t>East San Gabriel Valley</t>
  </si>
  <si>
    <t>DX01</t>
  </si>
  <si>
    <t>Azusa Unified</t>
  </si>
  <si>
    <t>DX02</t>
  </si>
  <si>
    <t>Baldwin Park Unified</t>
  </si>
  <si>
    <t>DX17</t>
  </si>
  <si>
    <t>Opportunities for Learning - Baldwin Park</t>
  </si>
  <si>
    <t>0402</t>
  </si>
  <si>
    <t>DX03</t>
  </si>
  <si>
    <t>Bassett Unified</t>
  </si>
  <si>
    <t>DC00</t>
  </si>
  <si>
    <t>Mid-Cities</t>
  </si>
  <si>
    <t>BX00</t>
  </si>
  <si>
    <t>Tri-City</t>
  </si>
  <si>
    <t>BX01</t>
  </si>
  <si>
    <t>Beverly Hills Unified</t>
  </si>
  <si>
    <t>DX04</t>
  </si>
  <si>
    <t>Bonita Unified</t>
  </si>
  <si>
    <t>DJ00</t>
  </si>
  <si>
    <t>Foothill</t>
  </si>
  <si>
    <t>DJ01</t>
  </si>
  <si>
    <t>Burbank Unified</t>
  </si>
  <si>
    <t>DF00</t>
  </si>
  <si>
    <t>Santa Clarita</t>
  </si>
  <si>
    <t>DF01</t>
  </si>
  <si>
    <t>Castaic Union</t>
  </si>
  <si>
    <t>DG00</t>
  </si>
  <si>
    <t>Southwest</t>
  </si>
  <si>
    <t>DG01</t>
  </si>
  <si>
    <t>Centinela Valley Union High</t>
  </si>
  <si>
    <t>DG36</t>
  </si>
  <si>
    <t>Family First Charter</t>
  </si>
  <si>
    <t>DG37</t>
  </si>
  <si>
    <t>New Opportunities Charter</t>
  </si>
  <si>
    <t>DX05</t>
  </si>
  <si>
    <t>Charter Oak Unified</t>
  </si>
  <si>
    <t>DX06</t>
  </si>
  <si>
    <t>Claremont Unified</t>
  </si>
  <si>
    <t>DM00</t>
  </si>
  <si>
    <t>Downey-Montebello</t>
  </si>
  <si>
    <t>DY04</t>
  </si>
  <si>
    <t>Duarte Unified</t>
  </si>
  <si>
    <t>LA16</t>
  </si>
  <si>
    <t>Opportunities for Learning - Duarte</t>
  </si>
  <si>
    <t>EL108</t>
  </si>
  <si>
    <t>California School of the Arts - San Gabriel Valley</t>
  </si>
  <si>
    <t>DA02</t>
  </si>
  <si>
    <t>Eastside Union Elementary</t>
  </si>
  <si>
    <t>BY00</t>
  </si>
  <si>
    <t>Whittier Area Cooperative</t>
  </si>
  <si>
    <t>BY08</t>
  </si>
  <si>
    <t>East Whittier City Elementary</t>
  </si>
  <si>
    <t>DY05</t>
  </si>
  <si>
    <t>El Monte City</t>
  </si>
  <si>
    <t>DY06</t>
  </si>
  <si>
    <t>El Monte Union High</t>
  </si>
  <si>
    <t>BY01</t>
  </si>
  <si>
    <t>El Rancho Unified</t>
  </si>
  <si>
    <t>DG02</t>
  </si>
  <si>
    <t>El Segundo Unified</t>
  </si>
  <si>
    <t>DY07</t>
  </si>
  <si>
    <t>Garvey Elementary</t>
  </si>
  <si>
    <t>DX08</t>
  </si>
  <si>
    <t>Glendora Unified</t>
  </si>
  <si>
    <t>DA10</t>
  </si>
  <si>
    <t>Gorman Elementary</t>
  </si>
  <si>
    <t>EL109</t>
  </si>
  <si>
    <t>Gorman Learning Center</t>
  </si>
  <si>
    <t>0285</t>
  </si>
  <si>
    <t>DG03</t>
  </si>
  <si>
    <t>Hawthorne</t>
  </si>
  <si>
    <t>DG04</t>
  </si>
  <si>
    <t>Hermosa Beach City Elementary</t>
  </si>
  <si>
    <t>DA03</t>
  </si>
  <si>
    <t>Hughes-Elizabeth Lakes Union Elementary</t>
  </si>
  <si>
    <t>DG05</t>
  </si>
  <si>
    <t>Inglewood Unified</t>
  </si>
  <si>
    <t>DG38</t>
  </si>
  <si>
    <t>Wilder's Preparatory Academy Charter</t>
  </si>
  <si>
    <t>0582</t>
  </si>
  <si>
    <t>DG30</t>
  </si>
  <si>
    <t>Wilder's Preparatory Academy Charter Middle</t>
  </si>
  <si>
    <t>0977</t>
  </si>
  <si>
    <t>LA17</t>
  </si>
  <si>
    <t>ICEF Inglewood Elementary Charter Academy</t>
  </si>
  <si>
    <t>EL110</t>
  </si>
  <si>
    <t>Animo Inglewood Charter High</t>
  </si>
  <si>
    <t>0432</t>
  </si>
  <si>
    <t>DA04</t>
  </si>
  <si>
    <t>Keppel Union Elementary</t>
  </si>
  <si>
    <t>SO06</t>
  </si>
  <si>
    <t>Sage Oak Charter School- Keppel</t>
  </si>
  <si>
    <t>DJ02</t>
  </si>
  <si>
    <t>La Canada Unified</t>
  </si>
  <si>
    <t>DA05</t>
  </si>
  <si>
    <t>Lancaster Elementary</t>
  </si>
  <si>
    <t>EL111</t>
  </si>
  <si>
    <t>Life Source International Charter</t>
  </si>
  <si>
    <t>EL112</t>
  </si>
  <si>
    <t>iLEAD Lancaster Charter</t>
  </si>
  <si>
    <t>AG00</t>
  </si>
  <si>
    <t>Ventura County</t>
  </si>
  <si>
    <t>AG19</t>
  </si>
  <si>
    <t>Las Virgenes Unified</t>
  </si>
  <si>
    <t>EL113</t>
  </si>
  <si>
    <t>Environmental Charter High - Lawndale</t>
  </si>
  <si>
    <t>0353</t>
  </si>
  <si>
    <t>DG07</t>
  </si>
  <si>
    <t>Lennox</t>
  </si>
  <si>
    <t>DG33</t>
  </si>
  <si>
    <t>Lennox Mathematics, Science and Technology Academy</t>
  </si>
  <si>
    <t>0509</t>
  </si>
  <si>
    <t>DG39</t>
  </si>
  <si>
    <t>Century Community Charter</t>
  </si>
  <si>
    <t>0672</t>
  </si>
  <si>
    <t>EL114</t>
  </si>
  <si>
    <t>Animo Leadership High</t>
  </si>
  <si>
    <t>0281</t>
  </si>
  <si>
    <t>BY02</t>
  </si>
  <si>
    <t>Little Lake City Elementary</t>
  </si>
  <si>
    <t>DL00</t>
  </si>
  <si>
    <t>Long Beach Unified</t>
  </si>
  <si>
    <t>CJ00</t>
  </si>
  <si>
    <t>Los Angeles Unified</t>
  </si>
  <si>
    <t>EL115</t>
  </si>
  <si>
    <t>KIPP Academy of Opportunity</t>
  </si>
  <si>
    <t>0530</t>
  </si>
  <si>
    <t>EL116</t>
  </si>
  <si>
    <t>KIPP Raices Academy</t>
  </si>
  <si>
    <t>LA18</t>
  </si>
  <si>
    <t>Academia Moderna</t>
  </si>
  <si>
    <t>EL117</t>
  </si>
  <si>
    <t>KIPP Comienza Community Prep</t>
  </si>
  <si>
    <t>EL118</t>
  </si>
  <si>
    <t>KIPP Scholar Academy</t>
  </si>
  <si>
    <t>EL119</t>
  </si>
  <si>
    <t>KIPP Sol Academy</t>
  </si>
  <si>
    <t>EL120</t>
  </si>
  <si>
    <t>KIPP Iluminar Academy</t>
  </si>
  <si>
    <t>LA19</t>
  </si>
  <si>
    <t>PREPA TEC - Los Angeles</t>
  </si>
  <si>
    <t>LA20</t>
  </si>
  <si>
    <t>Village Charter Academy</t>
  </si>
  <si>
    <t>EL121</t>
  </si>
  <si>
    <t>KIPP Promesa Prep</t>
  </si>
  <si>
    <t>EL122</t>
  </si>
  <si>
    <t>Anahuacalmecac International University Preparatory of North America</t>
  </si>
  <si>
    <t>EL123</t>
  </si>
  <si>
    <t>KIPP Corazon Academy</t>
  </si>
  <si>
    <t>EL124</t>
  </si>
  <si>
    <t>Invictus Leadership Academy</t>
  </si>
  <si>
    <t>BY03</t>
  </si>
  <si>
    <t>Los Nietos</t>
  </si>
  <si>
    <t>DC03</t>
  </si>
  <si>
    <t>Lynwood Unified</t>
  </si>
  <si>
    <t>DY08</t>
  </si>
  <si>
    <t>Monrovia Unified</t>
  </si>
  <si>
    <t>DM02</t>
  </si>
  <si>
    <t>Montebello Unified</t>
  </si>
  <si>
    <t>DY09</t>
  </si>
  <si>
    <t>Mountain View Elementary</t>
  </si>
  <si>
    <t>DF02</t>
  </si>
  <si>
    <t>Newhall</t>
  </si>
  <si>
    <t>DU00</t>
  </si>
  <si>
    <t>Norwalk-La Mirada Unified</t>
  </si>
  <si>
    <t>EL125</t>
  </si>
  <si>
    <t>Antelope Valley Learning Academy</t>
  </si>
  <si>
    <t>0841</t>
  </si>
  <si>
    <t>EL126</t>
  </si>
  <si>
    <t>Palmdale Aerospace Academy</t>
  </si>
  <si>
    <t>DG09</t>
  </si>
  <si>
    <t>Palos Verdes Peninsula Unified</t>
  </si>
  <si>
    <t>DC04</t>
  </si>
  <si>
    <t>Paramount Unified</t>
  </si>
  <si>
    <t>DN00</t>
  </si>
  <si>
    <t>Pasadena Unified</t>
  </si>
  <si>
    <t>SA03</t>
  </si>
  <si>
    <t>Aveson Global Leadership Academy</t>
  </si>
  <si>
    <t>0847</t>
  </si>
  <si>
    <t>SA04</t>
  </si>
  <si>
    <t>Aveson School of Leaders</t>
  </si>
  <si>
    <t>0848</t>
  </si>
  <si>
    <t>SA05</t>
  </si>
  <si>
    <t>Pasadena Rosebud Academy</t>
  </si>
  <si>
    <t>0857</t>
  </si>
  <si>
    <t>SA06</t>
  </si>
  <si>
    <t>OCS - South</t>
  </si>
  <si>
    <t>DE00</t>
  </si>
  <si>
    <t>Pomona Unified</t>
  </si>
  <si>
    <t>EL127</t>
  </si>
  <si>
    <t>School of Arts and Enterprise</t>
  </si>
  <si>
    <t>0505</t>
  </si>
  <si>
    <t>DY10</t>
  </si>
  <si>
    <t>Rosemead Elementary</t>
  </si>
  <si>
    <t>DY12</t>
  </si>
  <si>
    <t>San Marino Unified</t>
  </si>
  <si>
    <t>BX03</t>
  </si>
  <si>
    <t>Santa Monica-Malibu Unified</t>
  </si>
  <si>
    <t>DF06</t>
  </si>
  <si>
    <t>Saugus Union</t>
  </si>
  <si>
    <t>DY13</t>
  </si>
  <si>
    <t>South Pasadena Unified</t>
  </si>
  <si>
    <t>BY05</t>
  </si>
  <si>
    <t>South Whittier Elementary</t>
  </si>
  <si>
    <t>DF04</t>
  </si>
  <si>
    <t>Sulphur Springs Union</t>
  </si>
  <si>
    <t>DY14</t>
  </si>
  <si>
    <t>Temple City Unified</t>
  </si>
  <si>
    <t>DG12</t>
  </si>
  <si>
    <t>Torrance Unified</t>
  </si>
  <si>
    <t>DY15</t>
  </si>
  <si>
    <t>Valle Lindo Elementary</t>
  </si>
  <si>
    <t>DX11</t>
  </si>
  <si>
    <t>West Covina Unified</t>
  </si>
  <si>
    <t>DX16</t>
  </si>
  <si>
    <t>California Virtual Academy @ Los Angeles</t>
  </si>
  <si>
    <t>0838</t>
  </si>
  <si>
    <t>DX18</t>
  </si>
  <si>
    <t>San Jose Charter Academy</t>
  </si>
  <si>
    <t>0142</t>
  </si>
  <si>
    <t>DA08</t>
  </si>
  <si>
    <t>Westside Union Elementary</t>
  </si>
  <si>
    <t>BY07</t>
  </si>
  <si>
    <t>Whittier City Elementary</t>
  </si>
  <si>
    <t>EL128</t>
  </si>
  <si>
    <t>Mission View Public</t>
  </si>
  <si>
    <t>0888</t>
  </si>
  <si>
    <t>EL129</t>
  </si>
  <si>
    <t>Santa Clarita Valley International</t>
  </si>
  <si>
    <t>0981</t>
  </si>
  <si>
    <t>LA21</t>
  </si>
  <si>
    <t>Opportunities for Learning - William S. Hart</t>
  </si>
  <si>
    <t>0214</t>
  </si>
  <si>
    <t>DA09</t>
  </si>
  <si>
    <t>Wilsona Elementary</t>
  </si>
  <si>
    <t>LB00</t>
  </si>
  <si>
    <t>Compton Unified</t>
  </si>
  <si>
    <t>EL130</t>
  </si>
  <si>
    <t>Lifeline Education Charter</t>
  </si>
  <si>
    <t>0963</t>
  </si>
  <si>
    <t>EL131</t>
  </si>
  <si>
    <t>Barack Obama Charter</t>
  </si>
  <si>
    <t>EL132</t>
  </si>
  <si>
    <t>Today's Fresh Start Charter Compton</t>
  </si>
  <si>
    <t>LA22</t>
  </si>
  <si>
    <t>ISANA Achernar Academy</t>
  </si>
  <si>
    <t>EL133</t>
  </si>
  <si>
    <t>Ingenium Clarion Charter Middle School</t>
  </si>
  <si>
    <t>EL134</t>
  </si>
  <si>
    <t>KIPP Compton Community School</t>
  </si>
  <si>
    <t>EL135</t>
  </si>
  <si>
    <t>Ánimo Compton Charter</t>
  </si>
  <si>
    <t>CQ00</t>
  </si>
  <si>
    <t>Hacienda la Puente Unified</t>
  </si>
  <si>
    <t>CK00</t>
  </si>
  <si>
    <t>Rowland Unified</t>
  </si>
  <si>
    <t>DX14</t>
  </si>
  <si>
    <t>iQ Academy California-Los Angeles</t>
  </si>
  <si>
    <t>DX10</t>
  </si>
  <si>
    <t>Walnut Valley Unified</t>
  </si>
  <si>
    <t>DY16</t>
  </si>
  <si>
    <t>San Gabriel Unified</t>
  </si>
  <si>
    <t>DA11</t>
  </si>
  <si>
    <t>Acton-Agua Dulce Unified</t>
  </si>
  <si>
    <t>EL136</t>
  </si>
  <si>
    <t>Assurance Learning Academy</t>
  </si>
  <si>
    <t>EL137</t>
  </si>
  <si>
    <t>iLEAD Hybrid</t>
  </si>
  <si>
    <t>SO07</t>
  </si>
  <si>
    <t>California Pacific Charter- Los Angeles</t>
  </si>
  <si>
    <t>EL138</t>
  </si>
  <si>
    <t>Empower Generations</t>
  </si>
  <si>
    <t>EL139</t>
  </si>
  <si>
    <t>Compass Charter Schools of Los Angeles</t>
  </si>
  <si>
    <t>EL140</t>
  </si>
  <si>
    <t>iLEAD Online</t>
  </si>
  <si>
    <t>LA23</t>
  </si>
  <si>
    <t>Options for Youth-Acton</t>
  </si>
  <si>
    <t>EL141</t>
  </si>
  <si>
    <t>Method Schools, LA</t>
  </si>
  <si>
    <t>EL142</t>
  </si>
  <si>
    <t>Mission Academy</t>
  </si>
  <si>
    <t>EL143</t>
  </si>
  <si>
    <t>iLead Agua Dulce</t>
  </si>
  <si>
    <t>DG14</t>
  </si>
  <si>
    <t>Manhattan Beach Unified</t>
  </si>
  <si>
    <t>DG15</t>
  </si>
  <si>
    <t>Redondo Beach Unified</t>
  </si>
  <si>
    <t>EL144</t>
  </si>
  <si>
    <t>New West Charter</t>
  </si>
  <si>
    <t>0431</t>
  </si>
  <si>
    <t>DG32</t>
  </si>
  <si>
    <t>Wiseburn Unified</t>
  </si>
  <si>
    <t>EL145</t>
  </si>
  <si>
    <t>Da Vinci Science</t>
  </si>
  <si>
    <t>EL146</t>
  </si>
  <si>
    <t>Da Vinci Design</t>
  </si>
  <si>
    <t>EL147</t>
  </si>
  <si>
    <t>Da Vinci Connect</t>
  </si>
  <si>
    <t>EL148</t>
  </si>
  <si>
    <t>Da Vinci Communications</t>
  </si>
  <si>
    <t>LA24</t>
  </si>
  <si>
    <t>Academia Avance Charter</t>
  </si>
  <si>
    <t>0738</t>
  </si>
  <si>
    <t>DG18</t>
  </si>
  <si>
    <t>Los Angeles College Prep Academy</t>
  </si>
  <si>
    <t>0741</t>
  </si>
  <si>
    <t>AB00</t>
  </si>
  <si>
    <t>Madera/Mariposa</t>
  </si>
  <si>
    <t>AB14</t>
  </si>
  <si>
    <t>Alview-Dairyland Union Elementary</t>
  </si>
  <si>
    <t>AB08</t>
  </si>
  <si>
    <t>Bass Lake Joint Union Elementary</t>
  </si>
  <si>
    <t>AB15</t>
  </si>
  <si>
    <t>Chowchilla Elementary</t>
  </si>
  <si>
    <t>AB16</t>
  </si>
  <si>
    <t>Chowchilla Union High</t>
  </si>
  <si>
    <t>AB13</t>
  </si>
  <si>
    <t>Madera Unified</t>
  </si>
  <si>
    <t>AB22</t>
  </si>
  <si>
    <t>Sherman Thomas Charter</t>
  </si>
  <si>
    <t>0507</t>
  </si>
  <si>
    <t>AB21</t>
  </si>
  <si>
    <t>Ezequiel Tafoya Alvarado Academy</t>
  </si>
  <si>
    <t>0676</t>
  </si>
  <si>
    <t>AB23</t>
  </si>
  <si>
    <t>Sherman Thomas Charter High</t>
  </si>
  <si>
    <t>AB26</t>
  </si>
  <si>
    <t>Sherman Thomas STEM Academy</t>
  </si>
  <si>
    <t>AB17</t>
  </si>
  <si>
    <t>Raymond-Knowles Union Elementary</t>
  </si>
  <si>
    <t>AB18</t>
  </si>
  <si>
    <t>Golden Valley Unified</t>
  </si>
  <si>
    <t>AB19</t>
  </si>
  <si>
    <t>Chawanakee Unified</t>
  </si>
  <si>
    <t>AB20</t>
  </si>
  <si>
    <t>Yosemite Unified</t>
  </si>
  <si>
    <t>AB25</t>
  </si>
  <si>
    <t>Glacier High School Charter</t>
  </si>
  <si>
    <t>0479</t>
  </si>
  <si>
    <t>AB24</t>
  </si>
  <si>
    <t>Mountain Home Charter (Alternative)</t>
  </si>
  <si>
    <t>0063</t>
  </si>
  <si>
    <t>AT00</t>
  </si>
  <si>
    <t>Marin County</t>
  </si>
  <si>
    <t>EL149</t>
  </si>
  <si>
    <t>Ross Valley Charter</t>
  </si>
  <si>
    <t>AT01</t>
  </si>
  <si>
    <t>Bolinas-Stinson Union</t>
  </si>
  <si>
    <t>AT02</t>
  </si>
  <si>
    <t>Miller Creek Elementary</t>
  </si>
  <si>
    <t>AT04</t>
  </si>
  <si>
    <t>Kentfield Elementary</t>
  </si>
  <si>
    <t>AT19</t>
  </si>
  <si>
    <t>Laguna Joint Elementary</t>
  </si>
  <si>
    <t>AT05</t>
  </si>
  <si>
    <t>Lagunitas Elementary</t>
  </si>
  <si>
    <t>AT06</t>
  </si>
  <si>
    <t>Larkspur-Corte Madera</t>
  </si>
  <si>
    <t>AT07</t>
  </si>
  <si>
    <t>Mill Valley Elementary</t>
  </si>
  <si>
    <t>AT18</t>
  </si>
  <si>
    <t>Nicasio</t>
  </si>
  <si>
    <t>AT15</t>
  </si>
  <si>
    <t>Novato Unified</t>
  </si>
  <si>
    <t>EL150</t>
  </si>
  <si>
    <t>Novato Charter</t>
  </si>
  <si>
    <t>0089</t>
  </si>
  <si>
    <t>AT08</t>
  </si>
  <si>
    <t>Reed Union Elementary</t>
  </si>
  <si>
    <t>AT09</t>
  </si>
  <si>
    <t>Ross Elementary</t>
  </si>
  <si>
    <t>AT11</t>
  </si>
  <si>
    <t>San Rafael City Elementary</t>
  </si>
  <si>
    <t>AT13</t>
  </si>
  <si>
    <t>San Rafael City High</t>
  </si>
  <si>
    <t>AT12</t>
  </si>
  <si>
    <t>Sausalito Marin City</t>
  </si>
  <si>
    <t>AT14</t>
  </si>
  <si>
    <t>Tamalpais Union High</t>
  </si>
  <si>
    <t>AT16</t>
  </si>
  <si>
    <t>Shoreline Unified</t>
  </si>
  <si>
    <t>AT17</t>
  </si>
  <si>
    <t>Ross Valley Elementary</t>
  </si>
  <si>
    <t>AB01</t>
  </si>
  <si>
    <t>Mariposa Co. Office of Education</t>
  </si>
  <si>
    <t>AB02</t>
  </si>
  <si>
    <t>Mariposa County Unified</t>
  </si>
  <si>
    <t>AQ00</t>
  </si>
  <si>
    <t>Mendocino County</t>
  </si>
  <si>
    <t>AQ01</t>
  </si>
  <si>
    <t>Anderson Valley Unified</t>
  </si>
  <si>
    <t>AQ02</t>
  </si>
  <si>
    <t>Arena Union Elementary</t>
  </si>
  <si>
    <t>AQ03</t>
  </si>
  <si>
    <t>Fort Bragg Unified</t>
  </si>
  <si>
    <t>AQ04</t>
  </si>
  <si>
    <t>Manchester Union Elementary</t>
  </si>
  <si>
    <t>AQ05</t>
  </si>
  <si>
    <t>Mendocino Unified</t>
  </si>
  <si>
    <t>AQ06</t>
  </si>
  <si>
    <t>Point Arena Joint Union High</t>
  </si>
  <si>
    <t>AQ07</t>
  </si>
  <si>
    <t>Round Valley Unified</t>
  </si>
  <si>
    <t>AQ08</t>
  </si>
  <si>
    <t>Ukiah Unified</t>
  </si>
  <si>
    <t>EL151</t>
  </si>
  <si>
    <t>Tree of Life Charter</t>
  </si>
  <si>
    <t>0276</t>
  </si>
  <si>
    <t>AQ09</t>
  </si>
  <si>
    <t>Willits Unified</t>
  </si>
  <si>
    <t>AQ10</t>
  </si>
  <si>
    <t>Potter Valley Community Unified</t>
  </si>
  <si>
    <t>AQ11</t>
  </si>
  <si>
    <t>Laytonville Unified</t>
  </si>
  <si>
    <t>AQ12</t>
  </si>
  <si>
    <t>Leggett Valley Unified</t>
  </si>
  <si>
    <t>VV00</t>
  </si>
  <si>
    <t>Merced County</t>
  </si>
  <si>
    <t>VV01</t>
  </si>
  <si>
    <t>Atwater Elementary</t>
  </si>
  <si>
    <t>VV02</t>
  </si>
  <si>
    <t>Ballico-Cressey Elementary</t>
  </si>
  <si>
    <t>VV06</t>
  </si>
  <si>
    <t>El Nido Elementary</t>
  </si>
  <si>
    <t>VV08</t>
  </si>
  <si>
    <t>Hilmar Unified</t>
  </si>
  <si>
    <t>VV09</t>
  </si>
  <si>
    <t>Le Grand Union Elementary</t>
  </si>
  <si>
    <t>VV20</t>
  </si>
  <si>
    <t>Le Grand Union High</t>
  </si>
  <si>
    <t>VV10</t>
  </si>
  <si>
    <t>Livingston Union</t>
  </si>
  <si>
    <t>VV11</t>
  </si>
  <si>
    <t>Los Banos Unified</t>
  </si>
  <si>
    <t>VV12</t>
  </si>
  <si>
    <t>McSwain Union Elementary</t>
  </si>
  <si>
    <t>VV13</t>
  </si>
  <si>
    <t>Merced City Elementary</t>
  </si>
  <si>
    <t>VV14</t>
  </si>
  <si>
    <t>Merced Union High</t>
  </si>
  <si>
    <t>VV24</t>
  </si>
  <si>
    <t>Plainsburg Union Elementary</t>
  </si>
  <si>
    <t>VV16</t>
  </si>
  <si>
    <t>Planada Elementary</t>
  </si>
  <si>
    <t>VV21</t>
  </si>
  <si>
    <t>Snelling-Merced Falls Union Elementary</t>
  </si>
  <si>
    <t>VV17</t>
  </si>
  <si>
    <t>Weaver Union</t>
  </si>
  <si>
    <t>VV18</t>
  </si>
  <si>
    <t>Winton</t>
  </si>
  <si>
    <t>VV07</t>
  </si>
  <si>
    <t>Gustine Unified</t>
  </si>
  <si>
    <t>VV15</t>
  </si>
  <si>
    <t>Merced River Union Elementary</t>
  </si>
  <si>
    <t>VV22</t>
  </si>
  <si>
    <t>Dos Palos Oro Loma Joint Unified</t>
  </si>
  <si>
    <t>VV23</t>
  </si>
  <si>
    <t>Delhi Unified</t>
  </si>
  <si>
    <t>CM00</t>
  </si>
  <si>
    <t>Modoc County</t>
  </si>
  <si>
    <t>CM01</t>
  </si>
  <si>
    <t>Surprise Valley Joint Unified</t>
  </si>
  <si>
    <t>CM02</t>
  </si>
  <si>
    <t>Modoc Joint Unified</t>
  </si>
  <si>
    <t>CM03</t>
  </si>
  <si>
    <t>Tulelake Basin Joint Unified</t>
  </si>
  <si>
    <t>CB00</t>
  </si>
  <si>
    <t>Mono County</t>
  </si>
  <si>
    <t>CB01</t>
  </si>
  <si>
    <t>Eastern Sierra Unified</t>
  </si>
  <si>
    <t>CB02</t>
  </si>
  <si>
    <t>Mammoth Unified</t>
  </si>
  <si>
    <t>AS00</t>
  </si>
  <si>
    <t>Monterey County</t>
  </si>
  <si>
    <t>SO08</t>
  </si>
  <si>
    <t>Monterey Bay Charter</t>
  </si>
  <si>
    <t>0799</t>
  </si>
  <si>
    <t>SO09</t>
  </si>
  <si>
    <t>Bay View Academy</t>
  </si>
  <si>
    <t>SO10</t>
  </si>
  <si>
    <t>Oasis Charter Public</t>
  </si>
  <si>
    <t>0412</t>
  </si>
  <si>
    <t>AS01</t>
  </si>
  <si>
    <t>Alisal Union</t>
  </si>
  <si>
    <t>AS25</t>
  </si>
  <si>
    <t>Bradley Union Elementary</t>
  </si>
  <si>
    <t>AS15</t>
  </si>
  <si>
    <t>Carmel Unified</t>
  </si>
  <si>
    <t>AS02</t>
  </si>
  <si>
    <t>Chualar Union</t>
  </si>
  <si>
    <t>AS26</t>
  </si>
  <si>
    <t>Graves Elementary</t>
  </si>
  <si>
    <t>AS04</t>
  </si>
  <si>
    <t>Greenfield Union Elementary</t>
  </si>
  <si>
    <t>AS05</t>
  </si>
  <si>
    <t>King City Union</t>
  </si>
  <si>
    <t>AS13</t>
  </si>
  <si>
    <t>South Monterey County Joint Union High</t>
  </si>
  <si>
    <t>AS27</t>
  </si>
  <si>
    <t>Lagunita Elementary</t>
  </si>
  <si>
    <t>AS21</t>
  </si>
  <si>
    <t>Mission Union Elementary</t>
  </si>
  <si>
    <t>AS16</t>
  </si>
  <si>
    <t>Monterey Peninsula Unified</t>
  </si>
  <si>
    <t>SO11</t>
  </si>
  <si>
    <t>Learning for Life Charter</t>
  </si>
  <si>
    <t>0362</t>
  </si>
  <si>
    <t>EL152</t>
  </si>
  <si>
    <t>International School of Monterey</t>
  </si>
  <si>
    <t>0429</t>
  </si>
  <si>
    <t>AS18</t>
  </si>
  <si>
    <t>Pacific Grove Unified</t>
  </si>
  <si>
    <t>AS06</t>
  </si>
  <si>
    <t>Salinas City Elementary</t>
  </si>
  <si>
    <t>AS14</t>
  </si>
  <si>
    <t>Salinas Union High</t>
  </si>
  <si>
    <t>AS07</t>
  </si>
  <si>
    <t>San Antonio Union Elementary</t>
  </si>
  <si>
    <t>AS19</t>
  </si>
  <si>
    <t>San Ardo Union Elementary</t>
  </si>
  <si>
    <t>AS20</t>
  </si>
  <si>
    <t>San Lucas Union Elementary</t>
  </si>
  <si>
    <t>AS08</t>
  </si>
  <si>
    <t>Santa Rita Union Elementary</t>
  </si>
  <si>
    <t>AS10</t>
  </si>
  <si>
    <t>Spreckels Union Elementary</t>
  </si>
  <si>
    <t>AS11</t>
  </si>
  <si>
    <t>Washington Union Elementary</t>
  </si>
  <si>
    <t>AS17</t>
  </si>
  <si>
    <t>North Monterey County Unified</t>
  </si>
  <si>
    <t>AS22</t>
  </si>
  <si>
    <t>Big Sur Unified</t>
  </si>
  <si>
    <t>SO12</t>
  </si>
  <si>
    <t>Big Sur Charter</t>
  </si>
  <si>
    <t>AS23</t>
  </si>
  <si>
    <t>Soledad Unified</t>
  </si>
  <si>
    <t>AS24</t>
  </si>
  <si>
    <t>Gonzales Unified</t>
  </si>
  <si>
    <t>CF00</t>
  </si>
  <si>
    <t>Napa County</t>
  </si>
  <si>
    <t>CF03</t>
  </si>
  <si>
    <t>Calistoga Joint Unified</t>
  </si>
  <si>
    <t>CF04</t>
  </si>
  <si>
    <t>Howell Mountain Elementary</t>
  </si>
  <si>
    <t>CF02</t>
  </si>
  <si>
    <t>Napa Valley Unified</t>
  </si>
  <si>
    <t>CF05</t>
  </si>
  <si>
    <t>Pope Valley Union Elementary</t>
  </si>
  <si>
    <t>CF06</t>
  </si>
  <si>
    <t>Saint Helena Unified</t>
  </si>
  <si>
    <t>NV00</t>
  </si>
  <si>
    <t>Nevada County</t>
  </si>
  <si>
    <t>NV33</t>
  </si>
  <si>
    <t>Bitney Prep High</t>
  </si>
  <si>
    <t>0871</t>
  </si>
  <si>
    <t>NV37</t>
  </si>
  <si>
    <t>Yuba River Charter</t>
  </si>
  <si>
    <t>0870</t>
  </si>
  <si>
    <t>NV35</t>
  </si>
  <si>
    <t>Nevada City School of the Arts</t>
  </si>
  <si>
    <t>0869</t>
  </si>
  <si>
    <t>NV39</t>
  </si>
  <si>
    <t>Forest Charter</t>
  </si>
  <si>
    <t>NV40</t>
  </si>
  <si>
    <t>Twin Ridges Home Study Charter</t>
  </si>
  <si>
    <t>NV30</t>
  </si>
  <si>
    <t>Chicago Park Elementary</t>
  </si>
  <si>
    <t>NV28</t>
  </si>
  <si>
    <t>Clear Creek Elementary</t>
  </si>
  <si>
    <t>NV20</t>
  </si>
  <si>
    <t>Grass Valley Elementary</t>
  </si>
  <si>
    <t>NV21</t>
  </si>
  <si>
    <t>Nevada City Elementary</t>
  </si>
  <si>
    <t>NV27</t>
  </si>
  <si>
    <t>Nevada Joint Union High</t>
  </si>
  <si>
    <t>EL153</t>
  </si>
  <si>
    <t>Sierra Academy of Expeditionary Learning</t>
  </si>
  <si>
    <t>NV22</t>
  </si>
  <si>
    <t>Pleasant Ridge Union Elementary</t>
  </si>
  <si>
    <t>NV26</t>
  </si>
  <si>
    <t>Union Hill Elementary</t>
  </si>
  <si>
    <t>NV32</t>
  </si>
  <si>
    <t>Twin Ridges Elementary</t>
  </si>
  <si>
    <t>NV38</t>
  </si>
  <si>
    <t>Penn Valley Union Elementary</t>
  </si>
  <si>
    <t>MM00</t>
  </si>
  <si>
    <t>North Orange</t>
  </si>
  <si>
    <t>EL154</t>
  </si>
  <si>
    <t>Samueli Academy</t>
  </si>
  <si>
    <t>EL155</t>
  </si>
  <si>
    <t>Vista Heritage Global Academy</t>
  </si>
  <si>
    <t>EL156</t>
  </si>
  <si>
    <t>Oxford Preparatory Academy - Saddleback Valley</t>
  </si>
  <si>
    <t>EL157</t>
  </si>
  <si>
    <t>Unity Middle College High</t>
  </si>
  <si>
    <t>EL158</t>
  </si>
  <si>
    <t>Ednovate - Legacy College Prep.</t>
  </si>
  <si>
    <t>EL159</t>
  </si>
  <si>
    <t>Orange County Academy of Sciences and Arts</t>
  </si>
  <si>
    <t>EL160</t>
  </si>
  <si>
    <t>EPIC Charter (Excellence Performance Innovation Citizenship)</t>
  </si>
  <si>
    <t>EL161</t>
  </si>
  <si>
    <t>Scholarship Prep - Orange County</t>
  </si>
  <si>
    <t>EL162</t>
  </si>
  <si>
    <t>Orange County Workforce Innovation High</t>
  </si>
  <si>
    <t>EL163</t>
  </si>
  <si>
    <t>Citrus Springs Charter</t>
  </si>
  <si>
    <t>EL164</t>
  </si>
  <si>
    <t>Vista Condor Global Academy</t>
  </si>
  <si>
    <t>EL165</t>
  </si>
  <si>
    <t>Tomorrow's Leadership Collaborative (TLC) Charter</t>
  </si>
  <si>
    <t>EL166</t>
  </si>
  <si>
    <t>Suncoast Preparatory Academy</t>
  </si>
  <si>
    <t>LA25</t>
  </si>
  <si>
    <t>Sycamore Creek Community Charter</t>
  </si>
  <si>
    <t>LA26</t>
  </si>
  <si>
    <t>International School for Science and Culture</t>
  </si>
  <si>
    <t>EL167</t>
  </si>
  <si>
    <t>Orange County Classical Academy II</t>
  </si>
  <si>
    <t>LA27</t>
  </si>
  <si>
    <t>Irvine International Academy</t>
  </si>
  <si>
    <t>EL168</t>
  </si>
  <si>
    <t>OCSA</t>
  </si>
  <si>
    <t>0290</t>
  </si>
  <si>
    <t>MM25</t>
  </si>
  <si>
    <t>Lowell Joint</t>
  </si>
  <si>
    <t>MC00</t>
  </si>
  <si>
    <t>Anaheim Elementary</t>
  </si>
  <si>
    <t>EL169</t>
  </si>
  <si>
    <t>Vibrant Minds Charter</t>
  </si>
  <si>
    <t>EL170</t>
  </si>
  <si>
    <t>Palm Lane Elementary Charter School</t>
  </si>
  <si>
    <t>MA00</t>
  </si>
  <si>
    <t>Greater Anaheim</t>
  </si>
  <si>
    <t>BI00</t>
  </si>
  <si>
    <t>Northeast Orange</t>
  </si>
  <si>
    <t>BI02</t>
  </si>
  <si>
    <t>Brea-Olinda Unified</t>
  </si>
  <si>
    <t>MM21</t>
  </si>
  <si>
    <t>Buena Park Elementary</t>
  </si>
  <si>
    <t>CO00</t>
  </si>
  <si>
    <t>Capistrano Unified</t>
  </si>
  <si>
    <t>EL171</t>
  </si>
  <si>
    <t>California Connections Academy Southern California</t>
  </si>
  <si>
    <t>0664</t>
  </si>
  <si>
    <t>EL172</t>
  </si>
  <si>
    <t>Community Roots Academy</t>
  </si>
  <si>
    <t>EL173</t>
  </si>
  <si>
    <t>Oxford Preparatory Academy - South Orange County</t>
  </si>
  <si>
    <t>EL174</t>
  </si>
  <si>
    <t>OCASA College Prep</t>
  </si>
  <si>
    <t>DG28</t>
  </si>
  <si>
    <t>Opportunities for Learning - Capistrano</t>
  </si>
  <si>
    <t>0463</t>
  </si>
  <si>
    <t>MA02</t>
  </si>
  <si>
    <t>Centralia Elementary</t>
  </si>
  <si>
    <t>MA03</t>
  </si>
  <si>
    <t>Cypress Elementary</t>
  </si>
  <si>
    <t>BK00</t>
  </si>
  <si>
    <t>West Orange County Consortium</t>
  </si>
  <si>
    <t>BK01</t>
  </si>
  <si>
    <t>Fountain Valley Elementary</t>
  </si>
  <si>
    <t>MM22</t>
  </si>
  <si>
    <t>Fullerton Elementary</t>
  </si>
  <si>
    <t>MM24</t>
  </si>
  <si>
    <t>Fullerton Joint Union High</t>
  </si>
  <si>
    <t>BO00</t>
  </si>
  <si>
    <t>Garden Grove Unified</t>
  </si>
  <si>
    <t>BK02</t>
  </si>
  <si>
    <t>Huntington Beach City Elementary</t>
  </si>
  <si>
    <t>EL175</t>
  </si>
  <si>
    <t>Kinetic Academy</t>
  </si>
  <si>
    <t>MB00</t>
  </si>
  <si>
    <t>South Orange</t>
  </si>
  <si>
    <t>MB42</t>
  </si>
  <si>
    <t>Laguna Beach Unified</t>
  </si>
  <si>
    <t>MM23</t>
  </si>
  <si>
    <t>La Habra City Elementary</t>
  </si>
  <si>
    <t>MA04</t>
  </si>
  <si>
    <t>Magnolia Elementary</t>
  </si>
  <si>
    <t>BL00</t>
  </si>
  <si>
    <t>Newport-Mesa Unified</t>
  </si>
  <si>
    <t>BK03</t>
  </si>
  <si>
    <t>Ocean View</t>
  </si>
  <si>
    <t>BM00</t>
  </si>
  <si>
    <t>Orange Unified</t>
  </si>
  <si>
    <t>EL177</t>
  </si>
  <si>
    <t>Santiago Middle</t>
  </si>
  <si>
    <t>0066</t>
  </si>
  <si>
    <t>EL176</t>
  </si>
  <si>
    <t>El Rancho Charter</t>
  </si>
  <si>
    <t>0445</t>
  </si>
  <si>
    <t>BN00</t>
  </si>
  <si>
    <t>Santa Ana Unified</t>
  </si>
  <si>
    <t>LA28</t>
  </si>
  <si>
    <t>Edward B. Cole Academy</t>
  </si>
  <si>
    <t>0578</t>
  </si>
  <si>
    <t>EL178</t>
  </si>
  <si>
    <t>Nova Academy Early College High</t>
  </si>
  <si>
    <t>0632</t>
  </si>
  <si>
    <t>EL179</t>
  </si>
  <si>
    <t>Orange County Educational Arts Academy</t>
  </si>
  <si>
    <t>0701</t>
  </si>
  <si>
    <t>EL180</t>
  </si>
  <si>
    <t>El Sol Santa Ana Science and Arts Academy</t>
  </si>
  <si>
    <t>0365</t>
  </si>
  <si>
    <t>MA05</t>
  </si>
  <si>
    <t>Savanna Elementary</t>
  </si>
  <si>
    <t>BK05</t>
  </si>
  <si>
    <t>Westminster</t>
  </si>
  <si>
    <t>YY00</t>
  </si>
  <si>
    <t>Tustin Unified</t>
  </si>
  <si>
    <t>BP00</t>
  </si>
  <si>
    <t>Irvine Unified</t>
  </si>
  <si>
    <t>MA07</t>
  </si>
  <si>
    <t>Los Alamitos Unified</t>
  </si>
  <si>
    <t>EL181</t>
  </si>
  <si>
    <t>Magnolia Science Academy - Santa Ana</t>
  </si>
  <si>
    <t>PL00</t>
  </si>
  <si>
    <t>Placer County</t>
  </si>
  <si>
    <t>PL01</t>
  </si>
  <si>
    <t>Ackerman Charter</t>
  </si>
  <si>
    <t>PL02</t>
  </si>
  <si>
    <t>Alta-Dutch Flat Union Elementary</t>
  </si>
  <si>
    <t>PL03</t>
  </si>
  <si>
    <t>Auburn Union Elementary</t>
  </si>
  <si>
    <t>PL04</t>
  </si>
  <si>
    <t>Colfax Elementary</t>
  </si>
  <si>
    <t>PL05</t>
  </si>
  <si>
    <t>Dry Creek Joint Elementary</t>
  </si>
  <si>
    <t>PL06</t>
  </si>
  <si>
    <t>Eureka Union</t>
  </si>
  <si>
    <t>PL07</t>
  </si>
  <si>
    <t>Foresthill Union Elementary</t>
  </si>
  <si>
    <t>PL08</t>
  </si>
  <si>
    <t>Loomis Union Elementary</t>
  </si>
  <si>
    <t>PL09</t>
  </si>
  <si>
    <t>Newcastle Elementary</t>
  </si>
  <si>
    <t>EL182</t>
  </si>
  <si>
    <t>Rocklin Academy Gateway</t>
  </si>
  <si>
    <t>PL12</t>
  </si>
  <si>
    <t>Placer Hills Union Elementary</t>
  </si>
  <si>
    <t>PL15</t>
  </si>
  <si>
    <t>Placer Union High</t>
  </si>
  <si>
    <t>PL14</t>
  </si>
  <si>
    <t>Roseville City Elementary</t>
  </si>
  <si>
    <t>PL16</t>
  </si>
  <si>
    <t>Roseville Joint Union High</t>
  </si>
  <si>
    <t>EL183</t>
  </si>
  <si>
    <t>John Adams Academy - Roseville</t>
  </si>
  <si>
    <t>EL184</t>
  </si>
  <si>
    <t>New Pacific School - Roseville</t>
  </si>
  <si>
    <t>PL17</t>
  </si>
  <si>
    <t>Tahoe-Truckee Unified</t>
  </si>
  <si>
    <t>PL18</t>
  </si>
  <si>
    <t>Western Placer Unified</t>
  </si>
  <si>
    <t>EL185</t>
  </si>
  <si>
    <t>John Adams Academy - Lincoln</t>
  </si>
  <si>
    <t>PL22</t>
  </si>
  <si>
    <t>Horizon Charter</t>
  </si>
  <si>
    <t>0015</t>
  </si>
  <si>
    <t>PL13</t>
  </si>
  <si>
    <t>Rocklin Unified</t>
  </si>
  <si>
    <t>EL186</t>
  </si>
  <si>
    <t>Rocklin Academy at Meyers Street</t>
  </si>
  <si>
    <t>0900</t>
  </si>
  <si>
    <t>PL20</t>
  </si>
  <si>
    <t>Maria Montessori Charter Academy</t>
  </si>
  <si>
    <t>EL187</t>
  </si>
  <si>
    <t>Western Sierra Collegiate Academy</t>
  </si>
  <si>
    <t>PL21</t>
  </si>
  <si>
    <t>Placer Academy Charter</t>
  </si>
  <si>
    <t>EL188</t>
  </si>
  <si>
    <t>Rocklin Academy</t>
  </si>
  <si>
    <t>0308</t>
  </si>
  <si>
    <t>AA00</t>
  </si>
  <si>
    <t>Plumas County</t>
  </si>
  <si>
    <t>AA01</t>
  </si>
  <si>
    <t>Plumas Co. Office of Education</t>
  </si>
  <si>
    <t>EL189</t>
  </si>
  <si>
    <t>Plumas Charter</t>
  </si>
  <si>
    <t>0146</t>
  </si>
  <si>
    <t>AN00</t>
  </si>
  <si>
    <t>Riverside County</t>
  </si>
  <si>
    <t>AN01</t>
  </si>
  <si>
    <t>Riverside Co. Office of Education</t>
  </si>
  <si>
    <t>AN28</t>
  </si>
  <si>
    <t>River Springs Charter</t>
  </si>
  <si>
    <t>0753</t>
  </si>
  <si>
    <t>AN32</t>
  </si>
  <si>
    <t>Leadership Military Academy</t>
  </si>
  <si>
    <t>EL190</t>
  </si>
  <si>
    <t>Imagine Schools, Riverside County</t>
  </si>
  <si>
    <t>EL191</t>
  </si>
  <si>
    <t>Gateway College and Career Academy</t>
  </si>
  <si>
    <t>EL192</t>
  </si>
  <si>
    <t>Temecula International Academy</t>
  </si>
  <si>
    <t>EL193</t>
  </si>
  <si>
    <t>Pivot Charter School Riverside</t>
  </si>
  <si>
    <t>SA07</t>
  </si>
  <si>
    <t>Julia Lee Performing Arts Academy</t>
  </si>
  <si>
    <t>RR00</t>
  </si>
  <si>
    <t>San Bernardino COE : Desert/Mountain</t>
  </si>
  <si>
    <t>RR21</t>
  </si>
  <si>
    <t>Excelsior Charter School Corona-Norco</t>
  </si>
  <si>
    <t>EL194</t>
  </si>
  <si>
    <t>Journey</t>
  </si>
  <si>
    <t>EL195</t>
  </si>
  <si>
    <t>JCS - Pine Hills</t>
  </si>
  <si>
    <t>EL196</t>
  </si>
  <si>
    <t>Garvey/Allen Visual &amp; Performing Arts Academy for STEM</t>
  </si>
  <si>
    <t>EL197</t>
  </si>
  <si>
    <t>Audeo Valley Charter</t>
  </si>
  <si>
    <t>AN11</t>
  </si>
  <si>
    <t>Alvord Unified</t>
  </si>
  <si>
    <t>AN12</t>
  </si>
  <si>
    <t>Banning Unified</t>
  </si>
  <si>
    <t>AN13</t>
  </si>
  <si>
    <t>Beaumont Unified</t>
  </si>
  <si>
    <t>EL198</t>
  </si>
  <si>
    <t>Highland Academy</t>
  </si>
  <si>
    <t>EL199</t>
  </si>
  <si>
    <t>Mission Vista Academy</t>
  </si>
  <si>
    <t>EN00</t>
  </si>
  <si>
    <t>Corona-Norco Unified</t>
  </si>
  <si>
    <t>AN16</t>
  </si>
  <si>
    <t>Desert Center Unified</t>
  </si>
  <si>
    <t>AN17</t>
  </si>
  <si>
    <t>Desert Sands Unified</t>
  </si>
  <si>
    <t>AN18</t>
  </si>
  <si>
    <t>Hemet Unified</t>
  </si>
  <si>
    <t>AN19</t>
  </si>
  <si>
    <t>Jurupa Unified</t>
  </si>
  <si>
    <t>AN02</t>
  </si>
  <si>
    <t>Menifee Union Elementary</t>
  </si>
  <si>
    <t>AN31</t>
  </si>
  <si>
    <t>Santa Rosa Academy</t>
  </si>
  <si>
    <t>0730</t>
  </si>
  <si>
    <t>MV00</t>
  </si>
  <si>
    <t>Moreno Valley Unified</t>
  </si>
  <si>
    <t>AN04</t>
  </si>
  <si>
    <t>Nuview Union</t>
  </si>
  <si>
    <t>AN21</t>
  </si>
  <si>
    <t>Palm Springs Unified</t>
  </si>
  <si>
    <t>AN22</t>
  </si>
  <si>
    <t>Palo Verde Unified</t>
  </si>
  <si>
    <t>AN34</t>
  </si>
  <si>
    <t>Scale Leadership Academy - East</t>
  </si>
  <si>
    <t>AN05</t>
  </si>
  <si>
    <t>Perris Elementary</t>
  </si>
  <si>
    <t>AN10</t>
  </si>
  <si>
    <t>Perris Union High</t>
  </si>
  <si>
    <t>CH00</t>
  </si>
  <si>
    <t>Riverside Unified</t>
  </si>
  <si>
    <t>EL200</t>
  </si>
  <si>
    <t>REACH Leadership STEAM Academy</t>
  </si>
  <si>
    <t>AN06</t>
  </si>
  <si>
    <t>Romoland Elementary</t>
  </si>
  <si>
    <t>AN23</t>
  </si>
  <si>
    <t>San Jacinto Unified</t>
  </si>
  <si>
    <t>AN14</t>
  </si>
  <si>
    <t>Coachella Valley Unified</t>
  </si>
  <si>
    <t>EL201</t>
  </si>
  <si>
    <t>NOVA Academy - Coachella</t>
  </si>
  <si>
    <t>AN25</t>
  </si>
  <si>
    <t>Lake Elsinore Unified</t>
  </si>
  <si>
    <t>EL202</t>
  </si>
  <si>
    <t>Sycamore Academy of Science and Cultural Arts</t>
  </si>
  <si>
    <t>AP00</t>
  </si>
  <si>
    <t>Temecula Valley USD</t>
  </si>
  <si>
    <t>EL203</t>
  </si>
  <si>
    <t>Temecula Preparatory</t>
  </si>
  <si>
    <t>0284</t>
  </si>
  <si>
    <t>EL204</t>
  </si>
  <si>
    <t>Temecula Valley Charter</t>
  </si>
  <si>
    <t>0065</t>
  </si>
  <si>
    <t>AN26</t>
  </si>
  <si>
    <t>Murrieta Valley Unified</t>
  </si>
  <si>
    <t>BJ00</t>
  </si>
  <si>
    <t>Sacramento County</t>
  </si>
  <si>
    <t>EL205</t>
  </si>
  <si>
    <t>Fortune</t>
  </si>
  <si>
    <t>EL206</t>
  </si>
  <si>
    <t>American River Collegiate Academy</t>
  </si>
  <si>
    <t>BJ14</t>
  </si>
  <si>
    <t>Arcohe Union Elementary</t>
  </si>
  <si>
    <t>EG00</t>
  </si>
  <si>
    <t>Elk Grove Unified</t>
  </si>
  <si>
    <t>BC07</t>
  </si>
  <si>
    <t>California Montessori Project - Elk Grove Campus</t>
  </si>
  <si>
    <t>0777</t>
  </si>
  <si>
    <t>EL207</t>
  </si>
  <si>
    <t>SAVA - Sacramento Academic and Vocational Academy - EGUSD</t>
  </si>
  <si>
    <t>BJ15</t>
  </si>
  <si>
    <t>Elverta Joint Elementary</t>
  </si>
  <si>
    <t>FC00</t>
  </si>
  <si>
    <t>Folsom-Cordova Unified</t>
  </si>
  <si>
    <t>BJ12</t>
  </si>
  <si>
    <t>Galt Joint Union Elementary</t>
  </si>
  <si>
    <t>BJ05</t>
  </si>
  <si>
    <t>Galt Joint Union High</t>
  </si>
  <si>
    <t>BJ09</t>
  </si>
  <si>
    <t>River Delta Joint Unified</t>
  </si>
  <si>
    <t>EL208</t>
  </si>
  <si>
    <t>Delta Elementary Charter</t>
  </si>
  <si>
    <t>0853</t>
  </si>
  <si>
    <t>BJ11</t>
  </si>
  <si>
    <t>Robla Elementary</t>
  </si>
  <si>
    <t>FD14</t>
  </si>
  <si>
    <t>Paseo Grande Charter School</t>
  </si>
  <si>
    <t>FD15</t>
  </si>
  <si>
    <t>Marconi Learning Academy</t>
  </si>
  <si>
    <t>BS00</t>
  </si>
  <si>
    <t>Sacramento City Unified</t>
  </si>
  <si>
    <t>EL209</t>
  </si>
  <si>
    <t>St. HOPE Public School 7</t>
  </si>
  <si>
    <t>0491</t>
  </si>
  <si>
    <t>EL210</t>
  </si>
  <si>
    <t>Sacramento Charter High</t>
  </si>
  <si>
    <t>0596</t>
  </si>
  <si>
    <t>EL211</t>
  </si>
  <si>
    <t>Aspire Capitol Heights Academy</t>
  </si>
  <si>
    <t>0598</t>
  </si>
  <si>
    <t>EL212</t>
  </si>
  <si>
    <t>The Language Academy of Sacramento</t>
  </si>
  <si>
    <t>0640</t>
  </si>
  <si>
    <t>BC06</t>
  </si>
  <si>
    <t>California Montessori Project - Capitol Campus</t>
  </si>
  <si>
    <t>0775</t>
  </si>
  <si>
    <t>EL213</t>
  </si>
  <si>
    <t>Yav Pem Suab Academy - Preparing for the Future Charter</t>
  </si>
  <si>
    <t>EL214</t>
  </si>
  <si>
    <t>Capitol Collegiate Academy</t>
  </si>
  <si>
    <t>EL215</t>
  </si>
  <si>
    <t>Growth Public</t>
  </si>
  <si>
    <t>EL216</t>
  </si>
  <si>
    <t>SAVA - Sacramento Academic and Vocational Academy - SCUSD</t>
  </si>
  <si>
    <t>CN00</t>
  </si>
  <si>
    <t>San Juan Unified</t>
  </si>
  <si>
    <t>BC08</t>
  </si>
  <si>
    <t>California Montessori Project-San Juan Campuses</t>
  </si>
  <si>
    <t>0776</t>
  </si>
  <si>
    <t>EL217</t>
  </si>
  <si>
    <t>Aspire Alexander Twilight College Preparatory Academy</t>
  </si>
  <si>
    <t>EL218</t>
  </si>
  <si>
    <t>Aspire Alexander Twilight Secondary Academy</t>
  </si>
  <si>
    <t>EL219</t>
  </si>
  <si>
    <t>Gateway International</t>
  </si>
  <si>
    <t>BJ10</t>
  </si>
  <si>
    <t>Center Joint Unified</t>
  </si>
  <si>
    <t>CZ00</t>
  </si>
  <si>
    <t>Natomas Unified</t>
  </si>
  <si>
    <t>EL220</t>
  </si>
  <si>
    <t>Westlake Charter</t>
  </si>
  <si>
    <t>0711</t>
  </si>
  <si>
    <t>BJ18</t>
  </si>
  <si>
    <t>Natomas Charter</t>
  </si>
  <si>
    <t>0019</t>
  </si>
  <si>
    <t>CY00</t>
  </si>
  <si>
    <t>Twin Rivers Unified SELPA</t>
  </si>
  <si>
    <t>EL221</t>
  </si>
  <si>
    <t>Community Outreach Academy</t>
  </si>
  <si>
    <t>0561</t>
  </si>
  <si>
    <t>EL222</t>
  </si>
  <si>
    <t>Futures High</t>
  </si>
  <si>
    <t>0560</t>
  </si>
  <si>
    <t>EL223</t>
  </si>
  <si>
    <t>Community Collaborative Charter</t>
  </si>
  <si>
    <t>0699</t>
  </si>
  <si>
    <t>EL224</t>
  </si>
  <si>
    <t>Higher Learning Academy</t>
  </si>
  <si>
    <t>0862</t>
  </si>
  <si>
    <t>EL225</t>
  </si>
  <si>
    <t>SAVA: Sacramento Academic and Vocational Academy</t>
  </si>
  <si>
    <t>0878</t>
  </si>
  <si>
    <t>SB00</t>
  </si>
  <si>
    <t>San Benito County</t>
  </si>
  <si>
    <t>SB05</t>
  </si>
  <si>
    <t>Bitterwater-Tully Elementary</t>
  </si>
  <si>
    <t>SB06</t>
  </si>
  <si>
    <t>Cienega Union Elementary</t>
  </si>
  <si>
    <t>SB02</t>
  </si>
  <si>
    <t>Hollister</t>
  </si>
  <si>
    <t>EL226</t>
  </si>
  <si>
    <t>Hollister Prep</t>
  </si>
  <si>
    <t>SB07</t>
  </si>
  <si>
    <t>Jefferson Elementary</t>
  </si>
  <si>
    <t>SB03</t>
  </si>
  <si>
    <t>North County Joint Union Elementary</t>
  </si>
  <si>
    <t>SB08</t>
  </si>
  <si>
    <t>Panoche Elementary</t>
  </si>
  <si>
    <t>SB04</t>
  </si>
  <si>
    <t>San Benito High</t>
  </si>
  <si>
    <t>SB09</t>
  </si>
  <si>
    <t>Southside Elementary</t>
  </si>
  <si>
    <t>SB10</t>
  </si>
  <si>
    <t>Tres Pinos Union Elementary</t>
  </si>
  <si>
    <t>SB11</t>
  </si>
  <si>
    <t>Willow Grove Union Elementary</t>
  </si>
  <si>
    <t>SB01</t>
  </si>
  <si>
    <t>Aromas - San Juan Unified</t>
  </si>
  <si>
    <t>SS00</t>
  </si>
  <si>
    <t>San Bernardino COE : West End</t>
  </si>
  <si>
    <t>TT00</t>
  </si>
  <si>
    <t>San Bernardino COE : East Valley</t>
  </si>
  <si>
    <t>RR19</t>
  </si>
  <si>
    <t>Norton Science and Language Academy</t>
  </si>
  <si>
    <t>0903</t>
  </si>
  <si>
    <t>EL227</t>
  </si>
  <si>
    <t>Sycamore Academy of Science and Cultural Arts - Chino Valley</t>
  </si>
  <si>
    <t>EL228</t>
  </si>
  <si>
    <t>Entrepreneur High Fontana</t>
  </si>
  <si>
    <t>RR22</t>
  </si>
  <si>
    <t>Excelsior Charter</t>
  </si>
  <si>
    <t>SA08</t>
  </si>
  <si>
    <t>Desert Trails Preparatory Academy</t>
  </si>
  <si>
    <t>RR01</t>
  </si>
  <si>
    <t>Adelanto Elementary</t>
  </si>
  <si>
    <t>SA09</t>
  </si>
  <si>
    <t>Taylion High Desert Academy/Adelanto</t>
  </si>
  <si>
    <t>SS01</t>
  </si>
  <si>
    <t>Alta Loma Elementary</t>
  </si>
  <si>
    <t>RR04</t>
  </si>
  <si>
    <t>Barstow Unified</t>
  </si>
  <si>
    <t>RR05</t>
  </si>
  <si>
    <t>Bear Valley Unified</t>
  </si>
  <si>
    <t>SS02</t>
  </si>
  <si>
    <t>Central Elementary</t>
  </si>
  <si>
    <t>SS03</t>
  </si>
  <si>
    <t>Chaffey Joint Union High</t>
  </si>
  <si>
    <t>SS04</t>
  </si>
  <si>
    <t>Chino Valley Unified</t>
  </si>
  <si>
    <t>SA10</t>
  </si>
  <si>
    <t>Allegiance STEAM Academy - Thrive</t>
  </si>
  <si>
    <t>TT01</t>
  </si>
  <si>
    <t>Colton Joint Unified</t>
  </si>
  <si>
    <t>SS05</t>
  </si>
  <si>
    <t>Cucamonga Elementary</t>
  </si>
  <si>
    <t>SS06</t>
  </si>
  <si>
    <t>Etiwanda Elementary</t>
  </si>
  <si>
    <t>FA00</t>
  </si>
  <si>
    <t>Fontana Unified</t>
  </si>
  <si>
    <t>RR17</t>
  </si>
  <si>
    <t>Helendale Elementary</t>
  </si>
  <si>
    <t>AN30</t>
  </si>
  <si>
    <t>Empire Springs Charter</t>
  </si>
  <si>
    <t>SO13</t>
  </si>
  <si>
    <t>Sage Oak Charter</t>
  </si>
  <si>
    <t>EL229</t>
  </si>
  <si>
    <t>Vista Norte Public Charter School</t>
  </si>
  <si>
    <t>SO14</t>
  </si>
  <si>
    <t>Excel Academy Charter</t>
  </si>
  <si>
    <t>RA00</t>
  </si>
  <si>
    <t>Morongo Unified</t>
  </si>
  <si>
    <t>SS07</t>
  </si>
  <si>
    <t>SS10</t>
  </si>
  <si>
    <t>Mt. Baldy Joint Elementary</t>
  </si>
  <si>
    <t>RR08</t>
  </si>
  <si>
    <t>Needles Unified</t>
  </si>
  <si>
    <t>ST00</t>
  </si>
  <si>
    <t>Ontario-Montclair</t>
  </si>
  <si>
    <t>RR09</t>
  </si>
  <si>
    <t>Oro Grande Elementary</t>
  </si>
  <si>
    <t>TT03</t>
  </si>
  <si>
    <t>Redlands Unified</t>
  </si>
  <si>
    <t>TT04</t>
  </si>
  <si>
    <t>Rialto Unified</t>
  </si>
  <si>
    <t>TT05</t>
  </si>
  <si>
    <t>Rim of the World Unified</t>
  </si>
  <si>
    <t>TA00</t>
  </si>
  <si>
    <t>San Bernardino City Unified</t>
  </si>
  <si>
    <t>SA11</t>
  </si>
  <si>
    <t>ASA Charter</t>
  </si>
  <si>
    <t>0677</t>
  </si>
  <si>
    <t>TA01</t>
  </si>
  <si>
    <t>Public Safety Academy</t>
  </si>
  <si>
    <t>0731</t>
  </si>
  <si>
    <t>DX13</t>
  </si>
  <si>
    <t>Options for Youth-San Bernardino</t>
  </si>
  <si>
    <t>EL230</t>
  </si>
  <si>
    <t>Hardy Brown College Prep</t>
  </si>
  <si>
    <t>TA02</t>
  </si>
  <si>
    <t>Provisional Accelerated Learning Academy</t>
  </si>
  <si>
    <t>0335</t>
  </si>
  <si>
    <t>RR11</t>
  </si>
  <si>
    <t>Trona Joint Unified</t>
  </si>
  <si>
    <t>RR12</t>
  </si>
  <si>
    <t>Victor Elementary</t>
  </si>
  <si>
    <t>RR13</t>
  </si>
  <si>
    <t>Victor Valley Union High</t>
  </si>
  <si>
    <t>TT07</t>
  </si>
  <si>
    <t>Yucaipa-Calimesa Joint Unified</t>
  </si>
  <si>
    <t>EL231</t>
  </si>
  <si>
    <t>Inland Leaders Charter</t>
  </si>
  <si>
    <t>0889</t>
  </si>
  <si>
    <t>RR03</t>
  </si>
  <si>
    <t>Baker Valley Unified</t>
  </si>
  <si>
    <t>RR10</t>
  </si>
  <si>
    <t>Silver Valley Unified</t>
  </si>
  <si>
    <t>RR16</t>
  </si>
  <si>
    <t>Snowline Joint Unified</t>
  </si>
  <si>
    <t>RR06</t>
  </si>
  <si>
    <t>Hesperia Unified</t>
  </si>
  <si>
    <t>EL232</t>
  </si>
  <si>
    <t>Summit Leadership Academy-High Desert</t>
  </si>
  <si>
    <t>0671</t>
  </si>
  <si>
    <t>SA12</t>
  </si>
  <si>
    <t>Pathways to College K8</t>
  </si>
  <si>
    <t>0801</t>
  </si>
  <si>
    <t>EL233</t>
  </si>
  <si>
    <t>Mirus Secondary</t>
  </si>
  <si>
    <t>0885</t>
  </si>
  <si>
    <t>SA13</t>
  </si>
  <si>
    <t>Encore Jr./Sr. High School for the Performing and Visual Arts</t>
  </si>
  <si>
    <t>0971</t>
  </si>
  <si>
    <t>SA14</t>
  </si>
  <si>
    <t>LaVerne Elementary Preparatory Academy</t>
  </si>
  <si>
    <t>RR07</t>
  </si>
  <si>
    <t>Lucerne Valley Unified</t>
  </si>
  <si>
    <t>SO15</t>
  </si>
  <si>
    <t>Sky Mountain Charter</t>
  </si>
  <si>
    <t>0905</t>
  </si>
  <si>
    <t>EL234</t>
  </si>
  <si>
    <t>Alta Vista Innovation High</t>
  </si>
  <si>
    <t>SA15</t>
  </si>
  <si>
    <t>Elite Academic Academy - Lucerne</t>
  </si>
  <si>
    <t>EL235</t>
  </si>
  <si>
    <t>Gorman Learning Center San Bernardino/Santa Clarita</t>
  </si>
  <si>
    <t>SA16</t>
  </si>
  <si>
    <t>Virtual Preparatory Academy at Lucerne</t>
  </si>
  <si>
    <t>LA29</t>
  </si>
  <si>
    <t>Granite Mountain Charter</t>
  </si>
  <si>
    <t>SS09</t>
  </si>
  <si>
    <t>Upland Unified</t>
  </si>
  <si>
    <t>RR02</t>
  </si>
  <si>
    <t>Apple Valley Unified</t>
  </si>
  <si>
    <t>RR23</t>
  </si>
  <si>
    <t>Academy for Academic Excellence</t>
  </si>
  <si>
    <t>0127</t>
  </si>
  <si>
    <t>PA00</t>
  </si>
  <si>
    <t>San Diego COE : South County</t>
  </si>
  <si>
    <t>PB00</t>
  </si>
  <si>
    <t>San Diego COE : North Inland</t>
  </si>
  <si>
    <t>PC00</t>
  </si>
  <si>
    <t>San Diego COE : East County</t>
  </si>
  <si>
    <t>PP00</t>
  </si>
  <si>
    <t>San Diego COE: North Coastal Consortium</t>
  </si>
  <si>
    <t>EL236</t>
  </si>
  <si>
    <t>Iftin Charter</t>
  </si>
  <si>
    <t>0680</t>
  </si>
  <si>
    <t>EL237</t>
  </si>
  <si>
    <t>Howard Gardner Community Charter</t>
  </si>
  <si>
    <t>EL238</t>
  </si>
  <si>
    <t>Audeo Charter II</t>
  </si>
  <si>
    <t>EL239</t>
  </si>
  <si>
    <t>Scholarship Prep  Charter School - Oceanside</t>
  </si>
  <si>
    <t>EL240</t>
  </si>
  <si>
    <t>Community Montessori</t>
  </si>
  <si>
    <t>EL241</t>
  </si>
  <si>
    <t>Dimensions Collaborative</t>
  </si>
  <si>
    <t>EL242</t>
  </si>
  <si>
    <t>Pacific Springs Charter</t>
  </si>
  <si>
    <t>EL243</t>
  </si>
  <si>
    <t>Classical Academy Vista</t>
  </si>
  <si>
    <t>EL244</t>
  </si>
  <si>
    <t>Dual Language Immersion North County</t>
  </si>
  <si>
    <t>EL245</t>
  </si>
  <si>
    <t>JCS - Manzanita</t>
  </si>
  <si>
    <t>EL246</t>
  </si>
  <si>
    <t>Literacy First Charter</t>
  </si>
  <si>
    <t>0405</t>
  </si>
  <si>
    <t>PC01</t>
  </si>
  <si>
    <t>Alpine Union Elementary</t>
  </si>
  <si>
    <t>PB01</t>
  </si>
  <si>
    <t>Borrego Springs Unified</t>
  </si>
  <si>
    <t>EL247</t>
  </si>
  <si>
    <t>San Diego Workforce Innovation High</t>
  </si>
  <si>
    <t>PC02</t>
  </si>
  <si>
    <t>Cajon Valley Union</t>
  </si>
  <si>
    <t>PP02</t>
  </si>
  <si>
    <t>Cardiff Elementary</t>
  </si>
  <si>
    <t>PA01</t>
  </si>
  <si>
    <t>Chula Vista Elementary</t>
  </si>
  <si>
    <t>SA17</t>
  </si>
  <si>
    <t>Leonardo da Vinci Health Sciences Charter</t>
  </si>
  <si>
    <t>EL248</t>
  </si>
  <si>
    <t>Learning Choice Academy - Chula Vista</t>
  </si>
  <si>
    <t>PA02</t>
  </si>
  <si>
    <t>Coronado Unified</t>
  </si>
  <si>
    <t>PC03</t>
  </si>
  <si>
    <t>Dehesa Elementary</t>
  </si>
  <si>
    <t>EL249</t>
  </si>
  <si>
    <t>The Heights Charter</t>
  </si>
  <si>
    <t>EL250</t>
  </si>
  <si>
    <t>MethodSchools</t>
  </si>
  <si>
    <t>EL251</t>
  </si>
  <si>
    <t>Cabrillo Point Academy</t>
  </si>
  <si>
    <t>EL252</t>
  </si>
  <si>
    <t>Pacific Coast Academy</t>
  </si>
  <si>
    <t>EL253</t>
  </si>
  <si>
    <t>Diego Hills Central Public Charter</t>
  </si>
  <si>
    <t>PP04</t>
  </si>
  <si>
    <t>Del Mar Union Elementary</t>
  </si>
  <si>
    <t>PP05</t>
  </si>
  <si>
    <t>Encinitas Union Elementary</t>
  </si>
  <si>
    <t>PB02</t>
  </si>
  <si>
    <t>Escondido Union</t>
  </si>
  <si>
    <t>EL254</t>
  </si>
  <si>
    <t>Classical Academy</t>
  </si>
  <si>
    <t>0199</t>
  </si>
  <si>
    <t>PB03</t>
  </si>
  <si>
    <t>Escondido Union High</t>
  </si>
  <si>
    <t>EL255</t>
  </si>
  <si>
    <t>Classical Academy High</t>
  </si>
  <si>
    <t>0759</t>
  </si>
  <si>
    <t>EL256</t>
  </si>
  <si>
    <t>Audeo Charter School III</t>
  </si>
  <si>
    <t>PP06</t>
  </si>
  <si>
    <t>Fallbrook Union Elementary</t>
  </si>
  <si>
    <t>PP07</t>
  </si>
  <si>
    <t>Fallbrook Union High</t>
  </si>
  <si>
    <t>PC04</t>
  </si>
  <si>
    <t>Grossmont Union High</t>
  </si>
  <si>
    <t>EL257</t>
  </si>
  <si>
    <t>The Learning Choice Academy - East County</t>
  </si>
  <si>
    <t>PC05</t>
  </si>
  <si>
    <t>Jamul-Dulzura Union Elementary</t>
  </si>
  <si>
    <t>PB04</t>
  </si>
  <si>
    <t>Julian Union Elementary</t>
  </si>
  <si>
    <t>AN29</t>
  </si>
  <si>
    <t>Harbor Springs Charter</t>
  </si>
  <si>
    <t>EL258</t>
  </si>
  <si>
    <t>Diego Valley East Public Charter School</t>
  </si>
  <si>
    <t>EL259</t>
  </si>
  <si>
    <t>JCS - Mountain Oaks</t>
  </si>
  <si>
    <t>EL260</t>
  </si>
  <si>
    <t>JCS - Cedar Cove</t>
  </si>
  <si>
    <t>EL261</t>
  </si>
  <si>
    <t>Julian Charter</t>
  </si>
  <si>
    <t>0267</t>
  </si>
  <si>
    <t>PB16</t>
  </si>
  <si>
    <t>Julian Union High</t>
  </si>
  <si>
    <t>PC07</t>
  </si>
  <si>
    <t>PC11</t>
  </si>
  <si>
    <t>Barona Indian Charter</t>
  </si>
  <si>
    <t>0469</t>
  </si>
  <si>
    <t>PC06</t>
  </si>
  <si>
    <t>La Mesa-Spring Valley</t>
  </si>
  <si>
    <t>PC08</t>
  </si>
  <si>
    <t>Lemon Grove</t>
  </si>
  <si>
    <t>PC09</t>
  </si>
  <si>
    <t>Mountain Empire Unified</t>
  </si>
  <si>
    <t>EL262</t>
  </si>
  <si>
    <t>Compass Charter Schools of San Diego</t>
  </si>
  <si>
    <t>SO16</t>
  </si>
  <si>
    <t>Motivated Youth Academy</t>
  </si>
  <si>
    <t>EL263</t>
  </si>
  <si>
    <t>Elite Academic Academy - Mountain Empire</t>
  </si>
  <si>
    <t>EL264</t>
  </si>
  <si>
    <t>JCS - Pine Valley</t>
  </si>
  <si>
    <t>PA03</t>
  </si>
  <si>
    <t>National Elementary</t>
  </si>
  <si>
    <t>PW00</t>
  </si>
  <si>
    <t>Poway Unified</t>
  </si>
  <si>
    <t>PB08</t>
  </si>
  <si>
    <t>Ramona City Unified</t>
  </si>
  <si>
    <t>PP09</t>
  </si>
  <si>
    <t>Rancho Santa Fe Elementary</t>
  </si>
  <si>
    <t>BW00</t>
  </si>
  <si>
    <t>San Diego City Unified</t>
  </si>
  <si>
    <t>EL265</t>
  </si>
  <si>
    <t>High Tech Middle</t>
  </si>
  <si>
    <t>0546</t>
  </si>
  <si>
    <t>EL266</t>
  </si>
  <si>
    <t>KIPP Adelante Preparatory Academy</t>
  </si>
  <si>
    <t>0550</t>
  </si>
  <si>
    <t>EL267</t>
  </si>
  <si>
    <t>High Tech High International</t>
  </si>
  <si>
    <t>0623</t>
  </si>
  <si>
    <t>EL268</t>
  </si>
  <si>
    <t>Learning Choice Academy</t>
  </si>
  <si>
    <t>0659</t>
  </si>
  <si>
    <t>EL269</t>
  </si>
  <si>
    <t>High Tech Middle Media Arts</t>
  </si>
  <si>
    <t>0660</t>
  </si>
  <si>
    <t>EL270</t>
  </si>
  <si>
    <t>High Tech High Media Arts</t>
  </si>
  <si>
    <t>0622</t>
  </si>
  <si>
    <t>EL271</t>
  </si>
  <si>
    <t>King-Chavez Arts and Athletics Academy</t>
  </si>
  <si>
    <t>0704</t>
  </si>
  <si>
    <t>EL272</t>
  </si>
  <si>
    <t>Magnolia Science Academy San Diego</t>
  </si>
  <si>
    <t>0698</t>
  </si>
  <si>
    <t>EL273</t>
  </si>
  <si>
    <t>Albert Einstein Academies</t>
  </si>
  <si>
    <t>0773</t>
  </si>
  <si>
    <t>EL274</t>
  </si>
  <si>
    <t>King-Chavez Preparatory Academy</t>
  </si>
  <si>
    <t>0772</t>
  </si>
  <si>
    <t>RR18</t>
  </si>
  <si>
    <t>Health Sciences High and Middle College</t>
  </si>
  <si>
    <t>0876</t>
  </si>
  <si>
    <t>EL275</t>
  </si>
  <si>
    <t>Innovations Academy</t>
  </si>
  <si>
    <t>EL276</t>
  </si>
  <si>
    <t>King-Chavez Community High</t>
  </si>
  <si>
    <t>EL277</t>
  </si>
  <si>
    <t>Gompers Preparatory Academy</t>
  </si>
  <si>
    <t>EL278</t>
  </si>
  <si>
    <t>SD Global Vision Academy</t>
  </si>
  <si>
    <t>EL279</t>
  </si>
  <si>
    <t>School for Entrepreneurship and Technology</t>
  </si>
  <si>
    <t>EL280</t>
  </si>
  <si>
    <t>Old Town Academy K-8 Charter</t>
  </si>
  <si>
    <t>EL281</t>
  </si>
  <si>
    <t>City Heights Preparatory Charter</t>
  </si>
  <si>
    <t>EL282</t>
  </si>
  <si>
    <t>Kavod Charter</t>
  </si>
  <si>
    <t>EL283</t>
  </si>
  <si>
    <t>E3 Civic High</t>
  </si>
  <si>
    <t>EL284</t>
  </si>
  <si>
    <t>Empower Language Academy</t>
  </si>
  <si>
    <t>EL285</t>
  </si>
  <si>
    <t>Elevate Charter</t>
  </si>
  <si>
    <t>EL286</t>
  </si>
  <si>
    <t>High Tech Elementary</t>
  </si>
  <si>
    <t>EL287</t>
  </si>
  <si>
    <t>Ingenuity Charter School</t>
  </si>
  <si>
    <t>EL288</t>
  </si>
  <si>
    <t>Urban Discovery Academy Charter</t>
  </si>
  <si>
    <t>EL289</t>
  </si>
  <si>
    <t>America's Finest Charter</t>
  </si>
  <si>
    <t>EL290</t>
  </si>
  <si>
    <t>Charter School of San Diego</t>
  </si>
  <si>
    <t>0028</t>
  </si>
  <si>
    <t>EL302</t>
  </si>
  <si>
    <t>Preuss School UCSD</t>
  </si>
  <si>
    <t>0169</t>
  </si>
  <si>
    <t>EL303</t>
  </si>
  <si>
    <t>High Tech High</t>
  </si>
  <si>
    <t>0269</t>
  </si>
  <si>
    <t>EL304</t>
  </si>
  <si>
    <t>Audeo Charter</t>
  </si>
  <si>
    <t>0406</t>
  </si>
  <si>
    <t>EL291</t>
  </si>
  <si>
    <t>Darnall Charter</t>
  </si>
  <si>
    <t>0033</t>
  </si>
  <si>
    <t>EL292</t>
  </si>
  <si>
    <t>Keiller Leadership Academy</t>
  </si>
  <si>
    <t>0695</t>
  </si>
  <si>
    <t>EL293</t>
  </si>
  <si>
    <t>Harriet Tubman Village Charter</t>
  </si>
  <si>
    <t>0046</t>
  </si>
  <si>
    <t>EL294</t>
  </si>
  <si>
    <t>King-Chavez Primary Academy</t>
  </si>
  <si>
    <t>0705</t>
  </si>
  <si>
    <t>EL301</t>
  </si>
  <si>
    <t>The O'Farrell Charter</t>
  </si>
  <si>
    <t>0048</t>
  </si>
  <si>
    <t>EL295</t>
  </si>
  <si>
    <t>McGill School of Success</t>
  </si>
  <si>
    <t>0095</t>
  </si>
  <si>
    <t>EL296</t>
  </si>
  <si>
    <t>Museum</t>
  </si>
  <si>
    <t>0081</t>
  </si>
  <si>
    <t>EL297</t>
  </si>
  <si>
    <t>Holly Drive Leadership Academy</t>
  </si>
  <si>
    <t>0264</t>
  </si>
  <si>
    <t>EL298</t>
  </si>
  <si>
    <t>High Tech Elementary Explorer</t>
  </si>
  <si>
    <t>0278</t>
  </si>
  <si>
    <t>EL299</t>
  </si>
  <si>
    <t>San Diego Cooperative Charter</t>
  </si>
  <si>
    <t>0396</t>
  </si>
  <si>
    <t>EL300</t>
  </si>
  <si>
    <t>King-Chavez Academy of Excellence</t>
  </si>
  <si>
    <t>0420</t>
  </si>
  <si>
    <t>PP10</t>
  </si>
  <si>
    <t>San Dieguito Union High</t>
  </si>
  <si>
    <t>PB14</t>
  </si>
  <si>
    <t>San Pasqual Union Elementary</t>
  </si>
  <si>
    <t>PC10</t>
  </si>
  <si>
    <t>Santee</t>
  </si>
  <si>
    <t>PA04</t>
  </si>
  <si>
    <t>San Ysidro Elementary</t>
  </si>
  <si>
    <t>PP12</t>
  </si>
  <si>
    <t>Solana Beach Elementary</t>
  </si>
  <si>
    <t>PA05</t>
  </si>
  <si>
    <t>South Bay Union</t>
  </si>
  <si>
    <t>PB17</t>
  </si>
  <si>
    <t>Spencer Valley Elementary</t>
  </si>
  <si>
    <t>PA06</t>
  </si>
  <si>
    <t>Sweetwater Union High</t>
  </si>
  <si>
    <t>EL305</t>
  </si>
  <si>
    <t>Hawking S.T.E.A.M. Charter</t>
  </si>
  <si>
    <t>EL306</t>
  </si>
  <si>
    <t>MAAC Community Charter</t>
  </si>
  <si>
    <t>0303</t>
  </si>
  <si>
    <t>PP14</t>
  </si>
  <si>
    <t>Vallecitos Elementary</t>
  </si>
  <si>
    <t>PP13</t>
  </si>
  <si>
    <t>Vista Unified</t>
  </si>
  <si>
    <t>EL307</t>
  </si>
  <si>
    <t>Guajome Learning Center</t>
  </si>
  <si>
    <t>EL308</t>
  </si>
  <si>
    <t>Bella Mente Montessori Academy</t>
  </si>
  <si>
    <t>EL309</t>
  </si>
  <si>
    <t>Guajome Park Academy Charter</t>
  </si>
  <si>
    <t>0050</t>
  </si>
  <si>
    <t>PP03</t>
  </si>
  <si>
    <t>Carlsbad Unified</t>
  </si>
  <si>
    <t>PP08</t>
  </si>
  <si>
    <t>Oceanside Unified</t>
  </si>
  <si>
    <t>EL310</t>
  </si>
  <si>
    <t>Coastal Academy</t>
  </si>
  <si>
    <t>0516</t>
  </si>
  <si>
    <t>EL311</t>
  </si>
  <si>
    <t>Pacific View Charter</t>
  </si>
  <si>
    <t>0247</t>
  </si>
  <si>
    <t>PP11</t>
  </si>
  <si>
    <t>San Marcos Unified</t>
  </si>
  <si>
    <t>EL312</t>
  </si>
  <si>
    <t>Pivot Charter School - San Diego II</t>
  </si>
  <si>
    <t>PB15</t>
  </si>
  <si>
    <t>Warner Unified</t>
  </si>
  <si>
    <t>EL313</t>
  </si>
  <si>
    <t>All Tribes Elementary Charter</t>
  </si>
  <si>
    <t>SO17</t>
  </si>
  <si>
    <t>California Pacific Charter Schools - San Diego</t>
  </si>
  <si>
    <t>EL314</t>
  </si>
  <si>
    <t>San Diego Mission Academy</t>
  </si>
  <si>
    <t>SO18</t>
  </si>
  <si>
    <t>Sage Oak Charter - South</t>
  </si>
  <si>
    <t>SO19</t>
  </si>
  <si>
    <t>SO20</t>
  </si>
  <si>
    <t>Pathways Academy Charter - Adult Education</t>
  </si>
  <si>
    <t>EL315</t>
  </si>
  <si>
    <t>All Tribes Charter</t>
  </si>
  <si>
    <t>PB12</t>
  </si>
  <si>
    <t>Valley Center-Pauma Unified</t>
  </si>
  <si>
    <t>EL316</t>
  </si>
  <si>
    <t>High Tech High Chula Vista)</t>
  </si>
  <si>
    <t>0756</t>
  </si>
  <si>
    <t>EL317</t>
  </si>
  <si>
    <t>High Tech High North County</t>
  </si>
  <si>
    <t>EL318</t>
  </si>
  <si>
    <t>High Tech Middle North County</t>
  </si>
  <si>
    <t>EL319</t>
  </si>
  <si>
    <t>High Tech Middle Chula Vista</t>
  </si>
  <si>
    <t>EL320</t>
  </si>
  <si>
    <t>High Tech Elementary Chula Vista</t>
  </si>
  <si>
    <t>EL321</t>
  </si>
  <si>
    <t>High Tech Elementary North County</t>
  </si>
  <si>
    <t>EL322</t>
  </si>
  <si>
    <t>High Tech High Mesa</t>
  </si>
  <si>
    <t>EL323</t>
  </si>
  <si>
    <t>High Tech Middle Mesa</t>
  </si>
  <si>
    <t>EL324</t>
  </si>
  <si>
    <t>High Tech Elementary Mesa</t>
  </si>
  <si>
    <t>PP15</t>
  </si>
  <si>
    <t>Bonsall Unified</t>
  </si>
  <si>
    <t>EL325</t>
  </si>
  <si>
    <t>Grossmont Secondary School</t>
  </si>
  <si>
    <t>EL326</t>
  </si>
  <si>
    <t>Sweetwater Secondary</t>
  </si>
  <si>
    <t>EL327</t>
  </si>
  <si>
    <t>Vista Springs Charter</t>
  </si>
  <si>
    <t>EL328</t>
  </si>
  <si>
    <t>College Preparatory Middle</t>
  </si>
  <si>
    <t>EL329</t>
  </si>
  <si>
    <t>Baypoint Preparatory Academy - San Diego</t>
  </si>
  <si>
    <t>WW00</t>
  </si>
  <si>
    <t>San Francisco Unified</t>
  </si>
  <si>
    <t>WW02</t>
  </si>
  <si>
    <t>San Francisco County</t>
  </si>
  <si>
    <t>EL330</t>
  </si>
  <si>
    <t>KIPP Bayview Academy</t>
  </si>
  <si>
    <t>0549</t>
  </si>
  <si>
    <t>EL331</t>
  </si>
  <si>
    <t>KIPP San Francisco Bay Academy</t>
  </si>
  <si>
    <t>0551</t>
  </si>
  <si>
    <t>EL332</t>
  </si>
  <si>
    <t>Five Keys Charter (SF Sheriff's)</t>
  </si>
  <si>
    <t>0567</t>
  </si>
  <si>
    <t>EL333</t>
  </si>
  <si>
    <t>City Arts &amp; Leadership Academy</t>
  </si>
  <si>
    <t>0599</t>
  </si>
  <si>
    <t>EL334</t>
  </si>
  <si>
    <t>Five Keys Independence HS (SF Sheriff's)</t>
  </si>
  <si>
    <t>EL335</t>
  </si>
  <si>
    <t>Mission Preparatory</t>
  </si>
  <si>
    <t>EL336</t>
  </si>
  <si>
    <t>KIPP San Francisco College Preparatory</t>
  </si>
  <si>
    <t>EL337</t>
  </si>
  <si>
    <t>Thomas Edison Charter Academy</t>
  </si>
  <si>
    <t>0158</t>
  </si>
  <si>
    <t>EL338</t>
  </si>
  <si>
    <t>The New School of San Francisco</t>
  </si>
  <si>
    <t>EL339</t>
  </si>
  <si>
    <t>KIPP Bayview Elementary School</t>
  </si>
  <si>
    <t>BD00</t>
  </si>
  <si>
    <t>San Joaquin County</t>
  </si>
  <si>
    <t>EL340</t>
  </si>
  <si>
    <t>TEAM Charter</t>
  </si>
  <si>
    <t>BD09</t>
  </si>
  <si>
    <t>Escalon Unified</t>
  </si>
  <si>
    <t>BD16</t>
  </si>
  <si>
    <t>BD10</t>
  </si>
  <si>
    <t>Lincoln Unified</t>
  </si>
  <si>
    <t>BD11</t>
  </si>
  <si>
    <t>Linden Unified</t>
  </si>
  <si>
    <t>DQ00</t>
  </si>
  <si>
    <t>Lodi Area</t>
  </si>
  <si>
    <t>EL341</t>
  </si>
  <si>
    <t>Aspire Benjamin Holt College Preparatory Academy</t>
  </si>
  <si>
    <t>0565</t>
  </si>
  <si>
    <t>DQ03</t>
  </si>
  <si>
    <t>Rio Valley Charter</t>
  </si>
  <si>
    <t>EL342</t>
  </si>
  <si>
    <t>Aspire Benjamin Holt Middle</t>
  </si>
  <si>
    <t>EL343</t>
  </si>
  <si>
    <t>Aspire Vincent Shalvey Academy</t>
  </si>
  <si>
    <t>0178</t>
  </si>
  <si>
    <t>EL344</t>
  </si>
  <si>
    <t>Aspire River Oaks Charter</t>
  </si>
  <si>
    <t>0364</t>
  </si>
  <si>
    <t>BD13</t>
  </si>
  <si>
    <t>Manteca Unified</t>
  </si>
  <si>
    <t>DQ01</t>
  </si>
  <si>
    <t>New Hope Elementary</t>
  </si>
  <si>
    <t>BD05</t>
  </si>
  <si>
    <t>New Jerusalem Elementary</t>
  </si>
  <si>
    <t>EL345</t>
  </si>
  <si>
    <t>New Jerusalem</t>
  </si>
  <si>
    <t>FD16</t>
  </si>
  <si>
    <t>Humphreys College Academy of Business, Law and Education</t>
  </si>
  <si>
    <t>EL346</t>
  </si>
  <si>
    <t>California Virtual Academy @ San Joaquin</t>
  </si>
  <si>
    <t>EL347</t>
  </si>
  <si>
    <t>Delta Home Charter</t>
  </si>
  <si>
    <t>EL348</t>
  </si>
  <si>
    <t>Valley View Charter Prep</t>
  </si>
  <si>
    <t>EL349</t>
  </si>
  <si>
    <t>Astronaut Jose M. Hernandez Academy</t>
  </si>
  <si>
    <t>EL350</t>
  </si>
  <si>
    <t>Insight @ San Joaquin</t>
  </si>
  <si>
    <t>EL351</t>
  </si>
  <si>
    <t>Delta Keys Charter</t>
  </si>
  <si>
    <t>EL352</t>
  </si>
  <si>
    <t>Delta Charter Online</t>
  </si>
  <si>
    <t>EL353</t>
  </si>
  <si>
    <t>Delta Charter</t>
  </si>
  <si>
    <t>0393</t>
  </si>
  <si>
    <t>DQ02</t>
  </si>
  <si>
    <t>Oak View Union Elementary</t>
  </si>
  <si>
    <t>BD14</t>
  </si>
  <si>
    <t>Ripon Unified</t>
  </si>
  <si>
    <t>EL354</t>
  </si>
  <si>
    <t>California Connections Academy Northern California</t>
  </si>
  <si>
    <t>BR00</t>
  </si>
  <si>
    <t>Port City</t>
  </si>
  <si>
    <t>EL355</t>
  </si>
  <si>
    <t>Aspire Rosa Parks Academy</t>
  </si>
  <si>
    <t>0554</t>
  </si>
  <si>
    <t>EL356</t>
  </si>
  <si>
    <t>Aspire Port City Academy</t>
  </si>
  <si>
    <t>EL357</t>
  </si>
  <si>
    <t>Dr. Lewis Dolphin Stallworth Sr. Charter</t>
  </si>
  <si>
    <t>EL358</t>
  </si>
  <si>
    <t>Aspire Langston Hughes Academy</t>
  </si>
  <si>
    <t>EL359</t>
  </si>
  <si>
    <t>Stockton Collegiate International Elementary</t>
  </si>
  <si>
    <t>EL360</t>
  </si>
  <si>
    <t>Stockton Collegiate International Secondary</t>
  </si>
  <si>
    <t>EL361</t>
  </si>
  <si>
    <t>Aspire APEX Academy</t>
  </si>
  <si>
    <t>EL362</t>
  </si>
  <si>
    <t>Team Charter Academy</t>
  </si>
  <si>
    <t>EL363</t>
  </si>
  <si>
    <t>Aspire Stockton 6-12 Secondary Academy</t>
  </si>
  <si>
    <t>SO21</t>
  </si>
  <si>
    <t>Voices College Bound Language Academy at Stockton</t>
  </si>
  <si>
    <t>EL364</t>
  </si>
  <si>
    <t>Aspire Stockton TK-5 Elementary Academy</t>
  </si>
  <si>
    <t>EL365</t>
  </si>
  <si>
    <t>KIPP Stockton Kindergarten-12 Grade</t>
  </si>
  <si>
    <t>EL366</t>
  </si>
  <si>
    <t>KIPP Stockton Kindergarten-8th Grade</t>
  </si>
  <si>
    <t>BD17</t>
  </si>
  <si>
    <t>Tracy Joint Unified</t>
  </si>
  <si>
    <t>EL367</t>
  </si>
  <si>
    <t>Primary Charter</t>
  </si>
  <si>
    <t>0607</t>
  </si>
  <si>
    <t>EL368</t>
  </si>
  <si>
    <t>Millennium Charter</t>
  </si>
  <si>
    <t>0606</t>
  </si>
  <si>
    <t>EL369</t>
  </si>
  <si>
    <t>Discovery Charter</t>
  </si>
  <si>
    <t>0355</t>
  </si>
  <si>
    <t>BD18</t>
  </si>
  <si>
    <t>Lammersville Joint Unified</t>
  </si>
  <si>
    <t>BD01</t>
  </si>
  <si>
    <t>Banta Unified</t>
  </si>
  <si>
    <t>AJ00</t>
  </si>
  <si>
    <t>San Luis Obispo County</t>
  </si>
  <si>
    <t>AJ15</t>
  </si>
  <si>
    <t>Almond Acres Charter Academy</t>
  </si>
  <si>
    <t>AJ08</t>
  </si>
  <si>
    <t>Atascadero Unified</t>
  </si>
  <si>
    <t>AJ02</t>
  </si>
  <si>
    <t>Cayucos Elementary</t>
  </si>
  <si>
    <t>AJ09</t>
  </si>
  <si>
    <t>Lucia Mar Unified</t>
  </si>
  <si>
    <t>AJ06</t>
  </si>
  <si>
    <t>Pleasant Valley Joint Union Elementary</t>
  </si>
  <si>
    <t>AJ10</t>
  </si>
  <si>
    <t>San Luis Coastal Unified</t>
  </si>
  <si>
    <t>AJ16</t>
  </si>
  <si>
    <t>Bellevue-Santa Fe Charter</t>
  </si>
  <si>
    <t>0093</t>
  </si>
  <si>
    <t>AJ04</t>
  </si>
  <si>
    <t>San Miguel Joint Union</t>
  </si>
  <si>
    <t>AJ11</t>
  </si>
  <si>
    <t>Shandon Joint Unified</t>
  </si>
  <si>
    <t>AJ12</t>
  </si>
  <si>
    <t>Templeton Unified</t>
  </si>
  <si>
    <t>AJ14</t>
  </si>
  <si>
    <t>Paso Robles Joint Unified</t>
  </si>
  <si>
    <t>AJ13</t>
  </si>
  <si>
    <t>Coast Unified</t>
  </si>
  <si>
    <t>CA00</t>
  </si>
  <si>
    <t>San Mateo County</t>
  </si>
  <si>
    <t>CA28</t>
  </si>
  <si>
    <t>Oxford Day Academy</t>
  </si>
  <si>
    <t>CA01</t>
  </si>
  <si>
    <t>Bayshore Elementary</t>
  </si>
  <si>
    <t>CA02</t>
  </si>
  <si>
    <t>Belmont-Redwood Shores Elementary</t>
  </si>
  <si>
    <t>CA03</t>
  </si>
  <si>
    <t>Brisbane Elementary</t>
  </si>
  <si>
    <t>CA04</t>
  </si>
  <si>
    <t>Burlingame Elementary</t>
  </si>
  <si>
    <t>CA21</t>
  </si>
  <si>
    <t>Cabrillo Unified</t>
  </si>
  <si>
    <t>CA05</t>
  </si>
  <si>
    <t>Hillsborough City Elementary</t>
  </si>
  <si>
    <t>CA06</t>
  </si>
  <si>
    <t>EL370</t>
  </si>
  <si>
    <t>California Virtual Academy @ San Mateo</t>
  </si>
  <si>
    <t>0802</t>
  </si>
  <si>
    <t>CA18</t>
  </si>
  <si>
    <t>Jefferson Union High</t>
  </si>
  <si>
    <t>EL371</t>
  </si>
  <si>
    <t>Summit Public School: Shasta</t>
  </si>
  <si>
    <t>CA07</t>
  </si>
  <si>
    <t>Pacifica</t>
  </si>
  <si>
    <t>CA22</t>
  </si>
  <si>
    <t>La Honda-Pescadero Unified</t>
  </si>
  <si>
    <t>CA08</t>
  </si>
  <si>
    <t>Las Lomitas Elementary</t>
  </si>
  <si>
    <t>CA09</t>
  </si>
  <si>
    <t>Menlo Park City Elementary</t>
  </si>
  <si>
    <t>CA10</t>
  </si>
  <si>
    <t>Millbrae Elementary</t>
  </si>
  <si>
    <t>CA11</t>
  </si>
  <si>
    <t>Portola Valley Elementary</t>
  </si>
  <si>
    <t>CA12</t>
  </si>
  <si>
    <t>Ravenswood City Elementary</t>
  </si>
  <si>
    <t>EL372</t>
  </si>
  <si>
    <t>Aspire East Palo Alto Charter</t>
  </si>
  <si>
    <t>0125</t>
  </si>
  <si>
    <t>CA30</t>
  </si>
  <si>
    <t>KIPP Valiant Community Prep</t>
  </si>
  <si>
    <t>CA13</t>
  </si>
  <si>
    <t>Redwood City Elementary</t>
  </si>
  <si>
    <t>CA26</t>
  </si>
  <si>
    <t>Connect Community Charter</t>
  </si>
  <si>
    <t>CA29</t>
  </si>
  <si>
    <t>KIPP Excelencia Community Preparatory</t>
  </si>
  <si>
    <t>EL373</t>
  </si>
  <si>
    <t>Rocketship Redwood City</t>
  </si>
  <si>
    <t>CA14</t>
  </si>
  <si>
    <t>San Bruno Park Elementary</t>
  </si>
  <si>
    <t>CA15</t>
  </si>
  <si>
    <t>San Carlos Elementary</t>
  </si>
  <si>
    <t>CA25</t>
  </si>
  <si>
    <t>San Carlos Charter Learning Center</t>
  </si>
  <si>
    <t>0001</t>
  </si>
  <si>
    <t>CA16</t>
  </si>
  <si>
    <t>San Mateo-Foster City</t>
  </si>
  <si>
    <t>CA19</t>
  </si>
  <si>
    <t>San Mateo Union High</t>
  </si>
  <si>
    <t>CA31</t>
  </si>
  <si>
    <t>Design Tech High School</t>
  </si>
  <si>
    <t>CA20</t>
  </si>
  <si>
    <t>Sequoia Union High</t>
  </si>
  <si>
    <t>CA32</t>
  </si>
  <si>
    <t>Summit Preparatory Charter High</t>
  </si>
  <si>
    <t>0835</t>
  </si>
  <si>
    <t>CA24</t>
  </si>
  <si>
    <t>Everest Public High</t>
  </si>
  <si>
    <t>CA27</t>
  </si>
  <si>
    <t>KIPP Esperanza High</t>
  </si>
  <si>
    <t>CA23</t>
  </si>
  <si>
    <t>South San Francisco Unified</t>
  </si>
  <si>
    <t>CA17</t>
  </si>
  <si>
    <t>Woodside Elementary</t>
  </si>
  <si>
    <t>AR00</t>
  </si>
  <si>
    <t>Santa Barbara County</t>
  </si>
  <si>
    <t>AR11</t>
  </si>
  <si>
    <t>Santa Barbara Co. Office of Education</t>
  </si>
  <si>
    <t>AR12</t>
  </si>
  <si>
    <t>Ballard Elementary</t>
  </si>
  <si>
    <t>AR13</t>
  </si>
  <si>
    <t>Blochman Union Elementary</t>
  </si>
  <si>
    <t>AR26</t>
  </si>
  <si>
    <t>Family Partnership Charter</t>
  </si>
  <si>
    <t>0763</t>
  </si>
  <si>
    <t>EL374</t>
  </si>
  <si>
    <t>Trivium Charter</t>
  </si>
  <si>
    <t>EL375</t>
  </si>
  <si>
    <t>Trivium Charter School: Adventure</t>
  </si>
  <si>
    <t>EL376</t>
  </si>
  <si>
    <t>Trivium Charter School: Voyage</t>
  </si>
  <si>
    <t>AR07</t>
  </si>
  <si>
    <t>Santa Maria-Bonita</t>
  </si>
  <si>
    <t>AR14</t>
  </si>
  <si>
    <t>Buellton Union Elementary</t>
  </si>
  <si>
    <t>AR09</t>
  </si>
  <si>
    <t>Carpinteria Unified</t>
  </si>
  <si>
    <t>AR16</t>
  </si>
  <si>
    <t>Cold Spring Elementary</t>
  </si>
  <si>
    <t>AR17</t>
  </si>
  <si>
    <t>College Elementary</t>
  </si>
  <si>
    <t>AR18</t>
  </si>
  <si>
    <t>Guadalupe Union Elementary</t>
  </si>
  <si>
    <t>AR03</t>
  </si>
  <si>
    <t>Hope Elementary</t>
  </si>
  <si>
    <t>AR10</t>
  </si>
  <si>
    <t>Lompoc Unified</t>
  </si>
  <si>
    <t>AR29</t>
  </si>
  <si>
    <t>Manzanita Public Charter</t>
  </si>
  <si>
    <t>0973</t>
  </si>
  <si>
    <t>AR20</t>
  </si>
  <si>
    <t>Los Olivos Elementary</t>
  </si>
  <si>
    <t>AR21</t>
  </si>
  <si>
    <t>Montecito Union Elementary</t>
  </si>
  <si>
    <t>AR04</t>
  </si>
  <si>
    <t>Orcutt Union Elementary</t>
  </si>
  <si>
    <t>AR08</t>
  </si>
  <si>
    <t>Santa Maria Joint Union High</t>
  </si>
  <si>
    <t>AR22</t>
  </si>
  <si>
    <t>Santa Ynez Valley Union High</t>
  </si>
  <si>
    <t>AR23</t>
  </si>
  <si>
    <t>Solvang Elementary</t>
  </si>
  <si>
    <t>AR24</t>
  </si>
  <si>
    <t>Vista del Mar Union</t>
  </si>
  <si>
    <t>AR25</t>
  </si>
  <si>
    <t>Cuyama Joint Unified</t>
  </si>
  <si>
    <t>EL377</t>
  </si>
  <si>
    <t>California Connections Academy Central Coast</t>
  </si>
  <si>
    <t>AR27</t>
  </si>
  <si>
    <t>Santa Barbara Unified</t>
  </si>
  <si>
    <t>AR28</t>
  </si>
  <si>
    <t>Santa Barbara Charter</t>
  </si>
  <si>
    <t>0020</t>
  </si>
  <si>
    <t>AR30</t>
  </si>
  <si>
    <t>Adelante Charter</t>
  </si>
  <si>
    <t>0326</t>
  </si>
  <si>
    <t>EL378</t>
  </si>
  <si>
    <t>Olive Grove Charter School - Orcutt/Santa Maria</t>
  </si>
  <si>
    <t>EL379</t>
  </si>
  <si>
    <t>Olive Grove Charter School - Lompoc</t>
  </si>
  <si>
    <t>EL380</t>
  </si>
  <si>
    <t>Olive Grove Charter School - Buellton</t>
  </si>
  <si>
    <t>EL381</t>
  </si>
  <si>
    <t>Olive Grove Charter School - Santa Barbara</t>
  </si>
  <si>
    <t>NB00</t>
  </si>
  <si>
    <t>Santa Clara COE : Area 3</t>
  </si>
  <si>
    <t>NC00</t>
  </si>
  <si>
    <t>Santa Clara COE : Area 4</t>
  </si>
  <si>
    <t>ND00</t>
  </si>
  <si>
    <t>South East Consortium</t>
  </si>
  <si>
    <t>ND10</t>
  </si>
  <si>
    <t>Santa Clara Co. Office of Education</t>
  </si>
  <si>
    <t>NF00</t>
  </si>
  <si>
    <t>Santa Clara COE : Area 7</t>
  </si>
  <si>
    <t>NN00</t>
  </si>
  <si>
    <t>Santa Clara COE : Area 1</t>
  </si>
  <si>
    <t>QQ00</t>
  </si>
  <si>
    <t>Santa Clara COE : Area 2</t>
  </si>
  <si>
    <t>EL382</t>
  </si>
  <si>
    <t>Rocketship Mateo Sheedy Elementary</t>
  </si>
  <si>
    <t>0850</t>
  </si>
  <si>
    <t>EL383</t>
  </si>
  <si>
    <t>ACE Empower Academy</t>
  </si>
  <si>
    <t>0972</t>
  </si>
  <si>
    <t>EL384</t>
  </si>
  <si>
    <t>Rocketship Si Se Puede Academy</t>
  </si>
  <si>
    <t>EL385</t>
  </si>
  <si>
    <t>Rocketship Los Suenos Academy</t>
  </si>
  <si>
    <t>EL386</t>
  </si>
  <si>
    <t>Alpha: Cornerstone Academy Preparatory</t>
  </si>
  <si>
    <t>EL387</t>
  </si>
  <si>
    <t>Rocketship Discovery Prep</t>
  </si>
  <si>
    <t>EL388</t>
  </si>
  <si>
    <t>Summit Public School: Tahoma</t>
  </si>
  <si>
    <t>EL389</t>
  </si>
  <si>
    <t>Sunrise Middle</t>
  </si>
  <si>
    <t>EL390</t>
  </si>
  <si>
    <t>Rocketship Academy Brilliant Minds</t>
  </si>
  <si>
    <t>EL391</t>
  </si>
  <si>
    <t>Rocketship Alma Academy</t>
  </si>
  <si>
    <t>EL392</t>
  </si>
  <si>
    <t>Summit Public School: Denali</t>
  </si>
  <si>
    <t>EL393</t>
  </si>
  <si>
    <t>Alpha: Jose Hernandez</t>
  </si>
  <si>
    <t>EL394</t>
  </si>
  <si>
    <t>Rocketship Fuerza Community Prep</t>
  </si>
  <si>
    <t>SO22</t>
  </si>
  <si>
    <t>Voices College-Bound Language Academy at Morgan Hill</t>
  </si>
  <si>
    <t>SO23</t>
  </si>
  <si>
    <t>Voices College-Bound Language Academy at Mt. Pleasant</t>
  </si>
  <si>
    <t>EL395</t>
  </si>
  <si>
    <t>Rocketship Rising Stars</t>
  </si>
  <si>
    <t>ND01</t>
  </si>
  <si>
    <t>Alum Rock Union Elementary</t>
  </si>
  <si>
    <t>EL396</t>
  </si>
  <si>
    <t>KIPP Heartwood Academy</t>
  </si>
  <si>
    <t>0628</t>
  </si>
  <si>
    <t>EL397</t>
  </si>
  <si>
    <t>Alpha: Blanca Alvarado</t>
  </si>
  <si>
    <t>EL398</t>
  </si>
  <si>
    <t>KIPP Prize Preparatory Academy</t>
  </si>
  <si>
    <t>ND02</t>
  </si>
  <si>
    <t>Berryessa Union Elementary</t>
  </si>
  <si>
    <t>NB01</t>
  </si>
  <si>
    <t>Cambrian</t>
  </si>
  <si>
    <t>NB02</t>
  </si>
  <si>
    <t>Campbell Union</t>
  </si>
  <si>
    <t>NB03</t>
  </si>
  <si>
    <t>Campbell Union High</t>
  </si>
  <si>
    <t>QQ04</t>
  </si>
  <si>
    <t>Cupertino Union</t>
  </si>
  <si>
    <t>ND03</t>
  </si>
  <si>
    <t>East Side Union High</t>
  </si>
  <si>
    <t>EL399</t>
  </si>
  <si>
    <t>Escuela Popular/Center for Training and Careers, Family Learning</t>
  </si>
  <si>
    <t>0646</t>
  </si>
  <si>
    <t>EL400</t>
  </si>
  <si>
    <t>KIPP San Jose Collegiate</t>
  </si>
  <si>
    <t>0976</t>
  </si>
  <si>
    <t>EL401</t>
  </si>
  <si>
    <t>ACE Charter High</t>
  </si>
  <si>
    <t>SO24</t>
  </si>
  <si>
    <t>Luis Valdez Leadership Academy</t>
  </si>
  <si>
    <t>SO25</t>
  </si>
  <si>
    <t>B. Roberto Cruz Leadership Academy</t>
  </si>
  <si>
    <t>EL402</t>
  </si>
  <si>
    <t>Alpha: Cindy Avitia High School</t>
  </si>
  <si>
    <t>SO26</t>
  </si>
  <si>
    <t>Latino College Preparatory Academy</t>
  </si>
  <si>
    <t>0414</t>
  </si>
  <si>
    <t>EL403</t>
  </si>
  <si>
    <t>San Jose Conservation Corps Charter</t>
  </si>
  <si>
    <t>0425</t>
  </si>
  <si>
    <t>EL404</t>
  </si>
  <si>
    <t>Escuela Popular Accelerated Family Learning</t>
  </si>
  <si>
    <t>0502</t>
  </si>
  <si>
    <t>ND04</t>
  </si>
  <si>
    <t>Evergreen Elementary</t>
  </si>
  <si>
    <t>ND05</t>
  </si>
  <si>
    <t>Franklin-McKinley Elementary</t>
  </si>
  <si>
    <t>SO27</t>
  </si>
  <si>
    <t>Voices College-Bound Language Academy</t>
  </si>
  <si>
    <t>0846</t>
  </si>
  <si>
    <t>EL405</t>
  </si>
  <si>
    <t>Rocketship Mosaic Elementary</t>
  </si>
  <si>
    <t>EL406</t>
  </si>
  <si>
    <t>Rocketship Spark Academy</t>
  </si>
  <si>
    <t>EL407</t>
  </si>
  <si>
    <t>KIPP Heritage Academy</t>
  </si>
  <si>
    <t>EL408</t>
  </si>
  <si>
    <t>ACE Esperanza Middle</t>
  </si>
  <si>
    <t>QQ01</t>
  </si>
  <si>
    <t>Fremont Union High</t>
  </si>
  <si>
    <t>ND11</t>
  </si>
  <si>
    <t>Gilroy Unified</t>
  </si>
  <si>
    <t>EL409</t>
  </si>
  <si>
    <t>Gilroy Prep (a Navigator School)</t>
  </si>
  <si>
    <t>NB11</t>
  </si>
  <si>
    <t>Lakeside Joint</t>
  </si>
  <si>
    <t>NB04</t>
  </si>
  <si>
    <t>Loma Prieta Joint Union Elementary</t>
  </si>
  <si>
    <t>NN11</t>
  </si>
  <si>
    <t>Los Altos Elementary</t>
  </si>
  <si>
    <t>NB06</t>
  </si>
  <si>
    <t>Los Gatos Union Elementary</t>
  </si>
  <si>
    <t>NB05</t>
  </si>
  <si>
    <t>Los Gatos-Saratoga Union High</t>
  </si>
  <si>
    <t>NB07</t>
  </si>
  <si>
    <t>Luther Burbank</t>
  </si>
  <si>
    <t>NB08</t>
  </si>
  <si>
    <t>Moreland</t>
  </si>
  <si>
    <t>ND12</t>
  </si>
  <si>
    <t>Morgan Hill Unified</t>
  </si>
  <si>
    <t>SO28</t>
  </si>
  <si>
    <t>Charter School of Morgan Hill</t>
  </si>
  <si>
    <t>0363</t>
  </si>
  <si>
    <t>NN22</t>
  </si>
  <si>
    <t>Mountain View Whisman</t>
  </si>
  <si>
    <t>NN20</t>
  </si>
  <si>
    <t>Mountain View-Los Altos Union High</t>
  </si>
  <si>
    <t>ND08</t>
  </si>
  <si>
    <t>Oak Grove Elementary</t>
  </si>
  <si>
    <t>ND09</t>
  </si>
  <si>
    <t>Orchard Elementary</t>
  </si>
  <si>
    <t>NN18</t>
  </si>
  <si>
    <t>Palo Alto Unified</t>
  </si>
  <si>
    <t>NC01</t>
  </si>
  <si>
    <t>San Jose Unified</t>
  </si>
  <si>
    <t>EL410</t>
  </si>
  <si>
    <t>Downtown College Preparatory Middle</t>
  </si>
  <si>
    <t>EL411</t>
  </si>
  <si>
    <t>ACE Inspire Academy</t>
  </si>
  <si>
    <t>EL412</t>
  </si>
  <si>
    <t>Downtown College Preparatory</t>
  </si>
  <si>
    <t>0287</t>
  </si>
  <si>
    <t>NF01</t>
  </si>
  <si>
    <t>Santa Clara Unified</t>
  </si>
  <si>
    <t>NB09</t>
  </si>
  <si>
    <t>Saratoga Union Elementary</t>
  </si>
  <si>
    <t>QQ02</t>
  </si>
  <si>
    <t>Sunnyvale</t>
  </si>
  <si>
    <t>NB10</t>
  </si>
  <si>
    <t>Union Elementary</t>
  </si>
  <si>
    <t>ND06</t>
  </si>
  <si>
    <t>Milpitas Unified</t>
  </si>
  <si>
    <t>EL413</t>
  </si>
  <si>
    <t>Perseverance Preparatory School</t>
  </si>
  <si>
    <t>EL414</t>
  </si>
  <si>
    <t>KIPP Navigate College Prep</t>
  </si>
  <si>
    <t>SC00</t>
  </si>
  <si>
    <t>North Santa Cruz County</t>
  </si>
  <si>
    <t>SC12</t>
  </si>
  <si>
    <t>Pacific Collegiate Charter</t>
  </si>
  <si>
    <t>0210</t>
  </si>
  <si>
    <t>SC08</t>
  </si>
  <si>
    <t>Bonny Doon Union Elementary</t>
  </si>
  <si>
    <t>SC09</t>
  </si>
  <si>
    <t>Happy Valley Elementary</t>
  </si>
  <si>
    <t>SC01</t>
  </si>
  <si>
    <t>Live Oak Elementary</t>
  </si>
  <si>
    <t>SC10</t>
  </si>
  <si>
    <t>Mountain Elementary</t>
  </si>
  <si>
    <t>SC11</t>
  </si>
  <si>
    <t>Pacific Elementary</t>
  </si>
  <si>
    <t>PV00</t>
  </si>
  <si>
    <t>Pajaro Valley</t>
  </si>
  <si>
    <t>EL415</t>
  </si>
  <si>
    <t>Ceiba College Preparatory Academy</t>
  </si>
  <si>
    <t>SC04</t>
  </si>
  <si>
    <t>San Lorenzo Valley Unified</t>
  </si>
  <si>
    <t>SC06</t>
  </si>
  <si>
    <t>Santa Cruz City Elementary</t>
  </si>
  <si>
    <t>SC05</t>
  </si>
  <si>
    <t>Santa Cruz City High</t>
  </si>
  <si>
    <t>SC13</t>
  </si>
  <si>
    <t>0059</t>
  </si>
  <si>
    <t>SC03</t>
  </si>
  <si>
    <t>Soquel Union Elementary</t>
  </si>
  <si>
    <t>SC07</t>
  </si>
  <si>
    <t>Scotts Valley Unified</t>
  </si>
  <si>
    <t>EL416</t>
  </si>
  <si>
    <t>California Connections Academy Monterey Bay</t>
  </si>
  <si>
    <t>EL417</t>
  </si>
  <si>
    <t>Watsonville Prep</t>
  </si>
  <si>
    <t>AO00</t>
  </si>
  <si>
    <t>Shasta County</t>
  </si>
  <si>
    <t>EL418</t>
  </si>
  <si>
    <t>Chrysalis Charter</t>
  </si>
  <si>
    <t>0778</t>
  </si>
  <si>
    <t>AO34</t>
  </si>
  <si>
    <t>Northern Summit Academy Shasta</t>
  </si>
  <si>
    <t>EL419</t>
  </si>
  <si>
    <t>Redding STEM Academy</t>
  </si>
  <si>
    <t>AO12</t>
  </si>
  <si>
    <t>Anderson Union High</t>
  </si>
  <si>
    <t>AO20</t>
  </si>
  <si>
    <t>Bella Vista Elementary</t>
  </si>
  <si>
    <t>AO19</t>
  </si>
  <si>
    <t>Black Butte Union Elementary</t>
  </si>
  <si>
    <t>AO03</t>
  </si>
  <si>
    <t>Cascade Union Elementary</t>
  </si>
  <si>
    <t>AO21</t>
  </si>
  <si>
    <t>Castle Rock Union Elementary</t>
  </si>
  <si>
    <t>AO16</t>
  </si>
  <si>
    <t>Columbia Elementary</t>
  </si>
  <si>
    <t>EL420</t>
  </si>
  <si>
    <t>Redding School of the Arts</t>
  </si>
  <si>
    <t>EL421</t>
  </si>
  <si>
    <t>Shasta View Academy</t>
  </si>
  <si>
    <t>EL422</t>
  </si>
  <si>
    <t>Phoenix Charter Academy College View</t>
  </si>
  <si>
    <t>AO04</t>
  </si>
  <si>
    <t>Cottonwood Union Elementary</t>
  </si>
  <si>
    <t>AO33</t>
  </si>
  <si>
    <t>Cottonwood Creek Charter</t>
  </si>
  <si>
    <t>AO05</t>
  </si>
  <si>
    <t>Enterprise Elementary</t>
  </si>
  <si>
    <t>AO14</t>
  </si>
  <si>
    <t>Fall River Joint Unified</t>
  </si>
  <si>
    <t>AO22</t>
  </si>
  <si>
    <t>French Gulch-Whiskeytown Elementary</t>
  </si>
  <si>
    <t>AO17</t>
  </si>
  <si>
    <t>Grant Elementary</t>
  </si>
  <si>
    <t>AO23</t>
  </si>
  <si>
    <t>Happy Valley Union Elementary</t>
  </si>
  <si>
    <t>AO24</t>
  </si>
  <si>
    <t>Igo, Ono, Platina Union Elementary</t>
  </si>
  <si>
    <t>AO07</t>
  </si>
  <si>
    <t>Junction Elementary</t>
  </si>
  <si>
    <t>AO26</t>
  </si>
  <si>
    <t>Millville Elementary</t>
  </si>
  <si>
    <t>AO27</t>
  </si>
  <si>
    <t>North Cow Creek Elementary</t>
  </si>
  <si>
    <t>AO28</t>
  </si>
  <si>
    <t>Oak Run Elementary</t>
  </si>
  <si>
    <t>AO09</t>
  </si>
  <si>
    <t>Pacheco Union Elementary</t>
  </si>
  <si>
    <t>AO10</t>
  </si>
  <si>
    <t>Redding Elementary</t>
  </si>
  <si>
    <t>AO35</t>
  </si>
  <si>
    <t>Monarch Learning Center</t>
  </si>
  <si>
    <t>0307</t>
  </si>
  <si>
    <t>AO29</t>
  </si>
  <si>
    <t>Shasta Union Elementary</t>
  </si>
  <si>
    <t>AO13</t>
  </si>
  <si>
    <t>Shasta Union High</t>
  </si>
  <si>
    <t>EL423</t>
  </si>
  <si>
    <t>Shasta Charter Academy</t>
  </si>
  <si>
    <t>0256</t>
  </si>
  <si>
    <t>AO30</t>
  </si>
  <si>
    <t>Whitmore Union Elementary</t>
  </si>
  <si>
    <t>AO31</t>
  </si>
  <si>
    <t>Mountain Union Elementary</t>
  </si>
  <si>
    <t>AO18</t>
  </si>
  <si>
    <t>Gateway Unified</t>
  </si>
  <si>
    <t>AO32</t>
  </si>
  <si>
    <t>Rocky Point Charter</t>
  </si>
  <si>
    <t>0849</t>
  </si>
  <si>
    <t>AW00</t>
  </si>
  <si>
    <t>Sierra County</t>
  </si>
  <si>
    <t>AW01</t>
  </si>
  <si>
    <t>Sierra-Plumas Joint Unified</t>
  </si>
  <si>
    <t>AU00</t>
  </si>
  <si>
    <t>Siskiyou County</t>
  </si>
  <si>
    <t>AU30</t>
  </si>
  <si>
    <t>Golden Eagle Charter</t>
  </si>
  <si>
    <t>0983</t>
  </si>
  <si>
    <t>AU31</t>
  </si>
  <si>
    <t>Northern United - Siskiyou Charter School</t>
  </si>
  <si>
    <t>AU08</t>
  </si>
  <si>
    <t>Big Springs Union Elementary</t>
  </si>
  <si>
    <t>AU17</t>
  </si>
  <si>
    <t>Bogus Elementary</t>
  </si>
  <si>
    <t>AU18</t>
  </si>
  <si>
    <t>Butteville Union Elementary</t>
  </si>
  <si>
    <t>AU19</t>
  </si>
  <si>
    <t>Delphic Elementary</t>
  </si>
  <si>
    <t>AU06</t>
  </si>
  <si>
    <t>Dunsmuir Elementary</t>
  </si>
  <si>
    <t>AU15</t>
  </si>
  <si>
    <t>Dunsmuir Joint Union High</t>
  </si>
  <si>
    <t>AU20</t>
  </si>
  <si>
    <t>Forks of Salmon Elementary</t>
  </si>
  <si>
    <t>AU21</t>
  </si>
  <si>
    <t>Gazelle Union Elementary</t>
  </si>
  <si>
    <t>AU01</t>
  </si>
  <si>
    <t>Grenada Elementary</t>
  </si>
  <si>
    <t>AU16</t>
  </si>
  <si>
    <t>Happy Camp Union Elementary</t>
  </si>
  <si>
    <t>AU22</t>
  </si>
  <si>
    <t>Hornbrook Elementary</t>
  </si>
  <si>
    <t>AU23</t>
  </si>
  <si>
    <t>AU24</t>
  </si>
  <si>
    <t>Klamath River Union Elementary</t>
  </si>
  <si>
    <t>AU25</t>
  </si>
  <si>
    <t>Little Shasta Elementary</t>
  </si>
  <si>
    <t>AU02</t>
  </si>
  <si>
    <t>McCloud Union Elementary</t>
  </si>
  <si>
    <t>AU03</t>
  </si>
  <si>
    <t>Montague Elementary</t>
  </si>
  <si>
    <t>AU04</t>
  </si>
  <si>
    <t>Mt. Shasta Union Elementary</t>
  </si>
  <si>
    <t>AU27</t>
  </si>
  <si>
    <t>Seiad Elementary</t>
  </si>
  <si>
    <t>AU12</t>
  </si>
  <si>
    <t>Siskiyou Union High</t>
  </si>
  <si>
    <t>AU05</t>
  </si>
  <si>
    <t>Weed Union Elementary</t>
  </si>
  <si>
    <t>AU28</t>
  </si>
  <si>
    <t>Willow Creek Elementary</t>
  </si>
  <si>
    <t>AU10</t>
  </si>
  <si>
    <t>Yreka Union Elementary</t>
  </si>
  <si>
    <t>AU13</t>
  </si>
  <si>
    <t>Yreka Union High</t>
  </si>
  <si>
    <t>AU14</t>
  </si>
  <si>
    <t>Butte Valley Unified</t>
  </si>
  <si>
    <t>AU29</t>
  </si>
  <si>
    <t>Scott Valley Unified</t>
  </si>
  <si>
    <t>BT00</t>
  </si>
  <si>
    <t>Solano County</t>
  </si>
  <si>
    <t>EL424</t>
  </si>
  <si>
    <t>Elite Public</t>
  </si>
  <si>
    <t>BT01</t>
  </si>
  <si>
    <t>Benicia Unified</t>
  </si>
  <si>
    <t>BT02</t>
  </si>
  <si>
    <t>Dixon Unified</t>
  </si>
  <si>
    <t>EL425</t>
  </si>
  <si>
    <t>Dixon Montessori Charter</t>
  </si>
  <si>
    <t>BT03</t>
  </si>
  <si>
    <t>Fairfield-Suisun Unified</t>
  </si>
  <si>
    <t>BT04</t>
  </si>
  <si>
    <t>Travis Unified</t>
  </si>
  <si>
    <t>BT05</t>
  </si>
  <si>
    <t>Vacaville Unified</t>
  </si>
  <si>
    <t>EL426</t>
  </si>
  <si>
    <t>Kairos Public School Vacaville Academy</t>
  </si>
  <si>
    <t>CD00</t>
  </si>
  <si>
    <t>Vallejo City Unified</t>
  </si>
  <si>
    <t>EL427</t>
  </si>
  <si>
    <t>Caliber: ChangeMakers Academy</t>
  </si>
  <si>
    <t>SO29</t>
  </si>
  <si>
    <t>MIT Griffin Academy Middle</t>
  </si>
  <si>
    <t>SO30</t>
  </si>
  <si>
    <t>Griffin Academy High</t>
  </si>
  <si>
    <t>SO31</t>
  </si>
  <si>
    <t>MIT Academy</t>
  </si>
  <si>
    <t>0372</t>
  </si>
  <si>
    <t>SO32</t>
  </si>
  <si>
    <t>Mare Island Technology Academy</t>
  </si>
  <si>
    <t>0181</t>
  </si>
  <si>
    <t>AV00</t>
  </si>
  <si>
    <t>Sonoma County</t>
  </si>
  <si>
    <t>AV01</t>
  </si>
  <si>
    <t>Alexander Valley Union Elementary</t>
  </si>
  <si>
    <t>AV02</t>
  </si>
  <si>
    <t>West Sonoma County Union High</t>
  </si>
  <si>
    <t>AV03</t>
  </si>
  <si>
    <t>Bellevue Union Elementary</t>
  </si>
  <si>
    <t>AV04</t>
  </si>
  <si>
    <t>Bennett Valley Union Elementary</t>
  </si>
  <si>
    <t>AV05</t>
  </si>
  <si>
    <t>Cinnabar Elementary</t>
  </si>
  <si>
    <t>AV06</t>
  </si>
  <si>
    <t>Cloverdale Unified</t>
  </si>
  <si>
    <t>AV08</t>
  </si>
  <si>
    <t>Dunham Elementary</t>
  </si>
  <si>
    <t>AV09</t>
  </si>
  <si>
    <t>Forestville Union Elementary</t>
  </si>
  <si>
    <t>AV10</t>
  </si>
  <si>
    <t>Fort Ross Elementary</t>
  </si>
  <si>
    <t>AV11</t>
  </si>
  <si>
    <t>Geyserville Unified</t>
  </si>
  <si>
    <t>AV12</t>
  </si>
  <si>
    <t>Gravenstein Union Elementary</t>
  </si>
  <si>
    <t>AV13</t>
  </si>
  <si>
    <t>Guerneville Elementary</t>
  </si>
  <si>
    <t>SO33</t>
  </si>
  <si>
    <t>California Pacific Charter - Sonoma</t>
  </si>
  <si>
    <t>AV14</t>
  </si>
  <si>
    <t>Harmony Union Elementary</t>
  </si>
  <si>
    <t>AV46</t>
  </si>
  <si>
    <t>Pathways Charter</t>
  </si>
  <si>
    <t>0492</t>
  </si>
  <si>
    <t>AV17</t>
  </si>
  <si>
    <t>Horicon Elementary</t>
  </si>
  <si>
    <t>AV18</t>
  </si>
  <si>
    <t>Kenwood</t>
  </si>
  <si>
    <t>AV19</t>
  </si>
  <si>
    <t>Liberty Elementary</t>
  </si>
  <si>
    <t>AV47</t>
  </si>
  <si>
    <t>California Virtual Academy @ Sonoma</t>
  </si>
  <si>
    <t>0653</t>
  </si>
  <si>
    <t>AV45</t>
  </si>
  <si>
    <t>Heartwood Charter</t>
  </si>
  <si>
    <t>AV20</t>
  </si>
  <si>
    <t>Mark West Union Elementary</t>
  </si>
  <si>
    <t>AV21</t>
  </si>
  <si>
    <t>Monte Rio Union Elementary</t>
  </si>
  <si>
    <t>AV22</t>
  </si>
  <si>
    <t>Montgomery Elementary</t>
  </si>
  <si>
    <t>AV23</t>
  </si>
  <si>
    <t>Oak Grove Union Elementary</t>
  </si>
  <si>
    <t>EL428</t>
  </si>
  <si>
    <t>Pivot Charter School - North Bay</t>
  </si>
  <si>
    <t>AV24</t>
  </si>
  <si>
    <t>Old Adobe Union</t>
  </si>
  <si>
    <t>EL429</t>
  </si>
  <si>
    <t>River Montessori Elementary Charter</t>
  </si>
  <si>
    <t>AV25</t>
  </si>
  <si>
    <t>Petaluma City Elementary</t>
  </si>
  <si>
    <t>AV26</t>
  </si>
  <si>
    <t>Petaluma Joint Union High</t>
  </si>
  <si>
    <t>AV27</t>
  </si>
  <si>
    <t>Piner-Olivet Union Elementary</t>
  </si>
  <si>
    <t>AV43</t>
  </si>
  <si>
    <t>Kashia Elementary</t>
  </si>
  <si>
    <t>AV28</t>
  </si>
  <si>
    <t>Rincon Valley Union Elementary</t>
  </si>
  <si>
    <t>AV29</t>
  </si>
  <si>
    <t>Roseland</t>
  </si>
  <si>
    <t>AV30</t>
  </si>
  <si>
    <t>Santa Rosa Elementary</t>
  </si>
  <si>
    <t>AV31</t>
  </si>
  <si>
    <t>Santa Rosa High</t>
  </si>
  <si>
    <t>AV32</t>
  </si>
  <si>
    <t>Sebastopol Union Elementary</t>
  </si>
  <si>
    <t>AV44</t>
  </si>
  <si>
    <t>REACH</t>
  </si>
  <si>
    <t>AV48</t>
  </si>
  <si>
    <t>Sebastopol Independent Charter</t>
  </si>
  <si>
    <t>0078</t>
  </si>
  <si>
    <t>AV33</t>
  </si>
  <si>
    <t>Sonoma Valley Unified</t>
  </si>
  <si>
    <t>EL430</t>
  </si>
  <si>
    <t>Woodland Star Charter</t>
  </si>
  <si>
    <t>0613</t>
  </si>
  <si>
    <t>EL431</t>
  </si>
  <si>
    <t>Sonoma Charter</t>
  </si>
  <si>
    <t>0009</t>
  </si>
  <si>
    <t>AV34</t>
  </si>
  <si>
    <t>Twin Hills Union Elementary</t>
  </si>
  <si>
    <t>AV40</t>
  </si>
  <si>
    <t>Two Rock Union</t>
  </si>
  <si>
    <t>AV39</t>
  </si>
  <si>
    <t>Waugh Elementary</t>
  </si>
  <si>
    <t>AV35</t>
  </si>
  <si>
    <t>West Side Union Elementary</t>
  </si>
  <si>
    <t>AV36</t>
  </si>
  <si>
    <t>Wilmar Union Elementary</t>
  </si>
  <si>
    <t>AV38</t>
  </si>
  <si>
    <t>Wright Elementary</t>
  </si>
  <si>
    <t>AV07</t>
  </si>
  <si>
    <t>Cotati-Rohnert Park Unified</t>
  </si>
  <si>
    <t>EL432</t>
  </si>
  <si>
    <t>Credo High</t>
  </si>
  <si>
    <t>AV41</t>
  </si>
  <si>
    <t>Windsor Unified</t>
  </si>
  <si>
    <t>AV42</t>
  </si>
  <si>
    <t>Healdsburg Unified</t>
  </si>
  <si>
    <t>XX00</t>
  </si>
  <si>
    <t>Stanislaus County</t>
  </si>
  <si>
    <t>XX01</t>
  </si>
  <si>
    <t>Ceres Unified</t>
  </si>
  <si>
    <t>EL433</t>
  </si>
  <si>
    <t>Aspire Summit Charter Academy</t>
  </si>
  <si>
    <t>0812</t>
  </si>
  <si>
    <t>XX21</t>
  </si>
  <si>
    <t>Chatom Union</t>
  </si>
  <si>
    <t>XX17</t>
  </si>
  <si>
    <t>Denair Unified</t>
  </si>
  <si>
    <t>XX02</t>
  </si>
  <si>
    <t>Empire Union Elementary</t>
  </si>
  <si>
    <t>XX26</t>
  </si>
  <si>
    <t>Gratton Elementary</t>
  </si>
  <si>
    <t>XX22</t>
  </si>
  <si>
    <t>Hart-Ransom Union Elementary</t>
  </si>
  <si>
    <t>XX24</t>
  </si>
  <si>
    <t>Hickman Community Charter</t>
  </si>
  <si>
    <t>XX18</t>
  </si>
  <si>
    <t>Keyes Union</t>
  </si>
  <si>
    <t>XX27</t>
  </si>
  <si>
    <t>Knights Ferry Elementary</t>
  </si>
  <si>
    <t>ZZ00</t>
  </si>
  <si>
    <t>Modesto City Schools</t>
  </si>
  <si>
    <t>ZZ01</t>
  </si>
  <si>
    <t>Modesto City Elementary</t>
  </si>
  <si>
    <t>EL434</t>
  </si>
  <si>
    <t>Aspire University Charter School</t>
  </si>
  <si>
    <t>EL435</t>
  </si>
  <si>
    <t>Connecting Waters Charter School - Central Valley</t>
  </si>
  <si>
    <t>EL436</t>
  </si>
  <si>
    <t>Aspire Vanguard College Preparatory Academy</t>
  </si>
  <si>
    <t>XX23</t>
  </si>
  <si>
    <t>Paradise Elementary</t>
  </si>
  <si>
    <t>XX08</t>
  </si>
  <si>
    <t>Patterson Joint Unified</t>
  </si>
  <si>
    <t>XX29</t>
  </si>
  <si>
    <t>Roberts Ferry Union Elementary</t>
  </si>
  <si>
    <t>XX19</t>
  </si>
  <si>
    <t>Salida Union Elementary</t>
  </si>
  <si>
    <t>XX30</t>
  </si>
  <si>
    <t>Shiloh Elementary</t>
  </si>
  <si>
    <t>XX10</t>
  </si>
  <si>
    <t>Stanislaus Union Elementary</t>
  </si>
  <si>
    <t>XX11</t>
  </si>
  <si>
    <t>Sylvan Union Elementary</t>
  </si>
  <si>
    <t>XX31</t>
  </si>
  <si>
    <t>Valley Home Joint Elementary</t>
  </si>
  <si>
    <t>XX05</t>
  </si>
  <si>
    <t>Newman-Crows Landing Unified</t>
  </si>
  <si>
    <t>XX25</t>
  </si>
  <si>
    <t>Hughson Unified</t>
  </si>
  <si>
    <t>XX09</t>
  </si>
  <si>
    <t>Riverbank Unified</t>
  </si>
  <si>
    <t>XX06</t>
  </si>
  <si>
    <t>Oakdale Joint Unified</t>
  </si>
  <si>
    <t>XX14</t>
  </si>
  <si>
    <t>Waterford Unified</t>
  </si>
  <si>
    <t>XX32</t>
  </si>
  <si>
    <t>Turlock Unified School District</t>
  </si>
  <si>
    <t>BV00</t>
  </si>
  <si>
    <t>Sutter County</t>
  </si>
  <si>
    <t>BV15</t>
  </si>
  <si>
    <t>AeroSTEM Academy</t>
  </si>
  <si>
    <t>BV04</t>
  </si>
  <si>
    <t>Brittan Elementary</t>
  </si>
  <si>
    <t>BV05</t>
  </si>
  <si>
    <t>Browns Elementary</t>
  </si>
  <si>
    <t>BV06</t>
  </si>
  <si>
    <t>East Nicolaus Joint Union High</t>
  </si>
  <si>
    <t>BV07</t>
  </si>
  <si>
    <t>Franklin Elementary</t>
  </si>
  <si>
    <t>BV01</t>
  </si>
  <si>
    <t>Live Oak Unified</t>
  </si>
  <si>
    <t>BV08</t>
  </si>
  <si>
    <t>Marcum-Illinois Union Elementary</t>
  </si>
  <si>
    <t>SO34</t>
  </si>
  <si>
    <t>South Sutter Charter</t>
  </si>
  <si>
    <t>0724</t>
  </si>
  <si>
    <t>BV09</t>
  </si>
  <si>
    <t>Meridian Elementary</t>
  </si>
  <si>
    <t>BV10</t>
  </si>
  <si>
    <t>Nuestro Elementary</t>
  </si>
  <si>
    <t>EL437</t>
  </si>
  <si>
    <t>Sutter Peak Charter Academy</t>
  </si>
  <si>
    <t>BV11</t>
  </si>
  <si>
    <t>Pleasant Grove Joint Union</t>
  </si>
  <si>
    <t>BV02</t>
  </si>
  <si>
    <t>Sutter Union High</t>
  </si>
  <si>
    <t>BV12</t>
  </si>
  <si>
    <t>Winship-Robbins</t>
  </si>
  <si>
    <t>EL438</t>
  </si>
  <si>
    <t>Feather River Charter</t>
  </si>
  <si>
    <t>BV03</t>
  </si>
  <si>
    <t>Yuba City Unified</t>
  </si>
  <si>
    <t>BV14</t>
  </si>
  <si>
    <t>Twin Rivers Charter</t>
  </si>
  <si>
    <t>0639</t>
  </si>
  <si>
    <t>EL439</t>
  </si>
  <si>
    <t>Yuba City Charter</t>
  </si>
  <si>
    <t>0289</t>
  </si>
  <si>
    <t>AE00</t>
  </si>
  <si>
    <t>Tehama County</t>
  </si>
  <si>
    <t>AE01</t>
  </si>
  <si>
    <t>Antelope Elementary</t>
  </si>
  <si>
    <t>AE02</t>
  </si>
  <si>
    <t>Corning Union Elementary</t>
  </si>
  <si>
    <t>AE03</t>
  </si>
  <si>
    <t>Corning Union High</t>
  </si>
  <si>
    <t>AE04</t>
  </si>
  <si>
    <t>Evergreen Union</t>
  </si>
  <si>
    <t>AE12</t>
  </si>
  <si>
    <t>Flournoy Union Elementary</t>
  </si>
  <si>
    <t>AE08</t>
  </si>
  <si>
    <t>Gerber Union Elementary</t>
  </si>
  <si>
    <t>AE13</t>
  </si>
  <si>
    <t>Kirkwood Elementary</t>
  </si>
  <si>
    <t>AE14</t>
  </si>
  <si>
    <t>Lassen View Union Elementary</t>
  </si>
  <si>
    <t>AE09</t>
  </si>
  <si>
    <t>Los Molinos Unified</t>
  </si>
  <si>
    <t>AE06</t>
  </si>
  <si>
    <t>Red Bluff Union Elementary</t>
  </si>
  <si>
    <t>AE07</t>
  </si>
  <si>
    <t>Red Bluff Joint Union High</t>
  </si>
  <si>
    <t>AE18</t>
  </si>
  <si>
    <t>Reeds Creek Elementary</t>
  </si>
  <si>
    <t>AE19</t>
  </si>
  <si>
    <t>Richfield Elementary</t>
  </si>
  <si>
    <t>AH00</t>
  </si>
  <si>
    <t>Trinity County</t>
  </si>
  <si>
    <t>AH01</t>
  </si>
  <si>
    <t>Burnt Ranch Elementary</t>
  </si>
  <si>
    <t>AH02</t>
  </si>
  <si>
    <t>Coffee Creek Elementary</t>
  </si>
  <si>
    <t>AH04</t>
  </si>
  <si>
    <t>Douglas City Elementary</t>
  </si>
  <si>
    <t>AH05</t>
  </si>
  <si>
    <t>Junction City Elementary</t>
  </si>
  <si>
    <t>AH06</t>
  </si>
  <si>
    <t>Lewiston Elementary</t>
  </si>
  <si>
    <t>AH07</t>
  </si>
  <si>
    <t>Trinity Center Elementary</t>
  </si>
  <si>
    <t>AH10</t>
  </si>
  <si>
    <t>Southern Trinity Joint Unified</t>
  </si>
  <si>
    <t>AH11</t>
  </si>
  <si>
    <t>Mountain Valley Unified</t>
  </si>
  <si>
    <t>AH12</t>
  </si>
  <si>
    <t>Trinity Alps Unified</t>
  </si>
  <si>
    <t>CG00</t>
  </si>
  <si>
    <t>Tulare County</t>
  </si>
  <si>
    <t>CG69</t>
  </si>
  <si>
    <t>Valley Life Charter</t>
  </si>
  <si>
    <t>CG68</t>
  </si>
  <si>
    <t>Sycamore Valley Academy</t>
  </si>
  <si>
    <t>CG67</t>
  </si>
  <si>
    <t>Blue Oak Academy</t>
  </si>
  <si>
    <t>EL440</t>
  </si>
  <si>
    <t>Eleanor Roosevelt Community Learning Center</t>
  </si>
  <si>
    <t>0395</t>
  </si>
  <si>
    <t>CG37</t>
  </si>
  <si>
    <t>Allensworth Elementary</t>
  </si>
  <si>
    <t>CG27</t>
  </si>
  <si>
    <t>Alpaugh Unified</t>
  </si>
  <si>
    <t>EL441</t>
  </si>
  <si>
    <t>California Connections Academy Central Valley</t>
  </si>
  <si>
    <t>0804</t>
  </si>
  <si>
    <t>CG38</t>
  </si>
  <si>
    <t>Alta Vista Elementary</t>
  </si>
  <si>
    <t>EL442</t>
  </si>
  <si>
    <t>Monarch River Academy</t>
  </si>
  <si>
    <t>CG39</t>
  </si>
  <si>
    <t>Buena Vista Elementary</t>
  </si>
  <si>
    <t>CG17</t>
  </si>
  <si>
    <t>Burton Elementary</t>
  </si>
  <si>
    <t>CG41</t>
  </si>
  <si>
    <t>Columbine Elementary</t>
  </si>
  <si>
    <t>CG03</t>
  </si>
  <si>
    <t>Cutler-Orosi Joint Unified</t>
  </si>
  <si>
    <t>CG42</t>
  </si>
  <si>
    <t>Ducor Union Elementary</t>
  </si>
  <si>
    <t>CG07</t>
  </si>
  <si>
    <t>Earlimart Elementary</t>
  </si>
  <si>
    <t>CG43</t>
  </si>
  <si>
    <t>CG44</t>
  </si>
  <si>
    <t>Hot Springs Elementary</t>
  </si>
  <si>
    <t>CG25</t>
  </si>
  <si>
    <t>Kings River Union Elementary</t>
  </si>
  <si>
    <t>CG45</t>
  </si>
  <si>
    <t>CG11</t>
  </si>
  <si>
    <t>Lindsay Unified</t>
  </si>
  <si>
    <t>CG46</t>
  </si>
  <si>
    <t>Monson-Sultana Joint Union Elementary</t>
  </si>
  <si>
    <t>CG47</t>
  </si>
  <si>
    <t>Oak Valley Union Elementary</t>
  </si>
  <si>
    <t>CG48</t>
  </si>
  <si>
    <t>Outside Creek Elementary</t>
  </si>
  <si>
    <t>CG28</t>
  </si>
  <si>
    <t>Palo Verde Union Elementary</t>
  </si>
  <si>
    <t>CG24</t>
  </si>
  <si>
    <t>Pixley Union Elementary</t>
  </si>
  <si>
    <t>CG49</t>
  </si>
  <si>
    <t>Pleasant View Elementary</t>
  </si>
  <si>
    <t>CG50</t>
  </si>
  <si>
    <t>Richgrove Elementary</t>
  </si>
  <si>
    <t>CG51</t>
  </si>
  <si>
    <t>Rockford  Elementary</t>
  </si>
  <si>
    <t>CG52</t>
  </si>
  <si>
    <t>Saucelito Elementary</t>
  </si>
  <si>
    <t>CG53</t>
  </si>
  <si>
    <t>Sequoia Union Elementary</t>
  </si>
  <si>
    <t>CG54</t>
  </si>
  <si>
    <t>Springville Union Elementary</t>
  </si>
  <si>
    <t>CG55</t>
  </si>
  <si>
    <t>Stone Corral Elementary</t>
  </si>
  <si>
    <t>FD17</t>
  </si>
  <si>
    <t>Crescent Valley Public Charter II</t>
  </si>
  <si>
    <t>CG56</t>
  </si>
  <si>
    <t>Strathmore Union Elementary</t>
  </si>
  <si>
    <t>CG16</t>
  </si>
  <si>
    <t>Sundale Union Elementary</t>
  </si>
  <si>
    <t>CG57</t>
  </si>
  <si>
    <t>Sunnyside Union Elementary</t>
  </si>
  <si>
    <t>CG33</t>
  </si>
  <si>
    <t>Terra Bella Union Elementary</t>
  </si>
  <si>
    <t>CG58</t>
  </si>
  <si>
    <t>Three Rivers Union Elementary</t>
  </si>
  <si>
    <t>CG59</t>
  </si>
  <si>
    <t>Tipton Elementary</t>
  </si>
  <si>
    <t>CG60</t>
  </si>
  <si>
    <t>Traver Joint Elementary</t>
  </si>
  <si>
    <t>CG10</t>
  </si>
  <si>
    <t>Tulare City</t>
  </si>
  <si>
    <t>CG02</t>
  </si>
  <si>
    <t>Tulare Joint Union High</t>
  </si>
  <si>
    <t>CG05</t>
  </si>
  <si>
    <t>Visalia Unified</t>
  </si>
  <si>
    <t>CG61</t>
  </si>
  <si>
    <t>Waukena Joint Union Elementary</t>
  </si>
  <si>
    <t>CG23</t>
  </si>
  <si>
    <t>Woodville Union Elementary</t>
  </si>
  <si>
    <t>CG34</t>
  </si>
  <si>
    <t>Farmersville Unified</t>
  </si>
  <si>
    <t>CG36</t>
  </si>
  <si>
    <t>Porterville Unified</t>
  </si>
  <si>
    <t>CG35</t>
  </si>
  <si>
    <t>Dinuba Unified</t>
  </si>
  <si>
    <t>CG63</t>
  </si>
  <si>
    <t>Woodlake Unified</t>
  </si>
  <si>
    <t>CG65</t>
  </si>
  <si>
    <t>Exeter Unified</t>
  </si>
  <si>
    <t>TU00</t>
  </si>
  <si>
    <t>Tuolumne County</t>
  </si>
  <si>
    <t>TU10</t>
  </si>
  <si>
    <t>Belleview Elementary</t>
  </si>
  <si>
    <t>TU12</t>
  </si>
  <si>
    <t>Columbia Union</t>
  </si>
  <si>
    <t>TU13</t>
  </si>
  <si>
    <t>Curtis Creek Elementary</t>
  </si>
  <si>
    <t>TU14</t>
  </si>
  <si>
    <t>Jamestown Elementary</t>
  </si>
  <si>
    <t>TU15</t>
  </si>
  <si>
    <t>Sonora Elementary</t>
  </si>
  <si>
    <t>TU16</t>
  </si>
  <si>
    <t>Sonora Union High</t>
  </si>
  <si>
    <t>TU17</t>
  </si>
  <si>
    <t>Soulsbyville Elementary</t>
  </si>
  <si>
    <t>TU18</t>
  </si>
  <si>
    <t>Summerville Elementary</t>
  </si>
  <si>
    <t>TU19</t>
  </si>
  <si>
    <t>Summerville Union High</t>
  </si>
  <si>
    <t>TU20</t>
  </si>
  <si>
    <t>Twain Harte</t>
  </si>
  <si>
    <t>TU21</t>
  </si>
  <si>
    <t>Big Oak Flat-Groveland Unified</t>
  </si>
  <si>
    <t>EL443</t>
  </si>
  <si>
    <t>Vista Real Charter High</t>
  </si>
  <si>
    <t>0735</t>
  </si>
  <si>
    <t>AG01</t>
  </si>
  <si>
    <t>Briggs Elementary</t>
  </si>
  <si>
    <t>AG15</t>
  </si>
  <si>
    <t>Fillmore Unified</t>
  </si>
  <si>
    <t>AG03</t>
  </si>
  <si>
    <t>Hueneme Elementary</t>
  </si>
  <si>
    <t>AG04</t>
  </si>
  <si>
    <t>Mesa Union Elementary</t>
  </si>
  <si>
    <t>AG23</t>
  </si>
  <si>
    <t>Mupu Elementary</t>
  </si>
  <si>
    <t>AG06</t>
  </si>
  <si>
    <t>AG16</t>
  </si>
  <si>
    <t>Ojai Unified</t>
  </si>
  <si>
    <t>AG07</t>
  </si>
  <si>
    <t>Oxnard</t>
  </si>
  <si>
    <t>AG13</t>
  </si>
  <si>
    <t>Oxnard Union High</t>
  </si>
  <si>
    <t>AG08</t>
  </si>
  <si>
    <t>Pleasant Valley</t>
  </si>
  <si>
    <t>AG09</t>
  </si>
  <si>
    <t>Rio Elementary</t>
  </si>
  <si>
    <t>AG24</t>
  </si>
  <si>
    <t>Santa Clara Elementary</t>
  </si>
  <si>
    <t>AG21</t>
  </si>
  <si>
    <t>Simi Valley Unified</t>
  </si>
  <si>
    <t>AG11</t>
  </si>
  <si>
    <t>Somis Union</t>
  </si>
  <si>
    <t>AG18</t>
  </si>
  <si>
    <t>Ventura Unified</t>
  </si>
  <si>
    <t>AG02</t>
  </si>
  <si>
    <t>Conejo Valley Unified</t>
  </si>
  <si>
    <t>AG17</t>
  </si>
  <si>
    <t>Oak Park Unified</t>
  </si>
  <si>
    <t>AG20</t>
  </si>
  <si>
    <t>Moorpark Unified</t>
  </si>
  <si>
    <t>AG25</t>
  </si>
  <si>
    <t>Santa Paula Unified</t>
  </si>
  <si>
    <t>BH00</t>
  </si>
  <si>
    <t>Yolo County</t>
  </si>
  <si>
    <t>EL444</t>
  </si>
  <si>
    <t>Empowering Possibilities International Charter</t>
  </si>
  <si>
    <t>BH01</t>
  </si>
  <si>
    <t>Davis Joint Unified</t>
  </si>
  <si>
    <t>BH02</t>
  </si>
  <si>
    <t>Esparto Unified</t>
  </si>
  <si>
    <t>BH03</t>
  </si>
  <si>
    <t>EL445</t>
  </si>
  <si>
    <t>Sacramento Valley Charter</t>
  </si>
  <si>
    <t>EL446</t>
  </si>
  <si>
    <t>River Charter Schools-Lighthouse Charter</t>
  </si>
  <si>
    <t>BH04</t>
  </si>
  <si>
    <t>Winters Joint Unified</t>
  </si>
  <si>
    <t>EL447</t>
  </si>
  <si>
    <t>Compass Charter School of Yolo</t>
  </si>
  <si>
    <t>BH05</t>
  </si>
  <si>
    <t>Woodland Joint Unified</t>
  </si>
  <si>
    <t>BC04</t>
  </si>
  <si>
    <t>Camptonville Elementary</t>
  </si>
  <si>
    <t>BC03</t>
  </si>
  <si>
    <t>Marysville Joint Unified</t>
  </si>
  <si>
    <t>EL448</t>
  </si>
  <si>
    <t>Paragon Collegiate Academy</t>
  </si>
  <si>
    <t>BC05</t>
  </si>
  <si>
    <t>Plumas Lake Elementary</t>
  </si>
  <si>
    <t>BC01</t>
  </si>
  <si>
    <t>Wheatland</t>
  </si>
  <si>
    <t>BC02</t>
  </si>
  <si>
    <t>Wheatland Union High</t>
  </si>
  <si>
    <t>American Indian Public Charter School II</t>
  </si>
  <si>
    <t>EL462</t>
  </si>
  <si>
    <t>EL453</t>
  </si>
  <si>
    <t>Shade Canyon</t>
  </si>
  <si>
    <t>Los Angeles County (LA Court)</t>
  </si>
  <si>
    <t>EL464</t>
  </si>
  <si>
    <t>EL465</t>
  </si>
  <si>
    <t>EL458</t>
  </si>
  <si>
    <t>Grace Hopper STEM Academy</t>
  </si>
  <si>
    <t>LA31</t>
  </si>
  <si>
    <t>LA30</t>
  </si>
  <si>
    <t>Mayacamas Charter Middle School</t>
  </si>
  <si>
    <t>Orange County Classical Academy</t>
  </si>
  <si>
    <t>EL454</t>
  </si>
  <si>
    <t>Vista Meridian Global Academy</t>
  </si>
  <si>
    <t>EL452</t>
  </si>
  <si>
    <t>Oxford Preparatory Academy - Middle School</t>
  </si>
  <si>
    <t>EL449</t>
  </si>
  <si>
    <t>California Republic Leadership Academy Capistrano</t>
  </si>
  <si>
    <t>Palm Lane Global Academy</t>
  </si>
  <si>
    <t>EL460</t>
  </si>
  <si>
    <t>EL463</t>
  </si>
  <si>
    <t>EL450</t>
  </si>
  <si>
    <t>Capital College and Career Academy</t>
  </si>
  <si>
    <t>EL451</t>
  </si>
  <si>
    <t>New Pacific School - Rancho Cordova</t>
  </si>
  <si>
    <t>SA18</t>
  </si>
  <si>
    <t>Allegiance STEAM Academy - Thrive, Fontana</t>
  </si>
  <si>
    <t>EL457</t>
  </si>
  <si>
    <t>EL459</t>
  </si>
  <si>
    <t>San Diego Global Vision Academy</t>
  </si>
  <si>
    <t>EL461</t>
  </si>
  <si>
    <t>Insight @ San Diego</t>
  </si>
  <si>
    <t>EL455</t>
  </si>
  <si>
    <t>California Virtual Academy @ San Diego</t>
  </si>
  <si>
    <t>0493</t>
  </si>
  <si>
    <t>ABLE Charter</t>
  </si>
  <si>
    <t>Stockton Unified</t>
  </si>
  <si>
    <t>Aspire Arts &amp; Sciences Academy</t>
  </si>
  <si>
    <t>KIPP Stockton</t>
  </si>
  <si>
    <t>Kairos Public</t>
  </si>
  <si>
    <t>EL456</t>
  </si>
  <si>
    <t>California Virtual Academy @ Sutter</t>
  </si>
  <si>
    <t>BC11</t>
  </si>
  <si>
    <t>Yuba Environmental Science Charter Academy</t>
  </si>
  <si>
    <t>0990</t>
  </si>
  <si>
    <t>BC10</t>
  </si>
  <si>
    <t>CORE Charter</t>
  </si>
  <si>
    <t>0165</t>
  </si>
  <si>
    <t>EL466</t>
  </si>
  <si>
    <t>Paradise Charter Middle</t>
  </si>
  <si>
    <t>0079</t>
  </si>
  <si>
    <t>EL471</t>
  </si>
  <si>
    <t>Central Academy of Arts and Technology</t>
  </si>
  <si>
    <t>AM53</t>
  </si>
  <si>
    <t>Grow Public Schools</t>
  </si>
  <si>
    <t>DX19</t>
  </si>
  <si>
    <t>Options For Youth - Duarte, Inc</t>
  </si>
  <si>
    <t>LA33</t>
  </si>
  <si>
    <t>Mayacamas Countywide Middle</t>
  </si>
  <si>
    <t>LA32</t>
  </si>
  <si>
    <t>Explore Academy</t>
  </si>
  <si>
    <t>EL473</t>
  </si>
  <si>
    <t>California Republic Leadership Academy Yorba Linda</t>
  </si>
  <si>
    <t>EL468</t>
  </si>
  <si>
    <t>0294</t>
  </si>
  <si>
    <t>EL469</t>
  </si>
  <si>
    <t>Irvine Chinese Immersion Academy</t>
  </si>
  <si>
    <t>EL467</t>
  </si>
  <si>
    <t>Visions In Education</t>
  </si>
  <si>
    <t>0248</t>
  </si>
  <si>
    <t>EL472</t>
  </si>
  <si>
    <t>Inland Empire Springs Charter School</t>
  </si>
  <si>
    <t>SA20</t>
  </si>
  <si>
    <t>Ballington Academy for the Arts and Sciences, San Bernardino</t>
  </si>
  <si>
    <t>SA19</t>
  </si>
  <si>
    <t>Options for Youth-Victor Valley Charter</t>
  </si>
  <si>
    <t>0013</t>
  </si>
  <si>
    <t>EL470</t>
  </si>
  <si>
    <t>KIPP University Park</t>
  </si>
  <si>
    <t>AR31</t>
  </si>
  <si>
    <t>Goleta Union Elementary</t>
  </si>
  <si>
    <t>NP00</t>
  </si>
  <si>
    <t>Santa Clara North West</t>
  </si>
  <si>
    <t>Santa Clara South East</t>
  </si>
  <si>
    <t>NP01</t>
  </si>
  <si>
    <t>NP02</t>
  </si>
  <si>
    <t>NP03</t>
  </si>
  <si>
    <t>NP04</t>
  </si>
  <si>
    <t>NP05</t>
  </si>
  <si>
    <t>NP06</t>
  </si>
  <si>
    <t>NP07</t>
  </si>
  <si>
    <t>NP08</t>
  </si>
  <si>
    <t>NP09</t>
  </si>
  <si>
    <t>NP10</t>
  </si>
  <si>
    <t>NP11</t>
  </si>
  <si>
    <t>NP12</t>
  </si>
  <si>
    <t>NP13</t>
  </si>
  <si>
    <t>NP14</t>
  </si>
  <si>
    <t>ND13</t>
  </si>
  <si>
    <t>Mount Pleasant Elementary</t>
  </si>
  <si>
    <t>NP15</t>
  </si>
  <si>
    <t>NP16</t>
  </si>
  <si>
    <t>NP17</t>
  </si>
  <si>
    <t>NP18</t>
  </si>
  <si>
    <t>NP19</t>
  </si>
  <si>
    <t>NP20</t>
  </si>
  <si>
    <t>Fiscal Year 2023–24</t>
  </si>
  <si>
    <t>County Code</t>
  </si>
  <si>
    <t>District Code</t>
  </si>
  <si>
    <t>School Code</t>
  </si>
  <si>
    <t>Charter Number</t>
  </si>
  <si>
    <t>SELPA LEA ID</t>
  </si>
  <si>
    <t>SELPA Member</t>
  </si>
  <si>
    <t>SELPA Name</t>
  </si>
  <si>
    <t>Current Year District ADA
A-1</t>
  </si>
  <si>
    <t>Prior Year District ADA
A-1</t>
  </si>
  <si>
    <t>Second Prior Year District ADA
A-1</t>
  </si>
  <si>
    <t>Current Year District Supplement ADA
A-2</t>
  </si>
  <si>
    <t>Prior Year District Supplement ADA
A-2</t>
  </si>
  <si>
    <t>Second Prior Year District Supplement ADA
A-2</t>
  </si>
  <si>
    <t>Current Year Basic Aid Choice / Court-Ordered Voluntary Pupil Transfer ADA
A-3</t>
  </si>
  <si>
    <t>Prior Year Basic Aid Choice / Court-Ordered Voluntary Pupil Transfer ADA
A-3</t>
  </si>
  <si>
    <t>Second Prior Year Basic Aid Choice / Court-Ordered Voluntary Pupil Transfer ADA
A-3</t>
  </si>
  <si>
    <t>Current Year Basic Aid Open Enrollment ADA
A-4</t>
  </si>
  <si>
    <t>Prior Year Basic Aid Open Enrollment ADA
A-4</t>
  </si>
  <si>
    <t>Second Prior Year Basic Aid Open Enrollment ADA
A-4</t>
  </si>
  <si>
    <t>Current Year Countywide Charter ADA
A-7</t>
  </si>
  <si>
    <t>Prior Year Countywide Charter ADA
A-7</t>
  </si>
  <si>
    <t>Second Prior Year Countywide Charter ADA
A-7</t>
  </si>
  <si>
    <t>Current Year District Charter ADA
A-8</t>
  </si>
  <si>
    <t>Prior Year District Charter ADA
A-8</t>
  </si>
  <si>
    <t>Second Prior Year District Charter ADA
A-8</t>
  </si>
  <si>
    <t>Current Year Statewide Benefit Charter ADA
A-9</t>
  </si>
  <si>
    <t>Prior Year Statewide Benefit Charter ADA
A-9</t>
  </si>
  <si>
    <t>Second Prior Year Statewide Benefit Charter ADA
A-9</t>
  </si>
  <si>
    <t>Cuurent Year Total ADA (Sum of A-1 through A-9)
A-10</t>
  </si>
  <si>
    <t>Prior Year Total ADA 
(Sum of A-1 through A-9)
A-10</t>
  </si>
  <si>
    <t>Second Prior Year Total ADA 
(Sum of A-1 through A-9)
A-10</t>
  </si>
  <si>
    <t>Current Year column: Prior Year(s) ADA Adjusted for a Charter School that is an LEA for Purpose of Special Education 
A-11</t>
  </si>
  <si>
    <t>Prior Year column: Prior Year(s) ADA Adjusted for a Charter School that is an LEA for Purpose of Special Education 
A-11</t>
  </si>
  <si>
    <t>Second Prior Year column: Prior Year(s) ADA Adjusted for a Charter School that is an LEA for Purpose of Special Education 
A-11</t>
  </si>
  <si>
    <t>Current Year Total Adjusted ADA 
(A-10 + A-11)
A-12</t>
  </si>
  <si>
    <t>Prior Year Total Adjusted ADA 
(A-10 + A-11)
A-12</t>
  </si>
  <si>
    <t>Second Prior Year Total Adjusted ADA 
(A-10 + A-11)
A-12</t>
  </si>
  <si>
    <t>Funded ADA 
(Greater of Current Year, Prior Year, or Second Prior Year ADA of Line A-12)
A-13</t>
  </si>
  <si>
    <t>Fiscal Year 2024–25</t>
  </si>
  <si>
    <t>Fiscal Year 2022–23</t>
  </si>
  <si>
    <t>TOTAL</t>
  </si>
  <si>
    <t>Prepared by:</t>
  </si>
  <si>
    <t>California Department of Education</t>
  </si>
  <si>
    <t>School Fiscal Services Division</t>
  </si>
  <si>
    <t>SELPA AB 602 ADA - 2024–25 Second Principal (P-2) Apportionment</t>
  </si>
  <si>
    <t>June 2025</t>
  </si>
  <si>
    <t>SELPA AB 602 ADA - 2023–24 First Annual Recertification (AN R1)</t>
  </si>
  <si>
    <t>SELPA AB 602 ADA - 2022–23 Third Annual Recertification (AN R3)</t>
  </si>
  <si>
    <t>N/A</t>
  </si>
  <si>
    <t>Current Year County / Charter ADA
A-5</t>
  </si>
  <si>
    <t>Prior Year County / Charter ADA
A-5</t>
  </si>
  <si>
    <t>Second Prior Year County / Charter ADA
A-5</t>
  </si>
  <si>
    <t>Current Year District / Charter Funded County Programs ADA
A-6</t>
  </si>
  <si>
    <t>Prior Year District / Charter Funded County Programs ADA
A-6</t>
  </si>
  <si>
    <t>Second Prior Year District / Charter Funded County Programs ADA
A-6</t>
  </si>
  <si>
    <t>Cuurent Year Total ADA
(Sum of A-1 through A-9)
A-10</t>
  </si>
  <si>
    <t>LEGEND: SELPA = Special Education Local Plan Area; AB = Assembly Bill; ADA= Average Daily Attendance; LEA = Local Educational Agency; COE = County Office of Education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</si>
</sst>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(* #,##0.00_);_(* \(#,##0.00\);_(* &quot;-&quot;??_);_(@_)"/>
  </numFmts>
  <fonts count="10" x14ac:knownFonts="1">
    <font>
      <sz val="12"/>
      <color theme="1"/>
      <name val="Arial"/>
      <family val="2"/>
    </font>
    <font>
      <sz val="11"/>
      <color theme="1"/>
      <name val="Aptos Narrow"/>
      <family val="2"/>
      <scheme val="minor"/>
    </font>
    <font>
      <sz val="10"/>
      <color indexed="8"/>
      <name val="Arial"/>
    </font>
    <font>
      <sz val="10"/>
      <color indexed="8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Alignment="0" applyProtection="0"/>
    <xf numFmtId="0" fontId="2" fillId="0" borderId="0"/>
    <xf numFmtId="43" fontId="3" fillId="0" borderId="0" applyFont="0" applyFill="0" applyBorder="0" applyAlignment="0" applyProtection="0"/>
    <xf numFmtId="0" fontId="4" fillId="2" borderId="1" applyNumberFormat="0" applyProtection="0">
      <alignment horizontal="center" wrapText="1"/>
    </xf>
    <xf numFmtId="0" fontId="7" fillId="0" borderId="0" applyNumberFormat="0" applyFill="0" applyAlignment="0" applyProtection="0"/>
    <xf numFmtId="0" fontId="3" fillId="0" borderId="0"/>
  </cellStyleXfs>
  <cellXfs count="6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readingOrder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43" fontId="5" fillId="0" borderId="0" xfId="0" applyNumberFormat="1" applyFont="1" applyAlignment="1">
      <alignment horizontal="centerContinuous"/>
    </xf>
    <xf numFmtId="43" fontId="5" fillId="0" borderId="0" xfId="0" applyNumberFormat="1" applyFont="1"/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 readingOrder="1"/>
    </xf>
    <xf numFmtId="0" fontId="0" fillId="0" borderId="0" xfId="0" applyAlignment="1">
      <alignment horizontal="left" readingOrder="1"/>
    </xf>
    <xf numFmtId="0" fontId="0" fillId="0" borderId="0" xfId="0" quotePrefix="1" applyAlignment="1">
      <alignment horizontal="left" readingOrder="1"/>
    </xf>
    <xf numFmtId="0" fontId="5" fillId="0" borderId="0" xfId="0" applyFont="1" applyAlignment="1">
      <alignment horizontal="left" readingOrder="1"/>
    </xf>
    <xf numFmtId="0" fontId="7" fillId="0" borderId="0" xfId="6"/>
    <xf numFmtId="0" fontId="8" fillId="0" borderId="0" xfId="2" applyAlignment="1">
      <alignment horizontal="left"/>
    </xf>
    <xf numFmtId="0" fontId="4" fillId="2" borderId="2" xfId="5" applyBorder="1">
      <alignment horizontal="center" wrapText="1"/>
    </xf>
    <xf numFmtId="0" fontId="6" fillId="0" borderId="1" xfId="3" applyFont="1" applyBorder="1"/>
    <xf numFmtId="0" fontId="6" fillId="0" borderId="1" xfId="3" applyFont="1" applyBorder="1" applyAlignment="1">
      <alignment horizontal="left"/>
    </xf>
    <xf numFmtId="0" fontId="6" fillId="0" borderId="0" xfId="3" applyFont="1"/>
    <xf numFmtId="1" fontId="6" fillId="0" borderId="1" xfId="3" applyNumberFormat="1" applyFont="1" applyBorder="1" applyAlignment="1">
      <alignment horizontal="left"/>
    </xf>
    <xf numFmtId="0" fontId="6" fillId="0" borderId="0" xfId="3" applyFont="1" applyAlignment="1">
      <alignment horizontal="left"/>
    </xf>
    <xf numFmtId="0" fontId="8" fillId="0" borderId="0" xfId="2"/>
    <xf numFmtId="0" fontId="9" fillId="0" borderId="0" xfId="0" applyFont="1"/>
    <xf numFmtId="0" fontId="6" fillId="0" borderId="0" xfId="7" applyFont="1"/>
    <xf numFmtId="0" fontId="6" fillId="0" borderId="0" xfId="7" applyFont="1" applyAlignment="1">
      <alignment horizontal="left"/>
    </xf>
    <xf numFmtId="0" fontId="6" fillId="0" borderId="1" xfId="7" applyFont="1" applyBorder="1"/>
    <xf numFmtId="0" fontId="6" fillId="0" borderId="1" xfId="7" applyFont="1" applyBorder="1" applyAlignment="1">
      <alignment horizontal="left"/>
    </xf>
    <xf numFmtId="1" fontId="6" fillId="0" borderId="1" xfId="7" applyNumberFormat="1" applyFont="1" applyBorder="1" applyAlignment="1">
      <alignment horizontal="left"/>
    </xf>
    <xf numFmtId="0" fontId="5" fillId="0" borderId="0" xfId="0" quotePrefix="1" applyFont="1" applyAlignment="1">
      <alignment horizontal="left" readingOrder="1"/>
    </xf>
    <xf numFmtId="0" fontId="6" fillId="0" borderId="0" xfId="7" applyFont="1" applyAlignment="1">
      <alignment horizontal="right"/>
    </xf>
    <xf numFmtId="0" fontId="8" fillId="0" borderId="0" xfId="2" applyNumberFormat="1" applyAlignment="1">
      <alignment horizontal="left"/>
    </xf>
    <xf numFmtId="43" fontId="9" fillId="0" borderId="0" xfId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9" fillId="0" borderId="0" xfId="0" applyFont="1" applyAlignment="1">
      <alignment horizontal="left"/>
    </xf>
    <xf numFmtId="43" fontId="9" fillId="0" borderId="0" xfId="0" applyNumberFormat="1" applyFont="1" applyAlignment="1">
      <alignment horizontal="centerContinuous"/>
    </xf>
    <xf numFmtId="0" fontId="6" fillId="0" borderId="1" xfId="3" applyFont="1" applyBorder="1" applyAlignment="1">
      <alignment wrapText="1"/>
    </xf>
    <xf numFmtId="0" fontId="7" fillId="0" borderId="0" xfId="6" applyAlignment="1">
      <alignment horizontal="left"/>
    </xf>
    <xf numFmtId="0" fontId="7" fillId="0" borderId="0" xfId="6" applyAlignment="1">
      <alignment horizontal="center"/>
    </xf>
    <xf numFmtId="43" fontId="7" fillId="0" borderId="0" xfId="6" applyNumberFormat="1"/>
    <xf numFmtId="43" fontId="6" fillId="0" borderId="1" xfId="3" applyNumberFormat="1" applyFont="1" applyBorder="1"/>
    <xf numFmtId="0" fontId="6" fillId="0" borderId="3" xfId="3" applyFont="1" applyBorder="1"/>
    <xf numFmtId="1" fontId="6" fillId="0" borderId="3" xfId="3" applyNumberFormat="1" applyFont="1" applyBorder="1" applyAlignment="1">
      <alignment horizontal="left"/>
    </xf>
    <xf numFmtId="0" fontId="6" fillId="0" borderId="3" xfId="3" applyFont="1" applyBorder="1" applyAlignment="1">
      <alignment horizontal="left"/>
    </xf>
    <xf numFmtId="0" fontId="6" fillId="0" borderId="3" xfId="3" applyFont="1" applyBorder="1" applyAlignment="1">
      <alignment wrapText="1"/>
    </xf>
    <xf numFmtId="43" fontId="6" fillId="0" borderId="3" xfId="3" applyNumberFormat="1" applyFont="1" applyBorder="1"/>
    <xf numFmtId="0" fontId="7" fillId="0" borderId="0" xfId="6" applyBorder="1" applyAlignment="1">
      <alignment horizontal="left"/>
    </xf>
    <xf numFmtId="0" fontId="7" fillId="0" borderId="0" xfId="6" applyBorder="1" applyAlignment="1">
      <alignment horizontal="center"/>
    </xf>
    <xf numFmtId="0" fontId="7" fillId="0" borderId="0" xfId="6" applyBorder="1"/>
    <xf numFmtId="43" fontId="7" fillId="0" borderId="0" xfId="6" applyNumberFormat="1" applyBorder="1"/>
    <xf numFmtId="0" fontId="6" fillId="0" borderId="4" xfId="7" applyFont="1" applyBorder="1"/>
    <xf numFmtId="0" fontId="4" fillId="2" borderId="6" xfId="5" applyBorder="1">
      <alignment horizontal="center" wrapText="1"/>
    </xf>
    <xf numFmtId="0" fontId="4" fillId="2" borderId="7" xfId="5" applyBorder="1">
      <alignment horizontal="center" wrapText="1"/>
    </xf>
    <xf numFmtId="0" fontId="4" fillId="2" borderId="8" xfId="5" applyBorder="1">
      <alignment horizontal="center" wrapText="1"/>
    </xf>
    <xf numFmtId="0" fontId="7" fillId="0" borderId="9" xfId="6" applyBorder="1" applyAlignment="1">
      <alignment horizontal="left"/>
    </xf>
    <xf numFmtId="0" fontId="7" fillId="0" borderId="3" xfId="6" applyBorder="1" applyAlignment="1">
      <alignment horizontal="center"/>
    </xf>
    <xf numFmtId="0" fontId="7" fillId="0" borderId="3" xfId="6" applyBorder="1"/>
    <xf numFmtId="43" fontId="7" fillId="0" borderId="3" xfId="6" applyNumberFormat="1" applyBorder="1"/>
    <xf numFmtId="43" fontId="7" fillId="0" borderId="10" xfId="6" applyNumberFormat="1" applyBorder="1"/>
    <xf numFmtId="0" fontId="4" fillId="2" borderId="7" xfId="5" applyBorder="1" applyAlignment="1">
      <alignment horizontal="center" wrapText="1"/>
    </xf>
    <xf numFmtId="0" fontId="6" fillId="0" borderId="1" xfId="7" applyFont="1" applyBorder="1" applyAlignment="1">
      <alignment wrapText="1"/>
    </xf>
    <xf numFmtId="43" fontId="6" fillId="0" borderId="1" xfId="7" applyNumberFormat="1" applyFont="1" applyBorder="1"/>
    <xf numFmtId="43" fontId="6" fillId="0" borderId="5" xfId="7" applyNumberFormat="1" applyFont="1" applyBorder="1"/>
  </cellXfs>
  <cellStyles count="8">
    <cellStyle name="Comma" xfId="1" builtinId="3"/>
    <cellStyle name="Comma 2" xfId="4" xr:uid="{DB3FC503-450A-4DC2-93BD-C0F8C021C5BF}"/>
    <cellStyle name="Heading 1" xfId="2" builtinId="16" customBuiltin="1"/>
    <cellStyle name="Normal" xfId="0" builtinId="0" customBuiltin="1"/>
    <cellStyle name="Normal 2" xfId="3" xr:uid="{26C0FE0B-5527-497C-A9F1-54FCA0842582}"/>
    <cellStyle name="Normal 3" xfId="7" xr:uid="{C1FEEA00-DE48-4DE0-A258-C3F7DF3AD760}"/>
    <cellStyle name="PAS Table Header" xfId="5" xr:uid="{B93A3B66-BA56-4BDE-9371-30258033105B}"/>
    <cellStyle name="Total" xfId="6" builtinId="25" customBuiltin="1"/>
  </cellStyles>
  <dxfs count="14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1" formatCode="0"/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/>
        <right/>
        <top style="thin">
          <color auto="1"/>
        </top>
        <bottom/>
        <vertical/>
        <horizontal/>
      </border>
    </dxf>
    <dxf>
      <font>
        <b/>
        <i val="0"/>
        <strike val="0"/>
        <color theme="0"/>
      </font>
      <fill>
        <patternFill>
          <bgColor rgb="FF008000"/>
        </patternFill>
      </fill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3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numFmt numFmtId="1" formatCode="0"/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PAS Table" defaultPivotStyle="PivotStyleLight16">
    <tableStyle name="PAS Table" pivot="0" count="3" xr9:uid="{35688176-5155-4A29-A89F-0A934BBE289E}">
      <tableStyleElement type="wholeTable" dxfId="100"/>
      <tableStyleElement type="headerRow" dxfId="99"/>
      <tableStyleElement type="totalRow" dxfId="98"/>
    </tableStyle>
  </tableStyles>
  <colors>
    <mruColors>
      <color rgb="FFC0C0C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D10A195-5AF7-45C3-978C-2192D8AFD16B}" name="Table1" displayName="Table1" ref="A4:AR1659" totalsRowShown="0" headerRowDxfId="101" dataDxfId="102" headerRowCellStyle="PAS Table Header" dataCellStyle="Normal 2">
  <autoFilter ref="A4:AR1659" xr:uid="{7D10A195-5AF7-45C3-978C-2192D8AFD16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</autoFilter>
  <tableColumns count="44">
    <tableColumn id="1" xr3:uid="{7DE9B788-877A-4EEE-859A-9B9562721C1B}" name="County Code" dataDxfId="146" dataCellStyle="Normal 2"/>
    <tableColumn id="2" xr3:uid="{1731458F-3B24-4D1A-B5AA-688448C1C000}" name="District Code" dataDxfId="145" dataCellStyle="Normal 2"/>
    <tableColumn id="3" xr3:uid="{570328AD-0EA6-4A9A-B4D7-04CCDC62B723}" name="School Code" dataDxfId="144" dataCellStyle="Normal 2"/>
    <tableColumn id="4" xr3:uid="{9F01B3FE-B9D1-4131-B764-18424C7408EC}" name="Charter Number" dataDxfId="143" dataCellStyle="Normal 2"/>
    <tableColumn id="5" xr3:uid="{22D02917-5CDC-4FBE-A8B1-8CDA6923DBC6}" name="SELPA LEA ID" dataDxfId="142" dataCellStyle="Normal 2"/>
    <tableColumn id="6" xr3:uid="{994B7E4C-0B94-4D97-901C-5920D50A21A3}" name="SELPA Member" dataDxfId="141" dataCellStyle="Normal 2"/>
    <tableColumn id="7" xr3:uid="{7EC7CFF0-99E4-4436-B7E6-4398308379BD}" name="SELPA Name" dataDxfId="140" dataCellStyle="Normal 2"/>
    <tableColumn id="8" xr3:uid="{B4958BFD-8742-4FA2-8C3A-871B305B4934}" name="Current Year District ADA_x000a_A-1" dataDxfId="139" dataCellStyle="Normal 2"/>
    <tableColumn id="9" xr3:uid="{25A42131-AD89-4877-800D-845B29D0A3E8}" name="Prior Year District ADA_x000a_A-1" dataDxfId="138" dataCellStyle="Normal 2"/>
    <tableColumn id="10" xr3:uid="{7B8F3F59-AC10-40F5-82ED-FCD86D799975}" name="Second Prior Year District ADA_x000a_A-1" dataDxfId="137" dataCellStyle="Normal 2"/>
    <tableColumn id="11" xr3:uid="{123EB1CC-C50D-43E2-ADAE-0B855F287102}" name="Current Year District Supplement ADA_x000a_A-2" dataDxfId="136" dataCellStyle="Normal 2"/>
    <tableColumn id="12" xr3:uid="{23AF7526-04EF-4432-A59A-4CD10153FD8E}" name="Prior Year District Supplement ADA_x000a_A-2" dataDxfId="135" dataCellStyle="Normal 2"/>
    <tableColumn id="13" xr3:uid="{1B6F9124-8AB7-4BE2-91F0-C19079046AEC}" name="Second Prior Year District Supplement ADA_x000a_A-2" dataDxfId="134" dataCellStyle="Normal 2"/>
    <tableColumn id="14" xr3:uid="{CDF50343-408A-4F49-95FD-014E640DA09E}" name="Current Year Basic Aid Choice / Court-Ordered Voluntary Pupil Transfer ADA_x000a_A-3" dataDxfId="133" dataCellStyle="Normal 2"/>
    <tableColumn id="15" xr3:uid="{08C97235-D321-416D-83CD-33B6190B1E9B}" name="Prior Year Basic Aid Choice / Court-Ordered Voluntary Pupil Transfer ADA_x000a_A-3" dataDxfId="132" dataCellStyle="Normal 2"/>
    <tableColumn id="16" xr3:uid="{33776313-45C3-4D74-BD88-B81609F18CA3}" name="Second Prior Year Basic Aid Choice / Court-Ordered Voluntary Pupil Transfer ADA_x000a_A-3" dataDxfId="131" dataCellStyle="Normal 2"/>
    <tableColumn id="17" xr3:uid="{1BEA9BC3-77AA-4A0E-A872-E4FFB6C79C9E}" name="Current Year Basic Aid Open Enrollment ADA_x000a_A-4" dataDxfId="130" dataCellStyle="Normal 2"/>
    <tableColumn id="18" xr3:uid="{788DD56C-9CE1-46A7-8FF6-68D5608165E5}" name="Prior Year Basic Aid Open Enrollment ADA_x000a_A-4" dataDxfId="129" dataCellStyle="Normal 2"/>
    <tableColumn id="19" xr3:uid="{7940ED1A-7544-433C-BA63-2D3F4CE0DCA6}" name="Second Prior Year Basic Aid Open Enrollment ADA_x000a_A-4" dataDxfId="128" dataCellStyle="Normal 2"/>
    <tableColumn id="20" xr3:uid="{265C5DE0-5605-441D-951B-8303D7A20875}" name="Current Year County / Charter ADA_x000a_A-5" dataDxfId="127" dataCellStyle="Normal 2"/>
    <tableColumn id="21" xr3:uid="{FDEDAD07-EFD5-4FDC-B93C-9CAB3BCAC8A4}" name="Prior Year County / Charter ADA_x000a_A-5" dataDxfId="126" dataCellStyle="Normal 2"/>
    <tableColumn id="22" xr3:uid="{219E479F-2C7D-4A5B-95D0-5BB2A3D66243}" name="Second Prior Year County / Charter ADA_x000a_A-5" dataDxfId="125" dataCellStyle="Normal 2"/>
    <tableColumn id="23" xr3:uid="{1ED91052-64DA-42B0-8998-42284FF285D2}" name="Current Year District / Charter Funded County Programs ADA_x000a_A-6" dataDxfId="124" dataCellStyle="Normal 2"/>
    <tableColumn id="24" xr3:uid="{D16818F2-FD88-4451-987B-7064C3416111}" name="Prior Year District / Charter Funded County Programs ADA_x000a_A-6" dataDxfId="123" dataCellStyle="Normal 2"/>
    <tableColumn id="25" xr3:uid="{0C662760-EF7F-4FAC-BA0C-F03CC0918ECA}" name="Second Prior Year District / Charter Funded County Programs ADA_x000a_A-6" dataDxfId="122" dataCellStyle="Normal 2"/>
    <tableColumn id="26" xr3:uid="{33428549-F4F2-4E69-9014-C19F35E8BDE7}" name="Current Year Countywide Charter ADA_x000a_A-7" dataDxfId="121" dataCellStyle="Normal 2"/>
    <tableColumn id="27" xr3:uid="{8BBC8C82-775C-4680-8DF4-DD8A05EC1560}" name="Prior Year Countywide Charter ADA_x000a_A-7" dataDxfId="120" dataCellStyle="Normal 2"/>
    <tableColumn id="28" xr3:uid="{6066E2A9-B159-4A0A-947B-F0B7DB16937A}" name="Second Prior Year Countywide Charter ADA_x000a_A-7" dataDxfId="119" dataCellStyle="Normal 2"/>
    <tableColumn id="29" xr3:uid="{B5B53CD2-8D7D-45CE-94C8-46CB9E07EB5D}" name="Current Year District Charter ADA_x000a_A-8" dataDxfId="118" dataCellStyle="Normal 2"/>
    <tableColumn id="30" xr3:uid="{B5861344-943A-4ADD-AF96-5169AE45DA4B}" name="Prior Year District Charter ADA_x000a_A-8" dataDxfId="117" dataCellStyle="Normal 2"/>
    <tableColumn id="31" xr3:uid="{1418AE82-569C-4948-9494-BF23E5CB17A0}" name="Second Prior Year District Charter ADA_x000a_A-8" dataDxfId="116" dataCellStyle="Normal 2"/>
    <tableColumn id="32" xr3:uid="{45667F06-200D-4EA9-AFE5-05237467BE4C}" name="Current Year Statewide Benefit Charter ADA_x000a_A-9" dataDxfId="115" dataCellStyle="Normal 2"/>
    <tableColumn id="33" xr3:uid="{CD5A46AE-33C3-4DD5-BD59-97342B50765B}" name="Prior Year Statewide Benefit Charter ADA_x000a_A-9" dataDxfId="114" dataCellStyle="Normal 2"/>
    <tableColumn id="34" xr3:uid="{93583B29-A09E-4D46-BE25-7B22C1CEDA23}" name="Second Prior Year Statewide Benefit Charter ADA_x000a_A-9" dataDxfId="113" dataCellStyle="Normal 2"/>
    <tableColumn id="35" xr3:uid="{16A195C5-070C-4F2B-8C7C-3C4179CB8394}" name="Cuurent Year Total ADA (Sum of A-1 through A-9)_x000a_A-10" dataDxfId="112" dataCellStyle="Normal 2"/>
    <tableColumn id="36" xr3:uid="{6338FB0E-D8F4-4302-9D01-A0035F845EED}" name="Prior Year Total ADA _x000a_(Sum of A-1 through A-9)_x000a_A-10" dataDxfId="111" dataCellStyle="Normal 2"/>
    <tableColumn id="37" xr3:uid="{65FF2799-E103-4D3C-85A4-A57F51D4FA68}" name="Second Prior Year Total ADA _x000a_(Sum of A-1 through A-9)_x000a_A-10" dataDxfId="110" dataCellStyle="Normal 2"/>
    <tableColumn id="38" xr3:uid="{EB7FD335-2B43-49ED-BB3E-40CA8467C6AC}" name="Current Year column: Prior Year(s) ADA Adjusted for a Charter School that is an LEA for Purpose of Special Education _x000a_A-11" dataDxfId="109" dataCellStyle="Normal 2"/>
    <tableColumn id="39" xr3:uid="{07DC6633-D4D1-469B-A242-ABE97551CA33}" name="Prior Year column: Prior Year(s) ADA Adjusted for a Charter School that is an LEA for Purpose of Special Education _x000a_A-11" dataDxfId="108" dataCellStyle="Normal 2"/>
    <tableColumn id="40" xr3:uid="{21AE0709-B6E2-4172-BEAC-186FE69D07EB}" name="Second Prior Year column: Prior Year(s) ADA Adjusted for a Charter School that is an LEA for Purpose of Special Education _x000a_A-11" dataDxfId="107" dataCellStyle="Normal 2"/>
    <tableColumn id="41" xr3:uid="{A2BC4759-F1CB-4EE5-A549-A1C16BCF0AB1}" name="Current Year Total Adjusted ADA _x000a_(A-10 + A-11)_x000a_A-12" dataDxfId="106" dataCellStyle="Normal 2"/>
    <tableColumn id="42" xr3:uid="{77A29F20-9700-4F22-A465-E6946749D1AB}" name="Prior Year Total Adjusted ADA _x000a_(A-10 + A-11)_x000a_A-12" dataDxfId="105" dataCellStyle="Normal 2"/>
    <tableColumn id="43" xr3:uid="{B825AAE2-59A8-4613-9B04-E6C60F410D3A}" name="Second Prior Year Total Adjusted ADA _x000a_(A-10 + A-11)_x000a_A-12" dataDxfId="104" dataCellStyle="Normal 2"/>
    <tableColumn id="44" xr3:uid="{6FA21162-00DF-4485-8138-7B5CFF45B3A6}" name="Funded ADA _x000a_(Greater of Current Year, Prior Year, or Second Prior Year ADA of Line A-12)_x000a_A-13" dataDxfId="103" dataCellStyle="Normal 2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SELPA AB 602 ADA data for 2024–25 P-2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7906828-5914-4449-A96B-9AE9E89A3630}" name="Table2" displayName="Table2" ref="A4:AR1659" totalsRowShown="0" headerRowDxfId="86" dataDxfId="87" headerRowBorderDxfId="96" tableBorderDxfId="97" totalsRowBorderDxfId="95" headerRowCellStyle="PAS Table Header" dataCellStyle="Normal 3">
  <tableColumns count="44">
    <tableColumn id="1" xr3:uid="{EC119B13-F0E6-4E1A-A25F-655DACC652C5}" name="County Code" dataDxfId="94" dataCellStyle="Normal 3"/>
    <tableColumn id="2" xr3:uid="{9E3DBE6E-C2BF-4196-8CE7-E47E1FAAE35A}" name="District Code" dataDxfId="93" dataCellStyle="Normal 3"/>
    <tableColumn id="3" xr3:uid="{D77ADD3F-46EB-484A-901D-52C3D8ECDA0F}" name="School Code" dataDxfId="92" dataCellStyle="Normal 3"/>
    <tableColumn id="4" xr3:uid="{F2D45E9D-CBFA-49DF-BE09-D66389180587}" name="Charter Number" dataDxfId="91" dataCellStyle="Normal 3"/>
    <tableColumn id="5" xr3:uid="{9C8C9943-F958-467F-88FA-606D0D54F6FB}" name="SELPA LEA ID" dataDxfId="90" dataCellStyle="Normal 3"/>
    <tableColumn id="6" xr3:uid="{FE603909-1D0D-4103-BAED-3D5E63BE52A3}" name="SELPA Member" dataDxfId="89" dataCellStyle="Normal 3"/>
    <tableColumn id="7" xr3:uid="{6DB73374-BA5B-4A97-B513-5CBC37EE0F09}" name="SELPA Name" dataDxfId="88" dataCellStyle="Normal 3"/>
    <tableColumn id="8" xr3:uid="{3C1CE202-B028-43B8-96C3-715E04060C77}" name="Current Year District ADA_x000a_A-1" dataDxfId="85" dataCellStyle="Normal 3"/>
    <tableColumn id="9" xr3:uid="{558DB8B3-94C3-477E-A5CC-4A2E44F88691}" name="Prior Year District ADA_x000a_A-1" dataDxfId="84" dataCellStyle="Normal 3"/>
    <tableColumn id="10" xr3:uid="{1C48822F-6F88-45DE-AFF9-AAA79537FD4C}" name="Second Prior Year District ADA_x000a_A-1" dataDxfId="83" dataCellStyle="Normal 3"/>
    <tableColumn id="11" xr3:uid="{0378EDE8-6E3E-46A9-8C5B-FD84F81BA56B}" name="Current Year District Supplement ADA_x000a_A-2" dataDxfId="82" dataCellStyle="Normal 3"/>
    <tableColumn id="12" xr3:uid="{D1707518-0FE4-49B5-B61D-8E42389E9133}" name="Prior Year District Supplement ADA_x000a_A-2" dataDxfId="81" dataCellStyle="Normal 3"/>
    <tableColumn id="13" xr3:uid="{96E4ECD3-4D97-4369-B8E7-5CF41589C940}" name="Second Prior Year District Supplement ADA_x000a_A-2" dataDxfId="80" dataCellStyle="Normal 3"/>
    <tableColumn id="14" xr3:uid="{CD410732-D53C-4F45-80CA-8BD2B6F8552B}" name="Current Year Basic Aid Choice / Court-Ordered Voluntary Pupil Transfer ADA_x000a_A-3" dataDxfId="79" dataCellStyle="Normal 3"/>
    <tableColumn id="15" xr3:uid="{2906F4BB-CDB7-4EA4-BB3F-912B3481F9A4}" name="Prior Year Basic Aid Choice / Court-Ordered Voluntary Pupil Transfer ADA_x000a_A-3" dataDxfId="78" dataCellStyle="Normal 3"/>
    <tableColumn id="16" xr3:uid="{416644C1-703F-413E-83D2-F55249239DDB}" name="Second Prior Year Basic Aid Choice / Court-Ordered Voluntary Pupil Transfer ADA_x000a_A-3" dataDxfId="77" dataCellStyle="Normal 3"/>
    <tableColumn id="17" xr3:uid="{A1CB8B7E-536A-446E-BA61-C2E9485FDFEE}" name="Current Year Basic Aid Open Enrollment ADA_x000a_A-4" dataDxfId="76" dataCellStyle="Normal 3"/>
    <tableColumn id="18" xr3:uid="{6943A30F-D378-405F-9BEA-95B4C84A7FBB}" name="Prior Year Basic Aid Open Enrollment ADA_x000a_A-4" dataDxfId="75" dataCellStyle="Normal 3"/>
    <tableColumn id="19" xr3:uid="{B878EE09-E08B-49E0-B536-E2A2C3D9C053}" name="Second Prior Year Basic Aid Open Enrollment ADA_x000a_A-4" dataDxfId="74" dataCellStyle="Normal 3"/>
    <tableColumn id="20" xr3:uid="{7ECE87B1-1265-4183-A6D3-2C4B442826AE}" name="Current Year County / Charter ADA_x000a_A-5" dataDxfId="73" dataCellStyle="Normal 3"/>
    <tableColumn id="21" xr3:uid="{0F4109FB-06FF-4A54-ABB2-CF48E1083198}" name="Prior Year County / Charter ADA_x000a_A-5" dataDxfId="72" dataCellStyle="Normal 3"/>
    <tableColumn id="22" xr3:uid="{3C15A0D6-281A-4792-B03D-7F8D3349EF33}" name="Second Prior Year County / Charter ADA_x000a_A-5" dataDxfId="71" dataCellStyle="Normal 3"/>
    <tableColumn id="23" xr3:uid="{CEEB31E0-4B78-4B32-8699-9A55C2477BAD}" name="Current Year District / Charter Funded County Programs ADA_x000a_A-6" dataDxfId="70" dataCellStyle="Normal 3"/>
    <tableColumn id="24" xr3:uid="{1A01CFF8-E445-4D2B-B10E-4DC508CF71C2}" name="Prior Year District / Charter Funded County Programs ADA_x000a_A-6" dataDxfId="69" dataCellStyle="Normal 3"/>
    <tableColumn id="25" xr3:uid="{40029B8B-42DB-4BAE-B75D-EFEBA2C7753D}" name="Second Prior Year District / Charter Funded County Programs ADA_x000a_A-6" dataDxfId="68" dataCellStyle="Normal 3"/>
    <tableColumn id="26" xr3:uid="{B6C789FB-38E0-432E-A34B-904A9DDBFB32}" name="Current Year Countywide Charter ADA_x000a_A-7" dataDxfId="67" dataCellStyle="Normal 3"/>
    <tableColumn id="27" xr3:uid="{B9875A40-50C5-4B92-88B9-827B4759E410}" name="Prior Year Countywide Charter ADA_x000a_A-7" dataDxfId="66" dataCellStyle="Normal 3"/>
    <tableColumn id="28" xr3:uid="{ACFA348C-BB01-4A89-84FB-A868344A15BA}" name="Second Prior Year Countywide Charter ADA_x000a_A-7" dataDxfId="65" dataCellStyle="Normal 3"/>
    <tableColumn id="29" xr3:uid="{2E683447-3CC0-4538-B207-166E21CC9857}" name="Current Year District Charter ADA_x000a_A-8" dataDxfId="64" dataCellStyle="Normal 3"/>
    <tableColumn id="30" xr3:uid="{5F407F2F-058B-4C04-9F8C-BCDC2DCC5CB2}" name="Prior Year District Charter ADA_x000a_A-8" dataDxfId="63" dataCellStyle="Normal 3"/>
    <tableColumn id="31" xr3:uid="{1C48C532-8181-4D6A-A7FC-BA6225E4A5EC}" name="Second Prior Year District Charter ADA_x000a_A-8" dataDxfId="62" dataCellStyle="Normal 3"/>
    <tableColumn id="32" xr3:uid="{4E182D0B-E21F-4F29-8477-A191F816CCEC}" name="Current Year Statewide Benefit Charter ADA_x000a_A-9" dataDxfId="61" dataCellStyle="Normal 3"/>
    <tableColumn id="33" xr3:uid="{FDCAF99D-1FE0-4545-81CB-AEF369A976E7}" name="Prior Year Statewide Benefit Charter ADA_x000a_A-9" dataDxfId="60" dataCellStyle="Normal 3"/>
    <tableColumn id="34" xr3:uid="{5ECC3A25-4981-41F2-A8C2-E8A9C3C267AA}" name="Second Prior Year Statewide Benefit Charter ADA_x000a_A-9" dataDxfId="59" dataCellStyle="Normal 3"/>
    <tableColumn id="35" xr3:uid="{42FD59CD-C40D-42DF-BA8E-9BA1C9092668}" name="Cuurent Year Total ADA_x000a_(Sum of A-1 through A-9)_x000a_A-10" dataDxfId="58" dataCellStyle="Normal 3"/>
    <tableColumn id="36" xr3:uid="{B4F00CB6-2772-4786-B0C5-B489BA3FCC8E}" name="Prior Year Total ADA _x000a_(Sum of A-1 through A-9)_x000a_A-10" dataDxfId="57" dataCellStyle="Normal 3"/>
    <tableColumn id="37" xr3:uid="{53A96E21-5CB5-417B-8D2A-61DF12B62CDF}" name="Second Prior Year Total ADA _x000a_(Sum of A-1 through A-9)_x000a_A-10" dataDxfId="56" dataCellStyle="Normal 3"/>
    <tableColumn id="38" xr3:uid="{4CA20F46-85B4-41F1-B0DA-35088640ABDD}" name="Current Year column: Prior Year(s) ADA Adjusted for a Charter School that is an LEA for Purpose of Special Education _x000a_A-11" dataDxfId="55" dataCellStyle="Normal 3"/>
    <tableColumn id="39" xr3:uid="{13CE41B5-0985-419D-B7E1-121B275CC6F5}" name="Prior Year column: Prior Year(s) ADA Adjusted for a Charter School that is an LEA for Purpose of Special Education _x000a_A-11" dataDxfId="54" dataCellStyle="Normal 3"/>
    <tableColumn id="40" xr3:uid="{7CCD1121-0D7A-4CDF-8E7E-154126EF3726}" name="Second Prior Year column: Prior Year(s) ADA Adjusted for a Charter School that is an LEA for Purpose of Special Education _x000a_A-11" dataDxfId="53" dataCellStyle="Normal 3"/>
    <tableColumn id="41" xr3:uid="{367A88A5-28D7-4E59-A30A-B3EE8646D3C8}" name="Current Year Total Adjusted ADA _x000a_(A-10 + A-11)_x000a_A-12" dataDxfId="52" dataCellStyle="Normal 3"/>
    <tableColumn id="42" xr3:uid="{7DFC578A-676E-4CED-855F-E44C9FD40F97}" name="Prior Year Total Adjusted ADA _x000a_(A-10 + A-11)_x000a_A-12" dataDxfId="51" dataCellStyle="Normal 3"/>
    <tableColumn id="43" xr3:uid="{CB0521FD-2082-4A16-B75F-D08BB2E82F24}" name="Second Prior Year Total Adjusted ADA _x000a_(A-10 + A-11)_x000a_A-12" dataDxfId="50" dataCellStyle="Normal 3"/>
    <tableColumn id="44" xr3:uid="{616681B0-FDCA-454C-ABBF-82FAC94FDE47}" name="Funded ADA _x000a_(Greater of Current Year, Prior Year, or Second Prior Year ADA of Line A-12)_x000a_A-13" dataDxfId="49" dataCellStyle="Normal 3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SELPA AB 602 ADA data for 2023–24 AN R1.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6B35F98-EE05-4B1F-96E8-68BDE55116E2}" name="Table3" displayName="Table3" ref="A4:AR1653" totalsRowShown="0" headerRowDxfId="37" dataDxfId="38" headerRowBorderDxfId="47" tableBorderDxfId="48" totalsRowBorderDxfId="46" headerRowCellStyle="PAS Table Header" dataCellStyle="Normal 3">
  <tableColumns count="44">
    <tableColumn id="1" xr3:uid="{F3BA40D8-E98B-4A1A-B3C7-DC5E7CF04404}" name="County Code" dataDxfId="45" dataCellStyle="Normal 3"/>
    <tableColumn id="2" xr3:uid="{D07996FB-BB08-4029-BF53-2079F8C22058}" name="District Code" dataDxfId="44" dataCellStyle="Normal 3"/>
    <tableColumn id="3" xr3:uid="{4BB6F5ED-99FA-4F89-85FE-58B2CDAA7C94}" name="School Code" dataDxfId="43" dataCellStyle="Normal 3"/>
    <tableColumn id="4" xr3:uid="{F29E4833-B0A8-4598-9921-DABC68DD37A5}" name="Charter Number" dataDxfId="42" dataCellStyle="Normal 3"/>
    <tableColumn id="5" xr3:uid="{94473FA1-142E-4353-AE39-6C38FE5EDAC9}" name="SELPA LEA ID" dataDxfId="41" dataCellStyle="Normal 3"/>
    <tableColumn id="6" xr3:uid="{4FB9FBAC-E3AB-4FEF-B9E0-F433FD872117}" name="SELPA Member" dataDxfId="40" dataCellStyle="Normal 3"/>
    <tableColumn id="7" xr3:uid="{B3D7EBA6-A3B9-4CCA-B239-A786DC2AB496}" name="SELPA Name" dataDxfId="39" dataCellStyle="Normal 3"/>
    <tableColumn id="8" xr3:uid="{EB6FB1B9-EA34-4878-B637-03F2450013D7}" name="Current Year District ADA_x000a_A-1" dataDxfId="36" dataCellStyle="Normal 3"/>
    <tableColumn id="9" xr3:uid="{A82D0DC0-8812-40FF-B8BE-1685D42CA48C}" name="Prior Year District ADA_x000a_A-1" dataDxfId="35" dataCellStyle="Normal 3"/>
    <tableColumn id="10" xr3:uid="{1B9CB7BE-53AE-4AF2-BC18-E1C479A44A64}" name="Second Prior Year District ADA_x000a_A-1" dataDxfId="34" dataCellStyle="Normal 3"/>
    <tableColumn id="11" xr3:uid="{BD9AD407-DED3-4630-8DE4-70D18B3AFA80}" name="Current Year District Supplement ADA_x000a_A-2" dataDxfId="33" dataCellStyle="Normal 3"/>
    <tableColumn id="12" xr3:uid="{73DB33F2-CA7E-408A-8ED5-6AF57E16E1F8}" name="Prior Year District Supplement ADA_x000a_A-2" dataDxfId="32" dataCellStyle="Normal 3"/>
    <tableColumn id="13" xr3:uid="{39C3A094-511D-47E0-AF93-DEFCF87681A6}" name="Second Prior Year District Supplement ADA_x000a_A-2" dataDxfId="31" dataCellStyle="Normal 3"/>
    <tableColumn id="14" xr3:uid="{E0756D3C-1DE1-41DF-8347-EBCC1BC33F53}" name="Current Year Basic Aid Choice / Court-Ordered Voluntary Pupil Transfer ADA_x000a_A-3" dataDxfId="30" dataCellStyle="Normal 3"/>
    <tableColumn id="15" xr3:uid="{E7122C75-F3E6-4CA8-BF61-9F615E880899}" name="Prior Year Basic Aid Choice / Court-Ordered Voluntary Pupil Transfer ADA_x000a_A-3" dataDxfId="29" dataCellStyle="Normal 3"/>
    <tableColumn id="16" xr3:uid="{0C770B18-F658-4D5C-8F0D-CDE854DE0D9C}" name="Second Prior Year Basic Aid Choice / Court-Ordered Voluntary Pupil Transfer ADA_x000a_A-3" dataDxfId="28" dataCellStyle="Normal 3"/>
    <tableColumn id="17" xr3:uid="{0F3AEB0D-352C-4B6D-AFEF-3E23C173023E}" name="Current Year Basic Aid Open Enrollment ADA_x000a_A-4" dataDxfId="27" dataCellStyle="Normal 3"/>
    <tableColumn id="18" xr3:uid="{AF706387-40F2-4F6A-A9A5-0A59BB530A1B}" name="Prior Year Basic Aid Open Enrollment ADA_x000a_A-4" dataDxfId="26" dataCellStyle="Normal 3"/>
    <tableColumn id="19" xr3:uid="{314369CF-B2FF-4A73-84EC-861B0515BD15}" name="Second Prior Year Basic Aid Open Enrollment ADA_x000a_A-4" dataDxfId="25" dataCellStyle="Normal 3"/>
    <tableColumn id="20" xr3:uid="{565B1B65-345C-418C-90A9-750085FD8F28}" name="Current Year County / Charter ADA_x000a_A-5" dataDxfId="24" dataCellStyle="Normal 3"/>
    <tableColumn id="21" xr3:uid="{890C63EA-B4D6-4AD0-AD9E-52E42243EC3C}" name="Prior Year County / Charter ADA_x000a_A-5" dataDxfId="23" dataCellStyle="Normal 3"/>
    <tableColumn id="22" xr3:uid="{DBFEBF2C-DC8B-4E4D-BD65-D1663553AD1E}" name="Second Prior Year County / Charter ADA_x000a_A-5" dataDxfId="22" dataCellStyle="Normal 3"/>
    <tableColumn id="23" xr3:uid="{5B3DFD96-B521-41FD-A618-7388149E7BC6}" name="Current Year District / Charter Funded County Programs ADA_x000a_A-6" dataDxfId="21" dataCellStyle="Normal 3"/>
    <tableColumn id="24" xr3:uid="{14CD0405-E040-4145-9BFA-3E469EB5DCC0}" name="Prior Year District / Charter Funded County Programs ADA_x000a_A-6" dataDxfId="20" dataCellStyle="Normal 3"/>
    <tableColumn id="25" xr3:uid="{25F23F98-C0DF-4374-B955-13B57FADE09D}" name="Second Prior Year District / Charter Funded County Programs ADA_x000a_A-6" dataDxfId="19" dataCellStyle="Normal 3"/>
    <tableColumn id="26" xr3:uid="{7E1697FC-2BF3-4E10-988D-3B1F82EC252B}" name="Current Year Countywide Charter ADA_x000a_A-7" dataDxfId="18" dataCellStyle="Normal 3"/>
    <tableColumn id="27" xr3:uid="{3F77907E-B0FB-4CC0-A1DB-0200FA696A89}" name="Prior Year Countywide Charter ADA_x000a_A-7" dataDxfId="17" dataCellStyle="Normal 3"/>
    <tableColumn id="28" xr3:uid="{F4246E25-D2D3-452A-955F-C108E83C61BC}" name="Second Prior Year Countywide Charter ADA_x000a_A-7" dataDxfId="16" dataCellStyle="Normal 3"/>
    <tableColumn id="29" xr3:uid="{5FDCF279-74A5-44E1-A5D8-DF2D21666E24}" name="Current Year District Charter ADA_x000a_A-8" dataDxfId="15" dataCellStyle="Normal 3"/>
    <tableColumn id="30" xr3:uid="{74EFE4BA-BCF1-4284-87C7-10C0BBDB0527}" name="Prior Year District Charter ADA_x000a_A-8" dataDxfId="14" dataCellStyle="Normal 3"/>
    <tableColumn id="31" xr3:uid="{0343BB10-0BB3-4593-ACD6-EBE6EC866FAB}" name="Second Prior Year District Charter ADA_x000a_A-8" dataDxfId="13" dataCellStyle="Normal 3"/>
    <tableColumn id="32" xr3:uid="{9E4BB55B-6EEF-45D0-9E7C-67A3BC9C3B8A}" name="Current Year Statewide Benefit Charter ADA_x000a_A-9" dataDxfId="12" dataCellStyle="Normal 3"/>
    <tableColumn id="33" xr3:uid="{D26F493A-F83C-4365-9923-0A5B34F6BBD8}" name="Prior Year Statewide Benefit Charter ADA_x000a_A-9" dataDxfId="11" dataCellStyle="Normal 3"/>
    <tableColumn id="34" xr3:uid="{D13431DA-F8D3-4084-92AC-2B22BFB0258D}" name="Second Prior Year Statewide Benefit Charter ADA_x000a_A-9" dataDxfId="10" dataCellStyle="Normal 3"/>
    <tableColumn id="35" xr3:uid="{EB41F182-92DC-46BF-868C-2E6DE9924908}" name="Cuurent Year Total ADA_x000a_(Sum of A-1 through A-9)_x000a_A-10" dataDxfId="9" dataCellStyle="Normal 3"/>
    <tableColumn id="36" xr3:uid="{21B99A08-250C-4276-BAF1-9E587BE9ED28}" name="Prior Year Total ADA _x000a_(Sum of A-1 through A-9)_x000a_A-10" dataDxfId="8" dataCellStyle="Normal 3"/>
    <tableColumn id="37" xr3:uid="{F44102EF-2379-4F1B-9060-14D7DE107B69}" name="Second Prior Year Total ADA _x000a_(Sum of A-1 through A-9)_x000a_A-10" dataDxfId="7" dataCellStyle="Normal 3"/>
    <tableColumn id="38" xr3:uid="{B675F66D-C387-420A-B8C6-0223B0F5E75A}" name="Current Year column: Prior Year(s) ADA Adjusted for a Charter School that is an LEA for Purpose of Special Education _x000a_A-11" dataDxfId="6" dataCellStyle="Normal 3"/>
    <tableColumn id="39" xr3:uid="{7E97D328-94C6-4181-B451-C008DD354721}" name="Prior Year column: Prior Year(s) ADA Adjusted for a Charter School that is an LEA for Purpose of Special Education _x000a_A-11" dataDxfId="5" dataCellStyle="Normal 3"/>
    <tableColumn id="40" xr3:uid="{1AEC2BCE-4543-45C1-B71D-8E07D9577C8F}" name="Second Prior Year column: Prior Year(s) ADA Adjusted for a Charter School that is an LEA for Purpose of Special Education _x000a_A-11" dataDxfId="4" dataCellStyle="Normal 3"/>
    <tableColumn id="41" xr3:uid="{2BB2B9DE-7DBC-4959-9E72-AF8B8DA9BC38}" name="Current Year Total Adjusted ADA _x000a_(A-10 + A-11)_x000a_A-12" dataDxfId="3" dataCellStyle="Normal 3"/>
    <tableColumn id="42" xr3:uid="{2E1EBEFB-F956-4DF2-B60F-03D90EC9AEEA}" name="Prior Year Total Adjusted ADA _x000a_(A-10 + A-11)_x000a_A-12" dataDxfId="2" dataCellStyle="Normal 3"/>
    <tableColumn id="43" xr3:uid="{39BBFBE1-A559-40E5-918A-124EC68D6D03}" name="Second Prior Year Total Adjusted ADA _x000a_(A-10 + A-11)_x000a_A-12" dataDxfId="1" dataCellStyle="Normal 3"/>
    <tableColumn id="44" xr3:uid="{CF73BAA1-FCA7-4723-9754-D6E390D18CB3}" name="Funded ADA _x000a_(Greater of Current Year, Prior Year, or Second Prior Year ADA of Line A-12)_x000a_A-13" dataDxfId="0" dataCellStyle="Normal 3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SELPA AB 602 ADA data for 2022–23 AN R3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2F847-144C-4AD5-B0E5-9F3396A9D9EF}">
  <dimension ref="A1:AR1663"/>
  <sheetViews>
    <sheetView tabSelected="1" zoomScaleNormal="100" workbookViewId="0">
      <pane ySplit="4" topLeftCell="A5" activePane="bottomLeft" state="frozen"/>
      <selection pane="bottomLeft"/>
    </sheetView>
  </sheetViews>
  <sheetFormatPr defaultColWidth="9" defaultRowHeight="15.5" x14ac:dyDescent="0.35"/>
  <cols>
    <col min="1" max="1" width="7.84375" style="18" customWidth="1"/>
    <col min="2" max="2" width="8" style="18" customWidth="1"/>
    <col min="3" max="3" width="8.3828125" style="18" customWidth="1"/>
    <col min="4" max="4" width="7.921875" style="20" customWidth="1"/>
    <col min="5" max="5" width="8.3046875" style="18" customWidth="1"/>
    <col min="6" max="6" width="40.15234375" style="18" bestFit="1" customWidth="1"/>
    <col min="7" max="7" width="41.69140625" style="2" customWidth="1"/>
    <col min="8" max="8" width="13.53515625" style="18" customWidth="1"/>
    <col min="9" max="9" width="13.921875" style="2" customWidth="1"/>
    <col min="10" max="10" width="16.23046875" style="18" customWidth="1"/>
    <col min="11" max="11" width="18.765625" style="18" customWidth="1"/>
    <col min="12" max="12" width="16.3828125" style="18" customWidth="1"/>
    <col min="13" max="13" width="15.69140625" style="18" customWidth="1"/>
    <col min="14" max="14" width="19.3046875" style="18" customWidth="1"/>
    <col min="15" max="15" width="18.921875" style="18" customWidth="1"/>
    <col min="16" max="16" width="18.53515625" style="18" customWidth="1"/>
    <col min="17" max="17" width="16.15234375" style="18" customWidth="1"/>
    <col min="18" max="18" width="16.23046875" style="18" customWidth="1"/>
    <col min="19" max="19" width="17.53515625" style="18" customWidth="1"/>
    <col min="20" max="20" width="14" style="18" customWidth="1"/>
    <col min="21" max="21" width="13.07421875" style="18" customWidth="1"/>
    <col min="22" max="22" width="14.3828125" style="18" customWidth="1"/>
    <col min="23" max="23" width="16.765625" style="18" customWidth="1"/>
    <col min="24" max="24" width="15.53515625" style="18" customWidth="1"/>
    <col min="25" max="25" width="17" style="18" customWidth="1"/>
    <col min="26" max="26" width="13.69140625" style="18" customWidth="1"/>
    <col min="27" max="27" width="12.84375" style="18" customWidth="1"/>
    <col min="28" max="28" width="16.4609375" style="18" customWidth="1"/>
    <col min="29" max="29" width="19.3828125" style="18" customWidth="1"/>
    <col min="30" max="30" width="16.921875" style="18" customWidth="1"/>
    <col min="31" max="31" width="18.53515625" style="18" customWidth="1"/>
    <col min="32" max="32" width="16.4609375" style="18" customWidth="1"/>
    <col min="33" max="33" width="16.921875" style="18" customWidth="1"/>
    <col min="34" max="34" width="16.4609375" style="18" customWidth="1"/>
    <col min="35" max="35" width="23.4609375" style="18" customWidth="1"/>
    <col min="36" max="36" width="23.84375" style="18" customWidth="1"/>
    <col min="37" max="37" width="25.4609375" style="18" customWidth="1"/>
    <col min="38" max="38" width="31.69140625" style="18" customWidth="1"/>
    <col min="39" max="39" width="28.84375" style="18" customWidth="1"/>
    <col min="40" max="40" width="29.84375" style="18" customWidth="1"/>
    <col min="41" max="41" width="17.15234375" style="18" customWidth="1"/>
    <col min="42" max="42" width="16.07421875" style="18" customWidth="1"/>
    <col min="43" max="43" width="17.765625" style="18" customWidth="1"/>
    <col min="44" max="44" width="24.53515625" style="18" customWidth="1"/>
    <col min="45" max="16384" width="9" style="18"/>
  </cols>
  <sheetData>
    <row r="1" spans="1:44" s="22" customFormat="1" ht="18" x14ac:dyDescent="0.4">
      <c r="A1" s="21" t="s">
        <v>3659</v>
      </c>
    </row>
    <row r="2" spans="1:44" s="2" customFormat="1" x14ac:dyDescent="0.35">
      <c r="A2" s="2" t="s">
        <v>3653</v>
      </c>
    </row>
    <row r="3" spans="1:44" s="2" customFormat="1" x14ac:dyDescent="0.35">
      <c r="A3" s="3" t="s">
        <v>3671</v>
      </c>
    </row>
    <row r="4" spans="1:44" s="4" customFormat="1" ht="108.5" x14ac:dyDescent="0.35">
      <c r="A4" s="15" t="s">
        <v>3615</v>
      </c>
      <c r="B4" s="15" t="s">
        <v>3616</v>
      </c>
      <c r="C4" s="15" t="s">
        <v>3617</v>
      </c>
      <c r="D4" s="15" t="s">
        <v>3618</v>
      </c>
      <c r="E4" s="15" t="s">
        <v>3619</v>
      </c>
      <c r="F4" s="15" t="s">
        <v>3620</v>
      </c>
      <c r="G4" s="15" t="s">
        <v>3621</v>
      </c>
      <c r="H4" s="15" t="s">
        <v>3622</v>
      </c>
      <c r="I4" s="15" t="s">
        <v>3623</v>
      </c>
      <c r="J4" s="15" t="s">
        <v>3624</v>
      </c>
      <c r="K4" s="15" t="s">
        <v>3625</v>
      </c>
      <c r="L4" s="15" t="s">
        <v>3626</v>
      </c>
      <c r="M4" s="15" t="s">
        <v>3627</v>
      </c>
      <c r="N4" s="15" t="s">
        <v>3628</v>
      </c>
      <c r="O4" s="15" t="s">
        <v>3629</v>
      </c>
      <c r="P4" s="15" t="s">
        <v>3630</v>
      </c>
      <c r="Q4" s="15" t="s">
        <v>3631</v>
      </c>
      <c r="R4" s="15" t="s">
        <v>3632</v>
      </c>
      <c r="S4" s="15" t="s">
        <v>3633</v>
      </c>
      <c r="T4" s="15" t="s">
        <v>3664</v>
      </c>
      <c r="U4" s="15" t="s">
        <v>3665</v>
      </c>
      <c r="V4" s="15" t="s">
        <v>3666</v>
      </c>
      <c r="W4" s="15" t="s">
        <v>3667</v>
      </c>
      <c r="X4" s="15" t="s">
        <v>3668</v>
      </c>
      <c r="Y4" s="15" t="s">
        <v>3669</v>
      </c>
      <c r="Z4" s="15" t="s">
        <v>3634</v>
      </c>
      <c r="AA4" s="15" t="s">
        <v>3635</v>
      </c>
      <c r="AB4" s="15" t="s">
        <v>3636</v>
      </c>
      <c r="AC4" s="15" t="s">
        <v>3637</v>
      </c>
      <c r="AD4" s="15" t="s">
        <v>3638</v>
      </c>
      <c r="AE4" s="15" t="s">
        <v>3639</v>
      </c>
      <c r="AF4" s="15" t="s">
        <v>3640</v>
      </c>
      <c r="AG4" s="15" t="s">
        <v>3641</v>
      </c>
      <c r="AH4" s="15" t="s">
        <v>3642</v>
      </c>
      <c r="AI4" s="15" t="s">
        <v>3643</v>
      </c>
      <c r="AJ4" s="15" t="s">
        <v>3644</v>
      </c>
      <c r="AK4" s="15" t="s">
        <v>3645</v>
      </c>
      <c r="AL4" s="15" t="s">
        <v>3646</v>
      </c>
      <c r="AM4" s="15" t="s">
        <v>3647</v>
      </c>
      <c r="AN4" s="15" t="s">
        <v>3648</v>
      </c>
      <c r="AO4" s="15" t="s">
        <v>3649</v>
      </c>
      <c r="AP4" s="15" t="s">
        <v>3650</v>
      </c>
      <c r="AQ4" s="15" t="s">
        <v>3651</v>
      </c>
      <c r="AR4" s="15" t="s">
        <v>3652</v>
      </c>
    </row>
    <row r="5" spans="1:44" x14ac:dyDescent="0.35">
      <c r="A5" s="16" t="str">
        <f>TEXT(32,"00")</f>
        <v>32</v>
      </c>
      <c r="B5" s="19">
        <v>66969</v>
      </c>
      <c r="C5" s="16" t="str">
        <f t="shared" ref="C5:C18" si="0">TEXT(,"0000000")</f>
        <v>0000000</v>
      </c>
      <c r="D5" s="17" t="s">
        <v>3663</v>
      </c>
      <c r="E5" s="16" t="s">
        <v>1682</v>
      </c>
      <c r="F5" s="16" t="s">
        <v>1683</v>
      </c>
      <c r="G5" s="35" t="s">
        <v>1683</v>
      </c>
      <c r="H5" s="39">
        <v>1512.4</v>
      </c>
      <c r="I5" s="39">
        <v>1495.86</v>
      </c>
      <c r="J5" s="39">
        <v>1465.44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G5" s="39">
        <v>0</v>
      </c>
      <c r="AH5" s="39">
        <v>0</v>
      </c>
      <c r="AI5" s="39">
        <v>1512.4</v>
      </c>
      <c r="AJ5" s="39">
        <v>1495.86</v>
      </c>
      <c r="AK5" s="39">
        <v>1465.44</v>
      </c>
      <c r="AL5" s="39">
        <v>0</v>
      </c>
      <c r="AM5" s="39">
        <v>0</v>
      </c>
      <c r="AN5" s="39">
        <v>0</v>
      </c>
      <c r="AO5" s="39">
        <v>1512.4</v>
      </c>
      <c r="AP5" s="39">
        <v>1495.86</v>
      </c>
      <c r="AQ5" s="39">
        <v>1465.44</v>
      </c>
      <c r="AR5" s="39">
        <v>1512.4</v>
      </c>
    </row>
    <row r="6" spans="1:44" x14ac:dyDescent="0.35">
      <c r="A6" s="16" t="str">
        <f>TEXT(32,"00")</f>
        <v>32</v>
      </c>
      <c r="B6" s="19">
        <v>10322</v>
      </c>
      <c r="C6" s="16" t="str">
        <f t="shared" si="0"/>
        <v>0000000</v>
      </c>
      <c r="D6" s="17" t="s">
        <v>3663</v>
      </c>
      <c r="E6" s="16" t="s">
        <v>1684</v>
      </c>
      <c r="F6" s="16" t="s">
        <v>1683</v>
      </c>
      <c r="G6" s="35" t="s">
        <v>1685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13.41</v>
      </c>
      <c r="X6" s="39">
        <v>9.8699999999999992</v>
      </c>
      <c r="Y6" s="39">
        <v>11.17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G6" s="39">
        <v>0</v>
      </c>
      <c r="AH6" s="39">
        <v>0</v>
      </c>
      <c r="AI6" s="39">
        <v>13.41</v>
      </c>
      <c r="AJ6" s="39">
        <v>9.8699999999999992</v>
      </c>
      <c r="AK6" s="39">
        <v>11.17</v>
      </c>
      <c r="AL6" s="39">
        <v>0</v>
      </c>
      <c r="AM6" s="39">
        <v>0</v>
      </c>
      <c r="AN6" s="39">
        <v>0</v>
      </c>
      <c r="AO6" s="39">
        <v>13.41</v>
      </c>
      <c r="AP6" s="39">
        <v>9.8699999999999992</v>
      </c>
      <c r="AQ6" s="39">
        <v>11.17</v>
      </c>
      <c r="AR6" s="39">
        <v>13.41</v>
      </c>
    </row>
    <row r="7" spans="1:44" x14ac:dyDescent="0.35">
      <c r="A7" s="16" t="str">
        <f>TEXT(20,"00")</f>
        <v>20</v>
      </c>
      <c r="B7" s="19">
        <v>10207</v>
      </c>
      <c r="C7" s="16" t="str">
        <f t="shared" si="0"/>
        <v>0000000</v>
      </c>
      <c r="D7" s="17" t="s">
        <v>3663</v>
      </c>
      <c r="E7" s="16" t="s">
        <v>1213</v>
      </c>
      <c r="F7" s="16" t="s">
        <v>1214</v>
      </c>
      <c r="G7" s="35" t="s">
        <v>1214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50.55</v>
      </c>
      <c r="U7" s="39">
        <v>37.24</v>
      </c>
      <c r="V7" s="39">
        <v>42.54</v>
      </c>
      <c r="W7" s="39">
        <v>550.11</v>
      </c>
      <c r="X7" s="39">
        <v>581.73</v>
      </c>
      <c r="Y7" s="39">
        <v>575.57000000000005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G7" s="39">
        <v>0</v>
      </c>
      <c r="AH7" s="39">
        <v>0</v>
      </c>
      <c r="AI7" s="39">
        <v>600.66</v>
      </c>
      <c r="AJ7" s="39">
        <v>618.97</v>
      </c>
      <c r="AK7" s="39">
        <v>618.11</v>
      </c>
      <c r="AL7" s="39">
        <v>0</v>
      </c>
      <c r="AM7" s="39">
        <v>0</v>
      </c>
      <c r="AN7" s="39">
        <v>0</v>
      </c>
      <c r="AO7" s="39">
        <v>600.66</v>
      </c>
      <c r="AP7" s="39">
        <v>618.97</v>
      </c>
      <c r="AQ7" s="39">
        <v>618.11</v>
      </c>
      <c r="AR7" s="39">
        <v>618.97</v>
      </c>
    </row>
    <row r="8" spans="1:44" x14ac:dyDescent="0.35">
      <c r="A8" s="16" t="str">
        <f>TEXT(22,"00")</f>
        <v>22</v>
      </c>
      <c r="B8" s="19">
        <v>10223</v>
      </c>
      <c r="C8" s="16" t="str">
        <f t="shared" si="0"/>
        <v>0000000</v>
      </c>
      <c r="D8" s="17" t="s">
        <v>3663</v>
      </c>
      <c r="E8" s="16" t="s">
        <v>1290</v>
      </c>
      <c r="F8" s="16" t="s">
        <v>1214</v>
      </c>
      <c r="G8" s="35" t="s">
        <v>1291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1.07</v>
      </c>
      <c r="U8" s="39">
        <v>0.73</v>
      </c>
      <c r="V8" s="39">
        <v>1.94</v>
      </c>
      <c r="W8" s="39">
        <v>43.59</v>
      </c>
      <c r="X8" s="39">
        <v>47.13</v>
      </c>
      <c r="Y8" s="39">
        <v>42.99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44.66</v>
      </c>
      <c r="AJ8" s="39">
        <v>47.86</v>
      </c>
      <c r="AK8" s="39">
        <v>44.93</v>
      </c>
      <c r="AL8" s="39">
        <v>0</v>
      </c>
      <c r="AM8" s="39">
        <v>0</v>
      </c>
      <c r="AN8" s="39">
        <v>0</v>
      </c>
      <c r="AO8" s="39">
        <v>44.66</v>
      </c>
      <c r="AP8" s="39">
        <v>47.86</v>
      </c>
      <c r="AQ8" s="39">
        <v>44.93</v>
      </c>
      <c r="AR8" s="39">
        <v>47.86</v>
      </c>
    </row>
    <row r="9" spans="1:44" x14ac:dyDescent="0.35">
      <c r="A9" s="16" t="str">
        <f>TEXT(22,"00")</f>
        <v>22</v>
      </c>
      <c r="B9" s="19">
        <v>65532</v>
      </c>
      <c r="C9" s="16" t="str">
        <f t="shared" si="0"/>
        <v>0000000</v>
      </c>
      <c r="D9" s="17" t="s">
        <v>3663</v>
      </c>
      <c r="E9" s="16" t="s">
        <v>1292</v>
      </c>
      <c r="F9" s="16" t="s">
        <v>1214</v>
      </c>
      <c r="G9" s="35" t="s">
        <v>1293</v>
      </c>
      <c r="H9" s="39">
        <v>1500.08</v>
      </c>
      <c r="I9" s="39">
        <v>1512.54</v>
      </c>
      <c r="J9" s="39">
        <v>1471.21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131.34</v>
      </c>
      <c r="AD9" s="39">
        <v>121.08</v>
      </c>
      <c r="AE9" s="39">
        <v>122.15</v>
      </c>
      <c r="AF9" s="39">
        <v>0</v>
      </c>
      <c r="AG9" s="39">
        <v>0</v>
      </c>
      <c r="AH9" s="39">
        <v>0</v>
      </c>
      <c r="AI9" s="39">
        <v>1631.42</v>
      </c>
      <c r="AJ9" s="39">
        <v>1633.62</v>
      </c>
      <c r="AK9" s="39">
        <v>1593.36</v>
      </c>
      <c r="AL9" s="39">
        <v>0</v>
      </c>
      <c r="AM9" s="39">
        <v>0</v>
      </c>
      <c r="AN9" s="39">
        <v>0</v>
      </c>
      <c r="AO9" s="39">
        <v>1631.42</v>
      </c>
      <c r="AP9" s="39">
        <v>1633.62</v>
      </c>
      <c r="AQ9" s="39">
        <v>1593.36</v>
      </c>
      <c r="AR9" s="39">
        <v>1633.62</v>
      </c>
    </row>
    <row r="10" spans="1:44" x14ac:dyDescent="0.35">
      <c r="A10" s="16" t="str">
        <f t="shared" ref="A10:A24" si="1">TEXT(20,"00")</f>
        <v>20</v>
      </c>
      <c r="B10" s="19">
        <v>65185</v>
      </c>
      <c r="C10" s="16" t="str">
        <f t="shared" si="0"/>
        <v>0000000</v>
      </c>
      <c r="D10" s="17" t="s">
        <v>3663</v>
      </c>
      <c r="E10" s="16" t="s">
        <v>1217</v>
      </c>
      <c r="F10" s="16" t="s">
        <v>1214</v>
      </c>
      <c r="G10" s="35" t="s">
        <v>1218</v>
      </c>
      <c r="H10" s="39">
        <v>732.05</v>
      </c>
      <c r="I10" s="39">
        <v>750.76</v>
      </c>
      <c r="J10" s="39">
        <v>772.61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13.6</v>
      </c>
      <c r="AD10" s="39">
        <v>16.53</v>
      </c>
      <c r="AE10" s="39">
        <v>13.17</v>
      </c>
      <c r="AF10" s="39">
        <v>0</v>
      </c>
      <c r="AG10" s="39">
        <v>0</v>
      </c>
      <c r="AH10" s="39">
        <v>0</v>
      </c>
      <c r="AI10" s="39">
        <v>745.65</v>
      </c>
      <c r="AJ10" s="39">
        <v>767.29</v>
      </c>
      <c r="AK10" s="39">
        <v>785.78</v>
      </c>
      <c r="AL10" s="39">
        <v>0</v>
      </c>
      <c r="AM10" s="39">
        <v>0</v>
      </c>
      <c r="AN10" s="39">
        <v>0</v>
      </c>
      <c r="AO10" s="39">
        <v>745.65</v>
      </c>
      <c r="AP10" s="39">
        <v>767.29</v>
      </c>
      <c r="AQ10" s="39">
        <v>785.78</v>
      </c>
      <c r="AR10" s="39">
        <v>785.78</v>
      </c>
    </row>
    <row r="11" spans="1:44" x14ac:dyDescent="0.35">
      <c r="A11" s="16" t="str">
        <f t="shared" si="1"/>
        <v>20</v>
      </c>
      <c r="B11" s="19">
        <v>65243</v>
      </c>
      <c r="C11" s="16" t="str">
        <f t="shared" si="0"/>
        <v>0000000</v>
      </c>
      <c r="D11" s="17" t="s">
        <v>3663</v>
      </c>
      <c r="E11" s="16" t="s">
        <v>1223</v>
      </c>
      <c r="F11" s="16" t="s">
        <v>1214</v>
      </c>
      <c r="G11" s="35" t="s">
        <v>1224</v>
      </c>
      <c r="H11" s="39">
        <v>18436.36</v>
      </c>
      <c r="I11" s="39">
        <v>18639.07</v>
      </c>
      <c r="J11" s="39">
        <v>18493.91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18436.36</v>
      </c>
      <c r="AJ11" s="39">
        <v>18639.07</v>
      </c>
      <c r="AK11" s="39">
        <v>18493.91</v>
      </c>
      <c r="AL11" s="39">
        <v>0</v>
      </c>
      <c r="AM11" s="39">
        <v>0</v>
      </c>
      <c r="AN11" s="39">
        <v>0</v>
      </c>
      <c r="AO11" s="39">
        <v>18436.36</v>
      </c>
      <c r="AP11" s="39">
        <v>18639.07</v>
      </c>
      <c r="AQ11" s="39">
        <v>18493.91</v>
      </c>
      <c r="AR11" s="39">
        <v>18639.07</v>
      </c>
    </row>
    <row r="12" spans="1:44" x14ac:dyDescent="0.35">
      <c r="A12" s="16" t="str">
        <f t="shared" si="1"/>
        <v>20</v>
      </c>
      <c r="B12" s="19">
        <v>65177</v>
      </c>
      <c r="C12" s="16" t="str">
        <f t="shared" si="0"/>
        <v>0000000</v>
      </c>
      <c r="D12" s="17" t="s">
        <v>3663</v>
      </c>
      <c r="E12" s="16" t="s">
        <v>1215</v>
      </c>
      <c r="F12" s="16" t="s">
        <v>1214</v>
      </c>
      <c r="G12" s="35" t="s">
        <v>1216</v>
      </c>
      <c r="H12" s="39">
        <v>384.01</v>
      </c>
      <c r="I12" s="39">
        <v>367.78</v>
      </c>
      <c r="J12" s="39">
        <v>373.26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384.01</v>
      </c>
      <c r="AJ12" s="39">
        <v>367.78</v>
      </c>
      <c r="AK12" s="39">
        <v>373.26</v>
      </c>
      <c r="AL12" s="39">
        <v>0</v>
      </c>
      <c r="AM12" s="39">
        <v>0</v>
      </c>
      <c r="AN12" s="39">
        <v>0</v>
      </c>
      <c r="AO12" s="39">
        <v>384.01</v>
      </c>
      <c r="AP12" s="39">
        <v>367.78</v>
      </c>
      <c r="AQ12" s="39">
        <v>373.26</v>
      </c>
      <c r="AR12" s="39">
        <v>384.01</v>
      </c>
    </row>
    <row r="13" spans="1:44" x14ac:dyDescent="0.35">
      <c r="A13" s="16" t="str">
        <f t="shared" si="1"/>
        <v>20</v>
      </c>
      <c r="B13" s="19">
        <v>65193</v>
      </c>
      <c r="C13" s="16" t="str">
        <f t="shared" si="0"/>
        <v>0000000</v>
      </c>
      <c r="D13" s="17" t="s">
        <v>3663</v>
      </c>
      <c r="E13" s="16" t="s">
        <v>1219</v>
      </c>
      <c r="F13" s="16" t="s">
        <v>1214</v>
      </c>
      <c r="G13" s="35" t="s">
        <v>1220</v>
      </c>
      <c r="H13" s="39">
        <v>2024.04</v>
      </c>
      <c r="I13" s="39">
        <v>2051.3200000000002</v>
      </c>
      <c r="J13" s="39">
        <v>1994.11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2024.04</v>
      </c>
      <c r="AJ13" s="39">
        <v>2051.3200000000002</v>
      </c>
      <c r="AK13" s="39">
        <v>1994.11</v>
      </c>
      <c r="AL13" s="39">
        <v>0</v>
      </c>
      <c r="AM13" s="39">
        <v>0</v>
      </c>
      <c r="AN13" s="39">
        <v>0</v>
      </c>
      <c r="AO13" s="39">
        <v>2024.04</v>
      </c>
      <c r="AP13" s="39">
        <v>2051.3200000000002</v>
      </c>
      <c r="AQ13" s="39">
        <v>1994.11</v>
      </c>
      <c r="AR13" s="39">
        <v>2051.3200000000002</v>
      </c>
    </row>
    <row r="14" spans="1:44" x14ac:dyDescent="0.35">
      <c r="A14" s="16" t="str">
        <f t="shared" si="1"/>
        <v>20</v>
      </c>
      <c r="B14" s="19">
        <v>65201</v>
      </c>
      <c r="C14" s="16" t="str">
        <f t="shared" si="0"/>
        <v>0000000</v>
      </c>
      <c r="D14" s="17" t="s">
        <v>3663</v>
      </c>
      <c r="E14" s="16" t="s">
        <v>1221</v>
      </c>
      <c r="F14" s="16" t="s">
        <v>1214</v>
      </c>
      <c r="G14" s="35" t="s">
        <v>1222</v>
      </c>
      <c r="H14" s="39">
        <v>1012.07</v>
      </c>
      <c r="I14" s="39">
        <v>1023.19</v>
      </c>
      <c r="J14" s="39">
        <v>1028.04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1012.07</v>
      </c>
      <c r="AJ14" s="39">
        <v>1023.19</v>
      </c>
      <c r="AK14" s="39">
        <v>1028.04</v>
      </c>
      <c r="AL14" s="39">
        <v>0</v>
      </c>
      <c r="AM14" s="39">
        <v>0</v>
      </c>
      <c r="AN14" s="39">
        <v>0</v>
      </c>
      <c r="AO14" s="39">
        <v>1012.07</v>
      </c>
      <c r="AP14" s="39">
        <v>1023.19</v>
      </c>
      <c r="AQ14" s="39">
        <v>1028.04</v>
      </c>
      <c r="AR14" s="39">
        <v>1028.04</v>
      </c>
    </row>
    <row r="15" spans="1:44" x14ac:dyDescent="0.35">
      <c r="A15" s="16" t="str">
        <f t="shared" si="1"/>
        <v>20</v>
      </c>
      <c r="B15" s="19">
        <v>65276</v>
      </c>
      <c r="C15" s="16" t="str">
        <f t="shared" si="0"/>
        <v>0000000</v>
      </c>
      <c r="D15" s="17" t="s">
        <v>3663</v>
      </c>
      <c r="E15" s="16" t="s">
        <v>1235</v>
      </c>
      <c r="F15" s="16" t="s">
        <v>1214</v>
      </c>
      <c r="G15" s="35" t="s">
        <v>1236</v>
      </c>
      <c r="H15" s="39">
        <v>81.17</v>
      </c>
      <c r="I15" s="39">
        <v>75.23</v>
      </c>
      <c r="J15" s="39">
        <v>68.22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81.17</v>
      </c>
      <c r="AJ15" s="39">
        <v>75.23</v>
      </c>
      <c r="AK15" s="39">
        <v>68.22</v>
      </c>
      <c r="AL15" s="39">
        <v>0</v>
      </c>
      <c r="AM15" s="39">
        <v>0</v>
      </c>
      <c r="AN15" s="39">
        <v>0</v>
      </c>
      <c r="AO15" s="39">
        <v>81.17</v>
      </c>
      <c r="AP15" s="39">
        <v>75.23</v>
      </c>
      <c r="AQ15" s="39">
        <v>68.22</v>
      </c>
      <c r="AR15" s="39">
        <v>81.17</v>
      </c>
    </row>
    <row r="16" spans="1:44" x14ac:dyDescent="0.35">
      <c r="A16" s="16" t="str">
        <f t="shared" si="1"/>
        <v>20</v>
      </c>
      <c r="B16" s="19">
        <v>75580</v>
      </c>
      <c r="C16" s="16" t="str">
        <f t="shared" si="0"/>
        <v>0000000</v>
      </c>
      <c r="D16" s="17" t="s">
        <v>3663</v>
      </c>
      <c r="E16" s="16" t="s">
        <v>1237</v>
      </c>
      <c r="F16" s="16" t="s">
        <v>1214</v>
      </c>
      <c r="G16" s="35" t="s">
        <v>1238</v>
      </c>
      <c r="H16" s="39">
        <v>2853.66</v>
      </c>
      <c r="I16" s="39">
        <v>2663.47</v>
      </c>
      <c r="J16" s="39">
        <v>2460.0100000000002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2853.66</v>
      </c>
      <c r="AJ16" s="39">
        <v>2663.47</v>
      </c>
      <c r="AK16" s="39">
        <v>2460.0100000000002</v>
      </c>
      <c r="AL16" s="39">
        <v>0</v>
      </c>
      <c r="AM16" s="39">
        <v>0</v>
      </c>
      <c r="AN16" s="39">
        <v>0</v>
      </c>
      <c r="AO16" s="39">
        <v>2853.66</v>
      </c>
      <c r="AP16" s="39">
        <v>2663.47</v>
      </c>
      <c r="AQ16" s="39">
        <v>2460.0100000000002</v>
      </c>
      <c r="AR16" s="39">
        <v>2853.66</v>
      </c>
    </row>
    <row r="17" spans="1:44" x14ac:dyDescent="0.35">
      <c r="A17" s="16" t="str">
        <f t="shared" si="1"/>
        <v>20</v>
      </c>
      <c r="B17" s="19">
        <v>75606</v>
      </c>
      <c r="C17" s="16" t="str">
        <f t="shared" si="0"/>
        <v>0000000</v>
      </c>
      <c r="D17" s="17" t="s">
        <v>3663</v>
      </c>
      <c r="E17" s="16" t="s">
        <v>1239</v>
      </c>
      <c r="F17" s="16" t="s">
        <v>1214</v>
      </c>
      <c r="G17" s="35" t="s">
        <v>1240</v>
      </c>
      <c r="H17" s="39">
        <v>986.64</v>
      </c>
      <c r="I17" s="39">
        <v>947.08</v>
      </c>
      <c r="J17" s="39">
        <v>915.15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341.37</v>
      </c>
      <c r="AD17" s="39">
        <v>341.06</v>
      </c>
      <c r="AE17" s="39">
        <v>408.97</v>
      </c>
      <c r="AF17" s="39">
        <v>0</v>
      </c>
      <c r="AG17" s="39">
        <v>0</v>
      </c>
      <c r="AH17" s="39">
        <v>0</v>
      </c>
      <c r="AI17" s="39">
        <v>1328.01</v>
      </c>
      <c r="AJ17" s="39">
        <v>1288.1400000000001</v>
      </c>
      <c r="AK17" s="39">
        <v>1324.12</v>
      </c>
      <c r="AL17" s="39">
        <v>0</v>
      </c>
      <c r="AM17" s="39">
        <v>0</v>
      </c>
      <c r="AN17" s="39">
        <v>0</v>
      </c>
      <c r="AO17" s="39">
        <v>1328.01</v>
      </c>
      <c r="AP17" s="39">
        <v>1288.1400000000001</v>
      </c>
      <c r="AQ17" s="39">
        <v>1324.12</v>
      </c>
      <c r="AR17" s="39">
        <v>1328.01</v>
      </c>
    </row>
    <row r="18" spans="1:44" x14ac:dyDescent="0.35">
      <c r="A18" s="16" t="str">
        <f t="shared" si="1"/>
        <v>20</v>
      </c>
      <c r="B18" s="19">
        <v>76414</v>
      </c>
      <c r="C18" s="16" t="str">
        <f t="shared" si="0"/>
        <v>0000000</v>
      </c>
      <c r="D18" s="17" t="s">
        <v>3663</v>
      </c>
      <c r="E18" s="16" t="s">
        <v>1241</v>
      </c>
      <c r="F18" s="16" t="s">
        <v>1214</v>
      </c>
      <c r="G18" s="35" t="s">
        <v>1242</v>
      </c>
      <c r="H18" s="39">
        <v>1248.49</v>
      </c>
      <c r="I18" s="39">
        <v>1253.75</v>
      </c>
      <c r="J18" s="39">
        <v>1227.55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1248.49</v>
      </c>
      <c r="AJ18" s="39">
        <v>1253.75</v>
      </c>
      <c r="AK18" s="39">
        <v>1227.55</v>
      </c>
      <c r="AL18" s="39">
        <v>0</v>
      </c>
      <c r="AM18" s="39">
        <v>0</v>
      </c>
      <c r="AN18" s="39">
        <v>0</v>
      </c>
      <c r="AO18" s="39">
        <v>1248.49</v>
      </c>
      <c r="AP18" s="39">
        <v>1253.75</v>
      </c>
      <c r="AQ18" s="39">
        <v>1227.55</v>
      </c>
      <c r="AR18" s="39">
        <v>1253.75</v>
      </c>
    </row>
    <row r="19" spans="1:44" x14ac:dyDescent="0.35">
      <c r="A19" s="16" t="str">
        <f t="shared" si="1"/>
        <v>20</v>
      </c>
      <c r="B19" s="19">
        <v>65243</v>
      </c>
      <c r="C19" s="16" t="str">
        <f>TEXT(107938,"0000000")</f>
        <v>0107938</v>
      </c>
      <c r="D19" s="17" t="s">
        <v>1230</v>
      </c>
      <c r="E19" s="16" t="s">
        <v>1228</v>
      </c>
      <c r="F19" s="16" t="s">
        <v>1214</v>
      </c>
      <c r="G19" s="35" t="s">
        <v>1229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677.26</v>
      </c>
      <c r="AD19" s="39">
        <v>639.59</v>
      </c>
      <c r="AE19" s="39">
        <v>621.83000000000004</v>
      </c>
      <c r="AF19" s="39">
        <v>0</v>
      </c>
      <c r="AG19" s="39">
        <v>0</v>
      </c>
      <c r="AH19" s="39">
        <v>0</v>
      </c>
      <c r="AI19" s="39">
        <v>677.26</v>
      </c>
      <c r="AJ19" s="39">
        <v>639.59</v>
      </c>
      <c r="AK19" s="39">
        <v>621.83000000000004</v>
      </c>
      <c r="AL19" s="39">
        <v>0</v>
      </c>
      <c r="AM19" s="39">
        <v>0</v>
      </c>
      <c r="AN19" s="39">
        <v>0</v>
      </c>
      <c r="AO19" s="39">
        <v>677.26</v>
      </c>
      <c r="AP19" s="39">
        <v>639.59</v>
      </c>
      <c r="AQ19" s="39">
        <v>621.83000000000004</v>
      </c>
      <c r="AR19" s="39">
        <v>677.26</v>
      </c>
    </row>
    <row r="20" spans="1:44" x14ac:dyDescent="0.35">
      <c r="A20" s="16" t="str">
        <f t="shared" si="1"/>
        <v>20</v>
      </c>
      <c r="B20" s="19">
        <v>65243</v>
      </c>
      <c r="C20" s="16" t="str">
        <f>TEXT(100016,"0000000")</f>
        <v>0100016</v>
      </c>
      <c r="D20" s="17" t="s">
        <v>1227</v>
      </c>
      <c r="E20" s="16" t="s">
        <v>1225</v>
      </c>
      <c r="F20" s="16" t="s">
        <v>1214</v>
      </c>
      <c r="G20" s="35" t="s">
        <v>1226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221.84</v>
      </c>
      <c r="AD20" s="39">
        <v>207.52</v>
      </c>
      <c r="AE20" s="39">
        <v>212.62</v>
      </c>
      <c r="AF20" s="39">
        <v>0</v>
      </c>
      <c r="AG20" s="39">
        <v>0</v>
      </c>
      <c r="AH20" s="39">
        <v>0</v>
      </c>
      <c r="AI20" s="39">
        <v>221.84</v>
      </c>
      <c r="AJ20" s="39">
        <v>207.52</v>
      </c>
      <c r="AK20" s="39">
        <v>212.62</v>
      </c>
      <c r="AL20" s="39">
        <v>0</v>
      </c>
      <c r="AM20" s="39">
        <v>0</v>
      </c>
      <c r="AN20" s="39">
        <v>0</v>
      </c>
      <c r="AO20" s="39">
        <v>221.84</v>
      </c>
      <c r="AP20" s="39">
        <v>207.52</v>
      </c>
      <c r="AQ20" s="39">
        <v>212.62</v>
      </c>
      <c r="AR20" s="39">
        <v>221.84</v>
      </c>
    </row>
    <row r="21" spans="1:44" x14ac:dyDescent="0.35">
      <c r="A21" s="16" t="str">
        <f t="shared" si="1"/>
        <v>20</v>
      </c>
      <c r="B21" s="19">
        <v>65243</v>
      </c>
      <c r="C21" s="16" t="str">
        <f>TEXT(118950,"0000000")</f>
        <v>0118950</v>
      </c>
      <c r="D21" s="19">
        <v>1058</v>
      </c>
      <c r="E21" s="16" t="s">
        <v>1231</v>
      </c>
      <c r="F21" s="16" t="s">
        <v>1214</v>
      </c>
      <c r="G21" s="35" t="s">
        <v>1232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67.11</v>
      </c>
      <c r="AD21" s="39">
        <v>64.42</v>
      </c>
      <c r="AE21" s="39">
        <v>76.73</v>
      </c>
      <c r="AF21" s="39">
        <v>0</v>
      </c>
      <c r="AG21" s="39">
        <v>0</v>
      </c>
      <c r="AH21" s="39">
        <v>0</v>
      </c>
      <c r="AI21" s="39">
        <v>67.11</v>
      </c>
      <c r="AJ21" s="39">
        <v>64.42</v>
      </c>
      <c r="AK21" s="39">
        <v>76.73</v>
      </c>
      <c r="AL21" s="39">
        <v>0</v>
      </c>
      <c r="AM21" s="39">
        <v>0</v>
      </c>
      <c r="AN21" s="39">
        <v>0</v>
      </c>
      <c r="AO21" s="39">
        <v>67.11</v>
      </c>
      <c r="AP21" s="39">
        <v>64.42</v>
      </c>
      <c r="AQ21" s="39">
        <v>76.73</v>
      </c>
      <c r="AR21" s="39">
        <v>76.73</v>
      </c>
    </row>
    <row r="22" spans="1:44" x14ac:dyDescent="0.35">
      <c r="A22" s="16" t="str">
        <f t="shared" si="1"/>
        <v>20</v>
      </c>
      <c r="B22" s="19">
        <v>76414</v>
      </c>
      <c r="C22" s="16" t="str">
        <f>TEXT(6110076,"0000000")</f>
        <v>6110076</v>
      </c>
      <c r="D22" s="17" t="s">
        <v>1248</v>
      </c>
      <c r="E22" s="16" t="s">
        <v>1246</v>
      </c>
      <c r="F22" s="16" t="s">
        <v>1214</v>
      </c>
      <c r="G22" s="35" t="s">
        <v>1247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210.5</v>
      </c>
      <c r="AD22" s="39">
        <v>211.53</v>
      </c>
      <c r="AE22" s="39">
        <v>200.64</v>
      </c>
      <c r="AF22" s="39">
        <v>0</v>
      </c>
      <c r="AG22" s="39">
        <v>0</v>
      </c>
      <c r="AH22" s="39">
        <v>0</v>
      </c>
      <c r="AI22" s="39">
        <v>210.5</v>
      </c>
      <c r="AJ22" s="39">
        <v>211.53</v>
      </c>
      <c r="AK22" s="39">
        <v>200.64</v>
      </c>
      <c r="AL22" s="39">
        <v>0</v>
      </c>
      <c r="AM22" s="39">
        <v>0</v>
      </c>
      <c r="AN22" s="39">
        <v>0</v>
      </c>
      <c r="AO22" s="39">
        <v>210.5</v>
      </c>
      <c r="AP22" s="39">
        <v>211.53</v>
      </c>
      <c r="AQ22" s="39">
        <v>200.64</v>
      </c>
      <c r="AR22" s="39">
        <v>211.53</v>
      </c>
    </row>
    <row r="23" spans="1:44" x14ac:dyDescent="0.35">
      <c r="A23" s="16" t="str">
        <f t="shared" si="1"/>
        <v>20</v>
      </c>
      <c r="B23" s="19">
        <v>76414</v>
      </c>
      <c r="C23" s="16" t="str">
        <f>TEXT(2030237,"0000000")</f>
        <v>2030237</v>
      </c>
      <c r="D23" s="17" t="s">
        <v>1245</v>
      </c>
      <c r="E23" s="16" t="s">
        <v>1243</v>
      </c>
      <c r="F23" s="16" t="s">
        <v>1214</v>
      </c>
      <c r="G23" s="35" t="s">
        <v>1244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80.349999999999994</v>
      </c>
      <c r="AD23" s="39">
        <v>79.5</v>
      </c>
      <c r="AE23" s="39">
        <v>87.56</v>
      </c>
      <c r="AF23" s="39">
        <v>0</v>
      </c>
      <c r="AG23" s="39">
        <v>0</v>
      </c>
      <c r="AH23" s="39">
        <v>0</v>
      </c>
      <c r="AI23" s="39">
        <v>80.349999999999994</v>
      </c>
      <c r="AJ23" s="39">
        <v>79.5</v>
      </c>
      <c r="AK23" s="39">
        <v>87.56</v>
      </c>
      <c r="AL23" s="39">
        <v>0</v>
      </c>
      <c r="AM23" s="39">
        <v>0</v>
      </c>
      <c r="AN23" s="39">
        <v>0</v>
      </c>
      <c r="AO23" s="39">
        <v>80.349999999999994</v>
      </c>
      <c r="AP23" s="39">
        <v>79.5</v>
      </c>
      <c r="AQ23" s="39">
        <v>87.56</v>
      </c>
      <c r="AR23" s="39">
        <v>87.56</v>
      </c>
    </row>
    <row r="24" spans="1:44" x14ac:dyDescent="0.35">
      <c r="A24" s="16" t="str">
        <f t="shared" si="1"/>
        <v>20</v>
      </c>
      <c r="B24" s="19">
        <v>65243</v>
      </c>
      <c r="C24" s="16" t="str">
        <f>TEXT(134510,"0000000")</f>
        <v>0134510</v>
      </c>
      <c r="D24" s="19">
        <v>1780</v>
      </c>
      <c r="E24" s="16" t="s">
        <v>1233</v>
      </c>
      <c r="F24" s="16" t="s">
        <v>1214</v>
      </c>
      <c r="G24" s="35" t="s">
        <v>1234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74.31</v>
      </c>
      <c r="AD24" s="39">
        <v>75.27</v>
      </c>
      <c r="AE24" s="39">
        <v>74.28</v>
      </c>
      <c r="AF24" s="39">
        <v>0</v>
      </c>
      <c r="AG24" s="39">
        <v>0</v>
      </c>
      <c r="AH24" s="39">
        <v>0</v>
      </c>
      <c r="AI24" s="39">
        <v>74.31</v>
      </c>
      <c r="AJ24" s="39">
        <v>75.27</v>
      </c>
      <c r="AK24" s="39">
        <v>74.28</v>
      </c>
      <c r="AL24" s="39">
        <v>0</v>
      </c>
      <c r="AM24" s="39">
        <v>0</v>
      </c>
      <c r="AN24" s="39">
        <v>0</v>
      </c>
      <c r="AO24" s="39">
        <v>74.31</v>
      </c>
      <c r="AP24" s="39">
        <v>75.27</v>
      </c>
      <c r="AQ24" s="39">
        <v>74.28</v>
      </c>
      <c r="AR24" s="39">
        <v>75.27</v>
      </c>
    </row>
    <row r="25" spans="1:44" x14ac:dyDescent="0.35">
      <c r="A25" s="16" t="str">
        <f t="shared" ref="A25:A38" si="2">TEXT(16,"00")</f>
        <v>16</v>
      </c>
      <c r="B25" s="19">
        <v>10165</v>
      </c>
      <c r="C25" s="16" t="str">
        <f t="shared" ref="C25:C56" si="3">TEXT(,"0000000")</f>
        <v>0000000</v>
      </c>
      <c r="D25" s="17" t="s">
        <v>3663</v>
      </c>
      <c r="E25" s="16" t="s">
        <v>753</v>
      </c>
      <c r="F25" s="16" t="s">
        <v>754</v>
      </c>
      <c r="G25" s="35" t="s">
        <v>754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12.46</v>
      </c>
      <c r="U25" s="39">
        <v>22.79</v>
      </c>
      <c r="V25" s="39">
        <v>35.19</v>
      </c>
      <c r="W25" s="39">
        <v>338.94</v>
      </c>
      <c r="X25" s="39">
        <v>295.77999999999997</v>
      </c>
      <c r="Y25" s="39">
        <v>270.35000000000002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351.4</v>
      </c>
      <c r="AJ25" s="39">
        <v>318.57</v>
      </c>
      <c r="AK25" s="39">
        <v>305.54000000000002</v>
      </c>
      <c r="AL25" s="39">
        <v>0</v>
      </c>
      <c r="AM25" s="39">
        <v>0</v>
      </c>
      <c r="AN25" s="39">
        <v>0</v>
      </c>
      <c r="AO25" s="39">
        <v>351.4</v>
      </c>
      <c r="AP25" s="39">
        <v>318.57</v>
      </c>
      <c r="AQ25" s="39">
        <v>305.54000000000002</v>
      </c>
      <c r="AR25" s="39">
        <v>351.4</v>
      </c>
    </row>
    <row r="26" spans="1:44" x14ac:dyDescent="0.35">
      <c r="A26" s="16" t="str">
        <f t="shared" si="2"/>
        <v>16</v>
      </c>
      <c r="B26" s="19">
        <v>63875</v>
      </c>
      <c r="C26" s="16" t="str">
        <f t="shared" si="3"/>
        <v>0000000</v>
      </c>
      <c r="D26" s="17" t="s">
        <v>3663</v>
      </c>
      <c r="E26" s="16" t="s">
        <v>755</v>
      </c>
      <c r="F26" s="16" t="s">
        <v>754</v>
      </c>
      <c r="G26" s="35" t="s">
        <v>756</v>
      </c>
      <c r="H26" s="39">
        <v>967.41</v>
      </c>
      <c r="I26" s="39">
        <v>914.96</v>
      </c>
      <c r="J26" s="39">
        <v>911.91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138.75</v>
      </c>
      <c r="AD26" s="39">
        <v>123.8</v>
      </c>
      <c r="AE26" s="39">
        <v>144.1</v>
      </c>
      <c r="AF26" s="39">
        <v>0</v>
      </c>
      <c r="AG26" s="39">
        <v>0</v>
      </c>
      <c r="AH26" s="39">
        <v>0</v>
      </c>
      <c r="AI26" s="39">
        <v>1106.1600000000001</v>
      </c>
      <c r="AJ26" s="39">
        <v>1038.76</v>
      </c>
      <c r="AK26" s="39">
        <v>1056.01</v>
      </c>
      <c r="AL26" s="39">
        <v>0</v>
      </c>
      <c r="AM26" s="39">
        <v>0</v>
      </c>
      <c r="AN26" s="39">
        <v>0</v>
      </c>
      <c r="AO26" s="39">
        <v>1106.1600000000001</v>
      </c>
      <c r="AP26" s="39">
        <v>1038.76</v>
      </c>
      <c r="AQ26" s="39">
        <v>1056.01</v>
      </c>
      <c r="AR26" s="39">
        <v>1106.1600000000001</v>
      </c>
    </row>
    <row r="27" spans="1:44" x14ac:dyDescent="0.35">
      <c r="A27" s="16" t="str">
        <f t="shared" si="2"/>
        <v>16</v>
      </c>
      <c r="B27" s="19">
        <v>63883</v>
      </c>
      <c r="C27" s="16" t="str">
        <f t="shared" si="3"/>
        <v>0000000</v>
      </c>
      <c r="D27" s="17" t="s">
        <v>3663</v>
      </c>
      <c r="E27" s="16" t="s">
        <v>760</v>
      </c>
      <c r="F27" s="16" t="s">
        <v>754</v>
      </c>
      <c r="G27" s="35" t="s">
        <v>761</v>
      </c>
      <c r="H27" s="39">
        <v>1456.73</v>
      </c>
      <c r="I27" s="39">
        <v>1539.55</v>
      </c>
      <c r="J27" s="39">
        <v>1589.24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1456.73</v>
      </c>
      <c r="AJ27" s="39">
        <v>1539.55</v>
      </c>
      <c r="AK27" s="39">
        <v>1589.24</v>
      </c>
      <c r="AL27" s="39">
        <v>0</v>
      </c>
      <c r="AM27" s="39">
        <v>0</v>
      </c>
      <c r="AN27" s="39">
        <v>0</v>
      </c>
      <c r="AO27" s="39">
        <v>1456.73</v>
      </c>
      <c r="AP27" s="39">
        <v>1539.55</v>
      </c>
      <c r="AQ27" s="39">
        <v>1589.24</v>
      </c>
      <c r="AR27" s="39">
        <v>1589.24</v>
      </c>
    </row>
    <row r="28" spans="1:44" x14ac:dyDescent="0.35">
      <c r="A28" s="16" t="str">
        <f t="shared" si="2"/>
        <v>16</v>
      </c>
      <c r="B28" s="19">
        <v>63917</v>
      </c>
      <c r="C28" s="16" t="str">
        <f t="shared" si="3"/>
        <v>0000000</v>
      </c>
      <c r="D28" s="17" t="s">
        <v>3663</v>
      </c>
      <c r="E28" s="16" t="s">
        <v>764</v>
      </c>
      <c r="F28" s="16" t="s">
        <v>754</v>
      </c>
      <c r="G28" s="35" t="s">
        <v>765</v>
      </c>
      <c r="H28" s="39">
        <v>5204.05</v>
      </c>
      <c r="I28" s="39">
        <v>5281.58</v>
      </c>
      <c r="J28" s="39">
        <v>5162.55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5204.05</v>
      </c>
      <c r="AJ28" s="39">
        <v>5281.58</v>
      </c>
      <c r="AK28" s="39">
        <v>5162.55</v>
      </c>
      <c r="AL28" s="39">
        <v>0</v>
      </c>
      <c r="AM28" s="39">
        <v>0</v>
      </c>
      <c r="AN28" s="39">
        <v>0</v>
      </c>
      <c r="AO28" s="39">
        <v>5204.05</v>
      </c>
      <c r="AP28" s="39">
        <v>5281.58</v>
      </c>
      <c r="AQ28" s="39">
        <v>5162.55</v>
      </c>
      <c r="AR28" s="39">
        <v>5281.58</v>
      </c>
    </row>
    <row r="29" spans="1:44" x14ac:dyDescent="0.35">
      <c r="A29" s="16" t="str">
        <f t="shared" si="2"/>
        <v>16</v>
      </c>
      <c r="B29" s="19">
        <v>63958</v>
      </c>
      <c r="C29" s="16" t="str">
        <f t="shared" si="3"/>
        <v>0000000</v>
      </c>
      <c r="D29" s="17" t="s">
        <v>3663</v>
      </c>
      <c r="E29" s="16" t="s">
        <v>772</v>
      </c>
      <c r="F29" s="16" t="s">
        <v>754</v>
      </c>
      <c r="G29" s="35" t="s">
        <v>773</v>
      </c>
      <c r="H29" s="39">
        <v>329.64</v>
      </c>
      <c r="I29" s="39">
        <v>364.05</v>
      </c>
      <c r="J29" s="39">
        <v>352.75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59.94</v>
      </c>
      <c r="AD29" s="39">
        <v>69.27</v>
      </c>
      <c r="AE29" s="39">
        <v>56.1</v>
      </c>
      <c r="AF29" s="39">
        <v>0</v>
      </c>
      <c r="AG29" s="39">
        <v>0</v>
      </c>
      <c r="AH29" s="39">
        <v>0</v>
      </c>
      <c r="AI29" s="39">
        <v>389.58</v>
      </c>
      <c r="AJ29" s="39">
        <v>433.32</v>
      </c>
      <c r="AK29" s="39">
        <v>408.85</v>
      </c>
      <c r="AL29" s="39">
        <v>0</v>
      </c>
      <c r="AM29" s="39">
        <v>0</v>
      </c>
      <c r="AN29" s="39">
        <v>0</v>
      </c>
      <c r="AO29" s="39">
        <v>389.58</v>
      </c>
      <c r="AP29" s="39">
        <v>433.32</v>
      </c>
      <c r="AQ29" s="39">
        <v>408.85</v>
      </c>
      <c r="AR29" s="39">
        <v>433.32</v>
      </c>
    </row>
    <row r="30" spans="1:44" x14ac:dyDescent="0.35">
      <c r="A30" s="16" t="str">
        <f t="shared" si="2"/>
        <v>16</v>
      </c>
      <c r="B30" s="19">
        <v>63974</v>
      </c>
      <c r="C30" s="16" t="str">
        <f t="shared" si="3"/>
        <v>0000000</v>
      </c>
      <c r="D30" s="17" t="s">
        <v>3663</v>
      </c>
      <c r="E30" s="16" t="s">
        <v>778</v>
      </c>
      <c r="F30" s="16" t="s">
        <v>754</v>
      </c>
      <c r="G30" s="35" t="s">
        <v>779</v>
      </c>
      <c r="H30" s="39">
        <v>2859.73</v>
      </c>
      <c r="I30" s="39">
        <v>2877.18</v>
      </c>
      <c r="J30" s="39">
        <v>2898.05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144.91999999999999</v>
      </c>
      <c r="AD30" s="39">
        <v>140.1</v>
      </c>
      <c r="AE30" s="39">
        <v>128.07</v>
      </c>
      <c r="AF30" s="39">
        <v>0</v>
      </c>
      <c r="AG30" s="39">
        <v>0</v>
      </c>
      <c r="AH30" s="39">
        <v>0</v>
      </c>
      <c r="AI30" s="39">
        <v>3004.65</v>
      </c>
      <c r="AJ30" s="39">
        <v>3017.28</v>
      </c>
      <c r="AK30" s="39">
        <v>3026.12</v>
      </c>
      <c r="AL30" s="39">
        <v>0</v>
      </c>
      <c r="AM30" s="39">
        <v>0</v>
      </c>
      <c r="AN30" s="39">
        <v>0</v>
      </c>
      <c r="AO30" s="39">
        <v>3004.65</v>
      </c>
      <c r="AP30" s="39">
        <v>3017.28</v>
      </c>
      <c r="AQ30" s="39">
        <v>3026.12</v>
      </c>
      <c r="AR30" s="39">
        <v>3026.12</v>
      </c>
    </row>
    <row r="31" spans="1:44" x14ac:dyDescent="0.35">
      <c r="A31" s="16" t="str">
        <f t="shared" si="2"/>
        <v>16</v>
      </c>
      <c r="B31" s="19">
        <v>63925</v>
      </c>
      <c r="C31" s="16" t="str">
        <f t="shared" si="3"/>
        <v>0000000</v>
      </c>
      <c r="D31" s="17" t="s">
        <v>3663</v>
      </c>
      <c r="E31" s="16" t="s">
        <v>766</v>
      </c>
      <c r="F31" s="16" t="s">
        <v>754</v>
      </c>
      <c r="G31" s="35" t="s">
        <v>767</v>
      </c>
      <c r="H31" s="39">
        <v>3824.53</v>
      </c>
      <c r="I31" s="39">
        <v>3736.79</v>
      </c>
      <c r="J31" s="39">
        <v>3775.26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134.19</v>
      </c>
      <c r="AD31" s="39">
        <v>130.71</v>
      </c>
      <c r="AE31" s="39">
        <v>136.09</v>
      </c>
      <c r="AF31" s="39">
        <v>0</v>
      </c>
      <c r="AG31" s="39">
        <v>0</v>
      </c>
      <c r="AH31" s="39">
        <v>0</v>
      </c>
      <c r="AI31" s="39">
        <v>3958.72</v>
      </c>
      <c r="AJ31" s="39">
        <v>3867.5</v>
      </c>
      <c r="AK31" s="39">
        <v>3911.35</v>
      </c>
      <c r="AL31" s="39">
        <v>0</v>
      </c>
      <c r="AM31" s="39">
        <v>0</v>
      </c>
      <c r="AN31" s="39">
        <v>0</v>
      </c>
      <c r="AO31" s="39">
        <v>3958.72</v>
      </c>
      <c r="AP31" s="39">
        <v>3867.5</v>
      </c>
      <c r="AQ31" s="39">
        <v>3911.35</v>
      </c>
      <c r="AR31" s="39">
        <v>3958.72</v>
      </c>
    </row>
    <row r="32" spans="1:44" x14ac:dyDescent="0.35">
      <c r="A32" s="16" t="str">
        <f t="shared" si="2"/>
        <v>16</v>
      </c>
      <c r="B32" s="19">
        <v>63982</v>
      </c>
      <c r="C32" s="16" t="str">
        <f t="shared" si="3"/>
        <v>0000000</v>
      </c>
      <c r="D32" s="17" t="s">
        <v>3663</v>
      </c>
      <c r="E32" s="16" t="s">
        <v>780</v>
      </c>
      <c r="F32" s="16" t="s">
        <v>754</v>
      </c>
      <c r="G32" s="35" t="s">
        <v>781</v>
      </c>
      <c r="H32" s="39">
        <v>1777.18</v>
      </c>
      <c r="I32" s="39">
        <v>1805.14</v>
      </c>
      <c r="J32" s="39">
        <v>1818.03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379.05</v>
      </c>
      <c r="AD32" s="39">
        <v>371.99</v>
      </c>
      <c r="AE32" s="39">
        <v>367.83</v>
      </c>
      <c r="AF32" s="39">
        <v>0</v>
      </c>
      <c r="AG32" s="39">
        <v>0</v>
      </c>
      <c r="AH32" s="39">
        <v>0</v>
      </c>
      <c r="AI32" s="39">
        <v>2156.23</v>
      </c>
      <c r="AJ32" s="39">
        <v>2177.13</v>
      </c>
      <c r="AK32" s="39">
        <v>2185.86</v>
      </c>
      <c r="AL32" s="39">
        <v>0</v>
      </c>
      <c r="AM32" s="39">
        <v>0</v>
      </c>
      <c r="AN32" s="39">
        <v>0</v>
      </c>
      <c r="AO32" s="39">
        <v>2156.23</v>
      </c>
      <c r="AP32" s="39">
        <v>2177.13</v>
      </c>
      <c r="AQ32" s="39">
        <v>2185.86</v>
      </c>
      <c r="AR32" s="39">
        <v>2185.86</v>
      </c>
    </row>
    <row r="33" spans="1:44" x14ac:dyDescent="0.35">
      <c r="A33" s="16" t="str">
        <f t="shared" si="2"/>
        <v>16</v>
      </c>
      <c r="B33" s="19">
        <v>63891</v>
      </c>
      <c r="C33" s="16" t="str">
        <f t="shared" si="3"/>
        <v>0000000</v>
      </c>
      <c r="D33" s="17" t="s">
        <v>3663</v>
      </c>
      <c r="E33" s="16" t="s">
        <v>762</v>
      </c>
      <c r="F33" s="16" t="s">
        <v>754</v>
      </c>
      <c r="G33" s="35" t="s">
        <v>763</v>
      </c>
      <c r="H33" s="39">
        <v>2959.7</v>
      </c>
      <c r="I33" s="39">
        <v>2960.32</v>
      </c>
      <c r="J33" s="39">
        <v>2992.32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2959.7</v>
      </c>
      <c r="AJ33" s="39">
        <v>2960.32</v>
      </c>
      <c r="AK33" s="39">
        <v>2992.32</v>
      </c>
      <c r="AL33" s="39">
        <v>0</v>
      </c>
      <c r="AM33" s="39">
        <v>0</v>
      </c>
      <c r="AN33" s="39">
        <v>0</v>
      </c>
      <c r="AO33" s="39">
        <v>2959.7</v>
      </c>
      <c r="AP33" s="39">
        <v>2960.32</v>
      </c>
      <c r="AQ33" s="39">
        <v>2992.32</v>
      </c>
      <c r="AR33" s="39">
        <v>2992.32</v>
      </c>
    </row>
    <row r="34" spans="1:44" x14ac:dyDescent="0.35">
      <c r="A34" s="16" t="str">
        <f t="shared" si="2"/>
        <v>16</v>
      </c>
      <c r="B34" s="19">
        <v>73932</v>
      </c>
      <c r="C34" s="16" t="str">
        <f t="shared" si="3"/>
        <v>0000000</v>
      </c>
      <c r="D34" s="17" t="s">
        <v>3663</v>
      </c>
      <c r="E34" s="16" t="s">
        <v>783</v>
      </c>
      <c r="F34" s="16" t="s">
        <v>754</v>
      </c>
      <c r="G34" s="35" t="s">
        <v>784</v>
      </c>
      <c r="H34" s="39">
        <v>2485.5700000000002</v>
      </c>
      <c r="I34" s="39">
        <v>2504.3000000000002</v>
      </c>
      <c r="J34" s="39">
        <v>2487.36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2485.5700000000002</v>
      </c>
      <c r="AJ34" s="39">
        <v>2504.3000000000002</v>
      </c>
      <c r="AK34" s="39">
        <v>2487.36</v>
      </c>
      <c r="AL34" s="39">
        <v>0</v>
      </c>
      <c r="AM34" s="39">
        <v>0</v>
      </c>
      <c r="AN34" s="39">
        <v>0</v>
      </c>
      <c r="AO34" s="39">
        <v>2485.5700000000002</v>
      </c>
      <c r="AP34" s="39">
        <v>2504.3000000000002</v>
      </c>
      <c r="AQ34" s="39">
        <v>2487.36</v>
      </c>
      <c r="AR34" s="39">
        <v>2504.3000000000002</v>
      </c>
    </row>
    <row r="35" spans="1:44" x14ac:dyDescent="0.35">
      <c r="A35" s="16" t="str">
        <f t="shared" si="2"/>
        <v>16</v>
      </c>
      <c r="B35" s="19">
        <v>63941</v>
      </c>
      <c r="C35" s="16" t="str">
        <f t="shared" si="3"/>
        <v>0000000</v>
      </c>
      <c r="D35" s="17" t="s">
        <v>3663</v>
      </c>
      <c r="E35" s="16" t="s">
        <v>770</v>
      </c>
      <c r="F35" s="16" t="s">
        <v>754</v>
      </c>
      <c r="G35" s="35" t="s">
        <v>771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811.89</v>
      </c>
      <c r="AD35" s="39">
        <v>810.56</v>
      </c>
      <c r="AE35" s="39">
        <v>782.52</v>
      </c>
      <c r="AF35" s="39">
        <v>0</v>
      </c>
      <c r="AG35" s="39">
        <v>0</v>
      </c>
      <c r="AH35" s="39">
        <v>0</v>
      </c>
      <c r="AI35" s="39">
        <v>811.89</v>
      </c>
      <c r="AJ35" s="39">
        <v>810.56</v>
      </c>
      <c r="AK35" s="39">
        <v>782.52</v>
      </c>
      <c r="AL35" s="39">
        <v>0</v>
      </c>
      <c r="AM35" s="39">
        <v>0</v>
      </c>
      <c r="AN35" s="39">
        <v>0</v>
      </c>
      <c r="AO35" s="39">
        <v>811.89</v>
      </c>
      <c r="AP35" s="39">
        <v>810.56</v>
      </c>
      <c r="AQ35" s="39">
        <v>782.52</v>
      </c>
      <c r="AR35" s="39">
        <v>811.89</v>
      </c>
    </row>
    <row r="36" spans="1:44" x14ac:dyDescent="0.35">
      <c r="A36" s="16" t="str">
        <f t="shared" si="2"/>
        <v>16</v>
      </c>
      <c r="B36" s="19">
        <v>63966</v>
      </c>
      <c r="C36" s="16" t="str">
        <f t="shared" si="3"/>
        <v>0000000</v>
      </c>
      <c r="D36" s="17" t="s">
        <v>3663</v>
      </c>
      <c r="E36" s="16" t="s">
        <v>776</v>
      </c>
      <c r="F36" s="16" t="s">
        <v>754</v>
      </c>
      <c r="G36" s="35" t="s">
        <v>777</v>
      </c>
      <c r="H36" s="39">
        <v>224.12</v>
      </c>
      <c r="I36" s="39">
        <v>233.55</v>
      </c>
      <c r="J36" s="39">
        <v>219.59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224.12</v>
      </c>
      <c r="AJ36" s="39">
        <v>233.55</v>
      </c>
      <c r="AK36" s="39">
        <v>219.59</v>
      </c>
      <c r="AL36" s="39">
        <v>0</v>
      </c>
      <c r="AM36" s="39">
        <v>0</v>
      </c>
      <c r="AN36" s="39">
        <v>0</v>
      </c>
      <c r="AO36" s="39">
        <v>224.12</v>
      </c>
      <c r="AP36" s="39">
        <v>233.55</v>
      </c>
      <c r="AQ36" s="39">
        <v>219.59</v>
      </c>
      <c r="AR36" s="39">
        <v>233.55</v>
      </c>
    </row>
    <row r="37" spans="1:44" x14ac:dyDescent="0.35">
      <c r="A37" s="16" t="str">
        <f t="shared" si="2"/>
        <v>16</v>
      </c>
      <c r="B37" s="19">
        <v>63990</v>
      </c>
      <c r="C37" s="16" t="str">
        <f t="shared" si="3"/>
        <v>0000000</v>
      </c>
      <c r="D37" s="17" t="s">
        <v>3663</v>
      </c>
      <c r="E37" s="16" t="s">
        <v>782</v>
      </c>
      <c r="F37" s="16" t="s">
        <v>754</v>
      </c>
      <c r="G37" s="35" t="s">
        <v>229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1598.92</v>
      </c>
      <c r="AD37" s="39">
        <v>1569.93</v>
      </c>
      <c r="AE37" s="39">
        <v>1489.3</v>
      </c>
      <c r="AF37" s="39">
        <v>0</v>
      </c>
      <c r="AG37" s="39">
        <v>0</v>
      </c>
      <c r="AH37" s="39">
        <v>0</v>
      </c>
      <c r="AI37" s="39">
        <v>1598.92</v>
      </c>
      <c r="AJ37" s="39">
        <v>1569.93</v>
      </c>
      <c r="AK37" s="39">
        <v>1489.3</v>
      </c>
      <c r="AL37" s="39">
        <v>0</v>
      </c>
      <c r="AM37" s="39">
        <v>0</v>
      </c>
      <c r="AN37" s="39">
        <v>0</v>
      </c>
      <c r="AO37" s="39">
        <v>1598.92</v>
      </c>
      <c r="AP37" s="39">
        <v>1569.93</v>
      </c>
      <c r="AQ37" s="39">
        <v>1489.3</v>
      </c>
      <c r="AR37" s="39">
        <v>1598.92</v>
      </c>
    </row>
    <row r="38" spans="1:44" x14ac:dyDescent="0.35">
      <c r="A38" s="16" t="str">
        <f t="shared" si="2"/>
        <v>16</v>
      </c>
      <c r="B38" s="19">
        <v>63933</v>
      </c>
      <c r="C38" s="16" t="str">
        <f t="shared" si="3"/>
        <v>0000000</v>
      </c>
      <c r="D38" s="17" t="s">
        <v>3663</v>
      </c>
      <c r="E38" s="16" t="s">
        <v>768</v>
      </c>
      <c r="F38" s="16" t="s">
        <v>754</v>
      </c>
      <c r="G38" s="35" t="s">
        <v>769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375.33</v>
      </c>
      <c r="AD38" s="39">
        <v>353.47</v>
      </c>
      <c r="AE38" s="39">
        <v>371.94</v>
      </c>
      <c r="AF38" s="39">
        <v>0</v>
      </c>
      <c r="AG38" s="39">
        <v>0</v>
      </c>
      <c r="AH38" s="39">
        <v>0</v>
      </c>
      <c r="AI38" s="39">
        <v>375.33</v>
      </c>
      <c r="AJ38" s="39">
        <v>353.47</v>
      </c>
      <c r="AK38" s="39">
        <v>371.94</v>
      </c>
      <c r="AL38" s="39">
        <v>0</v>
      </c>
      <c r="AM38" s="39">
        <v>0</v>
      </c>
      <c r="AN38" s="39">
        <v>0</v>
      </c>
      <c r="AO38" s="39">
        <v>375.33</v>
      </c>
      <c r="AP38" s="39">
        <v>353.47</v>
      </c>
      <c r="AQ38" s="39">
        <v>371.94</v>
      </c>
      <c r="AR38" s="39">
        <v>375.33</v>
      </c>
    </row>
    <row r="39" spans="1:44" x14ac:dyDescent="0.35">
      <c r="A39" s="16" t="str">
        <f>TEXT(6,"00")</f>
        <v>06</v>
      </c>
      <c r="B39" s="19">
        <v>10066</v>
      </c>
      <c r="C39" s="16" t="str">
        <f t="shared" si="3"/>
        <v>0000000</v>
      </c>
      <c r="D39" s="17" t="s">
        <v>3663</v>
      </c>
      <c r="E39" s="16" t="s">
        <v>245</v>
      </c>
      <c r="F39" s="16" t="s">
        <v>246</v>
      </c>
      <c r="G39" s="35" t="s">
        <v>246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37.72</v>
      </c>
      <c r="U39" s="39">
        <v>21.09</v>
      </c>
      <c r="V39" s="39">
        <v>16.28</v>
      </c>
      <c r="W39" s="39">
        <v>17.66</v>
      </c>
      <c r="X39" s="39">
        <v>20.14</v>
      </c>
      <c r="Y39" s="39">
        <v>22.53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55.38</v>
      </c>
      <c r="AJ39" s="39">
        <v>41.23</v>
      </c>
      <c r="AK39" s="39">
        <v>38.81</v>
      </c>
      <c r="AL39" s="39">
        <v>0</v>
      </c>
      <c r="AM39" s="39">
        <v>0</v>
      </c>
      <c r="AN39" s="39">
        <v>0</v>
      </c>
      <c r="AO39" s="39">
        <v>55.38</v>
      </c>
      <c r="AP39" s="39">
        <v>41.23</v>
      </c>
      <c r="AQ39" s="39">
        <v>38.81</v>
      </c>
      <c r="AR39" s="39">
        <v>55.38</v>
      </c>
    </row>
    <row r="40" spans="1:44" x14ac:dyDescent="0.35">
      <c r="A40" s="16" t="str">
        <f>TEXT(6,"00")</f>
        <v>06</v>
      </c>
      <c r="B40" s="19">
        <v>61598</v>
      </c>
      <c r="C40" s="16" t="str">
        <f t="shared" si="3"/>
        <v>0000000</v>
      </c>
      <c r="D40" s="17" t="s">
        <v>3663</v>
      </c>
      <c r="E40" s="16" t="s">
        <v>247</v>
      </c>
      <c r="F40" s="16" t="s">
        <v>246</v>
      </c>
      <c r="G40" s="35" t="s">
        <v>248</v>
      </c>
      <c r="H40" s="39">
        <v>1372.43</v>
      </c>
      <c r="I40" s="39">
        <v>1384.96</v>
      </c>
      <c r="J40" s="39">
        <v>1407.75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1372.43</v>
      </c>
      <c r="AJ40" s="39">
        <v>1384.96</v>
      </c>
      <c r="AK40" s="39">
        <v>1407.75</v>
      </c>
      <c r="AL40" s="39">
        <v>0</v>
      </c>
      <c r="AM40" s="39">
        <v>0</v>
      </c>
      <c r="AN40" s="39">
        <v>0</v>
      </c>
      <c r="AO40" s="39">
        <v>1372.43</v>
      </c>
      <c r="AP40" s="39">
        <v>1384.96</v>
      </c>
      <c r="AQ40" s="39">
        <v>1407.75</v>
      </c>
      <c r="AR40" s="39">
        <v>1407.75</v>
      </c>
    </row>
    <row r="41" spans="1:44" x14ac:dyDescent="0.35">
      <c r="A41" s="16" t="str">
        <f>TEXT(6,"00")</f>
        <v>06</v>
      </c>
      <c r="B41" s="19">
        <v>61606</v>
      </c>
      <c r="C41" s="16" t="str">
        <f t="shared" si="3"/>
        <v>0000000</v>
      </c>
      <c r="D41" s="17" t="s">
        <v>3663</v>
      </c>
      <c r="E41" s="16" t="s">
        <v>249</v>
      </c>
      <c r="F41" s="16" t="s">
        <v>246</v>
      </c>
      <c r="G41" s="35" t="s">
        <v>250</v>
      </c>
      <c r="H41" s="39">
        <v>323.37</v>
      </c>
      <c r="I41" s="39">
        <v>332.73</v>
      </c>
      <c r="J41" s="39">
        <v>320.02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323.37</v>
      </c>
      <c r="AJ41" s="39">
        <v>332.73</v>
      </c>
      <c r="AK41" s="39">
        <v>320.02</v>
      </c>
      <c r="AL41" s="39">
        <v>0</v>
      </c>
      <c r="AM41" s="39">
        <v>0</v>
      </c>
      <c r="AN41" s="39">
        <v>0</v>
      </c>
      <c r="AO41" s="39">
        <v>323.37</v>
      </c>
      <c r="AP41" s="39">
        <v>332.73</v>
      </c>
      <c r="AQ41" s="39">
        <v>320.02</v>
      </c>
      <c r="AR41" s="39">
        <v>332.73</v>
      </c>
    </row>
    <row r="42" spans="1:44" x14ac:dyDescent="0.35">
      <c r="A42" s="16" t="str">
        <f>TEXT(6,"00")</f>
        <v>06</v>
      </c>
      <c r="B42" s="19">
        <v>61614</v>
      </c>
      <c r="C42" s="16" t="str">
        <f t="shared" si="3"/>
        <v>0000000</v>
      </c>
      <c r="D42" s="17" t="s">
        <v>3663</v>
      </c>
      <c r="E42" s="16" t="s">
        <v>251</v>
      </c>
      <c r="F42" s="16" t="s">
        <v>246</v>
      </c>
      <c r="G42" s="35" t="s">
        <v>252</v>
      </c>
      <c r="H42" s="39">
        <v>1357.86</v>
      </c>
      <c r="I42" s="39">
        <v>1394.82</v>
      </c>
      <c r="J42" s="39">
        <v>1389.25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1357.86</v>
      </c>
      <c r="AJ42" s="39">
        <v>1394.82</v>
      </c>
      <c r="AK42" s="39">
        <v>1389.25</v>
      </c>
      <c r="AL42" s="39">
        <v>0</v>
      </c>
      <c r="AM42" s="39">
        <v>0</v>
      </c>
      <c r="AN42" s="39">
        <v>0</v>
      </c>
      <c r="AO42" s="39">
        <v>1357.86</v>
      </c>
      <c r="AP42" s="39">
        <v>1394.82</v>
      </c>
      <c r="AQ42" s="39">
        <v>1389.25</v>
      </c>
      <c r="AR42" s="39">
        <v>1394.82</v>
      </c>
    </row>
    <row r="43" spans="1:44" x14ac:dyDescent="0.35">
      <c r="A43" s="16" t="str">
        <f>TEXT(6,"00")</f>
        <v>06</v>
      </c>
      <c r="B43" s="19">
        <v>61622</v>
      </c>
      <c r="C43" s="16" t="str">
        <f t="shared" si="3"/>
        <v>0000000</v>
      </c>
      <c r="D43" s="17" t="s">
        <v>3663</v>
      </c>
      <c r="E43" s="16" t="s">
        <v>253</v>
      </c>
      <c r="F43" s="16" t="s">
        <v>246</v>
      </c>
      <c r="G43" s="35" t="s">
        <v>254</v>
      </c>
      <c r="H43" s="39">
        <v>1172.3499999999999</v>
      </c>
      <c r="I43" s="39">
        <v>1216.49</v>
      </c>
      <c r="J43" s="39">
        <v>1197.74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1172.3499999999999</v>
      </c>
      <c r="AJ43" s="39">
        <v>1216.49</v>
      </c>
      <c r="AK43" s="39">
        <v>1197.74</v>
      </c>
      <c r="AL43" s="39">
        <v>0</v>
      </c>
      <c r="AM43" s="39">
        <v>0</v>
      </c>
      <c r="AN43" s="39">
        <v>0</v>
      </c>
      <c r="AO43" s="39">
        <v>1172.3499999999999</v>
      </c>
      <c r="AP43" s="39">
        <v>1216.49</v>
      </c>
      <c r="AQ43" s="39">
        <v>1197.74</v>
      </c>
      <c r="AR43" s="39">
        <v>1216.49</v>
      </c>
    </row>
    <row r="44" spans="1:44" x14ac:dyDescent="0.35">
      <c r="A44" s="16" t="str">
        <f t="shared" ref="A44:A57" si="4">TEXT(52,"00")</f>
        <v>52</v>
      </c>
      <c r="B44" s="19">
        <v>10520</v>
      </c>
      <c r="C44" s="16" t="str">
        <f t="shared" si="3"/>
        <v>0000000</v>
      </c>
      <c r="D44" s="17" t="s">
        <v>3663</v>
      </c>
      <c r="E44" s="16" t="s">
        <v>3262</v>
      </c>
      <c r="F44" s="16" t="s">
        <v>3263</v>
      </c>
      <c r="G44" s="35" t="s">
        <v>3263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26.65</v>
      </c>
      <c r="U44" s="39">
        <v>27.38</v>
      </c>
      <c r="V44" s="39">
        <v>20.94</v>
      </c>
      <c r="W44" s="39">
        <v>124.28</v>
      </c>
      <c r="X44" s="39">
        <v>108.23</v>
      </c>
      <c r="Y44" s="39">
        <v>101.91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150.93</v>
      </c>
      <c r="AJ44" s="39">
        <v>135.61000000000001</v>
      </c>
      <c r="AK44" s="39">
        <v>122.85</v>
      </c>
      <c r="AL44" s="39">
        <v>0</v>
      </c>
      <c r="AM44" s="39">
        <v>0</v>
      </c>
      <c r="AN44" s="39">
        <v>0</v>
      </c>
      <c r="AO44" s="39">
        <v>150.93</v>
      </c>
      <c r="AP44" s="39">
        <v>135.61000000000001</v>
      </c>
      <c r="AQ44" s="39">
        <v>122.85</v>
      </c>
      <c r="AR44" s="39">
        <v>150.93</v>
      </c>
    </row>
    <row r="45" spans="1:44" x14ac:dyDescent="0.35">
      <c r="A45" s="16" t="str">
        <f t="shared" si="4"/>
        <v>52</v>
      </c>
      <c r="B45" s="19">
        <v>71472</v>
      </c>
      <c r="C45" s="16" t="str">
        <f t="shared" si="3"/>
        <v>0000000</v>
      </c>
      <c r="D45" s="17" t="s">
        <v>3663</v>
      </c>
      <c r="E45" s="16" t="s">
        <v>3264</v>
      </c>
      <c r="F45" s="16" t="s">
        <v>3263</v>
      </c>
      <c r="G45" s="35" t="s">
        <v>3265</v>
      </c>
      <c r="H45" s="39">
        <v>654.58000000000004</v>
      </c>
      <c r="I45" s="39">
        <v>661.07</v>
      </c>
      <c r="J45" s="39">
        <v>666.5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220.5</v>
      </c>
      <c r="AD45" s="39">
        <v>208.94</v>
      </c>
      <c r="AE45" s="39">
        <v>214.87</v>
      </c>
      <c r="AF45" s="39">
        <v>0</v>
      </c>
      <c r="AG45" s="39">
        <v>0</v>
      </c>
      <c r="AH45" s="39">
        <v>0</v>
      </c>
      <c r="AI45" s="39">
        <v>875.08</v>
      </c>
      <c r="AJ45" s="39">
        <v>870.01</v>
      </c>
      <c r="AK45" s="39">
        <v>881.37</v>
      </c>
      <c r="AL45" s="39">
        <v>0</v>
      </c>
      <c r="AM45" s="39">
        <v>0</v>
      </c>
      <c r="AN45" s="39">
        <v>0</v>
      </c>
      <c r="AO45" s="39">
        <v>875.08</v>
      </c>
      <c r="AP45" s="39">
        <v>870.01</v>
      </c>
      <c r="AQ45" s="39">
        <v>881.37</v>
      </c>
      <c r="AR45" s="39">
        <v>881.37</v>
      </c>
    </row>
    <row r="46" spans="1:44" x14ac:dyDescent="0.35">
      <c r="A46" s="16" t="str">
        <f t="shared" si="4"/>
        <v>52</v>
      </c>
      <c r="B46" s="19">
        <v>71498</v>
      </c>
      <c r="C46" s="16" t="str">
        <f t="shared" si="3"/>
        <v>0000000</v>
      </c>
      <c r="D46" s="17" t="s">
        <v>3663</v>
      </c>
      <c r="E46" s="16" t="s">
        <v>3266</v>
      </c>
      <c r="F46" s="16" t="s">
        <v>3263</v>
      </c>
      <c r="G46" s="35" t="s">
        <v>3267</v>
      </c>
      <c r="H46" s="39">
        <v>1870.37</v>
      </c>
      <c r="I46" s="39">
        <v>1870.78</v>
      </c>
      <c r="J46" s="39">
        <v>1857.74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1870.37</v>
      </c>
      <c r="AJ46" s="39">
        <v>1870.78</v>
      </c>
      <c r="AK46" s="39">
        <v>1857.74</v>
      </c>
      <c r="AL46" s="39">
        <v>0</v>
      </c>
      <c r="AM46" s="39">
        <v>0</v>
      </c>
      <c r="AN46" s="39">
        <v>0</v>
      </c>
      <c r="AO46" s="39">
        <v>1870.37</v>
      </c>
      <c r="AP46" s="39">
        <v>1870.78</v>
      </c>
      <c r="AQ46" s="39">
        <v>1857.74</v>
      </c>
      <c r="AR46" s="39">
        <v>1870.78</v>
      </c>
    </row>
    <row r="47" spans="1:44" x14ac:dyDescent="0.35">
      <c r="A47" s="16" t="str">
        <f t="shared" si="4"/>
        <v>52</v>
      </c>
      <c r="B47" s="19">
        <v>71506</v>
      </c>
      <c r="C47" s="16" t="str">
        <f t="shared" si="3"/>
        <v>0000000</v>
      </c>
      <c r="D47" s="17" t="s">
        <v>3663</v>
      </c>
      <c r="E47" s="16" t="s">
        <v>3268</v>
      </c>
      <c r="F47" s="16" t="s">
        <v>3263</v>
      </c>
      <c r="G47" s="35" t="s">
        <v>3269</v>
      </c>
      <c r="H47" s="39">
        <v>989.62</v>
      </c>
      <c r="I47" s="39">
        <v>975.41</v>
      </c>
      <c r="J47" s="39">
        <v>1031.02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989.62</v>
      </c>
      <c r="AJ47" s="39">
        <v>975.41</v>
      </c>
      <c r="AK47" s="39">
        <v>1031.02</v>
      </c>
      <c r="AL47" s="39">
        <v>0</v>
      </c>
      <c r="AM47" s="39">
        <v>0</v>
      </c>
      <c r="AN47" s="39">
        <v>0</v>
      </c>
      <c r="AO47" s="39">
        <v>989.62</v>
      </c>
      <c r="AP47" s="39">
        <v>975.41</v>
      </c>
      <c r="AQ47" s="39">
        <v>1031.02</v>
      </c>
      <c r="AR47" s="39">
        <v>1031.02</v>
      </c>
    </row>
    <row r="48" spans="1:44" x14ac:dyDescent="0.35">
      <c r="A48" s="16" t="str">
        <f t="shared" si="4"/>
        <v>52</v>
      </c>
      <c r="B48" s="19">
        <v>71522</v>
      </c>
      <c r="C48" s="16" t="str">
        <f t="shared" si="3"/>
        <v>0000000</v>
      </c>
      <c r="D48" s="17" t="s">
        <v>3663</v>
      </c>
      <c r="E48" s="16" t="s">
        <v>3270</v>
      </c>
      <c r="F48" s="16" t="s">
        <v>3263</v>
      </c>
      <c r="G48" s="35" t="s">
        <v>3271</v>
      </c>
      <c r="H48" s="39">
        <v>990.04</v>
      </c>
      <c r="I48" s="39">
        <v>978.2</v>
      </c>
      <c r="J48" s="39">
        <v>954.49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181.72</v>
      </c>
      <c r="AD48" s="39">
        <v>158.31</v>
      </c>
      <c r="AE48" s="39">
        <v>144.79</v>
      </c>
      <c r="AF48" s="39">
        <v>0</v>
      </c>
      <c r="AG48" s="39">
        <v>0</v>
      </c>
      <c r="AH48" s="39">
        <v>0</v>
      </c>
      <c r="AI48" s="39">
        <v>1171.76</v>
      </c>
      <c r="AJ48" s="39">
        <v>1136.51</v>
      </c>
      <c r="AK48" s="39">
        <v>1099.28</v>
      </c>
      <c r="AL48" s="39">
        <v>0</v>
      </c>
      <c r="AM48" s="39">
        <v>0</v>
      </c>
      <c r="AN48" s="39">
        <v>0</v>
      </c>
      <c r="AO48" s="39">
        <v>1171.76</v>
      </c>
      <c r="AP48" s="39">
        <v>1136.51</v>
      </c>
      <c r="AQ48" s="39">
        <v>1099.28</v>
      </c>
      <c r="AR48" s="39">
        <v>1171.76</v>
      </c>
    </row>
    <row r="49" spans="1:44" x14ac:dyDescent="0.35">
      <c r="A49" s="16" t="str">
        <f t="shared" si="4"/>
        <v>52</v>
      </c>
      <c r="B49" s="19">
        <v>71621</v>
      </c>
      <c r="C49" s="16" t="str">
        <f t="shared" si="3"/>
        <v>0000000</v>
      </c>
      <c r="D49" s="17" t="s">
        <v>3663</v>
      </c>
      <c r="E49" s="16" t="s">
        <v>3282</v>
      </c>
      <c r="F49" s="16" t="s">
        <v>3263</v>
      </c>
      <c r="G49" s="35" t="s">
        <v>3283</v>
      </c>
      <c r="H49" s="39">
        <v>1676</v>
      </c>
      <c r="I49" s="39">
        <v>1744.23</v>
      </c>
      <c r="J49" s="39">
        <v>1683.57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1676</v>
      </c>
      <c r="AJ49" s="39">
        <v>1744.23</v>
      </c>
      <c r="AK49" s="39">
        <v>1683.57</v>
      </c>
      <c r="AL49" s="39">
        <v>0</v>
      </c>
      <c r="AM49" s="39">
        <v>0</v>
      </c>
      <c r="AN49" s="39">
        <v>0</v>
      </c>
      <c r="AO49" s="39">
        <v>1676</v>
      </c>
      <c r="AP49" s="39">
        <v>1744.23</v>
      </c>
      <c r="AQ49" s="39">
        <v>1683.57</v>
      </c>
      <c r="AR49" s="39">
        <v>1744.23</v>
      </c>
    </row>
    <row r="50" spans="1:44" x14ac:dyDescent="0.35">
      <c r="A50" s="16" t="str">
        <f t="shared" si="4"/>
        <v>52</v>
      </c>
      <c r="B50" s="19">
        <v>71639</v>
      </c>
      <c r="C50" s="16" t="str">
        <f t="shared" si="3"/>
        <v>0000000</v>
      </c>
      <c r="D50" s="17" t="s">
        <v>3663</v>
      </c>
      <c r="E50" s="16" t="s">
        <v>3284</v>
      </c>
      <c r="F50" s="16" t="s">
        <v>3263</v>
      </c>
      <c r="G50" s="35" t="s">
        <v>3285</v>
      </c>
      <c r="H50" s="39">
        <v>1544.21</v>
      </c>
      <c r="I50" s="39">
        <v>1569.47</v>
      </c>
      <c r="J50" s="39">
        <v>1577.82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  <c r="AI50" s="39">
        <v>1544.21</v>
      </c>
      <c r="AJ50" s="39">
        <v>1569.47</v>
      </c>
      <c r="AK50" s="39">
        <v>1577.82</v>
      </c>
      <c r="AL50" s="39">
        <v>0</v>
      </c>
      <c r="AM50" s="39">
        <v>0</v>
      </c>
      <c r="AN50" s="39">
        <v>0</v>
      </c>
      <c r="AO50" s="39">
        <v>1544.21</v>
      </c>
      <c r="AP50" s="39">
        <v>1569.47</v>
      </c>
      <c r="AQ50" s="39">
        <v>1577.82</v>
      </c>
      <c r="AR50" s="39">
        <v>1577.82</v>
      </c>
    </row>
    <row r="51" spans="1:44" x14ac:dyDescent="0.35">
      <c r="A51" s="16" t="str">
        <f t="shared" si="4"/>
        <v>52</v>
      </c>
      <c r="B51" s="19">
        <v>71548</v>
      </c>
      <c r="C51" s="16" t="str">
        <f t="shared" si="3"/>
        <v>0000000</v>
      </c>
      <c r="D51" s="17" t="s">
        <v>3663</v>
      </c>
      <c r="E51" s="16" t="s">
        <v>3274</v>
      </c>
      <c r="F51" s="16" t="s">
        <v>3263</v>
      </c>
      <c r="G51" s="35" t="s">
        <v>3275</v>
      </c>
      <c r="H51" s="39">
        <v>376.17</v>
      </c>
      <c r="I51" s="39">
        <v>381.26</v>
      </c>
      <c r="J51" s="39">
        <v>362.57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  <c r="AI51" s="39">
        <v>376.17</v>
      </c>
      <c r="AJ51" s="39">
        <v>381.26</v>
      </c>
      <c r="AK51" s="39">
        <v>362.57</v>
      </c>
      <c r="AL51" s="39">
        <v>0</v>
      </c>
      <c r="AM51" s="39">
        <v>0</v>
      </c>
      <c r="AN51" s="39">
        <v>0</v>
      </c>
      <c r="AO51" s="39">
        <v>376.17</v>
      </c>
      <c r="AP51" s="39">
        <v>381.26</v>
      </c>
      <c r="AQ51" s="39">
        <v>362.57</v>
      </c>
      <c r="AR51" s="39">
        <v>381.26</v>
      </c>
    </row>
    <row r="52" spans="1:44" x14ac:dyDescent="0.35">
      <c r="A52" s="16" t="str">
        <f t="shared" si="4"/>
        <v>52</v>
      </c>
      <c r="B52" s="19">
        <v>71571</v>
      </c>
      <c r="C52" s="16" t="str">
        <f t="shared" si="3"/>
        <v>0000000</v>
      </c>
      <c r="D52" s="17" t="s">
        <v>3663</v>
      </c>
      <c r="E52" s="16" t="s">
        <v>3280</v>
      </c>
      <c r="F52" s="16" t="s">
        <v>3263</v>
      </c>
      <c r="G52" s="35" t="s">
        <v>3281</v>
      </c>
      <c r="H52" s="39">
        <v>516.6</v>
      </c>
      <c r="I52" s="39">
        <v>488.23</v>
      </c>
      <c r="J52" s="39">
        <v>489.59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  <c r="AI52" s="39">
        <v>516.6</v>
      </c>
      <c r="AJ52" s="39">
        <v>488.23</v>
      </c>
      <c r="AK52" s="39">
        <v>489.59</v>
      </c>
      <c r="AL52" s="39">
        <v>0</v>
      </c>
      <c r="AM52" s="39">
        <v>0</v>
      </c>
      <c r="AN52" s="39">
        <v>0</v>
      </c>
      <c r="AO52" s="39">
        <v>516.6</v>
      </c>
      <c r="AP52" s="39">
        <v>488.23</v>
      </c>
      <c r="AQ52" s="39">
        <v>489.59</v>
      </c>
      <c r="AR52" s="39">
        <v>516.6</v>
      </c>
    </row>
    <row r="53" spans="1:44" x14ac:dyDescent="0.35">
      <c r="A53" s="16" t="str">
        <f t="shared" si="4"/>
        <v>52</v>
      </c>
      <c r="B53" s="19">
        <v>71530</v>
      </c>
      <c r="C53" s="16" t="str">
        <f t="shared" si="3"/>
        <v>0000000</v>
      </c>
      <c r="D53" s="17" t="s">
        <v>3663</v>
      </c>
      <c r="E53" s="16" t="s">
        <v>3272</v>
      </c>
      <c r="F53" s="16" t="s">
        <v>3263</v>
      </c>
      <c r="G53" s="35" t="s">
        <v>3273</v>
      </c>
      <c r="H53" s="39">
        <v>29.98</v>
      </c>
      <c r="I53" s="39">
        <v>35.049999999999997</v>
      </c>
      <c r="J53" s="39">
        <v>44.38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  <c r="AI53" s="39">
        <v>29.98</v>
      </c>
      <c r="AJ53" s="39">
        <v>35.049999999999997</v>
      </c>
      <c r="AK53" s="39">
        <v>44.38</v>
      </c>
      <c r="AL53" s="39">
        <v>0</v>
      </c>
      <c r="AM53" s="39">
        <v>0</v>
      </c>
      <c r="AN53" s="39">
        <v>0</v>
      </c>
      <c r="AO53" s="39">
        <v>29.98</v>
      </c>
      <c r="AP53" s="39">
        <v>35.049999999999997</v>
      </c>
      <c r="AQ53" s="39">
        <v>44.38</v>
      </c>
      <c r="AR53" s="39">
        <v>44.38</v>
      </c>
    </row>
    <row r="54" spans="1:44" x14ac:dyDescent="0.35">
      <c r="A54" s="16" t="str">
        <f t="shared" si="4"/>
        <v>52</v>
      </c>
      <c r="B54" s="19">
        <v>71555</v>
      </c>
      <c r="C54" s="16" t="str">
        <f t="shared" si="3"/>
        <v>0000000</v>
      </c>
      <c r="D54" s="17" t="s">
        <v>3663</v>
      </c>
      <c r="E54" s="16" t="s">
        <v>3276</v>
      </c>
      <c r="F54" s="16" t="s">
        <v>3263</v>
      </c>
      <c r="G54" s="35" t="s">
        <v>3277</v>
      </c>
      <c r="H54" s="39">
        <v>105.09</v>
      </c>
      <c r="I54" s="39">
        <v>97.44</v>
      </c>
      <c r="J54" s="39">
        <v>99.56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  <c r="AI54" s="39">
        <v>105.09</v>
      </c>
      <c r="AJ54" s="39">
        <v>97.44</v>
      </c>
      <c r="AK54" s="39">
        <v>99.56</v>
      </c>
      <c r="AL54" s="39">
        <v>0</v>
      </c>
      <c r="AM54" s="39">
        <v>0</v>
      </c>
      <c r="AN54" s="39">
        <v>0</v>
      </c>
      <c r="AO54" s="39">
        <v>105.09</v>
      </c>
      <c r="AP54" s="39">
        <v>97.44</v>
      </c>
      <c r="AQ54" s="39">
        <v>99.56</v>
      </c>
      <c r="AR54" s="39">
        <v>105.09</v>
      </c>
    </row>
    <row r="55" spans="1:44" x14ac:dyDescent="0.35">
      <c r="A55" s="16" t="str">
        <f t="shared" si="4"/>
        <v>52</v>
      </c>
      <c r="B55" s="19">
        <v>71563</v>
      </c>
      <c r="C55" s="16" t="str">
        <f t="shared" si="3"/>
        <v>0000000</v>
      </c>
      <c r="D55" s="17" t="s">
        <v>3663</v>
      </c>
      <c r="E55" s="16" t="s">
        <v>3278</v>
      </c>
      <c r="F55" s="16" t="s">
        <v>3263</v>
      </c>
      <c r="G55" s="35" t="s">
        <v>3279</v>
      </c>
      <c r="H55" s="39">
        <v>343.93</v>
      </c>
      <c r="I55" s="39">
        <v>349.42</v>
      </c>
      <c r="J55" s="39">
        <v>334.46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343.93</v>
      </c>
      <c r="AJ55" s="39">
        <v>349.42</v>
      </c>
      <c r="AK55" s="39">
        <v>334.46</v>
      </c>
      <c r="AL55" s="39">
        <v>0</v>
      </c>
      <c r="AM55" s="39">
        <v>0</v>
      </c>
      <c r="AN55" s="39">
        <v>0</v>
      </c>
      <c r="AO55" s="39">
        <v>343.93</v>
      </c>
      <c r="AP55" s="39">
        <v>349.42</v>
      </c>
      <c r="AQ55" s="39">
        <v>334.46</v>
      </c>
      <c r="AR55" s="39">
        <v>349.42</v>
      </c>
    </row>
    <row r="56" spans="1:44" x14ac:dyDescent="0.35">
      <c r="A56" s="16" t="str">
        <f t="shared" si="4"/>
        <v>52</v>
      </c>
      <c r="B56" s="19">
        <v>71647</v>
      </c>
      <c r="C56" s="16" t="str">
        <f t="shared" si="3"/>
        <v>0000000</v>
      </c>
      <c r="D56" s="17" t="s">
        <v>3663</v>
      </c>
      <c r="E56" s="16" t="s">
        <v>3286</v>
      </c>
      <c r="F56" s="16" t="s">
        <v>3263</v>
      </c>
      <c r="G56" s="35" t="s">
        <v>3287</v>
      </c>
      <c r="H56" s="39">
        <v>182.6</v>
      </c>
      <c r="I56" s="39">
        <v>182.2</v>
      </c>
      <c r="J56" s="39">
        <v>171.64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182.6</v>
      </c>
      <c r="AJ56" s="39">
        <v>182.2</v>
      </c>
      <c r="AK56" s="39">
        <v>171.64</v>
      </c>
      <c r="AL56" s="39">
        <v>0</v>
      </c>
      <c r="AM56" s="39">
        <v>0</v>
      </c>
      <c r="AN56" s="39">
        <v>0</v>
      </c>
      <c r="AO56" s="39">
        <v>182.6</v>
      </c>
      <c r="AP56" s="39">
        <v>182.2</v>
      </c>
      <c r="AQ56" s="39">
        <v>171.64</v>
      </c>
      <c r="AR56" s="39">
        <v>182.6</v>
      </c>
    </row>
    <row r="57" spans="1:44" x14ac:dyDescent="0.35">
      <c r="A57" s="16" t="str">
        <f t="shared" si="4"/>
        <v>52</v>
      </c>
      <c r="B57" s="19">
        <v>71654</v>
      </c>
      <c r="C57" s="16" t="str">
        <f t="shared" ref="C57:C88" si="5">TEXT(,"0000000")</f>
        <v>0000000</v>
      </c>
      <c r="D57" s="17" t="s">
        <v>3663</v>
      </c>
      <c r="E57" s="16" t="s">
        <v>3288</v>
      </c>
      <c r="F57" s="16" t="s">
        <v>3263</v>
      </c>
      <c r="G57" s="35" t="s">
        <v>3289</v>
      </c>
      <c r="H57" s="39">
        <v>244.94</v>
      </c>
      <c r="I57" s="39">
        <v>251.45</v>
      </c>
      <c r="J57" s="39">
        <v>228.94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  <c r="AI57" s="39">
        <v>244.94</v>
      </c>
      <c r="AJ57" s="39">
        <v>251.45</v>
      </c>
      <c r="AK57" s="39">
        <v>228.94</v>
      </c>
      <c r="AL57" s="39">
        <v>0</v>
      </c>
      <c r="AM57" s="39">
        <v>0</v>
      </c>
      <c r="AN57" s="39">
        <v>0</v>
      </c>
      <c r="AO57" s="39">
        <v>244.94</v>
      </c>
      <c r="AP57" s="39">
        <v>251.45</v>
      </c>
      <c r="AQ57" s="39">
        <v>228.94</v>
      </c>
      <c r="AR57" s="39">
        <v>251.45</v>
      </c>
    </row>
    <row r="58" spans="1:44" x14ac:dyDescent="0.35">
      <c r="A58" s="16" t="str">
        <f>TEXT(15,"00")</f>
        <v>15</v>
      </c>
      <c r="B58" s="19">
        <v>63529</v>
      </c>
      <c r="C58" s="16" t="str">
        <f t="shared" si="5"/>
        <v>0000000</v>
      </c>
      <c r="D58" s="17" t="s">
        <v>3663</v>
      </c>
      <c r="E58" s="16" t="s">
        <v>681</v>
      </c>
      <c r="F58" s="16" t="s">
        <v>682</v>
      </c>
      <c r="G58" s="35" t="s">
        <v>682</v>
      </c>
      <c r="H58" s="39">
        <v>39616.53</v>
      </c>
      <c r="I58" s="39">
        <v>39617.360000000001</v>
      </c>
      <c r="J58" s="39">
        <v>39071.75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438.91</v>
      </c>
      <c r="AD58" s="39">
        <v>509.07</v>
      </c>
      <c r="AE58" s="39">
        <v>552.53</v>
      </c>
      <c r="AF58" s="39">
        <v>0</v>
      </c>
      <c r="AG58" s="39">
        <v>0</v>
      </c>
      <c r="AH58" s="39">
        <v>0</v>
      </c>
      <c r="AI58" s="39">
        <v>40055.440000000002</v>
      </c>
      <c r="AJ58" s="39">
        <v>40126.43</v>
      </c>
      <c r="AK58" s="39">
        <v>39624.28</v>
      </c>
      <c r="AL58" s="39">
        <v>0</v>
      </c>
      <c r="AM58" s="39">
        <v>0</v>
      </c>
      <c r="AN58" s="39">
        <v>0</v>
      </c>
      <c r="AO58" s="39">
        <v>40055.440000000002</v>
      </c>
      <c r="AP58" s="39">
        <v>40126.43</v>
      </c>
      <c r="AQ58" s="39">
        <v>39624.28</v>
      </c>
      <c r="AR58" s="39">
        <v>40126.43</v>
      </c>
    </row>
    <row r="59" spans="1:44" x14ac:dyDescent="0.35">
      <c r="A59" s="16" t="str">
        <f t="shared" ref="A59:A73" si="6">TEXT(56,"00")</f>
        <v>56</v>
      </c>
      <c r="B59" s="19">
        <v>10561</v>
      </c>
      <c r="C59" s="16" t="str">
        <f t="shared" si="5"/>
        <v>0000000</v>
      </c>
      <c r="D59" s="17" t="s">
        <v>3663</v>
      </c>
      <c r="E59" s="16" t="s">
        <v>1006</v>
      </c>
      <c r="F59" s="16" t="s">
        <v>1007</v>
      </c>
      <c r="G59" s="35" t="s">
        <v>1007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98.83</v>
      </c>
      <c r="U59" s="39">
        <v>126.55</v>
      </c>
      <c r="V59" s="39">
        <v>116.19</v>
      </c>
      <c r="W59" s="39">
        <v>350.71</v>
      </c>
      <c r="X59" s="39">
        <v>408.77</v>
      </c>
      <c r="Y59" s="39">
        <v>438.62</v>
      </c>
      <c r="Z59" s="39">
        <v>364.08</v>
      </c>
      <c r="AA59" s="39">
        <v>403.16</v>
      </c>
      <c r="AB59" s="39">
        <v>374.59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813.62</v>
      </c>
      <c r="AJ59" s="39">
        <v>938.48</v>
      </c>
      <c r="AK59" s="39">
        <v>929.4</v>
      </c>
      <c r="AL59" s="39">
        <v>0</v>
      </c>
      <c r="AM59" s="39">
        <v>0</v>
      </c>
      <c r="AN59" s="39">
        <v>0</v>
      </c>
      <c r="AO59" s="39">
        <v>813.62</v>
      </c>
      <c r="AP59" s="39">
        <v>938.48</v>
      </c>
      <c r="AQ59" s="39">
        <v>929.4</v>
      </c>
      <c r="AR59" s="39">
        <v>938.48</v>
      </c>
    </row>
    <row r="60" spans="1:44" x14ac:dyDescent="0.35">
      <c r="A60" s="16" t="str">
        <f t="shared" si="6"/>
        <v>56</v>
      </c>
      <c r="B60" s="19">
        <v>72447</v>
      </c>
      <c r="C60" s="16" t="str">
        <f t="shared" si="5"/>
        <v>0000000</v>
      </c>
      <c r="D60" s="17" t="s">
        <v>3663</v>
      </c>
      <c r="E60" s="16" t="s">
        <v>3439</v>
      </c>
      <c r="F60" s="16" t="s">
        <v>1007</v>
      </c>
      <c r="G60" s="35" t="s">
        <v>3440</v>
      </c>
      <c r="H60" s="39">
        <v>430.57</v>
      </c>
      <c r="I60" s="39">
        <v>447.75</v>
      </c>
      <c r="J60" s="39">
        <v>432.98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  <c r="AI60" s="39">
        <v>430.57</v>
      </c>
      <c r="AJ60" s="39">
        <v>447.75</v>
      </c>
      <c r="AK60" s="39">
        <v>432.98</v>
      </c>
      <c r="AL60" s="39">
        <v>0</v>
      </c>
      <c r="AM60" s="39">
        <v>0</v>
      </c>
      <c r="AN60" s="39">
        <v>0</v>
      </c>
      <c r="AO60" s="39">
        <v>430.57</v>
      </c>
      <c r="AP60" s="39">
        <v>447.75</v>
      </c>
      <c r="AQ60" s="39">
        <v>432.98</v>
      </c>
      <c r="AR60" s="39">
        <v>447.75</v>
      </c>
    </row>
    <row r="61" spans="1:44" x14ac:dyDescent="0.35">
      <c r="A61" s="16" t="str">
        <f t="shared" si="6"/>
        <v>56</v>
      </c>
      <c r="B61" s="19">
        <v>73759</v>
      </c>
      <c r="C61" s="16" t="str">
        <f t="shared" si="5"/>
        <v>0000000</v>
      </c>
      <c r="D61" s="17" t="s">
        <v>3663</v>
      </c>
      <c r="E61" s="16" t="s">
        <v>3468</v>
      </c>
      <c r="F61" s="16" t="s">
        <v>1007</v>
      </c>
      <c r="G61" s="35" t="s">
        <v>3469</v>
      </c>
      <c r="H61" s="39">
        <v>14957.28</v>
      </c>
      <c r="I61" s="39">
        <v>15119.93</v>
      </c>
      <c r="J61" s="39">
        <v>15321.89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778.44</v>
      </c>
      <c r="AD61" s="39">
        <v>735.96</v>
      </c>
      <c r="AE61" s="39">
        <v>718.51</v>
      </c>
      <c r="AF61" s="39">
        <v>0</v>
      </c>
      <c r="AG61" s="39">
        <v>0</v>
      </c>
      <c r="AH61" s="39">
        <v>0</v>
      </c>
      <c r="AI61" s="39">
        <v>15735.72</v>
      </c>
      <c r="AJ61" s="39">
        <v>15855.89</v>
      </c>
      <c r="AK61" s="39">
        <v>16040.4</v>
      </c>
      <c r="AL61" s="39">
        <v>0</v>
      </c>
      <c r="AM61" s="39">
        <v>0</v>
      </c>
      <c r="AN61" s="39">
        <v>0</v>
      </c>
      <c r="AO61" s="39">
        <v>15735.72</v>
      </c>
      <c r="AP61" s="39">
        <v>15855.89</v>
      </c>
      <c r="AQ61" s="39">
        <v>16040.4</v>
      </c>
      <c r="AR61" s="39">
        <v>16040.4</v>
      </c>
    </row>
    <row r="62" spans="1:44" x14ac:dyDescent="0.35">
      <c r="A62" s="16" t="str">
        <f t="shared" si="6"/>
        <v>56</v>
      </c>
      <c r="B62" s="19">
        <v>72462</v>
      </c>
      <c r="C62" s="16" t="str">
        <f t="shared" si="5"/>
        <v>0000000</v>
      </c>
      <c r="D62" s="17" t="s">
        <v>3663</v>
      </c>
      <c r="E62" s="16" t="s">
        <v>3443</v>
      </c>
      <c r="F62" s="16" t="s">
        <v>1007</v>
      </c>
      <c r="G62" s="35" t="s">
        <v>3444</v>
      </c>
      <c r="H62" s="39">
        <v>6211.52</v>
      </c>
      <c r="I62" s="39">
        <v>6460.26</v>
      </c>
      <c r="J62" s="39">
        <v>6594.64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  <c r="AI62" s="39">
        <v>6211.52</v>
      </c>
      <c r="AJ62" s="39">
        <v>6460.26</v>
      </c>
      <c r="AK62" s="39">
        <v>6594.64</v>
      </c>
      <c r="AL62" s="39">
        <v>0</v>
      </c>
      <c r="AM62" s="39">
        <v>0</v>
      </c>
      <c r="AN62" s="39">
        <v>0</v>
      </c>
      <c r="AO62" s="39">
        <v>6211.52</v>
      </c>
      <c r="AP62" s="39">
        <v>6460.26</v>
      </c>
      <c r="AQ62" s="39">
        <v>6594.64</v>
      </c>
      <c r="AR62" s="39">
        <v>6594.64</v>
      </c>
    </row>
    <row r="63" spans="1:44" x14ac:dyDescent="0.35">
      <c r="A63" s="16" t="str">
        <f t="shared" si="6"/>
        <v>56</v>
      </c>
      <c r="B63" s="19">
        <v>72470</v>
      </c>
      <c r="C63" s="16" t="str">
        <f t="shared" si="5"/>
        <v>0000000</v>
      </c>
      <c r="D63" s="17" t="s">
        <v>3663</v>
      </c>
      <c r="E63" s="16" t="s">
        <v>3445</v>
      </c>
      <c r="F63" s="16" t="s">
        <v>1007</v>
      </c>
      <c r="G63" s="35" t="s">
        <v>3446</v>
      </c>
      <c r="H63" s="39">
        <v>565.4</v>
      </c>
      <c r="I63" s="39">
        <v>537.85</v>
      </c>
      <c r="J63" s="39">
        <v>517.01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565.71</v>
      </c>
      <c r="AD63" s="39">
        <v>492.17</v>
      </c>
      <c r="AE63" s="39">
        <v>441.44</v>
      </c>
      <c r="AF63" s="39">
        <v>0</v>
      </c>
      <c r="AG63" s="39">
        <v>0</v>
      </c>
      <c r="AH63" s="39">
        <v>0</v>
      </c>
      <c r="AI63" s="39">
        <v>1131.1099999999999</v>
      </c>
      <c r="AJ63" s="39">
        <v>1030.02</v>
      </c>
      <c r="AK63" s="39">
        <v>958.45</v>
      </c>
      <c r="AL63" s="39">
        <v>0</v>
      </c>
      <c r="AM63" s="39">
        <v>0</v>
      </c>
      <c r="AN63" s="39">
        <v>0</v>
      </c>
      <c r="AO63" s="39">
        <v>1131.1099999999999</v>
      </c>
      <c r="AP63" s="39">
        <v>1030.02</v>
      </c>
      <c r="AQ63" s="39">
        <v>958.45</v>
      </c>
      <c r="AR63" s="39">
        <v>1131.1099999999999</v>
      </c>
    </row>
    <row r="64" spans="1:44" x14ac:dyDescent="0.35">
      <c r="A64" s="16" t="str">
        <f t="shared" si="6"/>
        <v>56</v>
      </c>
      <c r="B64" s="19">
        <v>72512</v>
      </c>
      <c r="C64" s="16" t="str">
        <f t="shared" si="5"/>
        <v>0000000</v>
      </c>
      <c r="D64" s="17" t="s">
        <v>3663</v>
      </c>
      <c r="E64" s="16" t="s">
        <v>3449</v>
      </c>
      <c r="F64" s="16" t="s">
        <v>1007</v>
      </c>
      <c r="G64" s="35" t="s">
        <v>1590</v>
      </c>
      <c r="H64" s="39">
        <v>1907.77</v>
      </c>
      <c r="I64" s="39">
        <v>1947.76</v>
      </c>
      <c r="J64" s="39">
        <v>2009.28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  <c r="AI64" s="39">
        <v>1907.77</v>
      </c>
      <c r="AJ64" s="39">
        <v>1947.76</v>
      </c>
      <c r="AK64" s="39">
        <v>2009.28</v>
      </c>
      <c r="AL64" s="39">
        <v>0</v>
      </c>
      <c r="AM64" s="39">
        <v>0</v>
      </c>
      <c r="AN64" s="39">
        <v>0</v>
      </c>
      <c r="AO64" s="39">
        <v>1907.77</v>
      </c>
      <c r="AP64" s="39">
        <v>1947.76</v>
      </c>
      <c r="AQ64" s="39">
        <v>2009.28</v>
      </c>
      <c r="AR64" s="39">
        <v>2009.28</v>
      </c>
    </row>
    <row r="65" spans="1:44" x14ac:dyDescent="0.35">
      <c r="A65" s="16" t="str">
        <f t="shared" si="6"/>
        <v>56</v>
      </c>
      <c r="B65" s="19">
        <v>72538</v>
      </c>
      <c r="C65" s="16" t="str">
        <f t="shared" si="5"/>
        <v>0000000</v>
      </c>
      <c r="D65" s="17" t="s">
        <v>3663</v>
      </c>
      <c r="E65" s="16" t="s">
        <v>3452</v>
      </c>
      <c r="F65" s="16" t="s">
        <v>1007</v>
      </c>
      <c r="G65" s="35" t="s">
        <v>3453</v>
      </c>
      <c r="H65" s="39">
        <v>12112.36</v>
      </c>
      <c r="I65" s="39">
        <v>12575.7</v>
      </c>
      <c r="J65" s="39">
        <v>13006.33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12112.36</v>
      </c>
      <c r="AJ65" s="39">
        <v>12575.7</v>
      </c>
      <c r="AK65" s="39">
        <v>13006.33</v>
      </c>
      <c r="AL65" s="39">
        <v>0</v>
      </c>
      <c r="AM65" s="39">
        <v>0</v>
      </c>
      <c r="AN65" s="39">
        <v>0</v>
      </c>
      <c r="AO65" s="39">
        <v>12112.36</v>
      </c>
      <c r="AP65" s="39">
        <v>12575.7</v>
      </c>
      <c r="AQ65" s="39">
        <v>13006.33</v>
      </c>
      <c r="AR65" s="39">
        <v>13006.33</v>
      </c>
    </row>
    <row r="66" spans="1:44" x14ac:dyDescent="0.35">
      <c r="A66" s="16" t="str">
        <f t="shared" si="6"/>
        <v>56</v>
      </c>
      <c r="B66" s="19">
        <v>72553</v>
      </c>
      <c r="C66" s="16" t="str">
        <f t="shared" si="5"/>
        <v>0000000</v>
      </c>
      <c r="D66" s="17" t="s">
        <v>3663</v>
      </c>
      <c r="E66" s="16" t="s">
        <v>3456</v>
      </c>
      <c r="F66" s="16" t="s">
        <v>1007</v>
      </c>
      <c r="G66" s="35" t="s">
        <v>3457</v>
      </c>
      <c r="H66" s="39">
        <v>5584.2</v>
      </c>
      <c r="I66" s="39">
        <v>5491.73</v>
      </c>
      <c r="J66" s="39">
        <v>5386.5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1497.76</v>
      </c>
      <c r="AD66" s="39">
        <v>1091.76</v>
      </c>
      <c r="AE66" s="39">
        <v>930.23</v>
      </c>
      <c r="AF66" s="39">
        <v>0</v>
      </c>
      <c r="AG66" s="39">
        <v>0</v>
      </c>
      <c r="AH66" s="39">
        <v>0</v>
      </c>
      <c r="AI66" s="39">
        <v>7081.96</v>
      </c>
      <c r="AJ66" s="39">
        <v>6583.49</v>
      </c>
      <c r="AK66" s="39">
        <v>6316.73</v>
      </c>
      <c r="AL66" s="39">
        <v>0</v>
      </c>
      <c r="AM66" s="39">
        <v>0</v>
      </c>
      <c r="AN66" s="39">
        <v>0</v>
      </c>
      <c r="AO66" s="39">
        <v>7081.96</v>
      </c>
      <c r="AP66" s="39">
        <v>6583.49</v>
      </c>
      <c r="AQ66" s="39">
        <v>6316.73</v>
      </c>
      <c r="AR66" s="39">
        <v>7081.96</v>
      </c>
    </row>
    <row r="67" spans="1:44" x14ac:dyDescent="0.35">
      <c r="A67" s="16" t="str">
        <f t="shared" si="6"/>
        <v>56</v>
      </c>
      <c r="B67" s="19">
        <v>72561</v>
      </c>
      <c r="C67" s="16" t="str">
        <f t="shared" si="5"/>
        <v>0000000</v>
      </c>
      <c r="D67" s="17" t="s">
        <v>3663</v>
      </c>
      <c r="E67" s="16" t="s">
        <v>3458</v>
      </c>
      <c r="F67" s="16" t="s">
        <v>1007</v>
      </c>
      <c r="G67" s="35" t="s">
        <v>3459</v>
      </c>
      <c r="H67" s="39">
        <v>4905.79</v>
      </c>
      <c r="I67" s="39">
        <v>4882.46</v>
      </c>
      <c r="J67" s="39">
        <v>4766.33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  <c r="AI67" s="39">
        <v>4905.79</v>
      </c>
      <c r="AJ67" s="39">
        <v>4882.46</v>
      </c>
      <c r="AK67" s="39">
        <v>4766.33</v>
      </c>
      <c r="AL67" s="39">
        <v>0</v>
      </c>
      <c r="AM67" s="39">
        <v>0</v>
      </c>
      <c r="AN67" s="39">
        <v>0</v>
      </c>
      <c r="AO67" s="39">
        <v>4905.79</v>
      </c>
      <c r="AP67" s="39">
        <v>4882.46</v>
      </c>
      <c r="AQ67" s="39">
        <v>4766.33</v>
      </c>
      <c r="AR67" s="39">
        <v>4905.79</v>
      </c>
    </row>
    <row r="68" spans="1:44" x14ac:dyDescent="0.35">
      <c r="A68" s="16" t="str">
        <f t="shared" si="6"/>
        <v>56</v>
      </c>
      <c r="B68" s="19">
        <v>72611</v>
      </c>
      <c r="C68" s="16" t="str">
        <f t="shared" si="5"/>
        <v>0000000</v>
      </c>
      <c r="D68" s="17" t="s">
        <v>3663</v>
      </c>
      <c r="E68" s="16" t="s">
        <v>3464</v>
      </c>
      <c r="F68" s="16" t="s">
        <v>1007</v>
      </c>
      <c r="G68" s="35" t="s">
        <v>3465</v>
      </c>
      <c r="H68" s="39">
        <v>255.8</v>
      </c>
      <c r="I68" s="39">
        <v>204.25</v>
      </c>
      <c r="J68" s="39">
        <v>218.62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  <c r="AI68" s="39">
        <v>255.8</v>
      </c>
      <c r="AJ68" s="39">
        <v>204.25</v>
      </c>
      <c r="AK68" s="39">
        <v>218.62</v>
      </c>
      <c r="AL68" s="39">
        <v>0</v>
      </c>
      <c r="AM68" s="39">
        <v>0</v>
      </c>
      <c r="AN68" s="39">
        <v>0</v>
      </c>
      <c r="AO68" s="39">
        <v>255.8</v>
      </c>
      <c r="AP68" s="39">
        <v>204.25</v>
      </c>
      <c r="AQ68" s="39">
        <v>218.62</v>
      </c>
      <c r="AR68" s="39">
        <v>255.8</v>
      </c>
    </row>
    <row r="69" spans="1:44" x14ac:dyDescent="0.35">
      <c r="A69" s="16" t="str">
        <f t="shared" si="6"/>
        <v>56</v>
      </c>
      <c r="B69" s="19">
        <v>72546</v>
      </c>
      <c r="C69" s="16" t="str">
        <f t="shared" si="5"/>
        <v>0000000</v>
      </c>
      <c r="D69" s="17" t="s">
        <v>3663</v>
      </c>
      <c r="E69" s="16" t="s">
        <v>3454</v>
      </c>
      <c r="F69" s="16" t="s">
        <v>1007</v>
      </c>
      <c r="G69" s="35" t="s">
        <v>3455</v>
      </c>
      <c r="H69" s="39">
        <v>14287.11</v>
      </c>
      <c r="I69" s="39">
        <v>14720.48</v>
      </c>
      <c r="J69" s="39">
        <v>15282.59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805.64</v>
      </c>
      <c r="AD69" s="39">
        <v>789.27</v>
      </c>
      <c r="AE69" s="39">
        <v>780.15</v>
      </c>
      <c r="AF69" s="39">
        <v>0</v>
      </c>
      <c r="AG69" s="39">
        <v>0</v>
      </c>
      <c r="AH69" s="39">
        <v>0</v>
      </c>
      <c r="AI69" s="39">
        <v>15092.75</v>
      </c>
      <c r="AJ69" s="39">
        <v>15509.75</v>
      </c>
      <c r="AK69" s="39">
        <v>16062.74</v>
      </c>
      <c r="AL69" s="39">
        <v>0</v>
      </c>
      <c r="AM69" s="39">
        <v>0</v>
      </c>
      <c r="AN69" s="39">
        <v>0</v>
      </c>
      <c r="AO69" s="39">
        <v>15092.75</v>
      </c>
      <c r="AP69" s="39">
        <v>15509.75</v>
      </c>
      <c r="AQ69" s="39">
        <v>16062.74</v>
      </c>
      <c r="AR69" s="39">
        <v>16062.74</v>
      </c>
    </row>
    <row r="70" spans="1:44" x14ac:dyDescent="0.35">
      <c r="A70" s="16" t="str">
        <f t="shared" si="6"/>
        <v>56</v>
      </c>
      <c r="B70" s="19">
        <v>72454</v>
      </c>
      <c r="C70" s="16" t="str">
        <f t="shared" si="5"/>
        <v>0000000</v>
      </c>
      <c r="D70" s="17" t="s">
        <v>3663</v>
      </c>
      <c r="E70" s="16" t="s">
        <v>3441</v>
      </c>
      <c r="F70" s="16" t="s">
        <v>1007</v>
      </c>
      <c r="G70" s="35" t="s">
        <v>3442</v>
      </c>
      <c r="H70" s="39">
        <v>3397.54</v>
      </c>
      <c r="I70" s="39">
        <v>3443.22</v>
      </c>
      <c r="J70" s="39">
        <v>3466.07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3397.54</v>
      </c>
      <c r="AJ70" s="39">
        <v>3443.22</v>
      </c>
      <c r="AK70" s="39">
        <v>3466.07</v>
      </c>
      <c r="AL70" s="39">
        <v>0</v>
      </c>
      <c r="AM70" s="39">
        <v>0</v>
      </c>
      <c r="AN70" s="39">
        <v>0</v>
      </c>
      <c r="AO70" s="39">
        <v>3397.54</v>
      </c>
      <c r="AP70" s="39">
        <v>3443.22</v>
      </c>
      <c r="AQ70" s="39">
        <v>3466.07</v>
      </c>
      <c r="AR70" s="39">
        <v>3466.07</v>
      </c>
    </row>
    <row r="71" spans="1:44" x14ac:dyDescent="0.35">
      <c r="A71" s="16" t="str">
        <f t="shared" si="6"/>
        <v>56</v>
      </c>
      <c r="B71" s="19">
        <v>72520</v>
      </c>
      <c r="C71" s="16" t="str">
        <f t="shared" si="5"/>
        <v>0000000</v>
      </c>
      <c r="D71" s="17" t="s">
        <v>3663</v>
      </c>
      <c r="E71" s="16" t="s">
        <v>3450</v>
      </c>
      <c r="F71" s="16" t="s">
        <v>1007</v>
      </c>
      <c r="G71" s="35" t="s">
        <v>3451</v>
      </c>
      <c r="H71" s="39">
        <v>1884.26</v>
      </c>
      <c r="I71" s="39">
        <v>1900.3</v>
      </c>
      <c r="J71" s="39">
        <v>1974.11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71.84</v>
      </c>
      <c r="AD71" s="39">
        <v>46.01</v>
      </c>
      <c r="AE71" s="39">
        <v>50.84</v>
      </c>
      <c r="AF71" s="39">
        <v>0</v>
      </c>
      <c r="AG71" s="39">
        <v>0</v>
      </c>
      <c r="AH71" s="39">
        <v>0</v>
      </c>
      <c r="AI71" s="39">
        <v>1956.1</v>
      </c>
      <c r="AJ71" s="39">
        <v>1946.31</v>
      </c>
      <c r="AK71" s="39">
        <v>2024.95</v>
      </c>
      <c r="AL71" s="39">
        <v>0</v>
      </c>
      <c r="AM71" s="39">
        <v>0</v>
      </c>
      <c r="AN71" s="39">
        <v>0</v>
      </c>
      <c r="AO71" s="39">
        <v>1956.1</v>
      </c>
      <c r="AP71" s="39">
        <v>1946.31</v>
      </c>
      <c r="AQ71" s="39">
        <v>2024.95</v>
      </c>
      <c r="AR71" s="39">
        <v>2024.95</v>
      </c>
    </row>
    <row r="72" spans="1:44" x14ac:dyDescent="0.35">
      <c r="A72" s="16" t="str">
        <f t="shared" si="6"/>
        <v>56</v>
      </c>
      <c r="B72" s="19">
        <v>73874</v>
      </c>
      <c r="C72" s="16" t="str">
        <f t="shared" si="5"/>
        <v>0000000</v>
      </c>
      <c r="D72" s="17" t="s">
        <v>3663</v>
      </c>
      <c r="E72" s="16" t="s">
        <v>3470</v>
      </c>
      <c r="F72" s="16" t="s">
        <v>1007</v>
      </c>
      <c r="G72" s="35" t="s">
        <v>3471</v>
      </c>
      <c r="H72" s="39">
        <v>4301.55</v>
      </c>
      <c r="I72" s="39">
        <v>4181.13</v>
      </c>
      <c r="J72" s="39">
        <v>4066.43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  <c r="AI72" s="39">
        <v>4301.55</v>
      </c>
      <c r="AJ72" s="39">
        <v>4181.13</v>
      </c>
      <c r="AK72" s="39">
        <v>4066.43</v>
      </c>
      <c r="AL72" s="39">
        <v>0</v>
      </c>
      <c r="AM72" s="39">
        <v>0</v>
      </c>
      <c r="AN72" s="39">
        <v>0</v>
      </c>
      <c r="AO72" s="39">
        <v>4301.55</v>
      </c>
      <c r="AP72" s="39">
        <v>4181.13</v>
      </c>
      <c r="AQ72" s="39">
        <v>4066.43</v>
      </c>
      <c r="AR72" s="39">
        <v>4301.55</v>
      </c>
    </row>
    <row r="73" spans="1:44" x14ac:dyDescent="0.35">
      <c r="A73" s="16" t="str">
        <f t="shared" si="6"/>
        <v>56</v>
      </c>
      <c r="B73" s="19">
        <v>72652</v>
      </c>
      <c r="C73" s="16" t="str">
        <f t="shared" si="5"/>
        <v>0000000</v>
      </c>
      <c r="D73" s="17" t="s">
        <v>3663</v>
      </c>
      <c r="E73" s="16" t="s">
        <v>3466</v>
      </c>
      <c r="F73" s="16" t="s">
        <v>1007</v>
      </c>
      <c r="G73" s="35" t="s">
        <v>3467</v>
      </c>
      <c r="H73" s="39">
        <v>13567.82</v>
      </c>
      <c r="I73" s="39">
        <v>13577.49</v>
      </c>
      <c r="J73" s="39">
        <v>13736.9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428.57</v>
      </c>
      <c r="AD73" s="39">
        <v>420.5</v>
      </c>
      <c r="AE73" s="39">
        <v>407.44</v>
      </c>
      <c r="AF73" s="39">
        <v>0</v>
      </c>
      <c r="AG73" s="39">
        <v>0</v>
      </c>
      <c r="AH73" s="39">
        <v>0</v>
      </c>
      <c r="AI73" s="39">
        <v>13996.39</v>
      </c>
      <c r="AJ73" s="39">
        <v>13997.99</v>
      </c>
      <c r="AK73" s="39">
        <v>14144.34</v>
      </c>
      <c r="AL73" s="39">
        <v>0</v>
      </c>
      <c r="AM73" s="39">
        <v>0</v>
      </c>
      <c r="AN73" s="39">
        <v>0</v>
      </c>
      <c r="AO73" s="39">
        <v>13996.39</v>
      </c>
      <c r="AP73" s="39">
        <v>13997.99</v>
      </c>
      <c r="AQ73" s="39">
        <v>14144.34</v>
      </c>
      <c r="AR73" s="39">
        <v>14144.34</v>
      </c>
    </row>
    <row r="74" spans="1:44" x14ac:dyDescent="0.35">
      <c r="A74" s="16" t="str">
        <f>TEXT(19,"00")</f>
        <v>19</v>
      </c>
      <c r="B74" s="19">
        <v>64683</v>
      </c>
      <c r="C74" s="16" t="str">
        <f t="shared" si="5"/>
        <v>0000000</v>
      </c>
      <c r="D74" s="17" t="s">
        <v>3663</v>
      </c>
      <c r="E74" s="16" t="s">
        <v>1008</v>
      </c>
      <c r="F74" s="16" t="s">
        <v>1007</v>
      </c>
      <c r="G74" s="35" t="s">
        <v>1009</v>
      </c>
      <c r="H74" s="39">
        <v>9186.32</v>
      </c>
      <c r="I74" s="39">
        <v>9079.58</v>
      </c>
      <c r="J74" s="39">
        <v>9091.92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>
        <v>9186.32</v>
      </c>
      <c r="AJ74" s="39">
        <v>9079.58</v>
      </c>
      <c r="AK74" s="39">
        <v>9091.92</v>
      </c>
      <c r="AL74" s="39">
        <v>0</v>
      </c>
      <c r="AM74" s="39">
        <v>0</v>
      </c>
      <c r="AN74" s="39">
        <v>0</v>
      </c>
      <c r="AO74" s="39">
        <v>9186.32</v>
      </c>
      <c r="AP74" s="39">
        <v>9079.58</v>
      </c>
      <c r="AQ74" s="39">
        <v>9091.92</v>
      </c>
      <c r="AR74" s="39">
        <v>9186.32</v>
      </c>
    </row>
    <row r="75" spans="1:44" x14ac:dyDescent="0.35">
      <c r="A75" s="16" t="str">
        <f>TEXT(56,"00")</f>
        <v>56</v>
      </c>
      <c r="B75" s="19">
        <v>73940</v>
      </c>
      <c r="C75" s="16" t="str">
        <f t="shared" si="5"/>
        <v>0000000</v>
      </c>
      <c r="D75" s="17" t="s">
        <v>3663</v>
      </c>
      <c r="E75" s="16" t="s">
        <v>3472</v>
      </c>
      <c r="F75" s="16" t="s">
        <v>1007</v>
      </c>
      <c r="G75" s="35" t="s">
        <v>3473</v>
      </c>
      <c r="H75" s="39">
        <v>5243.01</v>
      </c>
      <c r="I75" s="39">
        <v>5405.21</v>
      </c>
      <c r="J75" s="39">
        <v>5381.23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184.56</v>
      </c>
      <c r="AD75" s="39">
        <v>178.9</v>
      </c>
      <c r="AE75" s="39">
        <v>184.99</v>
      </c>
      <c r="AF75" s="39">
        <v>0</v>
      </c>
      <c r="AG75" s="39">
        <v>0</v>
      </c>
      <c r="AH75" s="39">
        <v>0</v>
      </c>
      <c r="AI75" s="39">
        <v>5427.57</v>
      </c>
      <c r="AJ75" s="39">
        <v>5584.11</v>
      </c>
      <c r="AK75" s="39">
        <v>5566.22</v>
      </c>
      <c r="AL75" s="39">
        <v>0</v>
      </c>
      <c r="AM75" s="39">
        <v>0</v>
      </c>
      <c r="AN75" s="39">
        <v>0</v>
      </c>
      <c r="AO75" s="39">
        <v>5427.57</v>
      </c>
      <c r="AP75" s="39">
        <v>5584.11</v>
      </c>
      <c r="AQ75" s="39">
        <v>5566.22</v>
      </c>
      <c r="AR75" s="39">
        <v>5584.11</v>
      </c>
    </row>
    <row r="76" spans="1:44" x14ac:dyDescent="0.35">
      <c r="A76" s="16" t="str">
        <f>TEXT(56,"00")</f>
        <v>56</v>
      </c>
      <c r="B76" s="19">
        <v>72603</v>
      </c>
      <c r="C76" s="16" t="str">
        <f t="shared" si="5"/>
        <v>0000000</v>
      </c>
      <c r="D76" s="17" t="s">
        <v>3663</v>
      </c>
      <c r="E76" s="16" t="s">
        <v>3462</v>
      </c>
      <c r="F76" s="16" t="s">
        <v>1007</v>
      </c>
      <c r="G76" s="35" t="s">
        <v>3463</v>
      </c>
      <c r="H76" s="39">
        <v>14344.29</v>
      </c>
      <c r="I76" s="39">
        <v>14510.08</v>
      </c>
      <c r="J76" s="39">
        <v>14551.19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14344.29</v>
      </c>
      <c r="AJ76" s="39">
        <v>14510.08</v>
      </c>
      <c r="AK76" s="39">
        <v>14551.19</v>
      </c>
      <c r="AL76" s="39">
        <v>0</v>
      </c>
      <c r="AM76" s="39">
        <v>0</v>
      </c>
      <c r="AN76" s="39">
        <v>0</v>
      </c>
      <c r="AO76" s="39">
        <v>14344.29</v>
      </c>
      <c r="AP76" s="39">
        <v>14510.08</v>
      </c>
      <c r="AQ76" s="39">
        <v>14551.19</v>
      </c>
      <c r="AR76" s="39">
        <v>14551.19</v>
      </c>
    </row>
    <row r="77" spans="1:44" x14ac:dyDescent="0.35">
      <c r="A77" s="16" t="str">
        <f>TEXT(56,"00")</f>
        <v>56</v>
      </c>
      <c r="B77" s="19">
        <v>72504</v>
      </c>
      <c r="C77" s="16" t="str">
        <f t="shared" si="5"/>
        <v>0000000</v>
      </c>
      <c r="D77" s="17" t="s">
        <v>3663</v>
      </c>
      <c r="E77" s="16" t="s">
        <v>3447</v>
      </c>
      <c r="F77" s="16" t="s">
        <v>1007</v>
      </c>
      <c r="G77" s="35" t="s">
        <v>3448</v>
      </c>
      <c r="H77" s="39">
        <v>165.51</v>
      </c>
      <c r="I77" s="39">
        <v>178.01</v>
      </c>
      <c r="J77" s="39">
        <v>168.28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165.51</v>
      </c>
      <c r="AJ77" s="39">
        <v>178.01</v>
      </c>
      <c r="AK77" s="39">
        <v>168.28</v>
      </c>
      <c r="AL77" s="39">
        <v>0</v>
      </c>
      <c r="AM77" s="39">
        <v>0</v>
      </c>
      <c r="AN77" s="39">
        <v>0</v>
      </c>
      <c r="AO77" s="39">
        <v>165.51</v>
      </c>
      <c r="AP77" s="39">
        <v>178.01</v>
      </c>
      <c r="AQ77" s="39">
        <v>168.28</v>
      </c>
      <c r="AR77" s="39">
        <v>178.01</v>
      </c>
    </row>
    <row r="78" spans="1:44" x14ac:dyDescent="0.35">
      <c r="A78" s="16" t="str">
        <f>TEXT(56,"00")</f>
        <v>56</v>
      </c>
      <c r="B78" s="19">
        <v>72579</v>
      </c>
      <c r="C78" s="16" t="str">
        <f t="shared" si="5"/>
        <v>0000000</v>
      </c>
      <c r="D78" s="17" t="s">
        <v>3663</v>
      </c>
      <c r="E78" s="16" t="s">
        <v>3460</v>
      </c>
      <c r="F78" s="16" t="s">
        <v>1007</v>
      </c>
      <c r="G78" s="35" t="s">
        <v>3461</v>
      </c>
      <c r="H78" s="39">
        <v>51.51</v>
      </c>
      <c r="I78" s="39">
        <v>51.02</v>
      </c>
      <c r="J78" s="39">
        <v>53.09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0</v>
      </c>
      <c r="AH78" s="39">
        <v>0</v>
      </c>
      <c r="AI78" s="39">
        <v>51.51</v>
      </c>
      <c r="AJ78" s="39">
        <v>51.02</v>
      </c>
      <c r="AK78" s="39">
        <v>53.09</v>
      </c>
      <c r="AL78" s="39">
        <v>0</v>
      </c>
      <c r="AM78" s="39">
        <v>0</v>
      </c>
      <c r="AN78" s="39">
        <v>0</v>
      </c>
      <c r="AO78" s="39">
        <v>51.51</v>
      </c>
      <c r="AP78" s="39">
        <v>51.02</v>
      </c>
      <c r="AQ78" s="39">
        <v>53.09</v>
      </c>
      <c r="AR78" s="39">
        <v>53.09</v>
      </c>
    </row>
    <row r="79" spans="1:44" x14ac:dyDescent="0.35">
      <c r="A79" s="16" t="str">
        <f>TEXT(56,"00")</f>
        <v>56</v>
      </c>
      <c r="B79" s="19">
        <v>76828</v>
      </c>
      <c r="C79" s="16" t="str">
        <f t="shared" si="5"/>
        <v>0000000</v>
      </c>
      <c r="D79" s="17" t="s">
        <v>3663</v>
      </c>
      <c r="E79" s="16" t="s">
        <v>3474</v>
      </c>
      <c r="F79" s="16" t="s">
        <v>1007</v>
      </c>
      <c r="G79" s="35" t="s">
        <v>3475</v>
      </c>
      <c r="H79" s="39">
        <v>4257.09</v>
      </c>
      <c r="I79" s="39">
        <v>4328.8900000000003</v>
      </c>
      <c r="J79" s="39">
        <v>4386.6400000000003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4257.09</v>
      </c>
      <c r="AJ79" s="39">
        <v>4328.8900000000003</v>
      </c>
      <c r="AK79" s="39">
        <v>4386.6400000000003</v>
      </c>
      <c r="AL79" s="39">
        <v>0</v>
      </c>
      <c r="AM79" s="39">
        <v>0</v>
      </c>
      <c r="AN79" s="39">
        <v>0</v>
      </c>
      <c r="AO79" s="39">
        <v>4257.09</v>
      </c>
      <c r="AP79" s="39">
        <v>4328.8900000000003</v>
      </c>
      <c r="AQ79" s="39">
        <v>4386.6400000000003</v>
      </c>
      <c r="AR79" s="39">
        <v>4386.6400000000003</v>
      </c>
    </row>
    <row r="80" spans="1:44" x14ac:dyDescent="0.35">
      <c r="A80" s="16" t="str">
        <f t="shared" ref="A80:A89" si="7">TEXT(53,"00")</f>
        <v>53</v>
      </c>
      <c r="B80" s="19">
        <v>10538</v>
      </c>
      <c r="C80" s="16" t="str">
        <f t="shared" si="5"/>
        <v>0000000</v>
      </c>
      <c r="D80" s="17" t="s">
        <v>3663</v>
      </c>
      <c r="E80" s="16" t="s">
        <v>3290</v>
      </c>
      <c r="F80" s="16" t="s">
        <v>3291</v>
      </c>
      <c r="G80" s="35" t="s">
        <v>3291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18.11</v>
      </c>
      <c r="U80" s="39">
        <v>12.02</v>
      </c>
      <c r="V80" s="39">
        <v>12.94</v>
      </c>
      <c r="W80" s="39">
        <v>85.12</v>
      </c>
      <c r="X80" s="39">
        <v>68.73</v>
      </c>
      <c r="Y80" s="39">
        <v>59.81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103.23</v>
      </c>
      <c r="AJ80" s="39">
        <v>80.75</v>
      </c>
      <c r="AK80" s="39">
        <v>72.75</v>
      </c>
      <c r="AL80" s="39">
        <v>0</v>
      </c>
      <c r="AM80" s="39">
        <v>0</v>
      </c>
      <c r="AN80" s="39">
        <v>0</v>
      </c>
      <c r="AO80" s="39">
        <v>103.23</v>
      </c>
      <c r="AP80" s="39">
        <v>80.75</v>
      </c>
      <c r="AQ80" s="39">
        <v>72.75</v>
      </c>
      <c r="AR80" s="39">
        <v>103.23</v>
      </c>
    </row>
    <row r="81" spans="1:44" x14ac:dyDescent="0.35">
      <c r="A81" s="16" t="str">
        <f t="shared" si="7"/>
        <v>53</v>
      </c>
      <c r="B81" s="19">
        <v>71662</v>
      </c>
      <c r="C81" s="16" t="str">
        <f t="shared" si="5"/>
        <v>0000000</v>
      </c>
      <c r="D81" s="17" t="s">
        <v>3663</v>
      </c>
      <c r="E81" s="16" t="s">
        <v>3292</v>
      </c>
      <c r="F81" s="16" t="s">
        <v>3291</v>
      </c>
      <c r="G81" s="35" t="s">
        <v>3293</v>
      </c>
      <c r="H81" s="39">
        <v>83.37</v>
      </c>
      <c r="I81" s="39">
        <v>82.32</v>
      </c>
      <c r="J81" s="39">
        <v>85.23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G81" s="39">
        <v>0</v>
      </c>
      <c r="AH81" s="39">
        <v>0</v>
      </c>
      <c r="AI81" s="39">
        <v>83.37</v>
      </c>
      <c r="AJ81" s="39">
        <v>82.32</v>
      </c>
      <c r="AK81" s="39">
        <v>85.23</v>
      </c>
      <c r="AL81" s="39">
        <v>0</v>
      </c>
      <c r="AM81" s="39">
        <v>0</v>
      </c>
      <c r="AN81" s="39">
        <v>0</v>
      </c>
      <c r="AO81" s="39">
        <v>83.37</v>
      </c>
      <c r="AP81" s="39">
        <v>82.32</v>
      </c>
      <c r="AQ81" s="39">
        <v>85.23</v>
      </c>
      <c r="AR81" s="39">
        <v>85.23</v>
      </c>
    </row>
    <row r="82" spans="1:44" x14ac:dyDescent="0.35">
      <c r="A82" s="16" t="str">
        <f t="shared" si="7"/>
        <v>53</v>
      </c>
      <c r="B82" s="19">
        <v>71670</v>
      </c>
      <c r="C82" s="16" t="str">
        <f t="shared" si="5"/>
        <v>0000000</v>
      </c>
      <c r="D82" s="17" t="s">
        <v>3663</v>
      </c>
      <c r="E82" s="16" t="s">
        <v>3294</v>
      </c>
      <c r="F82" s="16" t="s">
        <v>3291</v>
      </c>
      <c r="G82" s="35" t="s">
        <v>3295</v>
      </c>
      <c r="H82" s="39">
        <v>6.19</v>
      </c>
      <c r="I82" s="39">
        <v>7.38</v>
      </c>
      <c r="J82" s="39">
        <v>7.42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G82" s="39">
        <v>0</v>
      </c>
      <c r="AH82" s="39">
        <v>0</v>
      </c>
      <c r="AI82" s="39">
        <v>6.19</v>
      </c>
      <c r="AJ82" s="39">
        <v>7.38</v>
      </c>
      <c r="AK82" s="39">
        <v>7.42</v>
      </c>
      <c r="AL82" s="39">
        <v>0</v>
      </c>
      <c r="AM82" s="39">
        <v>0</v>
      </c>
      <c r="AN82" s="39">
        <v>0</v>
      </c>
      <c r="AO82" s="39">
        <v>6.19</v>
      </c>
      <c r="AP82" s="39">
        <v>7.38</v>
      </c>
      <c r="AQ82" s="39">
        <v>7.42</v>
      </c>
      <c r="AR82" s="39">
        <v>7.42</v>
      </c>
    </row>
    <row r="83" spans="1:44" x14ac:dyDescent="0.35">
      <c r="A83" s="16" t="str">
        <f t="shared" si="7"/>
        <v>53</v>
      </c>
      <c r="B83" s="19">
        <v>71696</v>
      </c>
      <c r="C83" s="16" t="str">
        <f t="shared" si="5"/>
        <v>0000000</v>
      </c>
      <c r="D83" s="17" t="s">
        <v>3663</v>
      </c>
      <c r="E83" s="16" t="s">
        <v>3296</v>
      </c>
      <c r="F83" s="16" t="s">
        <v>3291</v>
      </c>
      <c r="G83" s="35" t="s">
        <v>3297</v>
      </c>
      <c r="H83" s="39">
        <v>156.16999999999999</v>
      </c>
      <c r="I83" s="39">
        <v>159.54</v>
      </c>
      <c r="J83" s="39">
        <v>155.72999999999999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156.16999999999999</v>
      </c>
      <c r="AJ83" s="39">
        <v>159.54</v>
      </c>
      <c r="AK83" s="39">
        <v>155.72999999999999</v>
      </c>
      <c r="AL83" s="39">
        <v>0</v>
      </c>
      <c r="AM83" s="39">
        <v>0</v>
      </c>
      <c r="AN83" s="39">
        <v>0</v>
      </c>
      <c r="AO83" s="39">
        <v>156.16999999999999</v>
      </c>
      <c r="AP83" s="39">
        <v>159.54</v>
      </c>
      <c r="AQ83" s="39">
        <v>155.72999999999999</v>
      </c>
      <c r="AR83" s="39">
        <v>159.54</v>
      </c>
    </row>
    <row r="84" spans="1:44" x14ac:dyDescent="0.35">
      <c r="A84" s="16" t="str">
        <f t="shared" si="7"/>
        <v>53</v>
      </c>
      <c r="B84" s="19">
        <v>71738</v>
      </c>
      <c r="C84" s="16" t="str">
        <f t="shared" si="5"/>
        <v>0000000</v>
      </c>
      <c r="D84" s="17" t="s">
        <v>3663</v>
      </c>
      <c r="E84" s="16" t="s">
        <v>3298</v>
      </c>
      <c r="F84" s="16" t="s">
        <v>3291</v>
      </c>
      <c r="G84" s="35" t="s">
        <v>3299</v>
      </c>
      <c r="H84" s="39">
        <v>64.06</v>
      </c>
      <c r="I84" s="39">
        <v>70.78</v>
      </c>
      <c r="J84" s="39">
        <v>60.26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G84" s="39">
        <v>0</v>
      </c>
      <c r="AH84" s="39">
        <v>0</v>
      </c>
      <c r="AI84" s="39">
        <v>64.06</v>
      </c>
      <c r="AJ84" s="39">
        <v>70.78</v>
      </c>
      <c r="AK84" s="39">
        <v>60.26</v>
      </c>
      <c r="AL84" s="39">
        <v>0</v>
      </c>
      <c r="AM84" s="39">
        <v>0</v>
      </c>
      <c r="AN84" s="39">
        <v>0</v>
      </c>
      <c r="AO84" s="39">
        <v>64.06</v>
      </c>
      <c r="AP84" s="39">
        <v>70.78</v>
      </c>
      <c r="AQ84" s="39">
        <v>60.26</v>
      </c>
      <c r="AR84" s="39">
        <v>70.78</v>
      </c>
    </row>
    <row r="85" spans="1:44" x14ac:dyDescent="0.35">
      <c r="A85" s="16" t="str">
        <f t="shared" si="7"/>
        <v>53</v>
      </c>
      <c r="B85" s="19">
        <v>71746</v>
      </c>
      <c r="C85" s="16" t="str">
        <f t="shared" si="5"/>
        <v>0000000</v>
      </c>
      <c r="D85" s="17" t="s">
        <v>3663</v>
      </c>
      <c r="E85" s="16" t="s">
        <v>3300</v>
      </c>
      <c r="F85" s="16" t="s">
        <v>3291</v>
      </c>
      <c r="G85" s="35" t="s">
        <v>3301</v>
      </c>
      <c r="H85" s="39">
        <v>61.59</v>
      </c>
      <c r="I85" s="39">
        <v>65.66</v>
      </c>
      <c r="J85" s="39">
        <v>63.04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G85" s="39">
        <v>0</v>
      </c>
      <c r="AH85" s="39">
        <v>0</v>
      </c>
      <c r="AI85" s="39">
        <v>61.59</v>
      </c>
      <c r="AJ85" s="39">
        <v>65.66</v>
      </c>
      <c r="AK85" s="39">
        <v>63.04</v>
      </c>
      <c r="AL85" s="39">
        <v>0</v>
      </c>
      <c r="AM85" s="39">
        <v>0</v>
      </c>
      <c r="AN85" s="39">
        <v>0</v>
      </c>
      <c r="AO85" s="39">
        <v>61.59</v>
      </c>
      <c r="AP85" s="39">
        <v>65.66</v>
      </c>
      <c r="AQ85" s="39">
        <v>63.04</v>
      </c>
      <c r="AR85" s="39">
        <v>65.66</v>
      </c>
    </row>
    <row r="86" spans="1:44" x14ac:dyDescent="0.35">
      <c r="A86" s="16" t="str">
        <f t="shared" si="7"/>
        <v>53</v>
      </c>
      <c r="B86" s="19">
        <v>71761</v>
      </c>
      <c r="C86" s="16" t="str">
        <f t="shared" si="5"/>
        <v>0000000</v>
      </c>
      <c r="D86" s="17" t="s">
        <v>3663</v>
      </c>
      <c r="E86" s="16" t="s">
        <v>3302</v>
      </c>
      <c r="F86" s="16" t="s">
        <v>3291</v>
      </c>
      <c r="G86" s="35" t="s">
        <v>3303</v>
      </c>
      <c r="H86" s="39">
        <v>11.62</v>
      </c>
      <c r="I86" s="39">
        <v>12.16</v>
      </c>
      <c r="J86" s="39">
        <v>10.43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G86" s="39">
        <v>0</v>
      </c>
      <c r="AH86" s="39">
        <v>0</v>
      </c>
      <c r="AI86" s="39">
        <v>11.62</v>
      </c>
      <c r="AJ86" s="39">
        <v>12.16</v>
      </c>
      <c r="AK86" s="39">
        <v>10.43</v>
      </c>
      <c r="AL86" s="39">
        <v>0</v>
      </c>
      <c r="AM86" s="39">
        <v>0</v>
      </c>
      <c r="AN86" s="39">
        <v>0</v>
      </c>
      <c r="AO86" s="39">
        <v>11.62</v>
      </c>
      <c r="AP86" s="39">
        <v>12.16</v>
      </c>
      <c r="AQ86" s="39">
        <v>10.43</v>
      </c>
      <c r="AR86" s="39">
        <v>12.16</v>
      </c>
    </row>
    <row r="87" spans="1:44" x14ac:dyDescent="0.35">
      <c r="A87" s="16" t="str">
        <f t="shared" si="7"/>
        <v>53</v>
      </c>
      <c r="B87" s="19">
        <v>73833</v>
      </c>
      <c r="C87" s="16" t="str">
        <f t="shared" si="5"/>
        <v>0000000</v>
      </c>
      <c r="D87" s="17" t="s">
        <v>3663</v>
      </c>
      <c r="E87" s="16" t="s">
        <v>3304</v>
      </c>
      <c r="F87" s="16" t="s">
        <v>3291</v>
      </c>
      <c r="G87" s="35" t="s">
        <v>3305</v>
      </c>
      <c r="H87" s="39">
        <v>65.83</v>
      </c>
      <c r="I87" s="39">
        <v>71.42</v>
      </c>
      <c r="J87" s="39">
        <v>77.64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G87" s="39">
        <v>0</v>
      </c>
      <c r="AH87" s="39">
        <v>0</v>
      </c>
      <c r="AI87" s="39">
        <v>65.83</v>
      </c>
      <c r="AJ87" s="39">
        <v>71.42</v>
      </c>
      <c r="AK87" s="39">
        <v>77.64</v>
      </c>
      <c r="AL87" s="39">
        <v>0</v>
      </c>
      <c r="AM87" s="39">
        <v>0</v>
      </c>
      <c r="AN87" s="39">
        <v>0</v>
      </c>
      <c r="AO87" s="39">
        <v>65.83</v>
      </c>
      <c r="AP87" s="39">
        <v>71.42</v>
      </c>
      <c r="AQ87" s="39">
        <v>77.64</v>
      </c>
      <c r="AR87" s="39">
        <v>77.64</v>
      </c>
    </row>
    <row r="88" spans="1:44" x14ac:dyDescent="0.35">
      <c r="A88" s="16" t="str">
        <f t="shared" si="7"/>
        <v>53</v>
      </c>
      <c r="B88" s="19">
        <v>75028</v>
      </c>
      <c r="C88" s="16" t="str">
        <f t="shared" si="5"/>
        <v>0000000</v>
      </c>
      <c r="D88" s="17" t="s">
        <v>3663</v>
      </c>
      <c r="E88" s="16" t="s">
        <v>3306</v>
      </c>
      <c r="F88" s="16" t="s">
        <v>3291</v>
      </c>
      <c r="G88" s="35" t="s">
        <v>3307</v>
      </c>
      <c r="H88" s="39">
        <v>325.88</v>
      </c>
      <c r="I88" s="39">
        <v>317.67</v>
      </c>
      <c r="J88" s="39">
        <v>307.22000000000003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G88" s="39">
        <v>0</v>
      </c>
      <c r="AH88" s="39">
        <v>0</v>
      </c>
      <c r="AI88" s="39">
        <v>325.88</v>
      </c>
      <c r="AJ88" s="39">
        <v>317.67</v>
      </c>
      <c r="AK88" s="39">
        <v>307.22000000000003</v>
      </c>
      <c r="AL88" s="39">
        <v>0</v>
      </c>
      <c r="AM88" s="39">
        <v>0</v>
      </c>
      <c r="AN88" s="39">
        <v>0</v>
      </c>
      <c r="AO88" s="39">
        <v>325.88</v>
      </c>
      <c r="AP88" s="39">
        <v>317.67</v>
      </c>
      <c r="AQ88" s="39">
        <v>307.22000000000003</v>
      </c>
      <c r="AR88" s="39">
        <v>325.88</v>
      </c>
    </row>
    <row r="89" spans="1:44" x14ac:dyDescent="0.35">
      <c r="A89" s="16" t="str">
        <f t="shared" si="7"/>
        <v>53</v>
      </c>
      <c r="B89" s="19">
        <v>76513</v>
      </c>
      <c r="C89" s="16" t="str">
        <f t="shared" ref="C89:C100" si="8">TEXT(,"0000000")</f>
        <v>0000000</v>
      </c>
      <c r="D89" s="17" t="s">
        <v>3663</v>
      </c>
      <c r="E89" s="16" t="s">
        <v>3308</v>
      </c>
      <c r="F89" s="16" t="s">
        <v>3291</v>
      </c>
      <c r="G89" s="35" t="s">
        <v>3309</v>
      </c>
      <c r="H89" s="39">
        <v>579.16</v>
      </c>
      <c r="I89" s="39">
        <v>610.49</v>
      </c>
      <c r="J89" s="39">
        <v>616.09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G89" s="39">
        <v>0</v>
      </c>
      <c r="AH89" s="39">
        <v>0</v>
      </c>
      <c r="AI89" s="39">
        <v>579.16</v>
      </c>
      <c r="AJ89" s="39">
        <v>610.49</v>
      </c>
      <c r="AK89" s="39">
        <v>616.09</v>
      </c>
      <c r="AL89" s="39">
        <v>0</v>
      </c>
      <c r="AM89" s="39">
        <v>0</v>
      </c>
      <c r="AN89" s="39">
        <v>0</v>
      </c>
      <c r="AO89" s="39">
        <v>579.16</v>
      </c>
      <c r="AP89" s="39">
        <v>610.49</v>
      </c>
      <c r="AQ89" s="39">
        <v>616.09</v>
      </c>
      <c r="AR89" s="39">
        <v>616.09</v>
      </c>
    </row>
    <row r="90" spans="1:44" x14ac:dyDescent="0.35">
      <c r="A90" s="16" t="str">
        <f t="shared" ref="A90:A102" si="9">TEXT(40,"00")</f>
        <v>40</v>
      </c>
      <c r="B90" s="19">
        <v>10405</v>
      </c>
      <c r="C90" s="16" t="str">
        <f t="shared" si="8"/>
        <v>0000000</v>
      </c>
      <c r="D90" s="17" t="s">
        <v>3663</v>
      </c>
      <c r="E90" s="16" t="s">
        <v>2511</v>
      </c>
      <c r="F90" s="16" t="s">
        <v>2512</v>
      </c>
      <c r="G90" s="35" t="s">
        <v>2512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67.77</v>
      </c>
      <c r="U90" s="39">
        <v>79.63</v>
      </c>
      <c r="V90" s="39">
        <v>61.17</v>
      </c>
      <c r="W90" s="39">
        <v>13.19</v>
      </c>
      <c r="X90" s="39">
        <v>17.78</v>
      </c>
      <c r="Y90" s="39">
        <v>14.14</v>
      </c>
      <c r="Z90" s="39">
        <v>246.38</v>
      </c>
      <c r="AA90" s="39">
        <v>242.03</v>
      </c>
      <c r="AB90" s="39">
        <v>199.82</v>
      </c>
      <c r="AC90" s="39">
        <v>0</v>
      </c>
      <c r="AD90" s="39">
        <v>0</v>
      </c>
      <c r="AE90" s="39">
        <v>0</v>
      </c>
      <c r="AF90" s="39">
        <v>0</v>
      </c>
      <c r="AG90" s="39">
        <v>0</v>
      </c>
      <c r="AH90" s="39">
        <v>0</v>
      </c>
      <c r="AI90" s="39">
        <v>327.33999999999997</v>
      </c>
      <c r="AJ90" s="39">
        <v>339.44</v>
      </c>
      <c r="AK90" s="39">
        <v>275.13</v>
      </c>
      <c r="AL90" s="39">
        <v>0</v>
      </c>
      <c r="AM90" s="39">
        <v>0</v>
      </c>
      <c r="AN90" s="39">
        <v>0</v>
      </c>
      <c r="AO90" s="39">
        <v>327.33999999999997</v>
      </c>
      <c r="AP90" s="39">
        <v>339.44</v>
      </c>
      <c r="AQ90" s="39">
        <v>275.13</v>
      </c>
      <c r="AR90" s="39">
        <v>339.44</v>
      </c>
    </row>
    <row r="91" spans="1:44" x14ac:dyDescent="0.35">
      <c r="A91" s="16" t="str">
        <f t="shared" si="9"/>
        <v>40</v>
      </c>
      <c r="B91" s="19">
        <v>68726</v>
      </c>
      <c r="C91" s="16" t="str">
        <f t="shared" si="8"/>
        <v>0000000</v>
      </c>
      <c r="D91" s="17" t="s">
        <v>3663</v>
      </c>
      <c r="E91" s="16" t="s">
        <v>2517</v>
      </c>
      <c r="F91" s="16" t="s">
        <v>2512</v>
      </c>
      <c r="G91" s="35" t="s">
        <v>2518</v>
      </c>
      <c r="H91" s="39">
        <v>177.6</v>
      </c>
      <c r="I91" s="39">
        <v>169.38</v>
      </c>
      <c r="J91" s="39">
        <v>158.13999999999999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G91" s="39">
        <v>0</v>
      </c>
      <c r="AH91" s="39">
        <v>0</v>
      </c>
      <c r="AI91" s="39">
        <v>177.6</v>
      </c>
      <c r="AJ91" s="39">
        <v>169.38</v>
      </c>
      <c r="AK91" s="39">
        <v>158.13999999999999</v>
      </c>
      <c r="AL91" s="39">
        <v>0</v>
      </c>
      <c r="AM91" s="39">
        <v>0</v>
      </c>
      <c r="AN91" s="39">
        <v>0</v>
      </c>
      <c r="AO91" s="39">
        <v>177.6</v>
      </c>
      <c r="AP91" s="39">
        <v>169.38</v>
      </c>
      <c r="AQ91" s="39">
        <v>158.13999999999999</v>
      </c>
      <c r="AR91" s="39">
        <v>177.6</v>
      </c>
    </row>
    <row r="92" spans="1:44" x14ac:dyDescent="0.35">
      <c r="A92" s="16" t="str">
        <f t="shared" si="9"/>
        <v>40</v>
      </c>
      <c r="B92" s="19">
        <v>68825</v>
      </c>
      <c r="C92" s="16" t="str">
        <f t="shared" si="8"/>
        <v>0000000</v>
      </c>
      <c r="D92" s="17" t="s">
        <v>3663</v>
      </c>
      <c r="E92" s="16" t="s">
        <v>2528</v>
      </c>
      <c r="F92" s="16" t="s">
        <v>2512</v>
      </c>
      <c r="G92" s="35" t="s">
        <v>2529</v>
      </c>
      <c r="H92" s="39">
        <v>637.82000000000005</v>
      </c>
      <c r="I92" s="39">
        <v>608.55999999999995</v>
      </c>
      <c r="J92" s="39">
        <v>595.89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G92" s="39">
        <v>0</v>
      </c>
      <c r="AH92" s="39">
        <v>0</v>
      </c>
      <c r="AI92" s="39">
        <v>637.82000000000005</v>
      </c>
      <c r="AJ92" s="39">
        <v>608.55999999999995</v>
      </c>
      <c r="AK92" s="39">
        <v>595.89</v>
      </c>
      <c r="AL92" s="39">
        <v>0</v>
      </c>
      <c r="AM92" s="39">
        <v>0</v>
      </c>
      <c r="AN92" s="39">
        <v>0</v>
      </c>
      <c r="AO92" s="39">
        <v>637.82000000000005</v>
      </c>
      <c r="AP92" s="39">
        <v>608.55999999999995</v>
      </c>
      <c r="AQ92" s="39">
        <v>595.89</v>
      </c>
      <c r="AR92" s="39">
        <v>637.82000000000005</v>
      </c>
    </row>
    <row r="93" spans="1:44" x14ac:dyDescent="0.35">
      <c r="A93" s="16" t="str">
        <f t="shared" si="9"/>
        <v>40</v>
      </c>
      <c r="B93" s="19">
        <v>68791</v>
      </c>
      <c r="C93" s="16" t="str">
        <f t="shared" si="8"/>
        <v>0000000</v>
      </c>
      <c r="D93" s="17" t="s">
        <v>3663</v>
      </c>
      <c r="E93" s="16" t="s">
        <v>2521</v>
      </c>
      <c r="F93" s="16" t="s">
        <v>2512</v>
      </c>
      <c r="G93" s="35" t="s">
        <v>2522</v>
      </c>
      <c r="H93" s="39">
        <v>54.45</v>
      </c>
      <c r="I93" s="39">
        <v>50.03</v>
      </c>
      <c r="J93" s="39">
        <v>51.73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G93" s="39">
        <v>0</v>
      </c>
      <c r="AH93" s="39">
        <v>0</v>
      </c>
      <c r="AI93" s="39">
        <v>54.45</v>
      </c>
      <c r="AJ93" s="39">
        <v>50.03</v>
      </c>
      <c r="AK93" s="39">
        <v>51.73</v>
      </c>
      <c r="AL93" s="39">
        <v>0</v>
      </c>
      <c r="AM93" s="39">
        <v>0</v>
      </c>
      <c r="AN93" s="39">
        <v>0</v>
      </c>
      <c r="AO93" s="39">
        <v>54.45</v>
      </c>
      <c r="AP93" s="39">
        <v>50.03</v>
      </c>
      <c r="AQ93" s="39">
        <v>51.73</v>
      </c>
      <c r="AR93" s="39">
        <v>54.45</v>
      </c>
    </row>
    <row r="94" spans="1:44" x14ac:dyDescent="0.35">
      <c r="A94" s="16" t="str">
        <f t="shared" si="9"/>
        <v>40</v>
      </c>
      <c r="B94" s="19">
        <v>68700</v>
      </c>
      <c r="C94" s="16" t="str">
        <f t="shared" si="8"/>
        <v>0000000</v>
      </c>
      <c r="D94" s="17" t="s">
        <v>3663</v>
      </c>
      <c r="E94" s="16" t="s">
        <v>2515</v>
      </c>
      <c r="F94" s="16" t="s">
        <v>2512</v>
      </c>
      <c r="G94" s="35" t="s">
        <v>2516</v>
      </c>
      <c r="H94" s="39">
        <v>4034.8</v>
      </c>
      <c r="I94" s="39">
        <v>4049.91</v>
      </c>
      <c r="J94" s="39">
        <v>4006.62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G94" s="39">
        <v>0</v>
      </c>
      <c r="AH94" s="39">
        <v>0</v>
      </c>
      <c r="AI94" s="39">
        <v>4034.8</v>
      </c>
      <c r="AJ94" s="39">
        <v>4049.91</v>
      </c>
      <c r="AK94" s="39">
        <v>4006.62</v>
      </c>
      <c r="AL94" s="39">
        <v>0</v>
      </c>
      <c r="AM94" s="39">
        <v>0</v>
      </c>
      <c r="AN94" s="39">
        <v>0</v>
      </c>
      <c r="AO94" s="39">
        <v>4034.8</v>
      </c>
      <c r="AP94" s="39">
        <v>4049.91</v>
      </c>
      <c r="AQ94" s="39">
        <v>4006.62</v>
      </c>
      <c r="AR94" s="39">
        <v>4049.91</v>
      </c>
    </row>
    <row r="95" spans="1:44" x14ac:dyDescent="0.35">
      <c r="A95" s="16" t="str">
        <f t="shared" si="9"/>
        <v>40</v>
      </c>
      <c r="B95" s="19">
        <v>68759</v>
      </c>
      <c r="C95" s="16" t="str">
        <f t="shared" si="8"/>
        <v>0000000</v>
      </c>
      <c r="D95" s="17" t="s">
        <v>3663</v>
      </c>
      <c r="E95" s="16" t="s">
        <v>2519</v>
      </c>
      <c r="F95" s="16" t="s">
        <v>2512</v>
      </c>
      <c r="G95" s="35" t="s">
        <v>2520</v>
      </c>
      <c r="H95" s="39">
        <v>9055.64</v>
      </c>
      <c r="I95" s="39">
        <v>9093.19</v>
      </c>
      <c r="J95" s="39">
        <v>8897.5400000000009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G95" s="39">
        <v>0</v>
      </c>
      <c r="AH95" s="39">
        <v>0</v>
      </c>
      <c r="AI95" s="39">
        <v>9055.64</v>
      </c>
      <c r="AJ95" s="39">
        <v>9093.19</v>
      </c>
      <c r="AK95" s="39">
        <v>8897.5400000000009</v>
      </c>
      <c r="AL95" s="39">
        <v>0</v>
      </c>
      <c r="AM95" s="39">
        <v>0</v>
      </c>
      <c r="AN95" s="39">
        <v>0</v>
      </c>
      <c r="AO95" s="39">
        <v>9055.64</v>
      </c>
      <c r="AP95" s="39">
        <v>9093.19</v>
      </c>
      <c r="AQ95" s="39">
        <v>8897.5400000000009</v>
      </c>
      <c r="AR95" s="39">
        <v>9093.19</v>
      </c>
    </row>
    <row r="96" spans="1:44" x14ac:dyDescent="0.35">
      <c r="A96" s="16" t="str">
        <f t="shared" si="9"/>
        <v>40</v>
      </c>
      <c r="B96" s="19">
        <v>68809</v>
      </c>
      <c r="C96" s="16" t="str">
        <f t="shared" si="8"/>
        <v>0000000</v>
      </c>
      <c r="D96" s="17" t="s">
        <v>3663</v>
      </c>
      <c r="E96" s="16" t="s">
        <v>2523</v>
      </c>
      <c r="F96" s="16" t="s">
        <v>2512</v>
      </c>
      <c r="G96" s="35" t="s">
        <v>2524</v>
      </c>
      <c r="H96" s="39">
        <v>7110.51</v>
      </c>
      <c r="I96" s="39">
        <v>7094.02</v>
      </c>
      <c r="J96" s="39">
        <v>6953.48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G96" s="39">
        <v>0</v>
      </c>
      <c r="AH96" s="39">
        <v>0</v>
      </c>
      <c r="AI96" s="39">
        <v>7110.51</v>
      </c>
      <c r="AJ96" s="39">
        <v>7094.02</v>
      </c>
      <c r="AK96" s="39">
        <v>6953.48</v>
      </c>
      <c r="AL96" s="39">
        <v>0</v>
      </c>
      <c r="AM96" s="39">
        <v>0</v>
      </c>
      <c r="AN96" s="39">
        <v>0</v>
      </c>
      <c r="AO96" s="39">
        <v>7110.51</v>
      </c>
      <c r="AP96" s="39">
        <v>7094.02</v>
      </c>
      <c r="AQ96" s="39">
        <v>6953.48</v>
      </c>
      <c r="AR96" s="39">
        <v>7110.51</v>
      </c>
    </row>
    <row r="97" spans="1:44" x14ac:dyDescent="0.35">
      <c r="A97" s="16" t="str">
        <f t="shared" si="9"/>
        <v>40</v>
      </c>
      <c r="B97" s="19">
        <v>68833</v>
      </c>
      <c r="C97" s="16" t="str">
        <f t="shared" si="8"/>
        <v>0000000</v>
      </c>
      <c r="D97" s="17" t="s">
        <v>3663</v>
      </c>
      <c r="E97" s="16" t="s">
        <v>2530</v>
      </c>
      <c r="F97" s="16" t="s">
        <v>2512</v>
      </c>
      <c r="G97" s="35" t="s">
        <v>2531</v>
      </c>
      <c r="H97" s="39">
        <v>250.15</v>
      </c>
      <c r="I97" s="39">
        <v>237.2</v>
      </c>
      <c r="J97" s="39">
        <v>244.32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G97" s="39">
        <v>0</v>
      </c>
      <c r="AH97" s="39">
        <v>0</v>
      </c>
      <c r="AI97" s="39">
        <v>250.15</v>
      </c>
      <c r="AJ97" s="39">
        <v>237.2</v>
      </c>
      <c r="AK97" s="39">
        <v>244.32</v>
      </c>
      <c r="AL97" s="39">
        <v>0</v>
      </c>
      <c r="AM97" s="39">
        <v>0</v>
      </c>
      <c r="AN97" s="39">
        <v>0</v>
      </c>
      <c r="AO97" s="39">
        <v>250.15</v>
      </c>
      <c r="AP97" s="39">
        <v>237.2</v>
      </c>
      <c r="AQ97" s="39">
        <v>244.32</v>
      </c>
      <c r="AR97" s="39">
        <v>250.15</v>
      </c>
    </row>
    <row r="98" spans="1:44" x14ac:dyDescent="0.35">
      <c r="A98" s="16" t="str">
        <f t="shared" si="9"/>
        <v>40</v>
      </c>
      <c r="B98" s="19">
        <v>68841</v>
      </c>
      <c r="C98" s="16" t="str">
        <f t="shared" si="8"/>
        <v>0000000</v>
      </c>
      <c r="D98" s="17" t="s">
        <v>3663</v>
      </c>
      <c r="E98" s="16" t="s">
        <v>2532</v>
      </c>
      <c r="F98" s="16" t="s">
        <v>2512</v>
      </c>
      <c r="G98" s="35" t="s">
        <v>2533</v>
      </c>
      <c r="H98" s="39">
        <v>2118</v>
      </c>
      <c r="I98" s="39">
        <v>2134.79</v>
      </c>
      <c r="J98" s="39">
        <v>2119.2800000000002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G98" s="39">
        <v>0</v>
      </c>
      <c r="AH98" s="39">
        <v>0</v>
      </c>
      <c r="AI98" s="39">
        <v>2118</v>
      </c>
      <c r="AJ98" s="39">
        <v>2134.79</v>
      </c>
      <c r="AK98" s="39">
        <v>2119.2800000000002</v>
      </c>
      <c r="AL98" s="39">
        <v>0</v>
      </c>
      <c r="AM98" s="39">
        <v>0</v>
      </c>
      <c r="AN98" s="39">
        <v>0</v>
      </c>
      <c r="AO98" s="39">
        <v>2118</v>
      </c>
      <c r="AP98" s="39">
        <v>2134.79</v>
      </c>
      <c r="AQ98" s="39">
        <v>2119.2800000000002</v>
      </c>
      <c r="AR98" s="39">
        <v>2134.79</v>
      </c>
    </row>
    <row r="99" spans="1:44" x14ac:dyDescent="0.35">
      <c r="A99" s="16" t="str">
        <f t="shared" si="9"/>
        <v>40</v>
      </c>
      <c r="B99" s="19">
        <v>75465</v>
      </c>
      <c r="C99" s="16" t="str">
        <f t="shared" si="8"/>
        <v>0000000</v>
      </c>
      <c r="D99" s="17" t="s">
        <v>3663</v>
      </c>
      <c r="E99" s="16" t="s">
        <v>2536</v>
      </c>
      <c r="F99" s="16" t="s">
        <v>2512</v>
      </c>
      <c r="G99" s="35" t="s">
        <v>2537</v>
      </c>
      <c r="H99" s="39">
        <v>448.19</v>
      </c>
      <c r="I99" s="39">
        <v>455.72</v>
      </c>
      <c r="J99" s="39">
        <v>445.27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v>0</v>
      </c>
      <c r="AF99" s="39">
        <v>0</v>
      </c>
      <c r="AG99" s="39">
        <v>0</v>
      </c>
      <c r="AH99" s="39">
        <v>0</v>
      </c>
      <c r="AI99" s="39">
        <v>448.19</v>
      </c>
      <c r="AJ99" s="39">
        <v>455.72</v>
      </c>
      <c r="AK99" s="39">
        <v>445.27</v>
      </c>
      <c r="AL99" s="39">
        <v>0</v>
      </c>
      <c r="AM99" s="39">
        <v>0</v>
      </c>
      <c r="AN99" s="39">
        <v>0</v>
      </c>
      <c r="AO99" s="39">
        <v>448.19</v>
      </c>
      <c r="AP99" s="39">
        <v>455.72</v>
      </c>
      <c r="AQ99" s="39">
        <v>445.27</v>
      </c>
      <c r="AR99" s="39">
        <v>455.72</v>
      </c>
    </row>
    <row r="100" spans="1:44" x14ac:dyDescent="0.35">
      <c r="A100" s="16" t="str">
        <f t="shared" si="9"/>
        <v>40</v>
      </c>
      <c r="B100" s="19">
        <v>75457</v>
      </c>
      <c r="C100" s="16" t="str">
        <f t="shared" si="8"/>
        <v>0000000</v>
      </c>
      <c r="D100" s="17" t="s">
        <v>3663</v>
      </c>
      <c r="E100" s="16" t="s">
        <v>2534</v>
      </c>
      <c r="F100" s="16" t="s">
        <v>2512</v>
      </c>
      <c r="G100" s="35" t="s">
        <v>2535</v>
      </c>
      <c r="H100" s="39">
        <v>5785.56</v>
      </c>
      <c r="I100" s="39">
        <v>5899.86</v>
      </c>
      <c r="J100" s="39">
        <v>5789.31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0</v>
      </c>
      <c r="AC100" s="39">
        <v>0</v>
      </c>
      <c r="AD100" s="39">
        <v>0</v>
      </c>
      <c r="AE100" s="39">
        <v>0</v>
      </c>
      <c r="AF100" s="39">
        <v>0</v>
      </c>
      <c r="AG100" s="39">
        <v>0</v>
      </c>
      <c r="AH100" s="39">
        <v>0</v>
      </c>
      <c r="AI100" s="39">
        <v>5785.56</v>
      </c>
      <c r="AJ100" s="39">
        <v>5899.86</v>
      </c>
      <c r="AK100" s="39">
        <v>5789.31</v>
      </c>
      <c r="AL100" s="39">
        <v>0</v>
      </c>
      <c r="AM100" s="39">
        <v>0</v>
      </c>
      <c r="AN100" s="39">
        <v>0</v>
      </c>
      <c r="AO100" s="39">
        <v>5785.56</v>
      </c>
      <c r="AP100" s="39">
        <v>5899.86</v>
      </c>
      <c r="AQ100" s="39">
        <v>5789.31</v>
      </c>
      <c r="AR100" s="39">
        <v>5899.86</v>
      </c>
    </row>
    <row r="101" spans="1:44" x14ac:dyDescent="0.35">
      <c r="A101" s="16" t="str">
        <f t="shared" si="9"/>
        <v>40</v>
      </c>
      <c r="B101" s="19">
        <v>10405</v>
      </c>
      <c r="C101" s="16" t="str">
        <f>TEXT(125807,"0000000")</f>
        <v>0125807</v>
      </c>
      <c r="D101" s="19">
        <v>1395</v>
      </c>
      <c r="E101" s="16" t="s">
        <v>2513</v>
      </c>
      <c r="F101" s="16" t="s">
        <v>2512</v>
      </c>
      <c r="G101" s="35" t="s">
        <v>2514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441.57</v>
      </c>
      <c r="AD101" s="39">
        <v>437.34</v>
      </c>
      <c r="AE101" s="39">
        <v>428.08</v>
      </c>
      <c r="AF101" s="39">
        <v>0</v>
      </c>
      <c r="AG101" s="39">
        <v>0</v>
      </c>
      <c r="AH101" s="39">
        <v>0</v>
      </c>
      <c r="AI101" s="39">
        <v>441.57</v>
      </c>
      <c r="AJ101" s="39">
        <v>437.34</v>
      </c>
      <c r="AK101" s="39">
        <v>428.08</v>
      </c>
      <c r="AL101" s="39">
        <v>0</v>
      </c>
      <c r="AM101" s="39">
        <v>0</v>
      </c>
      <c r="AN101" s="39">
        <v>0</v>
      </c>
      <c r="AO101" s="39">
        <v>441.57</v>
      </c>
      <c r="AP101" s="39">
        <v>437.34</v>
      </c>
      <c r="AQ101" s="39">
        <v>428.08</v>
      </c>
      <c r="AR101" s="39">
        <v>441.57</v>
      </c>
    </row>
    <row r="102" spans="1:44" x14ac:dyDescent="0.35">
      <c r="A102" s="16" t="str">
        <f t="shared" si="9"/>
        <v>40</v>
      </c>
      <c r="B102" s="19">
        <v>68809</v>
      </c>
      <c r="C102" s="16" t="str">
        <f>TEXT(6043194,"0000000")</f>
        <v>6043194</v>
      </c>
      <c r="D102" s="17" t="s">
        <v>2527</v>
      </c>
      <c r="E102" s="16" t="s">
        <v>2525</v>
      </c>
      <c r="F102" s="16" t="s">
        <v>2512</v>
      </c>
      <c r="G102" s="35" t="s">
        <v>2526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0</v>
      </c>
      <c r="AC102" s="39">
        <v>154.26</v>
      </c>
      <c r="AD102" s="39">
        <v>155.88</v>
      </c>
      <c r="AE102" s="39">
        <v>150.88999999999999</v>
      </c>
      <c r="AF102" s="39">
        <v>0</v>
      </c>
      <c r="AG102" s="39">
        <v>0</v>
      </c>
      <c r="AH102" s="39">
        <v>0</v>
      </c>
      <c r="AI102" s="39">
        <v>154.26</v>
      </c>
      <c r="AJ102" s="39">
        <v>155.88</v>
      </c>
      <c r="AK102" s="39">
        <v>150.88999999999999</v>
      </c>
      <c r="AL102" s="39">
        <v>0</v>
      </c>
      <c r="AM102" s="39">
        <v>0</v>
      </c>
      <c r="AN102" s="39">
        <v>0</v>
      </c>
      <c r="AO102" s="39">
        <v>154.26</v>
      </c>
      <c r="AP102" s="39">
        <v>155.88</v>
      </c>
      <c r="AQ102" s="39">
        <v>150.88999999999999</v>
      </c>
      <c r="AR102" s="39">
        <v>155.88</v>
      </c>
    </row>
    <row r="103" spans="1:44" x14ac:dyDescent="0.35">
      <c r="A103" s="16" t="str">
        <f t="shared" ref="A103:A115" si="10">TEXT(18,"00")</f>
        <v>18</v>
      </c>
      <c r="B103" s="19">
        <v>10181</v>
      </c>
      <c r="C103" s="16" t="str">
        <f t="shared" ref="C103:C113" si="11">TEXT(,"0000000")</f>
        <v>0000000</v>
      </c>
      <c r="D103" s="17" t="s">
        <v>3663</v>
      </c>
      <c r="E103" s="16" t="s">
        <v>801</v>
      </c>
      <c r="F103" s="16" t="s">
        <v>802</v>
      </c>
      <c r="G103" s="35" t="s">
        <v>802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4.7699999999999996</v>
      </c>
      <c r="X103" s="39">
        <v>7.23</v>
      </c>
      <c r="Y103" s="39">
        <v>9.58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39">
        <v>0</v>
      </c>
      <c r="AF103" s="39">
        <v>0</v>
      </c>
      <c r="AG103" s="39">
        <v>0</v>
      </c>
      <c r="AH103" s="39">
        <v>0</v>
      </c>
      <c r="AI103" s="39">
        <v>4.7699999999999996</v>
      </c>
      <c r="AJ103" s="39">
        <v>7.23</v>
      </c>
      <c r="AK103" s="39">
        <v>9.58</v>
      </c>
      <c r="AL103" s="39">
        <v>0</v>
      </c>
      <c r="AM103" s="39">
        <v>0</v>
      </c>
      <c r="AN103" s="39">
        <v>0</v>
      </c>
      <c r="AO103" s="39">
        <v>4.7699999999999996</v>
      </c>
      <c r="AP103" s="39">
        <v>7.23</v>
      </c>
      <c r="AQ103" s="39">
        <v>9.58</v>
      </c>
      <c r="AR103" s="39">
        <v>9.58</v>
      </c>
    </row>
    <row r="104" spans="1:44" x14ac:dyDescent="0.35">
      <c r="A104" s="16" t="str">
        <f t="shared" si="10"/>
        <v>18</v>
      </c>
      <c r="B104" s="19">
        <v>64105</v>
      </c>
      <c r="C104" s="16" t="str">
        <f t="shared" si="11"/>
        <v>0000000</v>
      </c>
      <c r="D104" s="17" t="s">
        <v>3663</v>
      </c>
      <c r="E104" s="16" t="s">
        <v>805</v>
      </c>
      <c r="F104" s="16" t="s">
        <v>802</v>
      </c>
      <c r="G104" s="35" t="s">
        <v>806</v>
      </c>
      <c r="H104" s="39">
        <v>294.57</v>
      </c>
      <c r="I104" s="39">
        <v>297.14999999999998</v>
      </c>
      <c r="J104" s="39">
        <v>301.74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0</v>
      </c>
      <c r="AC104" s="39">
        <v>0</v>
      </c>
      <c r="AD104" s="39">
        <v>0</v>
      </c>
      <c r="AE104" s="39">
        <v>0</v>
      </c>
      <c r="AF104" s="39">
        <v>0</v>
      </c>
      <c r="AG104" s="39">
        <v>0</v>
      </c>
      <c r="AH104" s="39">
        <v>0</v>
      </c>
      <c r="AI104" s="39">
        <v>294.57</v>
      </c>
      <c r="AJ104" s="39">
        <v>297.14999999999998</v>
      </c>
      <c r="AK104" s="39">
        <v>301.74</v>
      </c>
      <c r="AL104" s="39">
        <v>0</v>
      </c>
      <c r="AM104" s="39">
        <v>0</v>
      </c>
      <c r="AN104" s="39">
        <v>0</v>
      </c>
      <c r="AO104" s="39">
        <v>294.57</v>
      </c>
      <c r="AP104" s="39">
        <v>297.14999999999998</v>
      </c>
      <c r="AQ104" s="39">
        <v>301.74</v>
      </c>
      <c r="AR104" s="39">
        <v>301.74</v>
      </c>
    </row>
    <row r="105" spans="1:44" x14ac:dyDescent="0.35">
      <c r="A105" s="16" t="str">
        <f t="shared" si="10"/>
        <v>18</v>
      </c>
      <c r="B105" s="19">
        <v>64139</v>
      </c>
      <c r="C105" s="16" t="str">
        <f t="shared" si="11"/>
        <v>0000000</v>
      </c>
      <c r="D105" s="17" t="s">
        <v>3663</v>
      </c>
      <c r="E105" s="16" t="s">
        <v>809</v>
      </c>
      <c r="F105" s="16" t="s">
        <v>802</v>
      </c>
      <c r="G105" s="35" t="s">
        <v>810</v>
      </c>
      <c r="H105" s="39">
        <v>754.13</v>
      </c>
      <c r="I105" s="39">
        <v>766.28</v>
      </c>
      <c r="J105" s="39">
        <v>788.02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39">
        <v>0</v>
      </c>
      <c r="AF105" s="39">
        <v>0</v>
      </c>
      <c r="AG105" s="39">
        <v>0</v>
      </c>
      <c r="AH105" s="39">
        <v>0</v>
      </c>
      <c r="AI105" s="39">
        <v>754.13</v>
      </c>
      <c r="AJ105" s="39">
        <v>766.28</v>
      </c>
      <c r="AK105" s="39">
        <v>788.02</v>
      </c>
      <c r="AL105" s="39">
        <v>0</v>
      </c>
      <c r="AM105" s="39">
        <v>0</v>
      </c>
      <c r="AN105" s="39">
        <v>0</v>
      </c>
      <c r="AO105" s="39">
        <v>754.13</v>
      </c>
      <c r="AP105" s="39">
        <v>766.28</v>
      </c>
      <c r="AQ105" s="39">
        <v>788.02</v>
      </c>
      <c r="AR105" s="39">
        <v>788.02</v>
      </c>
    </row>
    <row r="106" spans="1:44" x14ac:dyDescent="0.35">
      <c r="A106" s="16" t="str">
        <f t="shared" si="10"/>
        <v>18</v>
      </c>
      <c r="B106" s="19">
        <v>64196</v>
      </c>
      <c r="C106" s="16" t="str">
        <f t="shared" si="11"/>
        <v>0000000</v>
      </c>
      <c r="D106" s="17" t="s">
        <v>3663</v>
      </c>
      <c r="E106" s="16" t="s">
        <v>817</v>
      </c>
      <c r="F106" s="16" t="s">
        <v>802</v>
      </c>
      <c r="G106" s="35" t="s">
        <v>818</v>
      </c>
      <c r="H106" s="39">
        <v>907.77</v>
      </c>
      <c r="I106" s="39">
        <v>910.88</v>
      </c>
      <c r="J106" s="39">
        <v>937.2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  <c r="AF106" s="39">
        <v>0</v>
      </c>
      <c r="AG106" s="39">
        <v>0</v>
      </c>
      <c r="AH106" s="39">
        <v>0</v>
      </c>
      <c r="AI106" s="39">
        <v>907.77</v>
      </c>
      <c r="AJ106" s="39">
        <v>910.88</v>
      </c>
      <c r="AK106" s="39">
        <v>937.2</v>
      </c>
      <c r="AL106" s="39">
        <v>0</v>
      </c>
      <c r="AM106" s="39">
        <v>0</v>
      </c>
      <c r="AN106" s="39">
        <v>0</v>
      </c>
      <c r="AO106" s="39">
        <v>907.77</v>
      </c>
      <c r="AP106" s="39">
        <v>910.88</v>
      </c>
      <c r="AQ106" s="39">
        <v>937.2</v>
      </c>
      <c r="AR106" s="39">
        <v>937.2</v>
      </c>
    </row>
    <row r="107" spans="1:44" x14ac:dyDescent="0.35">
      <c r="A107" s="16" t="str">
        <f t="shared" si="10"/>
        <v>18</v>
      </c>
      <c r="B107" s="19">
        <v>64089</v>
      </c>
      <c r="C107" s="16" t="str">
        <f t="shared" si="11"/>
        <v>0000000</v>
      </c>
      <c r="D107" s="17" t="s">
        <v>3663</v>
      </c>
      <c r="E107" s="16" t="s">
        <v>803</v>
      </c>
      <c r="F107" s="16" t="s">
        <v>802</v>
      </c>
      <c r="G107" s="35" t="s">
        <v>804</v>
      </c>
      <c r="H107" s="39">
        <v>108.46</v>
      </c>
      <c r="I107" s="39">
        <v>106.72</v>
      </c>
      <c r="J107" s="39">
        <v>121.75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  <c r="AF107" s="39">
        <v>0</v>
      </c>
      <c r="AG107" s="39">
        <v>0</v>
      </c>
      <c r="AH107" s="39">
        <v>0</v>
      </c>
      <c r="AI107" s="39">
        <v>108.46</v>
      </c>
      <c r="AJ107" s="39">
        <v>106.72</v>
      </c>
      <c r="AK107" s="39">
        <v>121.75</v>
      </c>
      <c r="AL107" s="39">
        <v>0</v>
      </c>
      <c r="AM107" s="39">
        <v>0</v>
      </c>
      <c r="AN107" s="39">
        <v>0</v>
      </c>
      <c r="AO107" s="39">
        <v>108.46</v>
      </c>
      <c r="AP107" s="39">
        <v>106.72</v>
      </c>
      <c r="AQ107" s="39">
        <v>121.75</v>
      </c>
      <c r="AR107" s="39">
        <v>121.75</v>
      </c>
    </row>
    <row r="108" spans="1:44" x14ac:dyDescent="0.35">
      <c r="A108" s="16" t="str">
        <f t="shared" si="10"/>
        <v>18</v>
      </c>
      <c r="B108" s="19">
        <v>64113</v>
      </c>
      <c r="C108" s="16" t="str">
        <f t="shared" si="11"/>
        <v>0000000</v>
      </c>
      <c r="D108" s="17" t="s">
        <v>3663</v>
      </c>
      <c r="E108" s="16" t="s">
        <v>807</v>
      </c>
      <c r="F108" s="16" t="s">
        <v>802</v>
      </c>
      <c r="G108" s="35" t="s">
        <v>808</v>
      </c>
      <c r="H108" s="39">
        <v>199.79</v>
      </c>
      <c r="I108" s="39">
        <v>184.43</v>
      </c>
      <c r="J108" s="39">
        <v>186.71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0</v>
      </c>
      <c r="AC108" s="39">
        <v>0</v>
      </c>
      <c r="AD108" s="39">
        <v>0</v>
      </c>
      <c r="AE108" s="39">
        <v>0</v>
      </c>
      <c r="AF108" s="39">
        <v>0</v>
      </c>
      <c r="AG108" s="39">
        <v>0</v>
      </c>
      <c r="AH108" s="39">
        <v>0</v>
      </c>
      <c r="AI108" s="39">
        <v>199.79</v>
      </c>
      <c r="AJ108" s="39">
        <v>184.43</v>
      </c>
      <c r="AK108" s="39">
        <v>186.71</v>
      </c>
      <c r="AL108" s="39">
        <v>0</v>
      </c>
      <c r="AM108" s="39">
        <v>0</v>
      </c>
      <c r="AN108" s="39">
        <v>0</v>
      </c>
      <c r="AO108" s="39">
        <v>199.79</v>
      </c>
      <c r="AP108" s="39">
        <v>184.43</v>
      </c>
      <c r="AQ108" s="39">
        <v>186.71</v>
      </c>
      <c r="AR108" s="39">
        <v>199.79</v>
      </c>
    </row>
    <row r="109" spans="1:44" x14ac:dyDescent="0.35">
      <c r="A109" s="16" t="str">
        <f t="shared" si="10"/>
        <v>18</v>
      </c>
      <c r="B109" s="19">
        <v>64162</v>
      </c>
      <c r="C109" s="16" t="str">
        <f t="shared" si="11"/>
        <v>0000000</v>
      </c>
      <c r="D109" s="17" t="s">
        <v>3663</v>
      </c>
      <c r="E109" s="16" t="s">
        <v>811</v>
      </c>
      <c r="F109" s="16" t="s">
        <v>802</v>
      </c>
      <c r="G109" s="35" t="s">
        <v>812</v>
      </c>
      <c r="H109" s="39">
        <v>2.0699999999999998</v>
      </c>
      <c r="I109" s="39">
        <v>3.92</v>
      </c>
      <c r="J109" s="39">
        <v>8.66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39">
        <v>0</v>
      </c>
      <c r="AF109" s="39">
        <v>0</v>
      </c>
      <c r="AG109" s="39">
        <v>0</v>
      </c>
      <c r="AH109" s="39">
        <v>0</v>
      </c>
      <c r="AI109" s="39">
        <v>2.0699999999999998</v>
      </c>
      <c r="AJ109" s="39">
        <v>3.92</v>
      </c>
      <c r="AK109" s="39">
        <v>8.66</v>
      </c>
      <c r="AL109" s="39">
        <v>0</v>
      </c>
      <c r="AM109" s="39">
        <v>0</v>
      </c>
      <c r="AN109" s="39">
        <v>0</v>
      </c>
      <c r="AO109" s="39">
        <v>2.0699999999999998</v>
      </c>
      <c r="AP109" s="39">
        <v>3.92</v>
      </c>
      <c r="AQ109" s="39">
        <v>8.66</v>
      </c>
      <c r="AR109" s="39">
        <v>8.66</v>
      </c>
    </row>
    <row r="110" spans="1:44" x14ac:dyDescent="0.35">
      <c r="A110" s="16" t="str">
        <f t="shared" si="10"/>
        <v>18</v>
      </c>
      <c r="B110" s="19">
        <v>64170</v>
      </c>
      <c r="C110" s="16" t="str">
        <f t="shared" si="11"/>
        <v>0000000</v>
      </c>
      <c r="D110" s="17" t="s">
        <v>3663</v>
      </c>
      <c r="E110" s="16" t="s">
        <v>813</v>
      </c>
      <c r="F110" s="16" t="s">
        <v>802</v>
      </c>
      <c r="G110" s="35" t="s">
        <v>814</v>
      </c>
      <c r="H110" s="39">
        <v>182.73</v>
      </c>
      <c r="I110" s="39">
        <v>173.34</v>
      </c>
      <c r="J110" s="39">
        <v>180.11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0</v>
      </c>
      <c r="AC110" s="39">
        <v>0</v>
      </c>
      <c r="AD110" s="39">
        <v>0</v>
      </c>
      <c r="AE110" s="39">
        <v>0</v>
      </c>
      <c r="AF110" s="39">
        <v>0</v>
      </c>
      <c r="AG110" s="39">
        <v>0</v>
      </c>
      <c r="AH110" s="39">
        <v>0</v>
      </c>
      <c r="AI110" s="39">
        <v>182.73</v>
      </c>
      <c r="AJ110" s="39">
        <v>173.34</v>
      </c>
      <c r="AK110" s="39">
        <v>180.11</v>
      </c>
      <c r="AL110" s="39">
        <v>0</v>
      </c>
      <c r="AM110" s="39">
        <v>0</v>
      </c>
      <c r="AN110" s="39">
        <v>0</v>
      </c>
      <c r="AO110" s="39">
        <v>182.73</v>
      </c>
      <c r="AP110" s="39">
        <v>173.34</v>
      </c>
      <c r="AQ110" s="39">
        <v>180.11</v>
      </c>
      <c r="AR110" s="39">
        <v>182.73</v>
      </c>
    </row>
    <row r="111" spans="1:44" x14ac:dyDescent="0.35">
      <c r="A111" s="16" t="str">
        <f t="shared" si="10"/>
        <v>18</v>
      </c>
      <c r="B111" s="19">
        <v>64188</v>
      </c>
      <c r="C111" s="16" t="str">
        <f t="shared" si="11"/>
        <v>0000000</v>
      </c>
      <c r="D111" s="17" t="s">
        <v>3663</v>
      </c>
      <c r="E111" s="16" t="s">
        <v>815</v>
      </c>
      <c r="F111" s="16" t="s">
        <v>802</v>
      </c>
      <c r="G111" s="35" t="s">
        <v>816</v>
      </c>
      <c r="H111" s="39">
        <v>223.58</v>
      </c>
      <c r="I111" s="39">
        <v>232.14</v>
      </c>
      <c r="J111" s="39">
        <v>192.8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0</v>
      </c>
      <c r="AC111" s="39">
        <v>0</v>
      </c>
      <c r="AD111" s="39">
        <v>0</v>
      </c>
      <c r="AE111" s="39">
        <v>0</v>
      </c>
      <c r="AF111" s="39">
        <v>0</v>
      </c>
      <c r="AG111" s="39">
        <v>0</v>
      </c>
      <c r="AH111" s="39">
        <v>0</v>
      </c>
      <c r="AI111" s="39">
        <v>223.58</v>
      </c>
      <c r="AJ111" s="39">
        <v>232.14</v>
      </c>
      <c r="AK111" s="39">
        <v>192.8</v>
      </c>
      <c r="AL111" s="39">
        <v>0</v>
      </c>
      <c r="AM111" s="39">
        <v>0</v>
      </c>
      <c r="AN111" s="39">
        <v>0</v>
      </c>
      <c r="AO111" s="39">
        <v>223.58</v>
      </c>
      <c r="AP111" s="39">
        <v>232.14</v>
      </c>
      <c r="AQ111" s="39">
        <v>192.8</v>
      </c>
      <c r="AR111" s="39">
        <v>232.14</v>
      </c>
    </row>
    <row r="112" spans="1:44" x14ac:dyDescent="0.35">
      <c r="A112" s="16" t="str">
        <f t="shared" si="10"/>
        <v>18</v>
      </c>
      <c r="B112" s="19">
        <v>64204</v>
      </c>
      <c r="C112" s="16" t="str">
        <f t="shared" si="11"/>
        <v>0000000</v>
      </c>
      <c r="D112" s="17" t="s">
        <v>3663</v>
      </c>
      <c r="E112" s="16" t="s">
        <v>821</v>
      </c>
      <c r="F112" s="16" t="s">
        <v>802</v>
      </c>
      <c r="G112" s="35" t="s">
        <v>822</v>
      </c>
      <c r="H112" s="39">
        <v>159.36000000000001</v>
      </c>
      <c r="I112" s="39">
        <v>170.93</v>
      </c>
      <c r="J112" s="39">
        <v>156.88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0</v>
      </c>
      <c r="AC112" s="39">
        <v>0</v>
      </c>
      <c r="AD112" s="39">
        <v>0</v>
      </c>
      <c r="AE112" s="39">
        <v>0</v>
      </c>
      <c r="AF112" s="39">
        <v>0</v>
      </c>
      <c r="AG112" s="39">
        <v>0</v>
      </c>
      <c r="AH112" s="39">
        <v>0</v>
      </c>
      <c r="AI112" s="39">
        <v>159.36000000000001</v>
      </c>
      <c r="AJ112" s="39">
        <v>170.93</v>
      </c>
      <c r="AK112" s="39">
        <v>156.88</v>
      </c>
      <c r="AL112" s="39">
        <v>0</v>
      </c>
      <c r="AM112" s="39">
        <v>0</v>
      </c>
      <c r="AN112" s="39">
        <v>0</v>
      </c>
      <c r="AO112" s="39">
        <v>159.36000000000001</v>
      </c>
      <c r="AP112" s="39">
        <v>170.93</v>
      </c>
      <c r="AQ112" s="39">
        <v>156.88</v>
      </c>
      <c r="AR112" s="39">
        <v>170.93</v>
      </c>
    </row>
    <row r="113" spans="1:44" x14ac:dyDescent="0.35">
      <c r="A113" s="16" t="str">
        <f t="shared" si="10"/>
        <v>18</v>
      </c>
      <c r="B113" s="19">
        <v>75036</v>
      </c>
      <c r="C113" s="16" t="str">
        <f t="shared" si="11"/>
        <v>0000000</v>
      </c>
      <c r="D113" s="17" t="s">
        <v>3663</v>
      </c>
      <c r="E113" s="16" t="s">
        <v>823</v>
      </c>
      <c r="F113" s="16" t="s">
        <v>802</v>
      </c>
      <c r="G113" s="35" t="s">
        <v>824</v>
      </c>
      <c r="H113" s="39">
        <v>96.56</v>
      </c>
      <c r="I113" s="39">
        <v>81.84</v>
      </c>
      <c r="J113" s="39">
        <v>80.569999999999993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0</v>
      </c>
      <c r="AC113" s="39">
        <v>144.97999999999999</v>
      </c>
      <c r="AD113" s="39">
        <v>139.29</v>
      </c>
      <c r="AE113" s="39">
        <v>135.63</v>
      </c>
      <c r="AF113" s="39">
        <v>0</v>
      </c>
      <c r="AG113" s="39">
        <v>0</v>
      </c>
      <c r="AH113" s="39">
        <v>0</v>
      </c>
      <c r="AI113" s="39">
        <v>241.54</v>
      </c>
      <c r="AJ113" s="39">
        <v>221.13</v>
      </c>
      <c r="AK113" s="39">
        <v>216.2</v>
      </c>
      <c r="AL113" s="39">
        <v>0</v>
      </c>
      <c r="AM113" s="39">
        <v>0</v>
      </c>
      <c r="AN113" s="39">
        <v>0</v>
      </c>
      <c r="AO113" s="39">
        <v>241.54</v>
      </c>
      <c r="AP113" s="39">
        <v>221.13</v>
      </c>
      <c r="AQ113" s="39">
        <v>216.2</v>
      </c>
      <c r="AR113" s="39">
        <v>241.54</v>
      </c>
    </row>
    <row r="114" spans="1:44" x14ac:dyDescent="0.35">
      <c r="A114" s="16" t="str">
        <f t="shared" si="10"/>
        <v>18</v>
      </c>
      <c r="B114" s="19">
        <v>64196</v>
      </c>
      <c r="C114" s="16" t="str">
        <f>TEXT(135756,"0000000")</f>
        <v>0135756</v>
      </c>
      <c r="D114" s="19">
        <v>2066</v>
      </c>
      <c r="E114" s="16" t="s">
        <v>819</v>
      </c>
      <c r="F114" s="16" t="s">
        <v>802</v>
      </c>
      <c r="G114" s="35" t="s">
        <v>820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161.99</v>
      </c>
      <c r="AD114" s="39">
        <v>153.69999999999999</v>
      </c>
      <c r="AE114" s="39">
        <v>143.56</v>
      </c>
      <c r="AF114" s="39">
        <v>0</v>
      </c>
      <c r="AG114" s="39">
        <v>0</v>
      </c>
      <c r="AH114" s="39">
        <v>0</v>
      </c>
      <c r="AI114" s="39">
        <v>161.99</v>
      </c>
      <c r="AJ114" s="39">
        <v>153.69999999999999</v>
      </c>
      <c r="AK114" s="39">
        <v>143.56</v>
      </c>
      <c r="AL114" s="39">
        <v>0</v>
      </c>
      <c r="AM114" s="39">
        <v>0</v>
      </c>
      <c r="AN114" s="39">
        <v>0</v>
      </c>
      <c r="AO114" s="39">
        <v>161.99</v>
      </c>
      <c r="AP114" s="39">
        <v>153.69999999999999</v>
      </c>
      <c r="AQ114" s="39">
        <v>143.56</v>
      </c>
      <c r="AR114" s="39">
        <v>161.99</v>
      </c>
    </row>
    <row r="115" spans="1:44" x14ac:dyDescent="0.35">
      <c r="A115" s="16" t="str">
        <f t="shared" si="10"/>
        <v>18</v>
      </c>
      <c r="B115" s="19">
        <v>75036</v>
      </c>
      <c r="C115" s="16" t="str">
        <f>TEXT(6010763,"0000000")</f>
        <v>6010763</v>
      </c>
      <c r="D115" s="19">
        <v>2067</v>
      </c>
      <c r="E115" s="16" t="s">
        <v>825</v>
      </c>
      <c r="F115" s="16" t="s">
        <v>802</v>
      </c>
      <c r="G115" s="35" t="s">
        <v>826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234.44</v>
      </c>
      <c r="AD115" s="39">
        <v>256.83999999999997</v>
      </c>
      <c r="AE115" s="39">
        <v>224.73</v>
      </c>
      <c r="AF115" s="39">
        <v>0</v>
      </c>
      <c r="AG115" s="39">
        <v>0</v>
      </c>
      <c r="AH115" s="39">
        <v>0</v>
      </c>
      <c r="AI115" s="39">
        <v>234.44</v>
      </c>
      <c r="AJ115" s="39">
        <v>256.83999999999997</v>
      </c>
      <c r="AK115" s="39">
        <v>224.73</v>
      </c>
      <c r="AL115" s="39">
        <v>0</v>
      </c>
      <c r="AM115" s="39">
        <v>0</v>
      </c>
      <c r="AN115" s="39">
        <v>0</v>
      </c>
      <c r="AO115" s="39">
        <v>234.44</v>
      </c>
      <c r="AP115" s="39">
        <v>256.83999999999997</v>
      </c>
      <c r="AQ115" s="39">
        <v>224.73</v>
      </c>
      <c r="AR115" s="39">
        <v>256.83999999999997</v>
      </c>
    </row>
    <row r="116" spans="1:44" x14ac:dyDescent="0.35">
      <c r="A116" s="16" t="str">
        <f t="shared" ref="A116:A147" si="12">TEXT(15,"00")</f>
        <v>15</v>
      </c>
      <c r="B116" s="19">
        <v>10157</v>
      </c>
      <c r="C116" s="16" t="str">
        <f t="shared" ref="C116:C158" si="13">TEXT(,"0000000")</f>
        <v>0000000</v>
      </c>
      <c r="D116" s="17" t="s">
        <v>3663</v>
      </c>
      <c r="E116" s="16" t="s">
        <v>639</v>
      </c>
      <c r="F116" s="16" t="s">
        <v>640</v>
      </c>
      <c r="G116" s="35" t="s">
        <v>640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353.59</v>
      </c>
      <c r="U116" s="39">
        <v>624.92999999999995</v>
      </c>
      <c r="V116" s="39">
        <v>638.51</v>
      </c>
      <c r="W116" s="39">
        <v>1514.73</v>
      </c>
      <c r="X116" s="39">
        <v>1515.67</v>
      </c>
      <c r="Y116" s="39">
        <v>1549.7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0</v>
      </c>
      <c r="AG116" s="39">
        <v>0</v>
      </c>
      <c r="AH116" s="39">
        <v>0</v>
      </c>
      <c r="AI116" s="39">
        <v>1868.32</v>
      </c>
      <c r="AJ116" s="39">
        <v>2140.6</v>
      </c>
      <c r="AK116" s="39">
        <v>2188.21</v>
      </c>
      <c r="AL116" s="39">
        <v>0</v>
      </c>
      <c r="AM116" s="39">
        <v>0</v>
      </c>
      <c r="AN116" s="39">
        <v>0</v>
      </c>
      <c r="AO116" s="39">
        <v>1868.32</v>
      </c>
      <c r="AP116" s="39">
        <v>2140.6</v>
      </c>
      <c r="AQ116" s="39">
        <v>2188.21</v>
      </c>
      <c r="AR116" s="39">
        <v>2188.21</v>
      </c>
    </row>
    <row r="117" spans="1:44" x14ac:dyDescent="0.35">
      <c r="A117" s="16" t="str">
        <f t="shared" si="12"/>
        <v>15</v>
      </c>
      <c r="B117" s="19">
        <v>63313</v>
      </c>
      <c r="C117" s="16" t="str">
        <f t="shared" si="13"/>
        <v>0000000</v>
      </c>
      <c r="D117" s="17" t="s">
        <v>3663</v>
      </c>
      <c r="E117" s="16" t="s">
        <v>649</v>
      </c>
      <c r="F117" s="16" t="s">
        <v>640</v>
      </c>
      <c r="G117" s="35" t="s">
        <v>650</v>
      </c>
      <c r="H117" s="39">
        <v>2644.78</v>
      </c>
      <c r="I117" s="39">
        <v>2706.49</v>
      </c>
      <c r="J117" s="39">
        <v>2704.47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0</v>
      </c>
      <c r="AF117" s="39">
        <v>0</v>
      </c>
      <c r="AG117" s="39">
        <v>0</v>
      </c>
      <c r="AH117" s="39">
        <v>0</v>
      </c>
      <c r="AI117" s="39">
        <v>2644.78</v>
      </c>
      <c r="AJ117" s="39">
        <v>2706.49</v>
      </c>
      <c r="AK117" s="39">
        <v>2704.47</v>
      </c>
      <c r="AL117" s="39">
        <v>0</v>
      </c>
      <c r="AM117" s="39">
        <v>0</v>
      </c>
      <c r="AN117" s="39">
        <v>0</v>
      </c>
      <c r="AO117" s="39">
        <v>2644.78</v>
      </c>
      <c r="AP117" s="39">
        <v>2706.49</v>
      </c>
      <c r="AQ117" s="39">
        <v>2704.47</v>
      </c>
      <c r="AR117" s="39">
        <v>2706.49</v>
      </c>
    </row>
    <row r="118" spans="1:44" x14ac:dyDescent="0.35">
      <c r="A118" s="16" t="str">
        <f t="shared" si="12"/>
        <v>15</v>
      </c>
      <c r="B118" s="19">
        <v>63339</v>
      </c>
      <c r="C118" s="16" t="str">
        <f t="shared" si="13"/>
        <v>0000000</v>
      </c>
      <c r="D118" s="17" t="s">
        <v>3663</v>
      </c>
      <c r="E118" s="16" t="s">
        <v>653</v>
      </c>
      <c r="F118" s="16" t="s">
        <v>640</v>
      </c>
      <c r="G118" s="35" t="s">
        <v>654</v>
      </c>
      <c r="H118" s="39">
        <v>1807.08</v>
      </c>
      <c r="I118" s="39">
        <v>1776.63</v>
      </c>
      <c r="J118" s="39">
        <v>1749.32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0</v>
      </c>
      <c r="AF118" s="39">
        <v>0</v>
      </c>
      <c r="AG118" s="39">
        <v>0</v>
      </c>
      <c r="AH118" s="39">
        <v>0</v>
      </c>
      <c r="AI118" s="39">
        <v>1807.08</v>
      </c>
      <c r="AJ118" s="39">
        <v>1776.63</v>
      </c>
      <c r="AK118" s="39">
        <v>1749.32</v>
      </c>
      <c r="AL118" s="39">
        <v>0</v>
      </c>
      <c r="AM118" s="39">
        <v>0</v>
      </c>
      <c r="AN118" s="39">
        <v>0</v>
      </c>
      <c r="AO118" s="39">
        <v>1807.08</v>
      </c>
      <c r="AP118" s="39">
        <v>1776.63</v>
      </c>
      <c r="AQ118" s="39">
        <v>1749.32</v>
      </c>
      <c r="AR118" s="39">
        <v>1807.08</v>
      </c>
    </row>
    <row r="119" spans="1:44" x14ac:dyDescent="0.35">
      <c r="A119" s="16" t="str">
        <f t="shared" si="12"/>
        <v>15</v>
      </c>
      <c r="B119" s="19">
        <v>63461</v>
      </c>
      <c r="C119" s="16" t="str">
        <f t="shared" si="13"/>
        <v>0000000</v>
      </c>
      <c r="D119" s="17" t="s">
        <v>3663</v>
      </c>
      <c r="E119" s="16" t="s">
        <v>673</v>
      </c>
      <c r="F119" s="16" t="s">
        <v>640</v>
      </c>
      <c r="G119" s="35" t="s">
        <v>674</v>
      </c>
      <c r="H119" s="39">
        <v>2614.2399999999998</v>
      </c>
      <c r="I119" s="39">
        <v>2550.89</v>
      </c>
      <c r="J119" s="39">
        <v>2471.46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  <c r="AF119" s="39">
        <v>0</v>
      </c>
      <c r="AG119" s="39">
        <v>0</v>
      </c>
      <c r="AH119" s="39">
        <v>0</v>
      </c>
      <c r="AI119" s="39">
        <v>2614.2399999999998</v>
      </c>
      <c r="AJ119" s="39">
        <v>2550.89</v>
      </c>
      <c r="AK119" s="39">
        <v>2471.46</v>
      </c>
      <c r="AL119" s="39">
        <v>0</v>
      </c>
      <c r="AM119" s="39">
        <v>0</v>
      </c>
      <c r="AN119" s="39">
        <v>0</v>
      </c>
      <c r="AO119" s="39">
        <v>2614.2399999999998</v>
      </c>
      <c r="AP119" s="39">
        <v>2550.89</v>
      </c>
      <c r="AQ119" s="39">
        <v>2471.46</v>
      </c>
      <c r="AR119" s="39">
        <v>2614.2399999999998</v>
      </c>
    </row>
    <row r="120" spans="1:44" x14ac:dyDescent="0.35">
      <c r="A120" s="16" t="str">
        <f t="shared" si="12"/>
        <v>15</v>
      </c>
      <c r="B120" s="19">
        <v>63503</v>
      </c>
      <c r="C120" s="16" t="str">
        <f t="shared" si="13"/>
        <v>0000000</v>
      </c>
      <c r="D120" s="17" t="s">
        <v>3663</v>
      </c>
      <c r="E120" s="16" t="s">
        <v>679</v>
      </c>
      <c r="F120" s="16" t="s">
        <v>640</v>
      </c>
      <c r="G120" s="35" t="s">
        <v>680</v>
      </c>
      <c r="H120" s="39">
        <v>8287.86</v>
      </c>
      <c r="I120" s="39">
        <v>8445.8799999999992</v>
      </c>
      <c r="J120" s="39">
        <v>8442.16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0</v>
      </c>
      <c r="AF120" s="39">
        <v>0</v>
      </c>
      <c r="AG120" s="39">
        <v>0</v>
      </c>
      <c r="AH120" s="39">
        <v>0</v>
      </c>
      <c r="AI120" s="39">
        <v>8287.86</v>
      </c>
      <c r="AJ120" s="39">
        <v>8445.8799999999992</v>
      </c>
      <c r="AK120" s="39">
        <v>8442.16</v>
      </c>
      <c r="AL120" s="39">
        <v>0</v>
      </c>
      <c r="AM120" s="39">
        <v>0</v>
      </c>
      <c r="AN120" s="39">
        <v>0</v>
      </c>
      <c r="AO120" s="39">
        <v>8287.86</v>
      </c>
      <c r="AP120" s="39">
        <v>8445.8799999999992</v>
      </c>
      <c r="AQ120" s="39">
        <v>8442.16</v>
      </c>
      <c r="AR120" s="39">
        <v>8445.8799999999992</v>
      </c>
    </row>
    <row r="121" spans="1:44" x14ac:dyDescent="0.35">
      <c r="A121" s="16" t="str">
        <f t="shared" si="12"/>
        <v>15</v>
      </c>
      <c r="B121" s="19">
        <v>63594</v>
      </c>
      <c r="C121" s="16" t="str">
        <f t="shared" si="13"/>
        <v>0000000</v>
      </c>
      <c r="D121" s="17" t="s">
        <v>3663</v>
      </c>
      <c r="E121" s="16" t="s">
        <v>695</v>
      </c>
      <c r="F121" s="16" t="s">
        <v>640</v>
      </c>
      <c r="G121" s="35" t="s">
        <v>696</v>
      </c>
      <c r="H121" s="39">
        <v>273.18</v>
      </c>
      <c r="I121" s="39">
        <v>262.93</v>
      </c>
      <c r="J121" s="39">
        <v>250.94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0</v>
      </c>
      <c r="AF121" s="39">
        <v>0</v>
      </c>
      <c r="AG121" s="39">
        <v>0</v>
      </c>
      <c r="AH121" s="39">
        <v>0</v>
      </c>
      <c r="AI121" s="39">
        <v>273.18</v>
      </c>
      <c r="AJ121" s="39">
        <v>262.93</v>
      </c>
      <c r="AK121" s="39">
        <v>250.94</v>
      </c>
      <c r="AL121" s="39">
        <v>0</v>
      </c>
      <c r="AM121" s="39">
        <v>0</v>
      </c>
      <c r="AN121" s="39">
        <v>0</v>
      </c>
      <c r="AO121" s="39">
        <v>273.18</v>
      </c>
      <c r="AP121" s="39">
        <v>262.93</v>
      </c>
      <c r="AQ121" s="39">
        <v>250.94</v>
      </c>
      <c r="AR121" s="39">
        <v>273.18</v>
      </c>
    </row>
    <row r="122" spans="1:44" x14ac:dyDescent="0.35">
      <c r="A122" s="16" t="str">
        <f t="shared" si="12"/>
        <v>15</v>
      </c>
      <c r="B122" s="19">
        <v>63792</v>
      </c>
      <c r="C122" s="16" t="str">
        <f t="shared" si="13"/>
        <v>0000000</v>
      </c>
      <c r="D122" s="17" t="s">
        <v>3663</v>
      </c>
      <c r="E122" s="16" t="s">
        <v>731</v>
      </c>
      <c r="F122" s="16" t="s">
        <v>640</v>
      </c>
      <c r="G122" s="35" t="s">
        <v>732</v>
      </c>
      <c r="H122" s="39">
        <v>2898.57</v>
      </c>
      <c r="I122" s="39">
        <v>2736.91</v>
      </c>
      <c r="J122" s="39">
        <v>2667.72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  <c r="AF122" s="39">
        <v>0</v>
      </c>
      <c r="AG122" s="39">
        <v>0</v>
      </c>
      <c r="AH122" s="39">
        <v>0</v>
      </c>
      <c r="AI122" s="39">
        <v>2898.57</v>
      </c>
      <c r="AJ122" s="39">
        <v>2736.91</v>
      </c>
      <c r="AK122" s="39">
        <v>2667.72</v>
      </c>
      <c r="AL122" s="39">
        <v>0</v>
      </c>
      <c r="AM122" s="39">
        <v>0</v>
      </c>
      <c r="AN122" s="39">
        <v>0</v>
      </c>
      <c r="AO122" s="39">
        <v>2898.57</v>
      </c>
      <c r="AP122" s="39">
        <v>2736.91</v>
      </c>
      <c r="AQ122" s="39">
        <v>2667.72</v>
      </c>
      <c r="AR122" s="39">
        <v>2898.57</v>
      </c>
    </row>
    <row r="123" spans="1:44" x14ac:dyDescent="0.35">
      <c r="A123" s="16" t="str">
        <f t="shared" si="12"/>
        <v>15</v>
      </c>
      <c r="B123" s="19">
        <v>63800</v>
      </c>
      <c r="C123" s="16" t="str">
        <f t="shared" si="13"/>
        <v>0000000</v>
      </c>
      <c r="D123" s="17" t="s">
        <v>3663</v>
      </c>
      <c r="E123" s="16" t="s">
        <v>733</v>
      </c>
      <c r="F123" s="16" t="s">
        <v>640</v>
      </c>
      <c r="G123" s="35" t="s">
        <v>734</v>
      </c>
      <c r="H123" s="39">
        <v>2289.08</v>
      </c>
      <c r="I123" s="39">
        <v>2285.85</v>
      </c>
      <c r="J123" s="39">
        <v>2230.02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  <c r="AF123" s="39">
        <v>0</v>
      </c>
      <c r="AG123" s="39">
        <v>0</v>
      </c>
      <c r="AH123" s="39">
        <v>0</v>
      </c>
      <c r="AI123" s="39">
        <v>2289.08</v>
      </c>
      <c r="AJ123" s="39">
        <v>2285.85</v>
      </c>
      <c r="AK123" s="39">
        <v>2230.02</v>
      </c>
      <c r="AL123" s="39">
        <v>0</v>
      </c>
      <c r="AM123" s="39">
        <v>0</v>
      </c>
      <c r="AN123" s="39">
        <v>0</v>
      </c>
      <c r="AO123" s="39">
        <v>2289.08</v>
      </c>
      <c r="AP123" s="39">
        <v>2285.85</v>
      </c>
      <c r="AQ123" s="39">
        <v>2230.02</v>
      </c>
      <c r="AR123" s="39">
        <v>2289.08</v>
      </c>
    </row>
    <row r="124" spans="1:44" x14ac:dyDescent="0.35">
      <c r="A124" s="16" t="str">
        <f t="shared" si="12"/>
        <v>15</v>
      </c>
      <c r="B124" s="19">
        <v>63842</v>
      </c>
      <c r="C124" s="16" t="str">
        <f t="shared" si="13"/>
        <v>0000000</v>
      </c>
      <c r="D124" s="17" t="s">
        <v>3663</v>
      </c>
      <c r="E124" s="16" t="s">
        <v>741</v>
      </c>
      <c r="F124" s="16" t="s">
        <v>640</v>
      </c>
      <c r="G124" s="35" t="s">
        <v>742</v>
      </c>
      <c r="H124" s="39">
        <v>3323.85</v>
      </c>
      <c r="I124" s="39">
        <v>3295.97</v>
      </c>
      <c r="J124" s="39">
        <v>3205.56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  <c r="AF124" s="39">
        <v>0</v>
      </c>
      <c r="AG124" s="39">
        <v>0</v>
      </c>
      <c r="AH124" s="39">
        <v>0</v>
      </c>
      <c r="AI124" s="39">
        <v>3323.85</v>
      </c>
      <c r="AJ124" s="39">
        <v>3295.97</v>
      </c>
      <c r="AK124" s="39">
        <v>3205.56</v>
      </c>
      <c r="AL124" s="39">
        <v>0</v>
      </c>
      <c r="AM124" s="39">
        <v>0</v>
      </c>
      <c r="AN124" s="39">
        <v>0</v>
      </c>
      <c r="AO124" s="39">
        <v>3323.85</v>
      </c>
      <c r="AP124" s="39">
        <v>3295.97</v>
      </c>
      <c r="AQ124" s="39">
        <v>3205.56</v>
      </c>
      <c r="AR124" s="39">
        <v>3323.85</v>
      </c>
    </row>
    <row r="125" spans="1:44" x14ac:dyDescent="0.35">
      <c r="A125" s="16" t="str">
        <f t="shared" si="12"/>
        <v>15</v>
      </c>
      <c r="B125" s="19">
        <v>63412</v>
      </c>
      <c r="C125" s="16" t="str">
        <f t="shared" si="13"/>
        <v>0000000</v>
      </c>
      <c r="D125" s="17" t="s">
        <v>3663</v>
      </c>
      <c r="E125" s="16" t="s">
        <v>665</v>
      </c>
      <c r="F125" s="16" t="s">
        <v>640</v>
      </c>
      <c r="G125" s="35" t="s">
        <v>666</v>
      </c>
      <c r="H125" s="39">
        <v>3755.05</v>
      </c>
      <c r="I125" s="39">
        <v>3814.22</v>
      </c>
      <c r="J125" s="39">
        <v>3855.23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  <c r="AF125" s="39">
        <v>0</v>
      </c>
      <c r="AG125" s="39">
        <v>0</v>
      </c>
      <c r="AH125" s="39">
        <v>0</v>
      </c>
      <c r="AI125" s="39">
        <v>3755.05</v>
      </c>
      <c r="AJ125" s="39">
        <v>3814.22</v>
      </c>
      <c r="AK125" s="39">
        <v>3855.23</v>
      </c>
      <c r="AL125" s="39">
        <v>0</v>
      </c>
      <c r="AM125" s="39">
        <v>0</v>
      </c>
      <c r="AN125" s="39">
        <v>0</v>
      </c>
      <c r="AO125" s="39">
        <v>3755.05</v>
      </c>
      <c r="AP125" s="39">
        <v>3814.22</v>
      </c>
      <c r="AQ125" s="39">
        <v>3855.23</v>
      </c>
      <c r="AR125" s="39">
        <v>3855.23</v>
      </c>
    </row>
    <row r="126" spans="1:44" x14ac:dyDescent="0.35">
      <c r="A126" s="16" t="str">
        <f t="shared" si="12"/>
        <v>15</v>
      </c>
      <c r="B126" s="19">
        <v>63859</v>
      </c>
      <c r="C126" s="16" t="str">
        <f t="shared" si="13"/>
        <v>0000000</v>
      </c>
      <c r="D126" s="17" t="s">
        <v>3663</v>
      </c>
      <c r="E126" s="16" t="s">
        <v>743</v>
      </c>
      <c r="F126" s="16" t="s">
        <v>640</v>
      </c>
      <c r="G126" s="35" t="s">
        <v>744</v>
      </c>
      <c r="H126" s="39">
        <v>1683.14</v>
      </c>
      <c r="I126" s="39">
        <v>1715.13</v>
      </c>
      <c r="J126" s="39">
        <v>1706.58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  <c r="AF126" s="39">
        <v>0</v>
      </c>
      <c r="AG126" s="39">
        <v>0</v>
      </c>
      <c r="AH126" s="39">
        <v>0</v>
      </c>
      <c r="AI126" s="39">
        <v>1683.14</v>
      </c>
      <c r="AJ126" s="39">
        <v>1715.13</v>
      </c>
      <c r="AK126" s="39">
        <v>1706.58</v>
      </c>
      <c r="AL126" s="39">
        <v>0</v>
      </c>
      <c r="AM126" s="39">
        <v>0</v>
      </c>
      <c r="AN126" s="39">
        <v>0</v>
      </c>
      <c r="AO126" s="39">
        <v>1683.14</v>
      </c>
      <c r="AP126" s="39">
        <v>1715.13</v>
      </c>
      <c r="AQ126" s="39">
        <v>1706.58</v>
      </c>
      <c r="AR126" s="39">
        <v>1715.13</v>
      </c>
    </row>
    <row r="127" spans="1:44" x14ac:dyDescent="0.35">
      <c r="A127" s="16" t="str">
        <f t="shared" si="12"/>
        <v>15</v>
      </c>
      <c r="B127" s="19">
        <v>63404</v>
      </c>
      <c r="C127" s="16" t="str">
        <f t="shared" si="13"/>
        <v>0000000</v>
      </c>
      <c r="D127" s="17" t="s">
        <v>3663</v>
      </c>
      <c r="E127" s="16" t="s">
        <v>663</v>
      </c>
      <c r="F127" s="16" t="s">
        <v>640</v>
      </c>
      <c r="G127" s="35" t="s">
        <v>664</v>
      </c>
      <c r="H127" s="39">
        <v>4233.1099999999997</v>
      </c>
      <c r="I127" s="39">
        <v>4231.03</v>
      </c>
      <c r="J127" s="39">
        <v>4255.21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1745.55</v>
      </c>
      <c r="AD127" s="39">
        <v>1761.87</v>
      </c>
      <c r="AE127" s="39">
        <v>1650.13</v>
      </c>
      <c r="AF127" s="39">
        <v>0</v>
      </c>
      <c r="AG127" s="39">
        <v>0</v>
      </c>
      <c r="AH127" s="39">
        <v>0</v>
      </c>
      <c r="AI127" s="39">
        <v>5978.66</v>
      </c>
      <c r="AJ127" s="39">
        <v>5992.9</v>
      </c>
      <c r="AK127" s="39">
        <v>5905.34</v>
      </c>
      <c r="AL127" s="39">
        <v>0</v>
      </c>
      <c r="AM127" s="39">
        <v>0</v>
      </c>
      <c r="AN127" s="39">
        <v>0</v>
      </c>
      <c r="AO127" s="39">
        <v>5978.66</v>
      </c>
      <c r="AP127" s="39">
        <v>5992.9</v>
      </c>
      <c r="AQ127" s="39">
        <v>5905.34</v>
      </c>
      <c r="AR127" s="39">
        <v>5992.9</v>
      </c>
    </row>
    <row r="128" spans="1:44" x14ac:dyDescent="0.35">
      <c r="A128" s="16" t="str">
        <f t="shared" si="12"/>
        <v>15</v>
      </c>
      <c r="B128" s="19">
        <v>63560</v>
      </c>
      <c r="C128" s="16" t="str">
        <f t="shared" si="13"/>
        <v>0000000</v>
      </c>
      <c r="D128" s="17" t="s">
        <v>3663</v>
      </c>
      <c r="E128" s="16" t="s">
        <v>687</v>
      </c>
      <c r="F128" s="16" t="s">
        <v>640</v>
      </c>
      <c r="G128" s="35" t="s">
        <v>688</v>
      </c>
      <c r="H128" s="39">
        <v>2436.4</v>
      </c>
      <c r="I128" s="39">
        <v>2495.4</v>
      </c>
      <c r="J128" s="39">
        <v>2502.5300000000002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0</v>
      </c>
      <c r="AF128" s="39">
        <v>0</v>
      </c>
      <c r="AG128" s="39">
        <v>0</v>
      </c>
      <c r="AH128" s="39">
        <v>0</v>
      </c>
      <c r="AI128" s="39">
        <v>2436.4</v>
      </c>
      <c r="AJ128" s="39">
        <v>2495.4</v>
      </c>
      <c r="AK128" s="39">
        <v>2502.5300000000002</v>
      </c>
      <c r="AL128" s="39">
        <v>0</v>
      </c>
      <c r="AM128" s="39">
        <v>0</v>
      </c>
      <c r="AN128" s="39">
        <v>0</v>
      </c>
      <c r="AO128" s="39">
        <v>2436.4</v>
      </c>
      <c r="AP128" s="39">
        <v>2495.4</v>
      </c>
      <c r="AQ128" s="39">
        <v>2502.5300000000002</v>
      </c>
      <c r="AR128" s="39">
        <v>2502.5300000000002</v>
      </c>
    </row>
    <row r="129" spans="1:44" x14ac:dyDescent="0.35">
      <c r="A129" s="16" t="str">
        <f t="shared" si="12"/>
        <v>15</v>
      </c>
      <c r="B129" s="19">
        <v>63750</v>
      </c>
      <c r="C129" s="16" t="str">
        <f t="shared" si="13"/>
        <v>0000000</v>
      </c>
      <c r="D129" s="17" t="s">
        <v>3663</v>
      </c>
      <c r="E129" s="16" t="s">
        <v>723</v>
      </c>
      <c r="F129" s="16" t="s">
        <v>640</v>
      </c>
      <c r="G129" s="35" t="s">
        <v>724</v>
      </c>
      <c r="H129" s="39">
        <v>5931.29</v>
      </c>
      <c r="I129" s="39">
        <v>5909.8</v>
      </c>
      <c r="J129" s="39">
        <v>5605.36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  <c r="AF129" s="39">
        <v>0</v>
      </c>
      <c r="AG129" s="39">
        <v>0</v>
      </c>
      <c r="AH129" s="39">
        <v>0</v>
      </c>
      <c r="AI129" s="39">
        <v>5931.29</v>
      </c>
      <c r="AJ129" s="39">
        <v>5909.8</v>
      </c>
      <c r="AK129" s="39">
        <v>5605.36</v>
      </c>
      <c r="AL129" s="39">
        <v>0</v>
      </c>
      <c r="AM129" s="39">
        <v>0</v>
      </c>
      <c r="AN129" s="39">
        <v>0</v>
      </c>
      <c r="AO129" s="39">
        <v>5931.29</v>
      </c>
      <c r="AP129" s="39">
        <v>5909.8</v>
      </c>
      <c r="AQ129" s="39">
        <v>5605.36</v>
      </c>
      <c r="AR129" s="39">
        <v>5931.29</v>
      </c>
    </row>
    <row r="130" spans="1:44" x14ac:dyDescent="0.35">
      <c r="A130" s="16" t="str">
        <f t="shared" si="12"/>
        <v>15</v>
      </c>
      <c r="B130" s="19">
        <v>63818</v>
      </c>
      <c r="C130" s="16" t="str">
        <f t="shared" si="13"/>
        <v>0000000</v>
      </c>
      <c r="D130" s="17" t="s">
        <v>3663</v>
      </c>
      <c r="E130" s="16" t="s">
        <v>735</v>
      </c>
      <c r="F130" s="16" t="s">
        <v>640</v>
      </c>
      <c r="G130" s="35" t="s">
        <v>736</v>
      </c>
      <c r="H130" s="39">
        <v>1071.53</v>
      </c>
      <c r="I130" s="39">
        <v>1079.77</v>
      </c>
      <c r="J130" s="39">
        <v>1033.6400000000001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0</v>
      </c>
      <c r="AF130" s="39">
        <v>0</v>
      </c>
      <c r="AG130" s="39">
        <v>0</v>
      </c>
      <c r="AH130" s="39">
        <v>0</v>
      </c>
      <c r="AI130" s="39">
        <v>1071.53</v>
      </c>
      <c r="AJ130" s="39">
        <v>1079.77</v>
      </c>
      <c r="AK130" s="39">
        <v>1033.6400000000001</v>
      </c>
      <c r="AL130" s="39">
        <v>0</v>
      </c>
      <c r="AM130" s="39">
        <v>0</v>
      </c>
      <c r="AN130" s="39">
        <v>0</v>
      </c>
      <c r="AO130" s="39">
        <v>1071.53</v>
      </c>
      <c r="AP130" s="39">
        <v>1079.77</v>
      </c>
      <c r="AQ130" s="39">
        <v>1033.6400000000001</v>
      </c>
      <c r="AR130" s="39">
        <v>1079.77</v>
      </c>
    </row>
    <row r="131" spans="1:44" x14ac:dyDescent="0.35">
      <c r="A131" s="16" t="str">
        <f t="shared" si="12"/>
        <v>15</v>
      </c>
      <c r="B131" s="19">
        <v>73908</v>
      </c>
      <c r="C131" s="16" t="str">
        <f t="shared" si="13"/>
        <v>0000000</v>
      </c>
      <c r="D131" s="17" t="s">
        <v>3663</v>
      </c>
      <c r="E131" s="16" t="s">
        <v>749</v>
      </c>
      <c r="F131" s="16" t="s">
        <v>640</v>
      </c>
      <c r="G131" s="35" t="s">
        <v>750</v>
      </c>
      <c r="H131" s="39">
        <v>3124.35</v>
      </c>
      <c r="I131" s="39">
        <v>3126.59</v>
      </c>
      <c r="J131" s="39">
        <v>3181.82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  <c r="AF131" s="39">
        <v>0</v>
      </c>
      <c r="AG131" s="39">
        <v>0</v>
      </c>
      <c r="AH131" s="39">
        <v>0</v>
      </c>
      <c r="AI131" s="39">
        <v>3124.35</v>
      </c>
      <c r="AJ131" s="39">
        <v>3126.59</v>
      </c>
      <c r="AK131" s="39">
        <v>3181.82</v>
      </c>
      <c r="AL131" s="39">
        <v>0</v>
      </c>
      <c r="AM131" s="39">
        <v>0</v>
      </c>
      <c r="AN131" s="39">
        <v>0</v>
      </c>
      <c r="AO131" s="39">
        <v>3124.35</v>
      </c>
      <c r="AP131" s="39">
        <v>3126.59</v>
      </c>
      <c r="AQ131" s="39">
        <v>3181.82</v>
      </c>
      <c r="AR131" s="39">
        <v>3181.82</v>
      </c>
    </row>
    <row r="132" spans="1:44" x14ac:dyDescent="0.35">
      <c r="A132" s="16" t="str">
        <f t="shared" si="12"/>
        <v>15</v>
      </c>
      <c r="B132" s="19">
        <v>63677</v>
      </c>
      <c r="C132" s="16" t="str">
        <f t="shared" si="13"/>
        <v>0000000</v>
      </c>
      <c r="D132" s="17" t="s">
        <v>3663</v>
      </c>
      <c r="E132" s="16" t="s">
        <v>715</v>
      </c>
      <c r="F132" s="16" t="s">
        <v>640</v>
      </c>
      <c r="G132" s="35" t="s">
        <v>716</v>
      </c>
      <c r="H132" s="39">
        <v>2522.6799999999998</v>
      </c>
      <c r="I132" s="39">
        <v>2478.63</v>
      </c>
      <c r="J132" s="39">
        <v>2489.87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0</v>
      </c>
      <c r="AF132" s="39">
        <v>0</v>
      </c>
      <c r="AG132" s="39">
        <v>0</v>
      </c>
      <c r="AH132" s="39">
        <v>0</v>
      </c>
      <c r="AI132" s="39">
        <v>2522.6799999999998</v>
      </c>
      <c r="AJ132" s="39">
        <v>2478.63</v>
      </c>
      <c r="AK132" s="39">
        <v>2489.87</v>
      </c>
      <c r="AL132" s="39">
        <v>0</v>
      </c>
      <c r="AM132" s="39">
        <v>0</v>
      </c>
      <c r="AN132" s="39">
        <v>0</v>
      </c>
      <c r="AO132" s="39">
        <v>2522.6799999999998</v>
      </c>
      <c r="AP132" s="39">
        <v>2478.63</v>
      </c>
      <c r="AQ132" s="39">
        <v>2489.87</v>
      </c>
      <c r="AR132" s="39">
        <v>2522.6799999999998</v>
      </c>
    </row>
    <row r="133" spans="1:44" x14ac:dyDescent="0.35">
      <c r="A133" s="16" t="str">
        <f t="shared" si="12"/>
        <v>15</v>
      </c>
      <c r="B133" s="19">
        <v>63685</v>
      </c>
      <c r="C133" s="16" t="str">
        <f t="shared" si="13"/>
        <v>0000000</v>
      </c>
      <c r="D133" s="17" t="s">
        <v>3663</v>
      </c>
      <c r="E133" s="16" t="s">
        <v>717</v>
      </c>
      <c r="F133" s="16" t="s">
        <v>640</v>
      </c>
      <c r="G133" s="35" t="s">
        <v>718</v>
      </c>
      <c r="H133" s="39">
        <v>1619.29</v>
      </c>
      <c r="I133" s="39">
        <v>1637.3</v>
      </c>
      <c r="J133" s="39">
        <v>1568.14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0</v>
      </c>
      <c r="AF133" s="39">
        <v>0</v>
      </c>
      <c r="AG133" s="39">
        <v>0</v>
      </c>
      <c r="AH133" s="39">
        <v>0</v>
      </c>
      <c r="AI133" s="39">
        <v>1619.29</v>
      </c>
      <c r="AJ133" s="39">
        <v>1637.3</v>
      </c>
      <c r="AK133" s="39">
        <v>1568.14</v>
      </c>
      <c r="AL133" s="39">
        <v>0</v>
      </c>
      <c r="AM133" s="39">
        <v>0</v>
      </c>
      <c r="AN133" s="39">
        <v>0</v>
      </c>
      <c r="AO133" s="39">
        <v>1619.29</v>
      </c>
      <c r="AP133" s="39">
        <v>1637.3</v>
      </c>
      <c r="AQ133" s="39">
        <v>1568.14</v>
      </c>
      <c r="AR133" s="39">
        <v>1637.3</v>
      </c>
    </row>
    <row r="134" spans="1:44" x14ac:dyDescent="0.35">
      <c r="A134" s="16" t="str">
        <f t="shared" si="12"/>
        <v>15</v>
      </c>
      <c r="B134" s="19">
        <v>63776</v>
      </c>
      <c r="C134" s="16" t="str">
        <f t="shared" si="13"/>
        <v>0000000</v>
      </c>
      <c r="D134" s="17" t="s">
        <v>3663</v>
      </c>
      <c r="E134" s="16" t="s">
        <v>727</v>
      </c>
      <c r="F134" s="16" t="s">
        <v>640</v>
      </c>
      <c r="G134" s="35" t="s">
        <v>728</v>
      </c>
      <c r="H134" s="39">
        <v>3344.8</v>
      </c>
      <c r="I134" s="39">
        <v>3356.78</v>
      </c>
      <c r="J134" s="39">
        <v>3280.78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0</v>
      </c>
      <c r="AF134" s="39">
        <v>0</v>
      </c>
      <c r="AG134" s="39">
        <v>0</v>
      </c>
      <c r="AH134" s="39">
        <v>0</v>
      </c>
      <c r="AI134" s="39">
        <v>3344.8</v>
      </c>
      <c r="AJ134" s="39">
        <v>3356.78</v>
      </c>
      <c r="AK134" s="39">
        <v>3280.78</v>
      </c>
      <c r="AL134" s="39">
        <v>0</v>
      </c>
      <c r="AM134" s="39">
        <v>0</v>
      </c>
      <c r="AN134" s="39">
        <v>0</v>
      </c>
      <c r="AO134" s="39">
        <v>3344.8</v>
      </c>
      <c r="AP134" s="39">
        <v>3356.78</v>
      </c>
      <c r="AQ134" s="39">
        <v>3280.78</v>
      </c>
      <c r="AR134" s="39">
        <v>3356.78</v>
      </c>
    </row>
    <row r="135" spans="1:44" x14ac:dyDescent="0.35">
      <c r="A135" s="16" t="str">
        <f t="shared" si="12"/>
        <v>15</v>
      </c>
      <c r="B135" s="19">
        <v>63826</v>
      </c>
      <c r="C135" s="16" t="str">
        <f t="shared" si="13"/>
        <v>0000000</v>
      </c>
      <c r="D135" s="17" t="s">
        <v>3663</v>
      </c>
      <c r="E135" s="16" t="s">
        <v>737</v>
      </c>
      <c r="F135" s="16" t="s">
        <v>640</v>
      </c>
      <c r="G135" s="35" t="s">
        <v>738</v>
      </c>
      <c r="H135" s="39">
        <v>3785.94</v>
      </c>
      <c r="I135" s="39">
        <v>3827.79</v>
      </c>
      <c r="J135" s="39">
        <v>3779.37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0</v>
      </c>
      <c r="AF135" s="39">
        <v>0</v>
      </c>
      <c r="AG135" s="39">
        <v>0</v>
      </c>
      <c r="AH135" s="39">
        <v>0</v>
      </c>
      <c r="AI135" s="39">
        <v>3785.94</v>
      </c>
      <c r="AJ135" s="39">
        <v>3827.79</v>
      </c>
      <c r="AK135" s="39">
        <v>3779.37</v>
      </c>
      <c r="AL135" s="39">
        <v>0</v>
      </c>
      <c r="AM135" s="39">
        <v>0</v>
      </c>
      <c r="AN135" s="39">
        <v>0</v>
      </c>
      <c r="AO135" s="39">
        <v>3785.94</v>
      </c>
      <c r="AP135" s="39">
        <v>3827.79</v>
      </c>
      <c r="AQ135" s="39">
        <v>3779.37</v>
      </c>
      <c r="AR135" s="39">
        <v>3827.79</v>
      </c>
    </row>
    <row r="136" spans="1:44" x14ac:dyDescent="0.35">
      <c r="A136" s="16" t="str">
        <f t="shared" si="12"/>
        <v>15</v>
      </c>
      <c r="B136" s="19">
        <v>63628</v>
      </c>
      <c r="C136" s="16" t="str">
        <f t="shared" si="13"/>
        <v>0000000</v>
      </c>
      <c r="D136" s="17" t="s">
        <v>3663</v>
      </c>
      <c r="E136" s="16" t="s">
        <v>699</v>
      </c>
      <c r="F136" s="16" t="s">
        <v>640</v>
      </c>
      <c r="G136" s="35" t="s">
        <v>700</v>
      </c>
      <c r="H136" s="39">
        <v>264.70999999999998</v>
      </c>
      <c r="I136" s="39">
        <v>283.95</v>
      </c>
      <c r="J136" s="39">
        <v>293.48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0</v>
      </c>
      <c r="AI136" s="39">
        <v>264.70999999999998</v>
      </c>
      <c r="AJ136" s="39">
        <v>283.95</v>
      </c>
      <c r="AK136" s="39">
        <v>293.48</v>
      </c>
      <c r="AL136" s="39">
        <v>0</v>
      </c>
      <c r="AM136" s="39">
        <v>0</v>
      </c>
      <c r="AN136" s="39">
        <v>0</v>
      </c>
      <c r="AO136" s="39">
        <v>264.70999999999998</v>
      </c>
      <c r="AP136" s="39">
        <v>283.95</v>
      </c>
      <c r="AQ136" s="39">
        <v>293.48</v>
      </c>
      <c r="AR136" s="39">
        <v>293.48</v>
      </c>
    </row>
    <row r="137" spans="1:44" x14ac:dyDescent="0.35">
      <c r="A137" s="16" t="str">
        <f t="shared" si="12"/>
        <v>15</v>
      </c>
      <c r="B137" s="19">
        <v>63545</v>
      </c>
      <c r="C137" s="16" t="str">
        <f t="shared" si="13"/>
        <v>0000000</v>
      </c>
      <c r="D137" s="17" t="s">
        <v>3663</v>
      </c>
      <c r="E137" s="16" t="s">
        <v>683</v>
      </c>
      <c r="F137" s="16" t="s">
        <v>640</v>
      </c>
      <c r="G137" s="35" t="s">
        <v>684</v>
      </c>
      <c r="H137" s="39">
        <v>688.67</v>
      </c>
      <c r="I137" s="39">
        <v>698.93</v>
      </c>
      <c r="J137" s="39">
        <v>712.83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0</v>
      </c>
      <c r="AI137" s="39">
        <v>688.67</v>
      </c>
      <c r="AJ137" s="39">
        <v>698.93</v>
      </c>
      <c r="AK137" s="39">
        <v>712.83</v>
      </c>
      <c r="AL137" s="39">
        <v>0</v>
      </c>
      <c r="AM137" s="39">
        <v>0</v>
      </c>
      <c r="AN137" s="39">
        <v>0</v>
      </c>
      <c r="AO137" s="39">
        <v>688.67</v>
      </c>
      <c r="AP137" s="39">
        <v>698.93</v>
      </c>
      <c r="AQ137" s="39">
        <v>712.83</v>
      </c>
      <c r="AR137" s="39">
        <v>712.83</v>
      </c>
    </row>
    <row r="138" spans="1:44" x14ac:dyDescent="0.35">
      <c r="A138" s="16" t="str">
        <f t="shared" si="12"/>
        <v>15</v>
      </c>
      <c r="B138" s="19">
        <v>63479</v>
      </c>
      <c r="C138" s="16" t="str">
        <f t="shared" si="13"/>
        <v>0000000</v>
      </c>
      <c r="D138" s="17" t="s">
        <v>3663</v>
      </c>
      <c r="E138" s="16" t="s">
        <v>675</v>
      </c>
      <c r="F138" s="16" t="s">
        <v>640</v>
      </c>
      <c r="G138" s="35" t="s">
        <v>676</v>
      </c>
      <c r="H138" s="39">
        <v>2924.8</v>
      </c>
      <c r="I138" s="39">
        <v>2943.36</v>
      </c>
      <c r="J138" s="39">
        <v>2858.24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0</v>
      </c>
      <c r="AI138" s="39">
        <v>2924.8</v>
      </c>
      <c r="AJ138" s="39">
        <v>2943.36</v>
      </c>
      <c r="AK138" s="39">
        <v>2858.24</v>
      </c>
      <c r="AL138" s="39">
        <v>0</v>
      </c>
      <c r="AM138" s="39">
        <v>0</v>
      </c>
      <c r="AN138" s="39">
        <v>0</v>
      </c>
      <c r="AO138" s="39">
        <v>2924.8</v>
      </c>
      <c r="AP138" s="39">
        <v>2943.36</v>
      </c>
      <c r="AQ138" s="39">
        <v>2858.24</v>
      </c>
      <c r="AR138" s="39">
        <v>2943.36</v>
      </c>
    </row>
    <row r="139" spans="1:44" x14ac:dyDescent="0.35">
      <c r="A139" s="16" t="str">
        <f t="shared" si="12"/>
        <v>15</v>
      </c>
      <c r="B139" s="19">
        <v>63784</v>
      </c>
      <c r="C139" s="16" t="str">
        <f t="shared" si="13"/>
        <v>0000000</v>
      </c>
      <c r="D139" s="17" t="s">
        <v>3663</v>
      </c>
      <c r="E139" s="16" t="s">
        <v>729</v>
      </c>
      <c r="F139" s="16" t="s">
        <v>640</v>
      </c>
      <c r="G139" s="35" t="s">
        <v>730</v>
      </c>
      <c r="H139" s="39">
        <v>331.93</v>
      </c>
      <c r="I139" s="39">
        <v>323.29000000000002</v>
      </c>
      <c r="J139" s="39">
        <v>308.70999999999998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0</v>
      </c>
      <c r="AI139" s="39">
        <v>331.93</v>
      </c>
      <c r="AJ139" s="39">
        <v>323.29000000000002</v>
      </c>
      <c r="AK139" s="39">
        <v>308.70999999999998</v>
      </c>
      <c r="AL139" s="39">
        <v>0</v>
      </c>
      <c r="AM139" s="39">
        <v>0</v>
      </c>
      <c r="AN139" s="39">
        <v>0</v>
      </c>
      <c r="AO139" s="39">
        <v>331.93</v>
      </c>
      <c r="AP139" s="39">
        <v>323.29000000000002</v>
      </c>
      <c r="AQ139" s="39">
        <v>308.70999999999998</v>
      </c>
      <c r="AR139" s="39">
        <v>331.93</v>
      </c>
    </row>
    <row r="140" spans="1:44" x14ac:dyDescent="0.35">
      <c r="A140" s="16" t="str">
        <f t="shared" si="12"/>
        <v>15</v>
      </c>
      <c r="B140" s="19">
        <v>75168</v>
      </c>
      <c r="C140" s="16" t="str">
        <f t="shared" si="13"/>
        <v>0000000</v>
      </c>
      <c r="D140" s="17" t="s">
        <v>3663</v>
      </c>
      <c r="E140" s="16" t="s">
        <v>751</v>
      </c>
      <c r="F140" s="16" t="s">
        <v>640</v>
      </c>
      <c r="G140" s="35" t="s">
        <v>752</v>
      </c>
      <c r="H140" s="39">
        <v>667.29</v>
      </c>
      <c r="I140" s="39">
        <v>664.27</v>
      </c>
      <c r="J140" s="39">
        <v>634.97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0</v>
      </c>
      <c r="AI140" s="39">
        <v>667.29</v>
      </c>
      <c r="AJ140" s="39">
        <v>664.27</v>
      </c>
      <c r="AK140" s="39">
        <v>634.97</v>
      </c>
      <c r="AL140" s="39">
        <v>0</v>
      </c>
      <c r="AM140" s="39">
        <v>0</v>
      </c>
      <c r="AN140" s="39">
        <v>0</v>
      </c>
      <c r="AO140" s="39">
        <v>667.29</v>
      </c>
      <c r="AP140" s="39">
        <v>664.27</v>
      </c>
      <c r="AQ140" s="39">
        <v>634.97</v>
      </c>
      <c r="AR140" s="39">
        <v>667.29</v>
      </c>
    </row>
    <row r="141" spans="1:44" x14ac:dyDescent="0.35">
      <c r="A141" s="16" t="str">
        <f t="shared" si="12"/>
        <v>15</v>
      </c>
      <c r="B141" s="19">
        <v>63578</v>
      </c>
      <c r="C141" s="16" t="str">
        <f t="shared" si="13"/>
        <v>0000000</v>
      </c>
      <c r="D141" s="17" t="s">
        <v>3663</v>
      </c>
      <c r="E141" s="16" t="s">
        <v>689</v>
      </c>
      <c r="F141" s="16" t="s">
        <v>640</v>
      </c>
      <c r="G141" s="35" t="s">
        <v>690</v>
      </c>
      <c r="H141" s="39">
        <v>2260.77</v>
      </c>
      <c r="I141" s="39">
        <v>2347.23</v>
      </c>
      <c r="J141" s="39">
        <v>2365.96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0</v>
      </c>
      <c r="AI141" s="39">
        <v>2260.77</v>
      </c>
      <c r="AJ141" s="39">
        <v>2347.23</v>
      </c>
      <c r="AK141" s="39">
        <v>2365.96</v>
      </c>
      <c r="AL141" s="39">
        <v>0</v>
      </c>
      <c r="AM141" s="39">
        <v>0</v>
      </c>
      <c r="AN141" s="39">
        <v>0</v>
      </c>
      <c r="AO141" s="39">
        <v>2260.77</v>
      </c>
      <c r="AP141" s="39">
        <v>2347.23</v>
      </c>
      <c r="AQ141" s="39">
        <v>2365.96</v>
      </c>
      <c r="AR141" s="39">
        <v>2365.96</v>
      </c>
    </row>
    <row r="142" spans="1:44" x14ac:dyDescent="0.35">
      <c r="A142" s="16" t="str">
        <f t="shared" si="12"/>
        <v>15</v>
      </c>
      <c r="B142" s="19">
        <v>63693</v>
      </c>
      <c r="C142" s="16" t="str">
        <f t="shared" si="13"/>
        <v>0000000</v>
      </c>
      <c r="D142" s="17" t="s">
        <v>3663</v>
      </c>
      <c r="E142" s="16" t="s">
        <v>719</v>
      </c>
      <c r="F142" s="16" t="s">
        <v>640</v>
      </c>
      <c r="G142" s="35" t="s">
        <v>720</v>
      </c>
      <c r="H142" s="39">
        <v>4010.95</v>
      </c>
      <c r="I142" s="39">
        <v>3855.79</v>
      </c>
      <c r="J142" s="39">
        <v>3715.37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0</v>
      </c>
      <c r="AI142" s="39">
        <v>4010.95</v>
      </c>
      <c r="AJ142" s="39">
        <v>3855.79</v>
      </c>
      <c r="AK142" s="39">
        <v>3715.37</v>
      </c>
      <c r="AL142" s="39">
        <v>0</v>
      </c>
      <c r="AM142" s="39">
        <v>0</v>
      </c>
      <c r="AN142" s="39">
        <v>0</v>
      </c>
      <c r="AO142" s="39">
        <v>4010.95</v>
      </c>
      <c r="AP142" s="39">
        <v>3855.79</v>
      </c>
      <c r="AQ142" s="39">
        <v>3715.37</v>
      </c>
      <c r="AR142" s="39">
        <v>4010.95</v>
      </c>
    </row>
    <row r="143" spans="1:44" x14ac:dyDescent="0.35">
      <c r="A143" s="16" t="str">
        <f t="shared" si="12"/>
        <v>15</v>
      </c>
      <c r="B143" s="19">
        <v>63370</v>
      </c>
      <c r="C143" s="16" t="str">
        <f t="shared" si="13"/>
        <v>0000000</v>
      </c>
      <c r="D143" s="17" t="s">
        <v>3663</v>
      </c>
      <c r="E143" s="16" t="s">
        <v>659</v>
      </c>
      <c r="F143" s="16" t="s">
        <v>640</v>
      </c>
      <c r="G143" s="35" t="s">
        <v>660</v>
      </c>
      <c r="H143" s="39">
        <v>266.02</v>
      </c>
      <c r="I143" s="39">
        <v>262.83999999999997</v>
      </c>
      <c r="J143" s="39">
        <v>268.45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266.02</v>
      </c>
      <c r="AJ143" s="39">
        <v>262.83999999999997</v>
      </c>
      <c r="AK143" s="39">
        <v>268.45</v>
      </c>
      <c r="AL143" s="39">
        <v>0</v>
      </c>
      <c r="AM143" s="39">
        <v>0</v>
      </c>
      <c r="AN143" s="39">
        <v>0</v>
      </c>
      <c r="AO143" s="39">
        <v>266.02</v>
      </c>
      <c r="AP143" s="39">
        <v>262.83999999999997</v>
      </c>
      <c r="AQ143" s="39">
        <v>268.45</v>
      </c>
      <c r="AR143" s="39">
        <v>268.45</v>
      </c>
    </row>
    <row r="144" spans="1:44" x14ac:dyDescent="0.35">
      <c r="A144" s="16" t="str">
        <f t="shared" si="12"/>
        <v>15</v>
      </c>
      <c r="B144" s="19">
        <v>63354</v>
      </c>
      <c r="C144" s="16" t="str">
        <f t="shared" si="13"/>
        <v>0000000</v>
      </c>
      <c r="D144" s="17" t="s">
        <v>3663</v>
      </c>
      <c r="E144" s="16" t="s">
        <v>655</v>
      </c>
      <c r="F144" s="16" t="s">
        <v>640</v>
      </c>
      <c r="G144" s="35" t="s">
        <v>656</v>
      </c>
      <c r="H144" s="39">
        <v>22.21</v>
      </c>
      <c r="I144" s="39">
        <v>17.27</v>
      </c>
      <c r="J144" s="39">
        <v>14.88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0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0</v>
      </c>
      <c r="AI144" s="39">
        <v>22.21</v>
      </c>
      <c r="AJ144" s="39">
        <v>17.27</v>
      </c>
      <c r="AK144" s="39">
        <v>14.88</v>
      </c>
      <c r="AL144" s="39">
        <v>0</v>
      </c>
      <c r="AM144" s="39">
        <v>0</v>
      </c>
      <c r="AN144" s="39">
        <v>0</v>
      </c>
      <c r="AO144" s="39">
        <v>22.21</v>
      </c>
      <c r="AP144" s="39">
        <v>17.27</v>
      </c>
      <c r="AQ144" s="39">
        <v>14.88</v>
      </c>
      <c r="AR144" s="39">
        <v>22.21</v>
      </c>
    </row>
    <row r="145" spans="1:44" x14ac:dyDescent="0.35">
      <c r="A145" s="16" t="str">
        <f t="shared" si="12"/>
        <v>15</v>
      </c>
      <c r="B145" s="19">
        <v>63388</v>
      </c>
      <c r="C145" s="16" t="str">
        <f t="shared" si="13"/>
        <v>0000000</v>
      </c>
      <c r="D145" s="17" t="s">
        <v>3663</v>
      </c>
      <c r="E145" s="16" t="s">
        <v>661</v>
      </c>
      <c r="F145" s="16" t="s">
        <v>640</v>
      </c>
      <c r="G145" s="35" t="s">
        <v>662</v>
      </c>
      <c r="H145" s="39">
        <v>41.52</v>
      </c>
      <c r="I145" s="39">
        <v>49.34</v>
      </c>
      <c r="J145" s="39">
        <v>60.5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0</v>
      </c>
      <c r="AI145" s="39">
        <v>41.52</v>
      </c>
      <c r="AJ145" s="39">
        <v>49.34</v>
      </c>
      <c r="AK145" s="39">
        <v>60.5</v>
      </c>
      <c r="AL145" s="39">
        <v>0</v>
      </c>
      <c r="AM145" s="39">
        <v>0</v>
      </c>
      <c r="AN145" s="39">
        <v>0</v>
      </c>
      <c r="AO145" s="39">
        <v>41.52</v>
      </c>
      <c r="AP145" s="39">
        <v>49.34</v>
      </c>
      <c r="AQ145" s="39">
        <v>60.5</v>
      </c>
      <c r="AR145" s="39">
        <v>60.5</v>
      </c>
    </row>
    <row r="146" spans="1:44" x14ac:dyDescent="0.35">
      <c r="A146" s="16" t="str">
        <f t="shared" si="12"/>
        <v>15</v>
      </c>
      <c r="B146" s="19">
        <v>63420</v>
      </c>
      <c r="C146" s="16" t="str">
        <f t="shared" si="13"/>
        <v>0000000</v>
      </c>
      <c r="D146" s="17" t="s">
        <v>3663</v>
      </c>
      <c r="E146" s="16" t="s">
        <v>667</v>
      </c>
      <c r="F146" s="16" t="s">
        <v>640</v>
      </c>
      <c r="G146" s="35" t="s">
        <v>668</v>
      </c>
      <c r="H146" s="39">
        <v>232.53</v>
      </c>
      <c r="I146" s="39">
        <v>219.03</v>
      </c>
      <c r="J146" s="39">
        <v>218.54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0</v>
      </c>
      <c r="AI146" s="39">
        <v>232.53</v>
      </c>
      <c r="AJ146" s="39">
        <v>219.03</v>
      </c>
      <c r="AK146" s="39">
        <v>218.54</v>
      </c>
      <c r="AL146" s="39">
        <v>0</v>
      </c>
      <c r="AM146" s="39">
        <v>0</v>
      </c>
      <c r="AN146" s="39">
        <v>0</v>
      </c>
      <c r="AO146" s="39">
        <v>232.53</v>
      </c>
      <c r="AP146" s="39">
        <v>219.03</v>
      </c>
      <c r="AQ146" s="39">
        <v>218.54</v>
      </c>
      <c r="AR146" s="39">
        <v>232.53</v>
      </c>
    </row>
    <row r="147" spans="1:44" x14ac:dyDescent="0.35">
      <c r="A147" s="16" t="str">
        <f t="shared" si="12"/>
        <v>15</v>
      </c>
      <c r="B147" s="19">
        <v>63438</v>
      </c>
      <c r="C147" s="16" t="str">
        <f t="shared" si="13"/>
        <v>0000000</v>
      </c>
      <c r="D147" s="17" t="s">
        <v>3663</v>
      </c>
      <c r="E147" s="16" t="s">
        <v>669</v>
      </c>
      <c r="F147" s="16" t="s">
        <v>640</v>
      </c>
      <c r="G147" s="35" t="s">
        <v>670</v>
      </c>
      <c r="H147" s="39">
        <v>1063.28</v>
      </c>
      <c r="I147" s="39">
        <v>1032.22</v>
      </c>
      <c r="J147" s="39">
        <v>1006.09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39">
        <v>0</v>
      </c>
      <c r="Y147" s="39">
        <v>0</v>
      </c>
      <c r="Z147" s="39">
        <v>0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0</v>
      </c>
      <c r="AI147" s="39">
        <v>1063.28</v>
      </c>
      <c r="AJ147" s="39">
        <v>1032.22</v>
      </c>
      <c r="AK147" s="39">
        <v>1006.09</v>
      </c>
      <c r="AL147" s="39">
        <v>0</v>
      </c>
      <c r="AM147" s="39">
        <v>0</v>
      </c>
      <c r="AN147" s="39">
        <v>0</v>
      </c>
      <c r="AO147" s="39">
        <v>1063.28</v>
      </c>
      <c r="AP147" s="39">
        <v>1032.22</v>
      </c>
      <c r="AQ147" s="39">
        <v>1006.09</v>
      </c>
      <c r="AR147" s="39">
        <v>1063.28</v>
      </c>
    </row>
    <row r="148" spans="1:44" x14ac:dyDescent="0.35">
      <c r="A148" s="16" t="str">
        <f t="shared" ref="A148:A164" si="14">TEXT(15,"00")</f>
        <v>15</v>
      </c>
      <c r="B148" s="19">
        <v>63446</v>
      </c>
      <c r="C148" s="16" t="str">
        <f t="shared" si="13"/>
        <v>0000000</v>
      </c>
      <c r="D148" s="17" t="s">
        <v>3663</v>
      </c>
      <c r="E148" s="16" t="s">
        <v>671</v>
      </c>
      <c r="F148" s="16" t="s">
        <v>640</v>
      </c>
      <c r="G148" s="35" t="s">
        <v>672</v>
      </c>
      <c r="H148" s="39">
        <v>145.63999999999999</v>
      </c>
      <c r="I148" s="39">
        <v>156.22</v>
      </c>
      <c r="J148" s="39">
        <v>152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0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0</v>
      </c>
      <c r="AI148" s="39">
        <v>145.63999999999999</v>
      </c>
      <c r="AJ148" s="39">
        <v>156.22</v>
      </c>
      <c r="AK148" s="39">
        <v>152</v>
      </c>
      <c r="AL148" s="39">
        <v>0</v>
      </c>
      <c r="AM148" s="39">
        <v>0</v>
      </c>
      <c r="AN148" s="39">
        <v>0</v>
      </c>
      <c r="AO148" s="39">
        <v>145.63999999999999</v>
      </c>
      <c r="AP148" s="39">
        <v>156.22</v>
      </c>
      <c r="AQ148" s="39">
        <v>152</v>
      </c>
      <c r="AR148" s="39">
        <v>156.22</v>
      </c>
    </row>
    <row r="149" spans="1:44" x14ac:dyDescent="0.35">
      <c r="A149" s="16" t="str">
        <f t="shared" si="14"/>
        <v>15</v>
      </c>
      <c r="B149" s="19">
        <v>63487</v>
      </c>
      <c r="C149" s="16" t="str">
        <f t="shared" si="13"/>
        <v>0000000</v>
      </c>
      <c r="D149" s="17" t="s">
        <v>3663</v>
      </c>
      <c r="E149" s="16" t="s">
        <v>677</v>
      </c>
      <c r="F149" s="16" t="s">
        <v>640</v>
      </c>
      <c r="G149" s="35" t="s">
        <v>678</v>
      </c>
      <c r="H149" s="39">
        <v>170.9</v>
      </c>
      <c r="I149" s="39">
        <v>156.61000000000001</v>
      </c>
      <c r="J149" s="39">
        <v>162.74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170.9</v>
      </c>
      <c r="AJ149" s="39">
        <v>156.61000000000001</v>
      </c>
      <c r="AK149" s="39">
        <v>162.74</v>
      </c>
      <c r="AL149" s="39">
        <v>0</v>
      </c>
      <c r="AM149" s="39">
        <v>0</v>
      </c>
      <c r="AN149" s="39">
        <v>0</v>
      </c>
      <c r="AO149" s="39">
        <v>170.9</v>
      </c>
      <c r="AP149" s="39">
        <v>156.61000000000001</v>
      </c>
      <c r="AQ149" s="39">
        <v>162.74</v>
      </c>
      <c r="AR149" s="39">
        <v>170.9</v>
      </c>
    </row>
    <row r="150" spans="1:44" x14ac:dyDescent="0.35">
      <c r="A150" s="16" t="str">
        <f t="shared" si="14"/>
        <v>15</v>
      </c>
      <c r="B150" s="19">
        <v>63552</v>
      </c>
      <c r="C150" s="16" t="str">
        <f t="shared" si="13"/>
        <v>0000000</v>
      </c>
      <c r="D150" s="17" t="s">
        <v>3663</v>
      </c>
      <c r="E150" s="16" t="s">
        <v>685</v>
      </c>
      <c r="F150" s="16" t="s">
        <v>640</v>
      </c>
      <c r="G150" s="35" t="s">
        <v>686</v>
      </c>
      <c r="H150" s="39">
        <v>1562.16</v>
      </c>
      <c r="I150" s="39">
        <v>1468.78</v>
      </c>
      <c r="J150" s="39">
        <v>1417.2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0</v>
      </c>
      <c r="AI150" s="39">
        <v>1562.16</v>
      </c>
      <c r="AJ150" s="39">
        <v>1468.78</v>
      </c>
      <c r="AK150" s="39">
        <v>1417.2</v>
      </c>
      <c r="AL150" s="39">
        <v>0</v>
      </c>
      <c r="AM150" s="39">
        <v>0</v>
      </c>
      <c r="AN150" s="39">
        <v>0</v>
      </c>
      <c r="AO150" s="39">
        <v>1562.16</v>
      </c>
      <c r="AP150" s="39">
        <v>1468.78</v>
      </c>
      <c r="AQ150" s="39">
        <v>1417.2</v>
      </c>
      <c r="AR150" s="39">
        <v>1562.16</v>
      </c>
    </row>
    <row r="151" spans="1:44" x14ac:dyDescent="0.35">
      <c r="A151" s="16" t="str">
        <f t="shared" si="14"/>
        <v>15</v>
      </c>
      <c r="B151" s="19">
        <v>63586</v>
      </c>
      <c r="C151" s="16" t="str">
        <f t="shared" si="13"/>
        <v>0000000</v>
      </c>
      <c r="D151" s="17" t="s">
        <v>3663</v>
      </c>
      <c r="E151" s="16" t="s">
        <v>693</v>
      </c>
      <c r="F151" s="16" t="s">
        <v>640</v>
      </c>
      <c r="G151" s="35" t="s">
        <v>694</v>
      </c>
      <c r="H151" s="39">
        <v>19.850000000000001</v>
      </c>
      <c r="I151" s="39">
        <v>17.399999999999999</v>
      </c>
      <c r="J151" s="39">
        <v>14.46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0</v>
      </c>
      <c r="AI151" s="39">
        <v>19.850000000000001</v>
      </c>
      <c r="AJ151" s="39">
        <v>17.399999999999999</v>
      </c>
      <c r="AK151" s="39">
        <v>14.46</v>
      </c>
      <c r="AL151" s="39">
        <v>0</v>
      </c>
      <c r="AM151" s="39">
        <v>0</v>
      </c>
      <c r="AN151" s="39">
        <v>0</v>
      </c>
      <c r="AO151" s="39">
        <v>19.850000000000001</v>
      </c>
      <c r="AP151" s="39">
        <v>17.399999999999999</v>
      </c>
      <c r="AQ151" s="39">
        <v>14.46</v>
      </c>
      <c r="AR151" s="39">
        <v>19.850000000000001</v>
      </c>
    </row>
    <row r="152" spans="1:44" x14ac:dyDescent="0.35">
      <c r="A152" s="16" t="str">
        <f t="shared" si="14"/>
        <v>15</v>
      </c>
      <c r="B152" s="19">
        <v>63610</v>
      </c>
      <c r="C152" s="16" t="str">
        <f t="shared" si="13"/>
        <v>0000000</v>
      </c>
      <c r="D152" s="17" t="s">
        <v>3663</v>
      </c>
      <c r="E152" s="16" t="s">
        <v>697</v>
      </c>
      <c r="F152" s="16" t="s">
        <v>640</v>
      </c>
      <c r="G152" s="35" t="s">
        <v>698</v>
      </c>
      <c r="H152" s="39">
        <v>271.85000000000002</v>
      </c>
      <c r="I152" s="39">
        <v>271.61</v>
      </c>
      <c r="J152" s="39">
        <v>274.23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0</v>
      </c>
      <c r="AI152" s="39">
        <v>271.85000000000002</v>
      </c>
      <c r="AJ152" s="39">
        <v>271.61</v>
      </c>
      <c r="AK152" s="39">
        <v>274.23</v>
      </c>
      <c r="AL152" s="39">
        <v>0</v>
      </c>
      <c r="AM152" s="39">
        <v>0</v>
      </c>
      <c r="AN152" s="39">
        <v>0</v>
      </c>
      <c r="AO152" s="39">
        <v>271.85000000000002</v>
      </c>
      <c r="AP152" s="39">
        <v>271.61</v>
      </c>
      <c r="AQ152" s="39">
        <v>274.23</v>
      </c>
      <c r="AR152" s="39">
        <v>274.23</v>
      </c>
    </row>
    <row r="153" spans="1:44" x14ac:dyDescent="0.35">
      <c r="A153" s="16" t="str">
        <f t="shared" si="14"/>
        <v>15</v>
      </c>
      <c r="B153" s="19">
        <v>63651</v>
      </c>
      <c r="C153" s="16" t="str">
        <f t="shared" si="13"/>
        <v>0000000</v>
      </c>
      <c r="D153" s="17" t="s">
        <v>3663</v>
      </c>
      <c r="E153" s="16" t="s">
        <v>711</v>
      </c>
      <c r="F153" s="16" t="s">
        <v>640</v>
      </c>
      <c r="G153" s="35" t="s">
        <v>712</v>
      </c>
      <c r="H153" s="39">
        <v>25.8</v>
      </c>
      <c r="I153" s="39">
        <v>64.42</v>
      </c>
      <c r="J153" s="39">
        <v>38.4</v>
      </c>
      <c r="K153" s="39">
        <v>0</v>
      </c>
      <c r="L153" s="39">
        <v>0</v>
      </c>
      <c r="M153" s="39">
        <v>0</v>
      </c>
      <c r="N153" s="39">
        <v>32.81</v>
      </c>
      <c r="O153" s="39">
        <v>29.34</v>
      </c>
      <c r="P153" s="39">
        <v>35.56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0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0</v>
      </c>
      <c r="AI153" s="39">
        <v>58.61</v>
      </c>
      <c r="AJ153" s="39">
        <v>93.76</v>
      </c>
      <c r="AK153" s="39">
        <v>73.959999999999994</v>
      </c>
      <c r="AL153" s="39">
        <v>0</v>
      </c>
      <c r="AM153" s="39">
        <v>0</v>
      </c>
      <c r="AN153" s="39">
        <v>0</v>
      </c>
      <c r="AO153" s="39">
        <v>58.61</v>
      </c>
      <c r="AP153" s="39">
        <v>93.76</v>
      </c>
      <c r="AQ153" s="39">
        <v>73.959999999999994</v>
      </c>
      <c r="AR153" s="39">
        <v>93.76</v>
      </c>
    </row>
    <row r="154" spans="1:44" x14ac:dyDescent="0.35">
      <c r="A154" s="16" t="str">
        <f t="shared" si="14"/>
        <v>15</v>
      </c>
      <c r="B154" s="19">
        <v>63669</v>
      </c>
      <c r="C154" s="16" t="str">
        <f t="shared" si="13"/>
        <v>0000000</v>
      </c>
      <c r="D154" s="17" t="s">
        <v>3663</v>
      </c>
      <c r="E154" s="16" t="s">
        <v>713</v>
      </c>
      <c r="F154" s="16" t="s">
        <v>640</v>
      </c>
      <c r="G154" s="35" t="s">
        <v>714</v>
      </c>
      <c r="H154" s="39">
        <v>28.52</v>
      </c>
      <c r="I154" s="39">
        <v>34.28</v>
      </c>
      <c r="J154" s="39">
        <v>47.31</v>
      </c>
      <c r="K154" s="39">
        <v>0</v>
      </c>
      <c r="L154" s="39">
        <v>0</v>
      </c>
      <c r="M154" s="39">
        <v>0</v>
      </c>
      <c r="N154" s="39">
        <v>33.479999999999997</v>
      </c>
      <c r="O154" s="39">
        <v>26.63</v>
      </c>
      <c r="P154" s="39">
        <v>24.07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0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0</v>
      </c>
      <c r="AI154" s="39">
        <v>62</v>
      </c>
      <c r="AJ154" s="39">
        <v>60.91</v>
      </c>
      <c r="AK154" s="39">
        <v>71.38</v>
      </c>
      <c r="AL154" s="39">
        <v>0</v>
      </c>
      <c r="AM154" s="39">
        <v>0</v>
      </c>
      <c r="AN154" s="39">
        <v>0</v>
      </c>
      <c r="AO154" s="39">
        <v>62</v>
      </c>
      <c r="AP154" s="39">
        <v>60.91</v>
      </c>
      <c r="AQ154" s="39">
        <v>71.38</v>
      </c>
      <c r="AR154" s="39">
        <v>71.38</v>
      </c>
    </row>
    <row r="155" spans="1:44" x14ac:dyDescent="0.35">
      <c r="A155" s="16" t="str">
        <f t="shared" si="14"/>
        <v>15</v>
      </c>
      <c r="B155" s="19">
        <v>63719</v>
      </c>
      <c r="C155" s="16" t="str">
        <f t="shared" si="13"/>
        <v>0000000</v>
      </c>
      <c r="D155" s="17" t="s">
        <v>3663</v>
      </c>
      <c r="E155" s="16" t="s">
        <v>721</v>
      </c>
      <c r="F155" s="16" t="s">
        <v>640</v>
      </c>
      <c r="G155" s="35" t="s">
        <v>722</v>
      </c>
      <c r="H155" s="39">
        <v>171.09</v>
      </c>
      <c r="I155" s="39">
        <v>162.69</v>
      </c>
      <c r="J155" s="39">
        <v>170.29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0</v>
      </c>
      <c r="AI155" s="39">
        <v>171.09</v>
      </c>
      <c r="AJ155" s="39">
        <v>162.69</v>
      </c>
      <c r="AK155" s="39">
        <v>170.29</v>
      </c>
      <c r="AL155" s="39">
        <v>0</v>
      </c>
      <c r="AM155" s="39">
        <v>0</v>
      </c>
      <c r="AN155" s="39">
        <v>0</v>
      </c>
      <c r="AO155" s="39">
        <v>171.09</v>
      </c>
      <c r="AP155" s="39">
        <v>162.69</v>
      </c>
      <c r="AQ155" s="39">
        <v>170.29</v>
      </c>
      <c r="AR155" s="39">
        <v>171.09</v>
      </c>
    </row>
    <row r="156" spans="1:44" x14ac:dyDescent="0.35">
      <c r="A156" s="16" t="str">
        <f t="shared" si="14"/>
        <v>15</v>
      </c>
      <c r="B156" s="19">
        <v>63768</v>
      </c>
      <c r="C156" s="16" t="str">
        <f t="shared" si="13"/>
        <v>0000000</v>
      </c>
      <c r="D156" s="17" t="s">
        <v>3663</v>
      </c>
      <c r="E156" s="16" t="s">
        <v>725</v>
      </c>
      <c r="F156" s="16" t="s">
        <v>640</v>
      </c>
      <c r="G156" s="35" t="s">
        <v>726</v>
      </c>
      <c r="H156" s="39">
        <v>133.38</v>
      </c>
      <c r="I156" s="39">
        <v>138.12</v>
      </c>
      <c r="J156" s="39">
        <v>141.72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0</v>
      </c>
      <c r="AI156" s="39">
        <v>133.38</v>
      </c>
      <c r="AJ156" s="39">
        <v>138.12</v>
      </c>
      <c r="AK156" s="39">
        <v>141.72</v>
      </c>
      <c r="AL156" s="39">
        <v>0</v>
      </c>
      <c r="AM156" s="39">
        <v>0</v>
      </c>
      <c r="AN156" s="39">
        <v>0</v>
      </c>
      <c r="AO156" s="39">
        <v>133.38</v>
      </c>
      <c r="AP156" s="39">
        <v>138.12</v>
      </c>
      <c r="AQ156" s="39">
        <v>141.72</v>
      </c>
      <c r="AR156" s="39">
        <v>141.72</v>
      </c>
    </row>
    <row r="157" spans="1:44" x14ac:dyDescent="0.35">
      <c r="A157" s="16" t="str">
        <f t="shared" si="14"/>
        <v>15</v>
      </c>
      <c r="B157" s="19">
        <v>63834</v>
      </c>
      <c r="C157" s="16" t="str">
        <f t="shared" si="13"/>
        <v>0000000</v>
      </c>
      <c r="D157" s="17" t="s">
        <v>3663</v>
      </c>
      <c r="E157" s="16" t="s">
        <v>739</v>
      </c>
      <c r="F157" s="16" t="s">
        <v>640</v>
      </c>
      <c r="G157" s="35" t="s">
        <v>740</v>
      </c>
      <c r="H157" s="39">
        <v>596.63</v>
      </c>
      <c r="I157" s="39">
        <v>609.41999999999996</v>
      </c>
      <c r="J157" s="39">
        <v>610.27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0</v>
      </c>
      <c r="AI157" s="39">
        <v>596.63</v>
      </c>
      <c r="AJ157" s="39">
        <v>609.41999999999996</v>
      </c>
      <c r="AK157" s="39">
        <v>610.27</v>
      </c>
      <c r="AL157" s="39">
        <v>0</v>
      </c>
      <c r="AM157" s="39">
        <v>0</v>
      </c>
      <c r="AN157" s="39">
        <v>0</v>
      </c>
      <c r="AO157" s="39">
        <v>596.63</v>
      </c>
      <c r="AP157" s="39">
        <v>609.41999999999996</v>
      </c>
      <c r="AQ157" s="39">
        <v>610.27</v>
      </c>
      <c r="AR157" s="39">
        <v>610.27</v>
      </c>
    </row>
    <row r="158" spans="1:44" x14ac:dyDescent="0.35">
      <c r="A158" s="16" t="str">
        <f t="shared" si="14"/>
        <v>15</v>
      </c>
      <c r="B158" s="19">
        <v>73544</v>
      </c>
      <c r="C158" s="16" t="str">
        <f t="shared" si="13"/>
        <v>0000000</v>
      </c>
      <c r="D158" s="17" t="s">
        <v>3663</v>
      </c>
      <c r="E158" s="16" t="s">
        <v>745</v>
      </c>
      <c r="F158" s="16" t="s">
        <v>640</v>
      </c>
      <c r="G158" s="35" t="s">
        <v>746</v>
      </c>
      <c r="H158" s="39">
        <v>981.49</v>
      </c>
      <c r="I158" s="39">
        <v>984.36</v>
      </c>
      <c r="J158" s="39">
        <v>948.69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0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0</v>
      </c>
      <c r="AI158" s="39">
        <v>981.49</v>
      </c>
      <c r="AJ158" s="39">
        <v>984.36</v>
      </c>
      <c r="AK158" s="39">
        <v>948.69</v>
      </c>
      <c r="AL158" s="39">
        <v>0</v>
      </c>
      <c r="AM158" s="39">
        <v>0</v>
      </c>
      <c r="AN158" s="39">
        <v>0</v>
      </c>
      <c r="AO158" s="39">
        <v>981.49</v>
      </c>
      <c r="AP158" s="39">
        <v>984.36</v>
      </c>
      <c r="AQ158" s="39">
        <v>948.69</v>
      </c>
      <c r="AR158" s="39">
        <v>984.36</v>
      </c>
    </row>
    <row r="159" spans="1:44" x14ac:dyDescent="0.35">
      <c r="A159" s="16" t="str">
        <f t="shared" si="14"/>
        <v>15</v>
      </c>
      <c r="B159" s="19">
        <v>10157</v>
      </c>
      <c r="C159" s="16" t="str">
        <f>TEXT(119669,"0000000")</f>
        <v>0119669</v>
      </c>
      <c r="D159" s="19">
        <v>1078</v>
      </c>
      <c r="E159" s="16" t="s">
        <v>641</v>
      </c>
      <c r="F159" s="16" t="s">
        <v>640</v>
      </c>
      <c r="G159" s="35" t="s">
        <v>642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0</v>
      </c>
      <c r="AA159" s="39">
        <v>0</v>
      </c>
      <c r="AB159" s="39">
        <v>0</v>
      </c>
      <c r="AC159" s="39">
        <v>1730.64</v>
      </c>
      <c r="AD159" s="39">
        <v>1741.98</v>
      </c>
      <c r="AE159" s="39">
        <v>1752.17</v>
      </c>
      <c r="AF159" s="39">
        <v>0</v>
      </c>
      <c r="AG159" s="39">
        <v>0</v>
      </c>
      <c r="AH159" s="39">
        <v>0</v>
      </c>
      <c r="AI159" s="39">
        <v>1730.64</v>
      </c>
      <c r="AJ159" s="39">
        <v>1741.98</v>
      </c>
      <c r="AK159" s="39">
        <v>1752.17</v>
      </c>
      <c r="AL159" s="39">
        <v>0</v>
      </c>
      <c r="AM159" s="39">
        <v>0</v>
      </c>
      <c r="AN159" s="39">
        <v>0</v>
      </c>
      <c r="AO159" s="39">
        <v>1730.64</v>
      </c>
      <c r="AP159" s="39">
        <v>1741.98</v>
      </c>
      <c r="AQ159" s="39">
        <v>1752.17</v>
      </c>
      <c r="AR159" s="39">
        <v>1752.17</v>
      </c>
    </row>
    <row r="160" spans="1:44" x14ac:dyDescent="0.35">
      <c r="A160" s="16" t="str">
        <f t="shared" si="14"/>
        <v>15</v>
      </c>
      <c r="B160" s="19">
        <v>10157</v>
      </c>
      <c r="C160" s="16" t="str">
        <f>TEXT(124040,"0000000")</f>
        <v>0124040</v>
      </c>
      <c r="D160" s="19">
        <v>1292</v>
      </c>
      <c r="E160" s="16" t="s">
        <v>643</v>
      </c>
      <c r="F160" s="16" t="s">
        <v>640</v>
      </c>
      <c r="G160" s="35" t="s">
        <v>644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39">
        <v>0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83.19</v>
      </c>
      <c r="AD160" s="39">
        <v>747.7</v>
      </c>
      <c r="AE160" s="39">
        <v>759.17</v>
      </c>
      <c r="AF160" s="39">
        <v>0</v>
      </c>
      <c r="AG160" s="39">
        <v>0</v>
      </c>
      <c r="AH160" s="39">
        <v>0</v>
      </c>
      <c r="AI160" s="39">
        <v>83.19</v>
      </c>
      <c r="AJ160" s="39">
        <v>747.7</v>
      </c>
      <c r="AK160" s="39">
        <v>759.17</v>
      </c>
      <c r="AL160" s="39">
        <v>0</v>
      </c>
      <c r="AM160" s="39">
        <v>0</v>
      </c>
      <c r="AN160" s="39">
        <v>0</v>
      </c>
      <c r="AO160" s="39">
        <v>83.19</v>
      </c>
      <c r="AP160" s="39">
        <v>747.7</v>
      </c>
      <c r="AQ160" s="39">
        <v>759.17</v>
      </c>
      <c r="AR160" s="39">
        <v>759.17</v>
      </c>
    </row>
    <row r="161" spans="1:44" x14ac:dyDescent="0.35">
      <c r="A161" s="16" t="str">
        <f t="shared" si="14"/>
        <v>15</v>
      </c>
      <c r="B161" s="19">
        <v>63578</v>
      </c>
      <c r="C161" s="16" t="str">
        <f>TEXT(135186,"0000000")</f>
        <v>0135186</v>
      </c>
      <c r="D161" s="19">
        <v>1847</v>
      </c>
      <c r="E161" s="16" t="s">
        <v>691</v>
      </c>
      <c r="F161" s="16" t="s">
        <v>640</v>
      </c>
      <c r="G161" s="35" t="s">
        <v>692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0</v>
      </c>
      <c r="AA161" s="39">
        <v>0</v>
      </c>
      <c r="AB161" s="39">
        <v>0</v>
      </c>
      <c r="AC161" s="39">
        <v>77.22</v>
      </c>
      <c r="AD161" s="39">
        <v>753.96</v>
      </c>
      <c r="AE161" s="39">
        <v>743.62</v>
      </c>
      <c r="AF161" s="39">
        <v>0</v>
      </c>
      <c r="AG161" s="39">
        <v>0</v>
      </c>
      <c r="AH161" s="39">
        <v>0</v>
      </c>
      <c r="AI161" s="39">
        <v>77.22</v>
      </c>
      <c r="AJ161" s="39">
        <v>753.96</v>
      </c>
      <c r="AK161" s="39">
        <v>743.62</v>
      </c>
      <c r="AL161" s="39">
        <v>0</v>
      </c>
      <c r="AM161" s="39">
        <v>0</v>
      </c>
      <c r="AN161" s="39">
        <v>0</v>
      </c>
      <c r="AO161" s="39">
        <v>77.22</v>
      </c>
      <c r="AP161" s="39">
        <v>753.96</v>
      </c>
      <c r="AQ161" s="39">
        <v>743.62</v>
      </c>
      <c r="AR161" s="39">
        <v>753.96</v>
      </c>
    </row>
    <row r="162" spans="1:44" x14ac:dyDescent="0.35">
      <c r="A162" s="16" t="str">
        <f t="shared" si="14"/>
        <v>15</v>
      </c>
      <c r="B162" s="19">
        <v>10157</v>
      </c>
      <c r="C162" s="16" t="str">
        <f>TEXT(135467,"0000000")</f>
        <v>0135467</v>
      </c>
      <c r="D162" s="19">
        <v>1851</v>
      </c>
      <c r="E162" s="16" t="s">
        <v>645</v>
      </c>
      <c r="F162" s="16" t="s">
        <v>640</v>
      </c>
      <c r="G162" s="35" t="s">
        <v>646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0</v>
      </c>
      <c r="AA162" s="39">
        <v>0</v>
      </c>
      <c r="AB162" s="39">
        <v>0</v>
      </c>
      <c r="AC162" s="39">
        <v>505.21</v>
      </c>
      <c r="AD162" s="39">
        <v>507.42</v>
      </c>
      <c r="AE162" s="39">
        <v>467.62</v>
      </c>
      <c r="AF162" s="39">
        <v>0</v>
      </c>
      <c r="AG162" s="39">
        <v>0</v>
      </c>
      <c r="AH162" s="39">
        <v>0</v>
      </c>
      <c r="AI162" s="39">
        <v>505.21</v>
      </c>
      <c r="AJ162" s="39">
        <v>507.42</v>
      </c>
      <c r="AK162" s="39">
        <v>467.62</v>
      </c>
      <c r="AL162" s="39">
        <v>0</v>
      </c>
      <c r="AM162" s="39">
        <v>0</v>
      </c>
      <c r="AN162" s="39">
        <v>0</v>
      </c>
      <c r="AO162" s="39">
        <v>505.21</v>
      </c>
      <c r="AP162" s="39">
        <v>507.42</v>
      </c>
      <c r="AQ162" s="39">
        <v>467.62</v>
      </c>
      <c r="AR162" s="39">
        <v>507.42</v>
      </c>
    </row>
    <row r="163" spans="1:44" ht="31" x14ac:dyDescent="0.35">
      <c r="A163" s="16" t="str">
        <f t="shared" si="14"/>
        <v>15</v>
      </c>
      <c r="B163" s="19">
        <v>10157</v>
      </c>
      <c r="C163" s="16" t="str">
        <f>TEXT(1530500,"0000000")</f>
        <v>1530500</v>
      </c>
      <c r="D163" s="19">
        <v>2050</v>
      </c>
      <c r="E163" s="16" t="s">
        <v>647</v>
      </c>
      <c r="F163" s="16" t="s">
        <v>640</v>
      </c>
      <c r="G163" s="35" t="s">
        <v>648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222.43</v>
      </c>
      <c r="AD163" s="39">
        <v>195.45</v>
      </c>
      <c r="AE163" s="39">
        <v>152.61000000000001</v>
      </c>
      <c r="AF163" s="39">
        <v>0</v>
      </c>
      <c r="AG163" s="39">
        <v>0</v>
      </c>
      <c r="AH163" s="39">
        <v>0</v>
      </c>
      <c r="AI163" s="39">
        <v>222.43</v>
      </c>
      <c r="AJ163" s="39">
        <v>195.45</v>
      </c>
      <c r="AK163" s="39">
        <v>152.61000000000001</v>
      </c>
      <c r="AL163" s="39">
        <v>0</v>
      </c>
      <c r="AM163" s="39">
        <v>0</v>
      </c>
      <c r="AN163" s="39">
        <v>0</v>
      </c>
      <c r="AO163" s="39">
        <v>222.43</v>
      </c>
      <c r="AP163" s="39">
        <v>195.45</v>
      </c>
      <c r="AQ163" s="39">
        <v>152.61000000000001</v>
      </c>
      <c r="AR163" s="39">
        <v>222.43</v>
      </c>
    </row>
    <row r="164" spans="1:44" x14ac:dyDescent="0.35">
      <c r="A164" s="16" t="str">
        <f t="shared" si="14"/>
        <v>15</v>
      </c>
      <c r="B164" s="19">
        <v>10157</v>
      </c>
      <c r="C164" s="16" t="str">
        <f>TEXT(156364,"0000000")</f>
        <v>0156364</v>
      </c>
      <c r="D164" s="19">
        <v>2149</v>
      </c>
      <c r="E164" s="16" t="s">
        <v>3561</v>
      </c>
      <c r="F164" s="16" t="s">
        <v>640</v>
      </c>
      <c r="G164" s="35" t="s">
        <v>3562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1364.75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0</v>
      </c>
      <c r="AI164" s="39">
        <v>1364.75</v>
      </c>
      <c r="AJ164" s="39">
        <v>0</v>
      </c>
      <c r="AK164" s="39">
        <v>0</v>
      </c>
      <c r="AL164" s="39">
        <v>0</v>
      </c>
      <c r="AM164" s="39">
        <v>0</v>
      </c>
      <c r="AN164" s="39">
        <v>0</v>
      </c>
      <c r="AO164" s="39">
        <v>1364.75</v>
      </c>
      <c r="AP164" s="39">
        <v>0</v>
      </c>
      <c r="AQ164" s="39">
        <v>0</v>
      </c>
      <c r="AR164" s="39">
        <v>1364.75</v>
      </c>
    </row>
    <row r="165" spans="1:44" x14ac:dyDescent="0.35">
      <c r="A165" s="16" t="str">
        <f t="shared" ref="A165:A187" si="15">TEXT(33,"00")</f>
        <v>33</v>
      </c>
      <c r="B165" s="19">
        <v>75242</v>
      </c>
      <c r="C165" s="16" t="str">
        <f t="shared" ref="C165:C184" si="16">TEXT(,"0000000")</f>
        <v>0000000</v>
      </c>
      <c r="D165" s="17" t="s">
        <v>3663</v>
      </c>
      <c r="E165" s="16" t="s">
        <v>1689</v>
      </c>
      <c r="F165" s="16" t="s">
        <v>1690</v>
      </c>
      <c r="G165" s="35" t="s">
        <v>1690</v>
      </c>
      <c r="H165" s="39">
        <v>17599.919999999998</v>
      </c>
      <c r="I165" s="39">
        <v>18034.169999999998</v>
      </c>
      <c r="J165" s="39">
        <v>17722.43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0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0</v>
      </c>
      <c r="AI165" s="39">
        <v>17599.919999999998</v>
      </c>
      <c r="AJ165" s="39">
        <v>18034.169999999998</v>
      </c>
      <c r="AK165" s="39">
        <v>17722.43</v>
      </c>
      <c r="AL165" s="39">
        <v>0</v>
      </c>
      <c r="AM165" s="39">
        <v>0</v>
      </c>
      <c r="AN165" s="39">
        <v>0</v>
      </c>
      <c r="AO165" s="39">
        <v>17599.919999999998</v>
      </c>
      <c r="AP165" s="39">
        <v>18034.169999999998</v>
      </c>
      <c r="AQ165" s="39">
        <v>17722.43</v>
      </c>
      <c r="AR165" s="39">
        <v>18034.169999999998</v>
      </c>
    </row>
    <row r="166" spans="1:44" x14ac:dyDescent="0.35">
      <c r="A166" s="16" t="str">
        <f t="shared" si="15"/>
        <v>33</v>
      </c>
      <c r="B166" s="19">
        <v>10330</v>
      </c>
      <c r="C166" s="16" t="str">
        <f t="shared" si="16"/>
        <v>0000000</v>
      </c>
      <c r="D166" s="17" t="s">
        <v>3663</v>
      </c>
      <c r="E166" s="16" t="s">
        <v>1691</v>
      </c>
      <c r="F166" s="16" t="s">
        <v>1690</v>
      </c>
      <c r="G166" s="35" t="s">
        <v>1692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199.56</v>
      </c>
      <c r="U166" s="39">
        <v>230.7</v>
      </c>
      <c r="V166" s="39">
        <v>220.53</v>
      </c>
      <c r="W166" s="39">
        <v>1156.9100000000001</v>
      </c>
      <c r="X166" s="39">
        <v>1136.93</v>
      </c>
      <c r="Y166" s="39">
        <v>1076.01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1356.47</v>
      </c>
      <c r="AJ166" s="39">
        <v>1367.63</v>
      </c>
      <c r="AK166" s="39">
        <v>1296.54</v>
      </c>
      <c r="AL166" s="39">
        <v>0</v>
      </c>
      <c r="AM166" s="39">
        <v>0</v>
      </c>
      <c r="AN166" s="39">
        <v>0</v>
      </c>
      <c r="AO166" s="39">
        <v>1356.47</v>
      </c>
      <c r="AP166" s="39">
        <v>1367.63</v>
      </c>
      <c r="AQ166" s="39">
        <v>1296.54</v>
      </c>
      <c r="AR166" s="39">
        <v>1367.63</v>
      </c>
    </row>
    <row r="167" spans="1:44" x14ac:dyDescent="0.35">
      <c r="A167" s="16" t="str">
        <f t="shared" si="15"/>
        <v>33</v>
      </c>
      <c r="B167" s="19">
        <v>67116</v>
      </c>
      <c r="C167" s="16" t="str">
        <f t="shared" si="16"/>
        <v>0000000</v>
      </c>
      <c r="D167" s="17" t="s">
        <v>3663</v>
      </c>
      <c r="E167" s="16" t="s">
        <v>1740</v>
      </c>
      <c r="F167" s="16" t="s">
        <v>1690</v>
      </c>
      <c r="G167" s="35" t="s">
        <v>1741</v>
      </c>
      <c r="H167" s="39">
        <v>11721.73</v>
      </c>
      <c r="I167" s="39">
        <v>11510.62</v>
      </c>
      <c r="J167" s="39">
        <v>10989.29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11721.73</v>
      </c>
      <c r="AJ167" s="39">
        <v>11510.62</v>
      </c>
      <c r="AK167" s="39">
        <v>10989.29</v>
      </c>
      <c r="AL167" s="39">
        <v>0</v>
      </c>
      <c r="AM167" s="39">
        <v>0</v>
      </c>
      <c r="AN167" s="39">
        <v>0</v>
      </c>
      <c r="AO167" s="39">
        <v>11721.73</v>
      </c>
      <c r="AP167" s="39">
        <v>11510.62</v>
      </c>
      <c r="AQ167" s="39">
        <v>10989.29</v>
      </c>
      <c r="AR167" s="39">
        <v>11721.73</v>
      </c>
    </row>
    <row r="168" spans="1:44" x14ac:dyDescent="0.35">
      <c r="A168" s="16" t="str">
        <f t="shared" si="15"/>
        <v>33</v>
      </c>
      <c r="B168" s="19">
        <v>67157</v>
      </c>
      <c r="C168" s="16" t="str">
        <f t="shared" si="16"/>
        <v>0000000</v>
      </c>
      <c r="D168" s="17" t="s">
        <v>3663</v>
      </c>
      <c r="E168" s="16" t="s">
        <v>1747</v>
      </c>
      <c r="F168" s="16" t="s">
        <v>1690</v>
      </c>
      <c r="G168" s="35" t="s">
        <v>1748</v>
      </c>
      <c r="H168" s="39">
        <v>1461.96</v>
      </c>
      <c r="I168" s="39">
        <v>1373.98</v>
      </c>
      <c r="J168" s="39">
        <v>1377.42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626.66</v>
      </c>
      <c r="AD168" s="39">
        <v>630.44000000000005</v>
      </c>
      <c r="AE168" s="39">
        <v>616.27</v>
      </c>
      <c r="AF168" s="39">
        <v>0</v>
      </c>
      <c r="AG168" s="39">
        <v>0</v>
      </c>
      <c r="AH168" s="39">
        <v>0</v>
      </c>
      <c r="AI168" s="39">
        <v>2088.62</v>
      </c>
      <c r="AJ168" s="39">
        <v>2004.42</v>
      </c>
      <c r="AK168" s="39">
        <v>1993.69</v>
      </c>
      <c r="AL168" s="39">
        <v>0</v>
      </c>
      <c r="AM168" s="39">
        <v>0</v>
      </c>
      <c r="AN168" s="39">
        <v>0</v>
      </c>
      <c r="AO168" s="39">
        <v>2088.62</v>
      </c>
      <c r="AP168" s="39">
        <v>2004.42</v>
      </c>
      <c r="AQ168" s="39">
        <v>1993.69</v>
      </c>
      <c r="AR168" s="39">
        <v>2088.62</v>
      </c>
    </row>
    <row r="169" spans="1:44" x14ac:dyDescent="0.35">
      <c r="A169" s="16" t="str">
        <f t="shared" si="15"/>
        <v>33</v>
      </c>
      <c r="B169" s="19">
        <v>67199</v>
      </c>
      <c r="C169" s="16" t="str">
        <f t="shared" si="16"/>
        <v>0000000</v>
      </c>
      <c r="D169" s="17" t="s">
        <v>3663</v>
      </c>
      <c r="E169" s="16" t="s">
        <v>1755</v>
      </c>
      <c r="F169" s="16" t="s">
        <v>1690</v>
      </c>
      <c r="G169" s="35" t="s">
        <v>1756</v>
      </c>
      <c r="H169" s="39">
        <v>4248.53</v>
      </c>
      <c r="I169" s="39">
        <v>4220.87</v>
      </c>
      <c r="J169" s="39">
        <v>4172.66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827.37</v>
      </c>
      <c r="AD169" s="39">
        <v>870.07</v>
      </c>
      <c r="AE169" s="39">
        <v>821.39</v>
      </c>
      <c r="AF169" s="39">
        <v>0</v>
      </c>
      <c r="AG169" s="39">
        <v>0</v>
      </c>
      <c r="AH169" s="39">
        <v>0</v>
      </c>
      <c r="AI169" s="39">
        <v>5075.8999999999996</v>
      </c>
      <c r="AJ169" s="39">
        <v>5090.9399999999996</v>
      </c>
      <c r="AK169" s="39">
        <v>4994.05</v>
      </c>
      <c r="AL169" s="39">
        <v>0</v>
      </c>
      <c r="AM169" s="39">
        <v>0</v>
      </c>
      <c r="AN169" s="39">
        <v>0</v>
      </c>
      <c r="AO169" s="39">
        <v>5075.8999999999996</v>
      </c>
      <c r="AP169" s="39">
        <v>5090.9399999999996</v>
      </c>
      <c r="AQ169" s="39">
        <v>4994.05</v>
      </c>
      <c r="AR169" s="39">
        <v>5090.9399999999996</v>
      </c>
    </row>
    <row r="170" spans="1:44" x14ac:dyDescent="0.35">
      <c r="A170" s="16" t="str">
        <f t="shared" si="15"/>
        <v>33</v>
      </c>
      <c r="B170" s="19">
        <v>67231</v>
      </c>
      <c r="C170" s="16" t="str">
        <f t="shared" si="16"/>
        <v>0000000</v>
      </c>
      <c r="D170" s="17" t="s">
        <v>3663</v>
      </c>
      <c r="E170" s="16" t="s">
        <v>1763</v>
      </c>
      <c r="F170" s="16" t="s">
        <v>1690</v>
      </c>
      <c r="G170" s="35" t="s">
        <v>1764</v>
      </c>
      <c r="H170" s="39">
        <v>4460.8500000000004</v>
      </c>
      <c r="I170" s="39">
        <v>4340.28</v>
      </c>
      <c r="J170" s="39">
        <v>4156.43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0</v>
      </c>
      <c r="AI170" s="39">
        <v>4460.8500000000004</v>
      </c>
      <c r="AJ170" s="39">
        <v>4340.28</v>
      </c>
      <c r="AK170" s="39">
        <v>4156.43</v>
      </c>
      <c r="AL170" s="39">
        <v>0</v>
      </c>
      <c r="AM170" s="39">
        <v>0</v>
      </c>
      <c r="AN170" s="39">
        <v>0</v>
      </c>
      <c r="AO170" s="39">
        <v>4460.8500000000004</v>
      </c>
      <c r="AP170" s="39">
        <v>4340.28</v>
      </c>
      <c r="AQ170" s="39">
        <v>4156.43</v>
      </c>
      <c r="AR170" s="39">
        <v>4460.8500000000004</v>
      </c>
    </row>
    <row r="171" spans="1:44" x14ac:dyDescent="0.35">
      <c r="A171" s="16" t="str">
        <f t="shared" si="15"/>
        <v>33</v>
      </c>
      <c r="B171" s="19">
        <v>67207</v>
      </c>
      <c r="C171" s="16" t="str">
        <f t="shared" si="16"/>
        <v>0000000</v>
      </c>
      <c r="D171" s="17" t="s">
        <v>3663</v>
      </c>
      <c r="E171" s="16" t="s">
        <v>1757</v>
      </c>
      <c r="F171" s="16" t="s">
        <v>1690</v>
      </c>
      <c r="G171" s="35" t="s">
        <v>1758</v>
      </c>
      <c r="H171" s="39">
        <v>9758.0400000000009</v>
      </c>
      <c r="I171" s="39">
        <v>9711.18</v>
      </c>
      <c r="J171" s="39">
        <v>9401.6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970.61</v>
      </c>
      <c r="AD171" s="39">
        <v>982.82</v>
      </c>
      <c r="AE171" s="39">
        <v>929.29</v>
      </c>
      <c r="AF171" s="39">
        <v>0</v>
      </c>
      <c r="AG171" s="39">
        <v>0</v>
      </c>
      <c r="AH171" s="39">
        <v>0</v>
      </c>
      <c r="AI171" s="39">
        <v>10728.65</v>
      </c>
      <c r="AJ171" s="39">
        <v>10694</v>
      </c>
      <c r="AK171" s="39">
        <v>10330.89</v>
      </c>
      <c r="AL171" s="39">
        <v>0</v>
      </c>
      <c r="AM171" s="39">
        <v>0</v>
      </c>
      <c r="AN171" s="39">
        <v>0</v>
      </c>
      <c r="AO171" s="39">
        <v>10728.65</v>
      </c>
      <c r="AP171" s="39">
        <v>10694</v>
      </c>
      <c r="AQ171" s="39">
        <v>10330.89</v>
      </c>
      <c r="AR171" s="39">
        <v>10728.65</v>
      </c>
    </row>
    <row r="172" spans="1:44" x14ac:dyDescent="0.35">
      <c r="A172" s="16" t="str">
        <f t="shared" si="15"/>
        <v>33</v>
      </c>
      <c r="B172" s="19">
        <v>66977</v>
      </c>
      <c r="C172" s="16" t="str">
        <f t="shared" si="16"/>
        <v>0000000</v>
      </c>
      <c r="D172" s="17" t="s">
        <v>3663</v>
      </c>
      <c r="E172" s="16" t="s">
        <v>1720</v>
      </c>
      <c r="F172" s="16" t="s">
        <v>1690</v>
      </c>
      <c r="G172" s="35" t="s">
        <v>1721</v>
      </c>
      <c r="H172" s="39">
        <v>15310.92</v>
      </c>
      <c r="I172" s="39">
        <v>15540.04</v>
      </c>
      <c r="J172" s="39">
        <v>15665.3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0</v>
      </c>
      <c r="AI172" s="39">
        <v>15310.92</v>
      </c>
      <c r="AJ172" s="39">
        <v>15540.04</v>
      </c>
      <c r="AK172" s="39">
        <v>15665.3</v>
      </c>
      <c r="AL172" s="39">
        <v>0</v>
      </c>
      <c r="AM172" s="39">
        <v>0</v>
      </c>
      <c r="AN172" s="39">
        <v>0</v>
      </c>
      <c r="AO172" s="39">
        <v>15310.92</v>
      </c>
      <c r="AP172" s="39">
        <v>15540.04</v>
      </c>
      <c r="AQ172" s="39">
        <v>15665.3</v>
      </c>
      <c r="AR172" s="39">
        <v>15665.3</v>
      </c>
    </row>
    <row r="173" spans="1:44" x14ac:dyDescent="0.35">
      <c r="A173" s="16" t="str">
        <f t="shared" si="15"/>
        <v>33</v>
      </c>
      <c r="B173" s="19">
        <v>66985</v>
      </c>
      <c r="C173" s="16" t="str">
        <f t="shared" si="16"/>
        <v>0000000</v>
      </c>
      <c r="D173" s="17" t="s">
        <v>3663</v>
      </c>
      <c r="E173" s="16" t="s">
        <v>1722</v>
      </c>
      <c r="F173" s="16" t="s">
        <v>1690</v>
      </c>
      <c r="G173" s="35" t="s">
        <v>1723</v>
      </c>
      <c r="H173" s="39">
        <v>3921.24</v>
      </c>
      <c r="I173" s="39">
        <v>3934.69</v>
      </c>
      <c r="J173" s="39">
        <v>3924.85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0</v>
      </c>
      <c r="AI173" s="39">
        <v>3921.24</v>
      </c>
      <c r="AJ173" s="39">
        <v>3934.69</v>
      </c>
      <c r="AK173" s="39">
        <v>3924.85</v>
      </c>
      <c r="AL173" s="39">
        <v>0</v>
      </c>
      <c r="AM173" s="39">
        <v>0</v>
      </c>
      <c r="AN173" s="39">
        <v>0</v>
      </c>
      <c r="AO173" s="39">
        <v>3921.24</v>
      </c>
      <c r="AP173" s="39">
        <v>3934.69</v>
      </c>
      <c r="AQ173" s="39">
        <v>3924.85</v>
      </c>
      <c r="AR173" s="39">
        <v>3934.69</v>
      </c>
    </row>
    <row r="174" spans="1:44" x14ac:dyDescent="0.35">
      <c r="A174" s="16" t="str">
        <f t="shared" si="15"/>
        <v>33</v>
      </c>
      <c r="B174" s="19">
        <v>66993</v>
      </c>
      <c r="C174" s="16" t="str">
        <f t="shared" si="16"/>
        <v>0000000</v>
      </c>
      <c r="D174" s="17" t="s">
        <v>3663</v>
      </c>
      <c r="E174" s="16" t="s">
        <v>1724</v>
      </c>
      <c r="F174" s="16" t="s">
        <v>1690</v>
      </c>
      <c r="G174" s="35" t="s">
        <v>1725</v>
      </c>
      <c r="H174" s="39">
        <v>11551.18</v>
      </c>
      <c r="I174" s="39">
        <v>11195.51</v>
      </c>
      <c r="J174" s="39">
        <v>10766.81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0</v>
      </c>
      <c r="AI174" s="39">
        <v>11551.18</v>
      </c>
      <c r="AJ174" s="39">
        <v>11195.51</v>
      </c>
      <c r="AK174" s="39">
        <v>10766.81</v>
      </c>
      <c r="AL174" s="39">
        <v>0</v>
      </c>
      <c r="AM174" s="39">
        <v>0</v>
      </c>
      <c r="AN174" s="39">
        <v>0</v>
      </c>
      <c r="AO174" s="39">
        <v>11551.18</v>
      </c>
      <c r="AP174" s="39">
        <v>11195.51</v>
      </c>
      <c r="AQ174" s="39">
        <v>10766.81</v>
      </c>
      <c r="AR174" s="39">
        <v>11551.18</v>
      </c>
    </row>
    <row r="175" spans="1:44" x14ac:dyDescent="0.35">
      <c r="A175" s="16" t="str">
        <f t="shared" si="15"/>
        <v>33</v>
      </c>
      <c r="B175" s="19">
        <v>73676</v>
      </c>
      <c r="C175" s="16" t="str">
        <f t="shared" si="16"/>
        <v>0000000</v>
      </c>
      <c r="D175" s="17" t="s">
        <v>3663</v>
      </c>
      <c r="E175" s="16" t="s">
        <v>1767</v>
      </c>
      <c r="F175" s="16" t="s">
        <v>1690</v>
      </c>
      <c r="G175" s="35" t="s">
        <v>1768</v>
      </c>
      <c r="H175" s="39">
        <v>14358.86</v>
      </c>
      <c r="I175" s="39">
        <v>14574.82</v>
      </c>
      <c r="J175" s="39">
        <v>14672.99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0</v>
      </c>
      <c r="AI175" s="39">
        <v>14358.86</v>
      </c>
      <c r="AJ175" s="39">
        <v>14574.82</v>
      </c>
      <c r="AK175" s="39">
        <v>14672.99</v>
      </c>
      <c r="AL175" s="39">
        <v>0</v>
      </c>
      <c r="AM175" s="39">
        <v>0</v>
      </c>
      <c r="AN175" s="39">
        <v>0</v>
      </c>
      <c r="AO175" s="39">
        <v>14358.86</v>
      </c>
      <c r="AP175" s="39">
        <v>14574.82</v>
      </c>
      <c r="AQ175" s="39">
        <v>14672.99</v>
      </c>
      <c r="AR175" s="39">
        <v>14672.99</v>
      </c>
    </row>
    <row r="176" spans="1:44" x14ac:dyDescent="0.35">
      <c r="A176" s="16" t="str">
        <f t="shared" si="15"/>
        <v>33</v>
      </c>
      <c r="B176" s="19">
        <v>67041</v>
      </c>
      <c r="C176" s="16" t="str">
        <f t="shared" si="16"/>
        <v>0000000</v>
      </c>
      <c r="D176" s="17" t="s">
        <v>3663</v>
      </c>
      <c r="E176" s="16" t="s">
        <v>1732</v>
      </c>
      <c r="F176" s="16" t="s">
        <v>1690</v>
      </c>
      <c r="G176" s="35" t="s">
        <v>1733</v>
      </c>
      <c r="H176" s="39">
        <v>20.93</v>
      </c>
      <c r="I176" s="39">
        <v>21.13</v>
      </c>
      <c r="J176" s="39">
        <v>22.45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0</v>
      </c>
      <c r="AI176" s="39">
        <v>20.93</v>
      </c>
      <c r="AJ176" s="39">
        <v>21.13</v>
      </c>
      <c r="AK176" s="39">
        <v>22.45</v>
      </c>
      <c r="AL176" s="39">
        <v>0</v>
      </c>
      <c r="AM176" s="39">
        <v>0</v>
      </c>
      <c r="AN176" s="39">
        <v>0</v>
      </c>
      <c r="AO176" s="39">
        <v>20.93</v>
      </c>
      <c r="AP176" s="39">
        <v>21.13</v>
      </c>
      <c r="AQ176" s="39">
        <v>22.45</v>
      </c>
      <c r="AR176" s="39">
        <v>22.45</v>
      </c>
    </row>
    <row r="177" spans="1:44" x14ac:dyDescent="0.35">
      <c r="A177" s="16" t="str">
        <f t="shared" si="15"/>
        <v>33</v>
      </c>
      <c r="B177" s="19">
        <v>67058</v>
      </c>
      <c r="C177" s="16" t="str">
        <f t="shared" si="16"/>
        <v>0000000</v>
      </c>
      <c r="D177" s="17" t="s">
        <v>3663</v>
      </c>
      <c r="E177" s="16" t="s">
        <v>1734</v>
      </c>
      <c r="F177" s="16" t="s">
        <v>1690</v>
      </c>
      <c r="G177" s="35" t="s">
        <v>1735</v>
      </c>
      <c r="H177" s="39">
        <v>21639.03</v>
      </c>
      <c r="I177" s="39">
        <v>21700.58</v>
      </c>
      <c r="J177" s="39">
        <v>21789.05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1926.83</v>
      </c>
      <c r="AD177" s="39">
        <v>2018.44</v>
      </c>
      <c r="AE177" s="39">
        <v>1954.91</v>
      </c>
      <c r="AF177" s="39">
        <v>0</v>
      </c>
      <c r="AG177" s="39">
        <v>0</v>
      </c>
      <c r="AH177" s="39">
        <v>0</v>
      </c>
      <c r="AI177" s="39">
        <v>23565.86</v>
      </c>
      <c r="AJ177" s="39">
        <v>23719.02</v>
      </c>
      <c r="AK177" s="39">
        <v>23743.96</v>
      </c>
      <c r="AL177" s="39">
        <v>0</v>
      </c>
      <c r="AM177" s="39">
        <v>0</v>
      </c>
      <c r="AN177" s="39">
        <v>0</v>
      </c>
      <c r="AO177" s="39">
        <v>23565.86</v>
      </c>
      <c r="AP177" s="39">
        <v>23719.02</v>
      </c>
      <c r="AQ177" s="39">
        <v>23743.96</v>
      </c>
      <c r="AR177" s="39">
        <v>23743.96</v>
      </c>
    </row>
    <row r="178" spans="1:44" x14ac:dyDescent="0.35">
      <c r="A178" s="16" t="str">
        <f t="shared" si="15"/>
        <v>33</v>
      </c>
      <c r="B178" s="19">
        <v>67082</v>
      </c>
      <c r="C178" s="16" t="str">
        <f t="shared" si="16"/>
        <v>0000000</v>
      </c>
      <c r="D178" s="17" t="s">
        <v>3663</v>
      </c>
      <c r="E178" s="16" t="s">
        <v>1736</v>
      </c>
      <c r="F178" s="16" t="s">
        <v>1690</v>
      </c>
      <c r="G178" s="35" t="s">
        <v>1737</v>
      </c>
      <c r="H178" s="39">
        <v>19942.310000000001</v>
      </c>
      <c r="I178" s="39">
        <v>20027.38</v>
      </c>
      <c r="J178" s="39">
        <v>19322.060000000001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731.24</v>
      </c>
      <c r="AD178" s="39">
        <v>713.03</v>
      </c>
      <c r="AE178" s="39">
        <v>707.47</v>
      </c>
      <c r="AF178" s="39">
        <v>0</v>
      </c>
      <c r="AG178" s="39">
        <v>0</v>
      </c>
      <c r="AH178" s="39">
        <v>0</v>
      </c>
      <c r="AI178" s="39">
        <v>20673.55</v>
      </c>
      <c r="AJ178" s="39">
        <v>20740.41</v>
      </c>
      <c r="AK178" s="39">
        <v>20029.53</v>
      </c>
      <c r="AL178" s="39">
        <v>0</v>
      </c>
      <c r="AM178" s="39">
        <v>0</v>
      </c>
      <c r="AN178" s="39">
        <v>0</v>
      </c>
      <c r="AO178" s="39">
        <v>20673.55</v>
      </c>
      <c r="AP178" s="39">
        <v>20740.41</v>
      </c>
      <c r="AQ178" s="39">
        <v>20029.53</v>
      </c>
      <c r="AR178" s="39">
        <v>20740.41</v>
      </c>
    </row>
    <row r="179" spans="1:44" x14ac:dyDescent="0.35">
      <c r="A179" s="16" t="str">
        <f t="shared" si="15"/>
        <v>33</v>
      </c>
      <c r="B179" s="19">
        <v>67090</v>
      </c>
      <c r="C179" s="16" t="str">
        <f t="shared" si="16"/>
        <v>0000000</v>
      </c>
      <c r="D179" s="17" t="s">
        <v>3663</v>
      </c>
      <c r="E179" s="16" t="s">
        <v>1738</v>
      </c>
      <c r="F179" s="16" t="s">
        <v>1690</v>
      </c>
      <c r="G179" s="35" t="s">
        <v>1739</v>
      </c>
      <c r="H179" s="39">
        <v>16494.12</v>
      </c>
      <c r="I179" s="39">
        <v>16773.009999999998</v>
      </c>
      <c r="J179" s="39">
        <v>16847.330000000002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0</v>
      </c>
      <c r="AI179" s="39">
        <v>16494.12</v>
      </c>
      <c r="AJ179" s="39">
        <v>16773.009999999998</v>
      </c>
      <c r="AK179" s="39">
        <v>16847.330000000002</v>
      </c>
      <c r="AL179" s="39">
        <v>0</v>
      </c>
      <c r="AM179" s="39">
        <v>0</v>
      </c>
      <c r="AN179" s="39">
        <v>0</v>
      </c>
      <c r="AO179" s="39">
        <v>16494.12</v>
      </c>
      <c r="AP179" s="39">
        <v>16773.009999999998</v>
      </c>
      <c r="AQ179" s="39">
        <v>16847.330000000002</v>
      </c>
      <c r="AR179" s="39">
        <v>16847.330000000002</v>
      </c>
    </row>
    <row r="180" spans="1:44" x14ac:dyDescent="0.35">
      <c r="A180" s="16" t="str">
        <f t="shared" si="15"/>
        <v>33</v>
      </c>
      <c r="B180" s="19">
        <v>67173</v>
      </c>
      <c r="C180" s="16" t="str">
        <f t="shared" si="16"/>
        <v>0000000</v>
      </c>
      <c r="D180" s="17" t="s">
        <v>3663</v>
      </c>
      <c r="E180" s="16" t="s">
        <v>1749</v>
      </c>
      <c r="F180" s="16" t="s">
        <v>1690</v>
      </c>
      <c r="G180" s="35" t="s">
        <v>1750</v>
      </c>
      <c r="H180" s="39">
        <v>17417.060000000001</v>
      </c>
      <c r="I180" s="39">
        <v>17672.64</v>
      </c>
      <c r="J180" s="39">
        <v>17787.75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783.94</v>
      </c>
      <c r="AD180" s="39">
        <v>801.02</v>
      </c>
      <c r="AE180" s="39">
        <v>811.05</v>
      </c>
      <c r="AF180" s="39">
        <v>0</v>
      </c>
      <c r="AG180" s="39">
        <v>0</v>
      </c>
      <c r="AH180" s="39">
        <v>0</v>
      </c>
      <c r="AI180" s="39">
        <v>18201</v>
      </c>
      <c r="AJ180" s="39">
        <v>18473.66</v>
      </c>
      <c r="AK180" s="39">
        <v>18598.8</v>
      </c>
      <c r="AL180" s="39">
        <v>0</v>
      </c>
      <c r="AM180" s="39">
        <v>0</v>
      </c>
      <c r="AN180" s="39">
        <v>0</v>
      </c>
      <c r="AO180" s="39">
        <v>18201</v>
      </c>
      <c r="AP180" s="39">
        <v>18473.66</v>
      </c>
      <c r="AQ180" s="39">
        <v>18598.8</v>
      </c>
      <c r="AR180" s="39">
        <v>18598.8</v>
      </c>
    </row>
    <row r="181" spans="1:44" x14ac:dyDescent="0.35">
      <c r="A181" s="16" t="str">
        <f t="shared" si="15"/>
        <v>33</v>
      </c>
      <c r="B181" s="19">
        <v>67181</v>
      </c>
      <c r="C181" s="16" t="str">
        <f t="shared" si="16"/>
        <v>0000000</v>
      </c>
      <c r="D181" s="17" t="s">
        <v>3663</v>
      </c>
      <c r="E181" s="16" t="s">
        <v>1751</v>
      </c>
      <c r="F181" s="16" t="s">
        <v>1690</v>
      </c>
      <c r="G181" s="35" t="s">
        <v>1752</v>
      </c>
      <c r="H181" s="39">
        <v>2333.8200000000002</v>
      </c>
      <c r="I181" s="39">
        <v>2389.23</v>
      </c>
      <c r="J181" s="39">
        <v>2473.12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0</v>
      </c>
      <c r="AI181" s="39">
        <v>2333.8200000000002</v>
      </c>
      <c r="AJ181" s="39">
        <v>2389.23</v>
      </c>
      <c r="AK181" s="39">
        <v>2473.12</v>
      </c>
      <c r="AL181" s="39">
        <v>0</v>
      </c>
      <c r="AM181" s="39">
        <v>0</v>
      </c>
      <c r="AN181" s="39">
        <v>0</v>
      </c>
      <c r="AO181" s="39">
        <v>2333.8200000000002</v>
      </c>
      <c r="AP181" s="39">
        <v>2389.23</v>
      </c>
      <c r="AQ181" s="39">
        <v>2473.12</v>
      </c>
      <c r="AR181" s="39">
        <v>2473.12</v>
      </c>
    </row>
    <row r="182" spans="1:44" x14ac:dyDescent="0.35">
      <c r="A182" s="16" t="str">
        <f t="shared" si="15"/>
        <v>33</v>
      </c>
      <c r="B182" s="19">
        <v>67249</v>
      </c>
      <c r="C182" s="16" t="str">
        <f t="shared" si="16"/>
        <v>0000000</v>
      </c>
      <c r="D182" s="17" t="s">
        <v>3663</v>
      </c>
      <c r="E182" s="16" t="s">
        <v>1765</v>
      </c>
      <c r="F182" s="16" t="s">
        <v>1690</v>
      </c>
      <c r="G182" s="35" t="s">
        <v>1766</v>
      </c>
      <c r="H182" s="39">
        <v>9396.74</v>
      </c>
      <c r="I182" s="39">
        <v>9526.2000000000007</v>
      </c>
      <c r="J182" s="39">
        <v>9321.26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1600.67</v>
      </c>
      <c r="AD182" s="39">
        <v>1517.37</v>
      </c>
      <c r="AE182" s="39">
        <v>1502.08</v>
      </c>
      <c r="AF182" s="39">
        <v>0</v>
      </c>
      <c r="AG182" s="39">
        <v>0</v>
      </c>
      <c r="AH182" s="39">
        <v>0</v>
      </c>
      <c r="AI182" s="39">
        <v>10997.41</v>
      </c>
      <c r="AJ182" s="39">
        <v>11043.57</v>
      </c>
      <c r="AK182" s="39">
        <v>10823.34</v>
      </c>
      <c r="AL182" s="39">
        <v>0</v>
      </c>
      <c r="AM182" s="39">
        <v>0</v>
      </c>
      <c r="AN182" s="39">
        <v>0</v>
      </c>
      <c r="AO182" s="39">
        <v>10997.41</v>
      </c>
      <c r="AP182" s="39">
        <v>11043.57</v>
      </c>
      <c r="AQ182" s="39">
        <v>10823.34</v>
      </c>
      <c r="AR182" s="39">
        <v>11043.57</v>
      </c>
    </row>
    <row r="183" spans="1:44" x14ac:dyDescent="0.35">
      <c r="A183" s="16" t="str">
        <f t="shared" si="15"/>
        <v>33</v>
      </c>
      <c r="B183" s="19">
        <v>75176</v>
      </c>
      <c r="C183" s="16" t="str">
        <f t="shared" si="16"/>
        <v>0000000</v>
      </c>
      <c r="D183" s="17" t="s">
        <v>3663</v>
      </c>
      <c r="E183" s="16" t="s">
        <v>1771</v>
      </c>
      <c r="F183" s="16" t="s">
        <v>1690</v>
      </c>
      <c r="G183" s="35" t="s">
        <v>1772</v>
      </c>
      <c r="H183" s="39">
        <v>19025.61</v>
      </c>
      <c r="I183" s="39">
        <v>19205.34</v>
      </c>
      <c r="J183" s="39">
        <v>19025.93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0</v>
      </c>
      <c r="AI183" s="39">
        <v>19025.61</v>
      </c>
      <c r="AJ183" s="39">
        <v>19205.34</v>
      </c>
      <c r="AK183" s="39">
        <v>19025.93</v>
      </c>
      <c r="AL183" s="39">
        <v>0</v>
      </c>
      <c r="AM183" s="39">
        <v>0</v>
      </c>
      <c r="AN183" s="39">
        <v>0</v>
      </c>
      <c r="AO183" s="39">
        <v>19025.61</v>
      </c>
      <c r="AP183" s="39">
        <v>19205.34</v>
      </c>
      <c r="AQ183" s="39">
        <v>19025.93</v>
      </c>
      <c r="AR183" s="39">
        <v>19205.34</v>
      </c>
    </row>
    <row r="184" spans="1:44" x14ac:dyDescent="0.35">
      <c r="A184" s="16" t="str">
        <f t="shared" si="15"/>
        <v>33</v>
      </c>
      <c r="B184" s="19">
        <v>75200</v>
      </c>
      <c r="C184" s="16" t="str">
        <f t="shared" si="16"/>
        <v>0000000</v>
      </c>
      <c r="D184" s="17" t="s">
        <v>3663</v>
      </c>
      <c r="E184" s="16" t="s">
        <v>1783</v>
      </c>
      <c r="F184" s="16" t="s">
        <v>1690</v>
      </c>
      <c r="G184" s="35" t="s">
        <v>1784</v>
      </c>
      <c r="H184" s="39">
        <v>20277.5</v>
      </c>
      <c r="I184" s="39">
        <v>20851.099999999999</v>
      </c>
      <c r="J184" s="39">
        <v>20641.939999999999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0</v>
      </c>
      <c r="AI184" s="39">
        <v>20277.5</v>
      </c>
      <c r="AJ184" s="39">
        <v>20851.099999999999</v>
      </c>
      <c r="AK184" s="39">
        <v>20641.939999999999</v>
      </c>
      <c r="AL184" s="39">
        <v>0</v>
      </c>
      <c r="AM184" s="39">
        <v>0</v>
      </c>
      <c r="AN184" s="39">
        <v>0</v>
      </c>
      <c r="AO184" s="39">
        <v>20277.5</v>
      </c>
      <c r="AP184" s="39">
        <v>20851.099999999999</v>
      </c>
      <c r="AQ184" s="39">
        <v>20641.939999999999</v>
      </c>
      <c r="AR184" s="39">
        <v>20851.099999999999</v>
      </c>
    </row>
    <row r="185" spans="1:44" x14ac:dyDescent="0.35">
      <c r="A185" s="16" t="str">
        <f t="shared" si="15"/>
        <v>33</v>
      </c>
      <c r="B185" s="19">
        <v>67116</v>
      </c>
      <c r="C185" s="16" t="str">
        <f>TEXT(109843,"0000000")</f>
        <v>0109843</v>
      </c>
      <c r="D185" s="17" t="s">
        <v>1744</v>
      </c>
      <c r="E185" s="16" t="s">
        <v>1742</v>
      </c>
      <c r="F185" s="16" t="s">
        <v>1690</v>
      </c>
      <c r="G185" s="35" t="s">
        <v>1743</v>
      </c>
      <c r="H185" s="39">
        <v>0</v>
      </c>
      <c r="I185" s="39">
        <v>0</v>
      </c>
      <c r="J185" s="39">
        <v>0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1455.28</v>
      </c>
      <c r="AD185" s="39">
        <v>1566.15</v>
      </c>
      <c r="AE185" s="39">
        <v>1475.54</v>
      </c>
      <c r="AF185" s="39">
        <v>0</v>
      </c>
      <c r="AG185" s="39">
        <v>0</v>
      </c>
      <c r="AH185" s="39">
        <v>0</v>
      </c>
      <c r="AI185" s="39">
        <v>1455.28</v>
      </c>
      <c r="AJ185" s="39">
        <v>1566.15</v>
      </c>
      <c r="AK185" s="39">
        <v>1475.54</v>
      </c>
      <c r="AL185" s="39">
        <v>0</v>
      </c>
      <c r="AM185" s="39">
        <v>0</v>
      </c>
      <c r="AN185" s="39">
        <v>0</v>
      </c>
      <c r="AO185" s="39">
        <v>1455.28</v>
      </c>
      <c r="AP185" s="39">
        <v>1566.15</v>
      </c>
      <c r="AQ185" s="39">
        <v>1475.54</v>
      </c>
      <c r="AR185" s="39">
        <v>1566.15</v>
      </c>
    </row>
    <row r="186" spans="1:44" x14ac:dyDescent="0.35">
      <c r="A186" s="16" t="str">
        <f t="shared" si="15"/>
        <v>33</v>
      </c>
      <c r="B186" s="19">
        <v>10330</v>
      </c>
      <c r="C186" s="16" t="str">
        <f>TEXT(125237,"0000000")</f>
        <v>0125237</v>
      </c>
      <c r="D186" s="19">
        <v>1366</v>
      </c>
      <c r="E186" s="16" t="s">
        <v>1696</v>
      </c>
      <c r="F186" s="16" t="s">
        <v>1690</v>
      </c>
      <c r="G186" s="35" t="s">
        <v>1697</v>
      </c>
      <c r="H186" s="39">
        <v>0</v>
      </c>
      <c r="I186" s="39">
        <v>0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13.61</v>
      </c>
      <c r="U186" s="39">
        <v>13.67</v>
      </c>
      <c r="V186" s="39">
        <v>21.49</v>
      </c>
      <c r="W186" s="39">
        <v>93.2</v>
      </c>
      <c r="X186" s="39">
        <v>96.76</v>
      </c>
      <c r="Y186" s="39">
        <v>116.83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0</v>
      </c>
      <c r="AI186" s="39">
        <v>106.81</v>
      </c>
      <c r="AJ186" s="39">
        <v>110.43</v>
      </c>
      <c r="AK186" s="39">
        <v>138.32</v>
      </c>
      <c r="AL186" s="39">
        <v>0</v>
      </c>
      <c r="AM186" s="39">
        <v>0</v>
      </c>
      <c r="AN186" s="39">
        <v>0</v>
      </c>
      <c r="AO186" s="39">
        <v>106.81</v>
      </c>
      <c r="AP186" s="39">
        <v>110.43</v>
      </c>
      <c r="AQ186" s="39">
        <v>138.32</v>
      </c>
      <c r="AR186" s="39">
        <v>138.32</v>
      </c>
    </row>
    <row r="187" spans="1:44" x14ac:dyDescent="0.35">
      <c r="A187" s="16" t="str">
        <f t="shared" si="15"/>
        <v>33</v>
      </c>
      <c r="B187" s="19">
        <v>67181</v>
      </c>
      <c r="C187" s="16" t="str">
        <f>TEXT(138610,"0000000")</f>
        <v>0138610</v>
      </c>
      <c r="D187" s="19">
        <v>2019</v>
      </c>
      <c r="E187" s="16" t="s">
        <v>1753</v>
      </c>
      <c r="F187" s="16" t="s">
        <v>1690</v>
      </c>
      <c r="G187" s="35" t="s">
        <v>1754</v>
      </c>
      <c r="H187" s="39">
        <v>0</v>
      </c>
      <c r="I187" s="39">
        <v>0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0</v>
      </c>
      <c r="Q187" s="39">
        <v>0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1365.2</v>
      </c>
      <c r="AD187" s="39">
        <v>1251.42</v>
      </c>
      <c r="AE187" s="39">
        <v>1118.03</v>
      </c>
      <c r="AF187" s="39">
        <v>0</v>
      </c>
      <c r="AG187" s="39">
        <v>0</v>
      </c>
      <c r="AH187" s="39">
        <v>0</v>
      </c>
      <c r="AI187" s="39">
        <v>1365.2</v>
      </c>
      <c r="AJ187" s="39">
        <v>1251.42</v>
      </c>
      <c r="AK187" s="39">
        <v>1118.03</v>
      </c>
      <c r="AL187" s="39">
        <v>0</v>
      </c>
      <c r="AM187" s="39">
        <v>0</v>
      </c>
      <c r="AN187" s="39">
        <v>0</v>
      </c>
      <c r="AO187" s="39">
        <v>1365.2</v>
      </c>
      <c r="AP187" s="39">
        <v>1251.42</v>
      </c>
      <c r="AQ187" s="39">
        <v>1118.03</v>
      </c>
      <c r="AR187" s="39">
        <v>1365.2</v>
      </c>
    </row>
    <row r="188" spans="1:44" x14ac:dyDescent="0.35">
      <c r="A188" s="16" t="str">
        <f t="shared" ref="A188:A216" si="17">TEXT(45,"00")</f>
        <v>45</v>
      </c>
      <c r="B188" s="19">
        <v>10454</v>
      </c>
      <c r="C188" s="16" t="str">
        <f t="shared" ref="C188:C212" si="18">TEXT(,"0000000")</f>
        <v>0000000</v>
      </c>
      <c r="D188" s="17" t="s">
        <v>3663</v>
      </c>
      <c r="E188" s="16" t="s">
        <v>2885</v>
      </c>
      <c r="F188" s="16" t="s">
        <v>2886</v>
      </c>
      <c r="G188" s="35" t="s">
        <v>2886</v>
      </c>
      <c r="H188" s="39">
        <v>0</v>
      </c>
      <c r="I188" s="39">
        <v>0</v>
      </c>
      <c r="J188" s="39">
        <v>0</v>
      </c>
      <c r="K188" s="39">
        <v>0</v>
      </c>
      <c r="L188" s="39">
        <v>0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34.36</v>
      </c>
      <c r="U188" s="39">
        <v>42.84</v>
      </c>
      <c r="V188" s="39">
        <v>38.200000000000003</v>
      </c>
      <c r="W188" s="39">
        <v>126.3</v>
      </c>
      <c r="X188" s="39">
        <v>116.95</v>
      </c>
      <c r="Y188" s="39">
        <v>125.85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0</v>
      </c>
      <c r="AI188" s="39">
        <v>160.66</v>
      </c>
      <c r="AJ188" s="39">
        <v>159.79</v>
      </c>
      <c r="AK188" s="39">
        <v>164.05</v>
      </c>
      <c r="AL188" s="39">
        <v>0</v>
      </c>
      <c r="AM188" s="39">
        <v>0</v>
      </c>
      <c r="AN188" s="39">
        <v>0</v>
      </c>
      <c r="AO188" s="39">
        <v>160.66</v>
      </c>
      <c r="AP188" s="39">
        <v>159.79</v>
      </c>
      <c r="AQ188" s="39">
        <v>164.05</v>
      </c>
      <c r="AR188" s="39">
        <v>164.05</v>
      </c>
    </row>
    <row r="189" spans="1:44" x14ac:dyDescent="0.35">
      <c r="A189" s="16" t="str">
        <f t="shared" si="17"/>
        <v>45</v>
      </c>
      <c r="B189" s="19">
        <v>69914</v>
      </c>
      <c r="C189" s="16" t="str">
        <f t="shared" si="18"/>
        <v>0000000</v>
      </c>
      <c r="D189" s="17" t="s">
        <v>3663</v>
      </c>
      <c r="E189" s="16" t="s">
        <v>2900</v>
      </c>
      <c r="F189" s="16" t="s">
        <v>2886</v>
      </c>
      <c r="G189" s="35" t="s">
        <v>2901</v>
      </c>
      <c r="H189" s="39">
        <v>954.29</v>
      </c>
      <c r="I189" s="39">
        <v>1011.23</v>
      </c>
      <c r="J189" s="39">
        <v>976.39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377.79</v>
      </c>
      <c r="AD189" s="39">
        <v>340</v>
      </c>
      <c r="AE189" s="39">
        <v>300.88</v>
      </c>
      <c r="AF189" s="39">
        <v>0</v>
      </c>
      <c r="AG189" s="39">
        <v>0</v>
      </c>
      <c r="AH189" s="39">
        <v>0</v>
      </c>
      <c r="AI189" s="39">
        <v>1332.08</v>
      </c>
      <c r="AJ189" s="39">
        <v>1351.23</v>
      </c>
      <c r="AK189" s="39">
        <v>1277.27</v>
      </c>
      <c r="AL189" s="39">
        <v>0</v>
      </c>
      <c r="AM189" s="39">
        <v>0</v>
      </c>
      <c r="AN189" s="39">
        <v>0</v>
      </c>
      <c r="AO189" s="39">
        <v>1332.08</v>
      </c>
      <c r="AP189" s="39">
        <v>1351.23</v>
      </c>
      <c r="AQ189" s="39">
        <v>1277.27</v>
      </c>
      <c r="AR189" s="39">
        <v>1351.23</v>
      </c>
    </row>
    <row r="190" spans="1:44" x14ac:dyDescent="0.35">
      <c r="A190" s="16" t="str">
        <f t="shared" si="17"/>
        <v>45</v>
      </c>
      <c r="B190" s="19">
        <v>69955</v>
      </c>
      <c r="C190" s="16" t="str">
        <f t="shared" si="18"/>
        <v>0000000</v>
      </c>
      <c r="D190" s="17" t="s">
        <v>3663</v>
      </c>
      <c r="E190" s="16" t="s">
        <v>2912</v>
      </c>
      <c r="F190" s="16" t="s">
        <v>2886</v>
      </c>
      <c r="G190" s="35" t="s">
        <v>2913</v>
      </c>
      <c r="H190" s="39">
        <v>841.7</v>
      </c>
      <c r="I190" s="39">
        <v>843.82</v>
      </c>
      <c r="J190" s="39">
        <v>824.37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0</v>
      </c>
      <c r="AI190" s="39">
        <v>841.7</v>
      </c>
      <c r="AJ190" s="39">
        <v>843.82</v>
      </c>
      <c r="AK190" s="39">
        <v>824.37</v>
      </c>
      <c r="AL190" s="39">
        <v>0</v>
      </c>
      <c r="AM190" s="39">
        <v>0</v>
      </c>
      <c r="AN190" s="39">
        <v>0</v>
      </c>
      <c r="AO190" s="39">
        <v>841.7</v>
      </c>
      <c r="AP190" s="39">
        <v>843.82</v>
      </c>
      <c r="AQ190" s="39">
        <v>824.37</v>
      </c>
      <c r="AR190" s="39">
        <v>843.82</v>
      </c>
    </row>
    <row r="191" spans="1:44" x14ac:dyDescent="0.35">
      <c r="A191" s="16" t="str">
        <f t="shared" si="17"/>
        <v>45</v>
      </c>
      <c r="B191" s="19">
        <v>69971</v>
      </c>
      <c r="C191" s="16" t="str">
        <f t="shared" si="18"/>
        <v>0000000</v>
      </c>
      <c r="D191" s="17" t="s">
        <v>3663</v>
      </c>
      <c r="E191" s="16" t="s">
        <v>2916</v>
      </c>
      <c r="F191" s="16" t="s">
        <v>2886</v>
      </c>
      <c r="G191" s="35" t="s">
        <v>2917</v>
      </c>
      <c r="H191" s="39">
        <v>3218.05</v>
      </c>
      <c r="I191" s="39">
        <v>3104.57</v>
      </c>
      <c r="J191" s="39">
        <v>3067.07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226.84</v>
      </c>
      <c r="AD191" s="39">
        <v>221.15</v>
      </c>
      <c r="AE191" s="39">
        <v>199.44</v>
      </c>
      <c r="AF191" s="39">
        <v>0</v>
      </c>
      <c r="AG191" s="39">
        <v>0</v>
      </c>
      <c r="AH191" s="39">
        <v>0</v>
      </c>
      <c r="AI191" s="39">
        <v>3444.89</v>
      </c>
      <c r="AJ191" s="39">
        <v>3325.72</v>
      </c>
      <c r="AK191" s="39">
        <v>3266.51</v>
      </c>
      <c r="AL191" s="39">
        <v>0</v>
      </c>
      <c r="AM191" s="39">
        <v>0</v>
      </c>
      <c r="AN191" s="39">
        <v>0</v>
      </c>
      <c r="AO191" s="39">
        <v>3444.89</v>
      </c>
      <c r="AP191" s="39">
        <v>3325.72</v>
      </c>
      <c r="AQ191" s="39">
        <v>3266.51</v>
      </c>
      <c r="AR191" s="39">
        <v>3444.89</v>
      </c>
    </row>
    <row r="192" spans="1:44" x14ac:dyDescent="0.35">
      <c r="A192" s="16" t="str">
        <f t="shared" si="17"/>
        <v>45</v>
      </c>
      <c r="B192" s="19">
        <v>70045</v>
      </c>
      <c r="C192" s="16" t="str">
        <f t="shared" si="18"/>
        <v>0000000</v>
      </c>
      <c r="D192" s="17" t="s">
        <v>3663</v>
      </c>
      <c r="E192" s="16" t="s">
        <v>2928</v>
      </c>
      <c r="F192" s="16" t="s">
        <v>2886</v>
      </c>
      <c r="G192" s="35" t="s">
        <v>2929</v>
      </c>
      <c r="H192" s="39">
        <v>399.63</v>
      </c>
      <c r="I192" s="39">
        <v>351.53</v>
      </c>
      <c r="J192" s="39">
        <v>345.72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0</v>
      </c>
      <c r="AI192" s="39">
        <v>399.63</v>
      </c>
      <c r="AJ192" s="39">
        <v>351.53</v>
      </c>
      <c r="AK192" s="39">
        <v>345.72</v>
      </c>
      <c r="AL192" s="39">
        <v>0</v>
      </c>
      <c r="AM192" s="39">
        <v>0</v>
      </c>
      <c r="AN192" s="39">
        <v>0</v>
      </c>
      <c r="AO192" s="39">
        <v>399.63</v>
      </c>
      <c r="AP192" s="39">
        <v>351.53</v>
      </c>
      <c r="AQ192" s="39">
        <v>345.72</v>
      </c>
      <c r="AR192" s="39">
        <v>399.63</v>
      </c>
    </row>
    <row r="193" spans="1:44" x14ac:dyDescent="0.35">
      <c r="A193" s="16" t="str">
        <f t="shared" si="17"/>
        <v>45</v>
      </c>
      <c r="B193" s="19">
        <v>70094</v>
      </c>
      <c r="C193" s="16" t="str">
        <f t="shared" si="18"/>
        <v>0000000</v>
      </c>
      <c r="D193" s="17" t="s">
        <v>3663</v>
      </c>
      <c r="E193" s="16" t="s">
        <v>2936</v>
      </c>
      <c r="F193" s="16" t="s">
        <v>2886</v>
      </c>
      <c r="G193" s="35" t="s">
        <v>2937</v>
      </c>
      <c r="H193" s="39">
        <v>673.03</v>
      </c>
      <c r="I193" s="39">
        <v>671.77</v>
      </c>
      <c r="J193" s="39">
        <v>638.25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0</v>
      </c>
      <c r="AI193" s="39">
        <v>673.03</v>
      </c>
      <c r="AJ193" s="39">
        <v>671.77</v>
      </c>
      <c r="AK193" s="39">
        <v>638.25</v>
      </c>
      <c r="AL193" s="39">
        <v>0</v>
      </c>
      <c r="AM193" s="39">
        <v>0</v>
      </c>
      <c r="AN193" s="39">
        <v>0</v>
      </c>
      <c r="AO193" s="39">
        <v>673.03</v>
      </c>
      <c r="AP193" s="39">
        <v>671.77</v>
      </c>
      <c r="AQ193" s="39">
        <v>638.25</v>
      </c>
      <c r="AR193" s="39">
        <v>673.03</v>
      </c>
    </row>
    <row r="194" spans="1:44" x14ac:dyDescent="0.35">
      <c r="A194" s="16" t="str">
        <f t="shared" si="17"/>
        <v>45</v>
      </c>
      <c r="B194" s="19">
        <v>70110</v>
      </c>
      <c r="C194" s="16" t="str">
        <f t="shared" si="18"/>
        <v>0000000</v>
      </c>
      <c r="D194" s="17" t="s">
        <v>3663</v>
      </c>
      <c r="E194" s="16" t="s">
        <v>2938</v>
      </c>
      <c r="F194" s="16" t="s">
        <v>2886</v>
      </c>
      <c r="G194" s="35" t="s">
        <v>2939</v>
      </c>
      <c r="H194" s="39">
        <v>2592.2399999999998</v>
      </c>
      <c r="I194" s="39">
        <v>2641.28</v>
      </c>
      <c r="J194" s="39">
        <v>2538.71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256.70999999999998</v>
      </c>
      <c r="AD194" s="39">
        <v>242.79</v>
      </c>
      <c r="AE194" s="39">
        <v>197.16</v>
      </c>
      <c r="AF194" s="39">
        <v>0</v>
      </c>
      <c r="AG194" s="39">
        <v>0</v>
      </c>
      <c r="AH194" s="39">
        <v>0</v>
      </c>
      <c r="AI194" s="39">
        <v>2848.95</v>
      </c>
      <c r="AJ194" s="39">
        <v>2884.07</v>
      </c>
      <c r="AK194" s="39">
        <v>2735.87</v>
      </c>
      <c r="AL194" s="39">
        <v>0</v>
      </c>
      <c r="AM194" s="39">
        <v>0</v>
      </c>
      <c r="AN194" s="39">
        <v>0</v>
      </c>
      <c r="AO194" s="39">
        <v>2848.95</v>
      </c>
      <c r="AP194" s="39">
        <v>2884.07</v>
      </c>
      <c r="AQ194" s="39">
        <v>2735.87</v>
      </c>
      <c r="AR194" s="39">
        <v>2884.07</v>
      </c>
    </row>
    <row r="195" spans="1:44" x14ac:dyDescent="0.35">
      <c r="A195" s="16" t="str">
        <f t="shared" si="17"/>
        <v>45</v>
      </c>
      <c r="B195" s="19">
        <v>69856</v>
      </c>
      <c r="C195" s="16" t="str">
        <f t="shared" si="18"/>
        <v>0000000</v>
      </c>
      <c r="D195" s="17" t="s">
        <v>3663</v>
      </c>
      <c r="E195" s="16" t="s">
        <v>2894</v>
      </c>
      <c r="F195" s="16" t="s">
        <v>2886</v>
      </c>
      <c r="G195" s="35" t="s">
        <v>2895</v>
      </c>
      <c r="H195" s="39">
        <v>1314.15</v>
      </c>
      <c r="I195" s="39">
        <v>1342.59</v>
      </c>
      <c r="J195" s="39">
        <v>1345.47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103.85</v>
      </c>
      <c r="AD195" s="39">
        <v>109.16</v>
      </c>
      <c r="AE195" s="39">
        <v>92.8</v>
      </c>
      <c r="AF195" s="39">
        <v>0</v>
      </c>
      <c r="AG195" s="39">
        <v>0</v>
      </c>
      <c r="AH195" s="39">
        <v>0</v>
      </c>
      <c r="AI195" s="39">
        <v>1418</v>
      </c>
      <c r="AJ195" s="39">
        <v>1451.75</v>
      </c>
      <c r="AK195" s="39">
        <v>1438.27</v>
      </c>
      <c r="AL195" s="39">
        <v>0</v>
      </c>
      <c r="AM195" s="39">
        <v>0</v>
      </c>
      <c r="AN195" s="39">
        <v>0</v>
      </c>
      <c r="AO195" s="39">
        <v>1418</v>
      </c>
      <c r="AP195" s="39">
        <v>1451.75</v>
      </c>
      <c r="AQ195" s="39">
        <v>1438.27</v>
      </c>
      <c r="AR195" s="39">
        <v>1451.75</v>
      </c>
    </row>
    <row r="196" spans="1:44" x14ac:dyDescent="0.35">
      <c r="A196" s="16" t="str">
        <f t="shared" si="17"/>
        <v>45</v>
      </c>
      <c r="B196" s="19">
        <v>70136</v>
      </c>
      <c r="C196" s="16" t="str">
        <f t="shared" si="18"/>
        <v>0000000</v>
      </c>
      <c r="D196" s="17" t="s">
        <v>3663</v>
      </c>
      <c r="E196" s="16" t="s">
        <v>2945</v>
      </c>
      <c r="F196" s="16" t="s">
        <v>2886</v>
      </c>
      <c r="G196" s="35" t="s">
        <v>2946</v>
      </c>
      <c r="H196" s="39">
        <v>3839.56</v>
      </c>
      <c r="I196" s="39">
        <v>3851.59</v>
      </c>
      <c r="J196" s="39">
        <v>3871.37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969.29</v>
      </c>
      <c r="AD196" s="39">
        <v>985.99</v>
      </c>
      <c r="AE196" s="39">
        <v>980</v>
      </c>
      <c r="AF196" s="39">
        <v>0</v>
      </c>
      <c r="AG196" s="39">
        <v>0</v>
      </c>
      <c r="AH196" s="39">
        <v>0</v>
      </c>
      <c r="AI196" s="39">
        <v>4808.8500000000004</v>
      </c>
      <c r="AJ196" s="39">
        <v>4837.58</v>
      </c>
      <c r="AK196" s="39">
        <v>4851.37</v>
      </c>
      <c r="AL196" s="39">
        <v>0</v>
      </c>
      <c r="AM196" s="39">
        <v>0</v>
      </c>
      <c r="AN196" s="39">
        <v>0</v>
      </c>
      <c r="AO196" s="39">
        <v>4808.8500000000004</v>
      </c>
      <c r="AP196" s="39">
        <v>4837.58</v>
      </c>
      <c r="AQ196" s="39">
        <v>4851.37</v>
      </c>
      <c r="AR196" s="39">
        <v>4851.37</v>
      </c>
    </row>
    <row r="197" spans="1:44" x14ac:dyDescent="0.35">
      <c r="A197" s="16" t="str">
        <f t="shared" si="17"/>
        <v>45</v>
      </c>
      <c r="B197" s="19">
        <v>69989</v>
      </c>
      <c r="C197" s="16" t="str">
        <f t="shared" si="18"/>
        <v>0000000</v>
      </c>
      <c r="D197" s="17" t="s">
        <v>3663</v>
      </c>
      <c r="E197" s="16" t="s">
        <v>2918</v>
      </c>
      <c r="F197" s="16" t="s">
        <v>2886</v>
      </c>
      <c r="G197" s="35" t="s">
        <v>2919</v>
      </c>
      <c r="H197" s="39">
        <v>1040.6099999999999</v>
      </c>
      <c r="I197" s="39">
        <v>1041.05</v>
      </c>
      <c r="J197" s="39">
        <v>1065.01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1040.6099999999999</v>
      </c>
      <c r="AJ197" s="39">
        <v>1041.05</v>
      </c>
      <c r="AK197" s="39">
        <v>1065.01</v>
      </c>
      <c r="AL197" s="39">
        <v>0</v>
      </c>
      <c r="AM197" s="39">
        <v>0</v>
      </c>
      <c r="AN197" s="39">
        <v>0</v>
      </c>
      <c r="AO197" s="39">
        <v>1040.6099999999999</v>
      </c>
      <c r="AP197" s="39">
        <v>1041.05</v>
      </c>
      <c r="AQ197" s="39">
        <v>1065.01</v>
      </c>
      <c r="AR197" s="39">
        <v>1065.01</v>
      </c>
    </row>
    <row r="198" spans="1:44" x14ac:dyDescent="0.35">
      <c r="A198" s="16" t="str">
        <f t="shared" si="17"/>
        <v>45</v>
      </c>
      <c r="B198" s="19">
        <v>69948</v>
      </c>
      <c r="C198" s="16" t="str">
        <f t="shared" si="18"/>
        <v>0000000</v>
      </c>
      <c r="D198" s="17" t="s">
        <v>3663</v>
      </c>
      <c r="E198" s="16" t="s">
        <v>2904</v>
      </c>
      <c r="F198" s="16" t="s">
        <v>2886</v>
      </c>
      <c r="G198" s="35" t="s">
        <v>2905</v>
      </c>
      <c r="H198" s="39">
        <v>732.31</v>
      </c>
      <c r="I198" s="39">
        <v>748.15</v>
      </c>
      <c r="J198" s="39">
        <v>697.05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732.31</v>
      </c>
      <c r="AJ198" s="39">
        <v>748.15</v>
      </c>
      <c r="AK198" s="39">
        <v>697.05</v>
      </c>
      <c r="AL198" s="39">
        <v>0</v>
      </c>
      <c r="AM198" s="39">
        <v>0</v>
      </c>
      <c r="AN198" s="39">
        <v>0</v>
      </c>
      <c r="AO198" s="39">
        <v>732.31</v>
      </c>
      <c r="AP198" s="39">
        <v>748.15</v>
      </c>
      <c r="AQ198" s="39">
        <v>697.05</v>
      </c>
      <c r="AR198" s="39">
        <v>748.15</v>
      </c>
    </row>
    <row r="199" spans="1:44" x14ac:dyDescent="0.35">
      <c r="A199" s="16" t="str">
        <f t="shared" si="17"/>
        <v>45</v>
      </c>
      <c r="B199" s="19">
        <v>70003</v>
      </c>
      <c r="C199" s="16" t="str">
        <f t="shared" si="18"/>
        <v>0000000</v>
      </c>
      <c r="D199" s="17" t="s">
        <v>3663</v>
      </c>
      <c r="E199" s="16" t="s">
        <v>2922</v>
      </c>
      <c r="F199" s="16" t="s">
        <v>2886</v>
      </c>
      <c r="G199" s="35" t="s">
        <v>2923</v>
      </c>
      <c r="H199" s="39">
        <v>571.47</v>
      </c>
      <c r="I199" s="39">
        <v>595.66</v>
      </c>
      <c r="J199" s="39">
        <v>616.73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571.47</v>
      </c>
      <c r="AJ199" s="39">
        <v>595.66</v>
      </c>
      <c r="AK199" s="39">
        <v>616.73</v>
      </c>
      <c r="AL199" s="39">
        <v>0</v>
      </c>
      <c r="AM199" s="39">
        <v>0</v>
      </c>
      <c r="AN199" s="39">
        <v>0</v>
      </c>
      <c r="AO199" s="39">
        <v>571.47</v>
      </c>
      <c r="AP199" s="39">
        <v>595.66</v>
      </c>
      <c r="AQ199" s="39">
        <v>616.73</v>
      </c>
      <c r="AR199" s="39">
        <v>616.73</v>
      </c>
    </row>
    <row r="200" spans="1:44" x14ac:dyDescent="0.35">
      <c r="A200" s="16" t="str">
        <f t="shared" si="17"/>
        <v>45</v>
      </c>
      <c r="B200" s="19">
        <v>75267</v>
      </c>
      <c r="C200" s="16" t="str">
        <f t="shared" si="18"/>
        <v>0000000</v>
      </c>
      <c r="D200" s="17" t="s">
        <v>3663</v>
      </c>
      <c r="E200" s="16" t="s">
        <v>2954</v>
      </c>
      <c r="F200" s="16" t="s">
        <v>2886</v>
      </c>
      <c r="G200" s="35" t="s">
        <v>2955</v>
      </c>
      <c r="H200" s="39">
        <v>1969.81</v>
      </c>
      <c r="I200" s="39">
        <v>1929.78</v>
      </c>
      <c r="J200" s="39">
        <v>1952.47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0</v>
      </c>
      <c r="Q200" s="39">
        <v>0</v>
      </c>
      <c r="R200" s="39">
        <v>0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0</v>
      </c>
      <c r="AI200" s="39">
        <v>1969.81</v>
      </c>
      <c r="AJ200" s="39">
        <v>1929.78</v>
      </c>
      <c r="AK200" s="39">
        <v>1952.47</v>
      </c>
      <c r="AL200" s="39">
        <v>0</v>
      </c>
      <c r="AM200" s="39">
        <v>0</v>
      </c>
      <c r="AN200" s="39">
        <v>0</v>
      </c>
      <c r="AO200" s="39">
        <v>1969.81</v>
      </c>
      <c r="AP200" s="39">
        <v>1929.78</v>
      </c>
      <c r="AQ200" s="39">
        <v>1952.47</v>
      </c>
      <c r="AR200" s="39">
        <v>1969.81</v>
      </c>
    </row>
    <row r="201" spans="1:44" x14ac:dyDescent="0.35">
      <c r="A201" s="16" t="str">
        <f t="shared" si="17"/>
        <v>45</v>
      </c>
      <c r="B201" s="19">
        <v>69880</v>
      </c>
      <c r="C201" s="16" t="str">
        <f t="shared" si="18"/>
        <v>0000000</v>
      </c>
      <c r="D201" s="17" t="s">
        <v>3663</v>
      </c>
      <c r="E201" s="16" t="s">
        <v>2898</v>
      </c>
      <c r="F201" s="16" t="s">
        <v>2886</v>
      </c>
      <c r="G201" s="35" t="s">
        <v>2899</v>
      </c>
      <c r="H201" s="39">
        <v>224.92</v>
      </c>
      <c r="I201" s="39">
        <v>223.91</v>
      </c>
      <c r="J201" s="39">
        <v>203.39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0</v>
      </c>
      <c r="Q201" s="39">
        <v>0</v>
      </c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0</v>
      </c>
      <c r="AI201" s="39">
        <v>224.92</v>
      </c>
      <c r="AJ201" s="39">
        <v>223.91</v>
      </c>
      <c r="AK201" s="39">
        <v>203.39</v>
      </c>
      <c r="AL201" s="39">
        <v>0</v>
      </c>
      <c r="AM201" s="39">
        <v>0</v>
      </c>
      <c r="AN201" s="39">
        <v>0</v>
      </c>
      <c r="AO201" s="39">
        <v>224.92</v>
      </c>
      <c r="AP201" s="39">
        <v>223.91</v>
      </c>
      <c r="AQ201" s="39">
        <v>203.39</v>
      </c>
      <c r="AR201" s="39">
        <v>224.92</v>
      </c>
    </row>
    <row r="202" spans="1:44" x14ac:dyDescent="0.35">
      <c r="A202" s="16" t="str">
        <f t="shared" si="17"/>
        <v>45</v>
      </c>
      <c r="B202" s="19">
        <v>69872</v>
      </c>
      <c r="C202" s="16" t="str">
        <f t="shared" si="18"/>
        <v>0000000</v>
      </c>
      <c r="D202" s="17" t="s">
        <v>3663</v>
      </c>
      <c r="E202" s="16" t="s">
        <v>2896</v>
      </c>
      <c r="F202" s="16" t="s">
        <v>2886</v>
      </c>
      <c r="G202" s="35" t="s">
        <v>2897</v>
      </c>
      <c r="H202" s="39">
        <v>324.67</v>
      </c>
      <c r="I202" s="39">
        <v>318.23</v>
      </c>
      <c r="J202" s="39">
        <v>304.10000000000002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0</v>
      </c>
      <c r="AI202" s="39">
        <v>324.67</v>
      </c>
      <c r="AJ202" s="39">
        <v>318.23</v>
      </c>
      <c r="AK202" s="39">
        <v>304.10000000000002</v>
      </c>
      <c r="AL202" s="39">
        <v>0</v>
      </c>
      <c r="AM202" s="39">
        <v>0</v>
      </c>
      <c r="AN202" s="39">
        <v>0</v>
      </c>
      <c r="AO202" s="39">
        <v>324.67</v>
      </c>
      <c r="AP202" s="39">
        <v>318.23</v>
      </c>
      <c r="AQ202" s="39">
        <v>304.10000000000002</v>
      </c>
      <c r="AR202" s="39">
        <v>324.67</v>
      </c>
    </row>
    <row r="203" spans="1:44" x14ac:dyDescent="0.35">
      <c r="A203" s="16" t="str">
        <f t="shared" si="17"/>
        <v>45</v>
      </c>
      <c r="B203" s="19">
        <v>69922</v>
      </c>
      <c r="C203" s="16" t="str">
        <f t="shared" si="18"/>
        <v>0000000</v>
      </c>
      <c r="D203" s="17" t="s">
        <v>3663</v>
      </c>
      <c r="E203" s="16" t="s">
        <v>2902</v>
      </c>
      <c r="F203" s="16" t="s">
        <v>2886</v>
      </c>
      <c r="G203" s="35" t="s">
        <v>2903</v>
      </c>
      <c r="H203" s="39">
        <v>36.4</v>
      </c>
      <c r="I203" s="39">
        <v>38.32</v>
      </c>
      <c r="J203" s="39">
        <v>32.86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0</v>
      </c>
      <c r="AI203" s="39">
        <v>36.4</v>
      </c>
      <c r="AJ203" s="39">
        <v>38.32</v>
      </c>
      <c r="AK203" s="39">
        <v>32.86</v>
      </c>
      <c r="AL203" s="39">
        <v>0</v>
      </c>
      <c r="AM203" s="39">
        <v>0</v>
      </c>
      <c r="AN203" s="39">
        <v>0</v>
      </c>
      <c r="AO203" s="39">
        <v>36.4</v>
      </c>
      <c r="AP203" s="39">
        <v>38.32</v>
      </c>
      <c r="AQ203" s="39">
        <v>32.86</v>
      </c>
      <c r="AR203" s="39">
        <v>38.32</v>
      </c>
    </row>
    <row r="204" spans="1:44" x14ac:dyDescent="0.35">
      <c r="A204" s="16" t="str">
        <f t="shared" si="17"/>
        <v>45</v>
      </c>
      <c r="B204" s="19">
        <v>69997</v>
      </c>
      <c r="C204" s="16" t="str">
        <f t="shared" si="18"/>
        <v>0000000</v>
      </c>
      <c r="D204" s="17" t="s">
        <v>3663</v>
      </c>
      <c r="E204" s="16" t="s">
        <v>2920</v>
      </c>
      <c r="F204" s="16" t="s">
        <v>2886</v>
      </c>
      <c r="G204" s="35" t="s">
        <v>2921</v>
      </c>
      <c r="H204" s="39">
        <v>15.18</v>
      </c>
      <c r="I204" s="39">
        <v>13.54</v>
      </c>
      <c r="J204" s="39">
        <v>18.61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0</v>
      </c>
      <c r="AI204" s="39">
        <v>15.18</v>
      </c>
      <c r="AJ204" s="39">
        <v>13.54</v>
      </c>
      <c r="AK204" s="39">
        <v>18.61</v>
      </c>
      <c r="AL204" s="39">
        <v>0</v>
      </c>
      <c r="AM204" s="39">
        <v>0</v>
      </c>
      <c r="AN204" s="39">
        <v>0</v>
      </c>
      <c r="AO204" s="39">
        <v>15.18</v>
      </c>
      <c r="AP204" s="39">
        <v>13.54</v>
      </c>
      <c r="AQ204" s="39">
        <v>18.61</v>
      </c>
      <c r="AR204" s="39">
        <v>18.61</v>
      </c>
    </row>
    <row r="205" spans="1:44" x14ac:dyDescent="0.35">
      <c r="A205" s="16" t="str">
        <f t="shared" si="17"/>
        <v>45</v>
      </c>
      <c r="B205" s="19">
        <v>70011</v>
      </c>
      <c r="C205" s="16" t="str">
        <f t="shared" si="18"/>
        <v>0000000</v>
      </c>
      <c r="D205" s="17" t="s">
        <v>3663</v>
      </c>
      <c r="E205" s="16" t="s">
        <v>2924</v>
      </c>
      <c r="F205" s="16" t="s">
        <v>2886</v>
      </c>
      <c r="G205" s="35" t="s">
        <v>2925</v>
      </c>
      <c r="H205" s="39">
        <v>456</v>
      </c>
      <c r="I205" s="39">
        <v>471.02</v>
      </c>
      <c r="J205" s="39">
        <v>463.15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0</v>
      </c>
      <c r="AI205" s="39">
        <v>456</v>
      </c>
      <c r="AJ205" s="39">
        <v>471.02</v>
      </c>
      <c r="AK205" s="39">
        <v>463.15</v>
      </c>
      <c r="AL205" s="39">
        <v>0</v>
      </c>
      <c r="AM205" s="39">
        <v>0</v>
      </c>
      <c r="AN205" s="39">
        <v>0</v>
      </c>
      <c r="AO205" s="39">
        <v>456</v>
      </c>
      <c r="AP205" s="39">
        <v>471.02</v>
      </c>
      <c r="AQ205" s="39">
        <v>463.15</v>
      </c>
      <c r="AR205" s="39">
        <v>471.02</v>
      </c>
    </row>
    <row r="206" spans="1:44" x14ac:dyDescent="0.35">
      <c r="A206" s="16" t="str">
        <f t="shared" si="17"/>
        <v>45</v>
      </c>
      <c r="B206" s="19">
        <v>70029</v>
      </c>
      <c r="C206" s="16" t="str">
        <f t="shared" si="18"/>
        <v>0000000</v>
      </c>
      <c r="D206" s="17" t="s">
        <v>3663</v>
      </c>
      <c r="E206" s="16" t="s">
        <v>2926</v>
      </c>
      <c r="F206" s="16" t="s">
        <v>2886</v>
      </c>
      <c r="G206" s="35" t="s">
        <v>2927</v>
      </c>
      <c r="H206" s="39">
        <v>33.79</v>
      </c>
      <c r="I206" s="39">
        <v>28.83</v>
      </c>
      <c r="J206" s="39">
        <v>30.05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33.79</v>
      </c>
      <c r="AJ206" s="39">
        <v>28.83</v>
      </c>
      <c r="AK206" s="39">
        <v>30.05</v>
      </c>
      <c r="AL206" s="39">
        <v>0</v>
      </c>
      <c r="AM206" s="39">
        <v>0</v>
      </c>
      <c r="AN206" s="39">
        <v>0</v>
      </c>
      <c r="AO206" s="39">
        <v>33.79</v>
      </c>
      <c r="AP206" s="39">
        <v>28.83</v>
      </c>
      <c r="AQ206" s="39">
        <v>30.05</v>
      </c>
      <c r="AR206" s="39">
        <v>33.79</v>
      </c>
    </row>
    <row r="207" spans="1:44" x14ac:dyDescent="0.35">
      <c r="A207" s="16" t="str">
        <f t="shared" si="17"/>
        <v>45</v>
      </c>
      <c r="B207" s="19">
        <v>70052</v>
      </c>
      <c r="C207" s="16" t="str">
        <f t="shared" si="18"/>
        <v>0000000</v>
      </c>
      <c r="D207" s="17" t="s">
        <v>3663</v>
      </c>
      <c r="E207" s="16" t="s">
        <v>2930</v>
      </c>
      <c r="F207" s="16" t="s">
        <v>2886</v>
      </c>
      <c r="G207" s="35" t="s">
        <v>2931</v>
      </c>
      <c r="H207" s="39">
        <v>195.87</v>
      </c>
      <c r="I207" s="39">
        <v>197.55</v>
      </c>
      <c r="J207" s="39">
        <v>225.25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195.87</v>
      </c>
      <c r="AJ207" s="39">
        <v>197.55</v>
      </c>
      <c r="AK207" s="39">
        <v>225.25</v>
      </c>
      <c r="AL207" s="39">
        <v>0</v>
      </c>
      <c r="AM207" s="39">
        <v>0</v>
      </c>
      <c r="AN207" s="39">
        <v>0</v>
      </c>
      <c r="AO207" s="39">
        <v>195.87</v>
      </c>
      <c r="AP207" s="39">
        <v>197.55</v>
      </c>
      <c r="AQ207" s="39">
        <v>225.25</v>
      </c>
      <c r="AR207" s="39">
        <v>225.25</v>
      </c>
    </row>
    <row r="208" spans="1:44" x14ac:dyDescent="0.35">
      <c r="A208" s="16" t="str">
        <f t="shared" si="17"/>
        <v>45</v>
      </c>
      <c r="B208" s="19">
        <v>70078</v>
      </c>
      <c r="C208" s="16" t="str">
        <f t="shared" si="18"/>
        <v>0000000</v>
      </c>
      <c r="D208" s="17" t="s">
        <v>3663</v>
      </c>
      <c r="E208" s="16" t="s">
        <v>2932</v>
      </c>
      <c r="F208" s="16" t="s">
        <v>2886</v>
      </c>
      <c r="G208" s="35" t="s">
        <v>2933</v>
      </c>
      <c r="H208" s="39">
        <v>259.33999999999997</v>
      </c>
      <c r="I208" s="39">
        <v>251.29</v>
      </c>
      <c r="J208" s="39">
        <v>241.31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259.33999999999997</v>
      </c>
      <c r="AJ208" s="39">
        <v>251.29</v>
      </c>
      <c r="AK208" s="39">
        <v>241.31</v>
      </c>
      <c r="AL208" s="39">
        <v>0</v>
      </c>
      <c r="AM208" s="39">
        <v>0</v>
      </c>
      <c r="AN208" s="39">
        <v>0</v>
      </c>
      <c r="AO208" s="39">
        <v>259.33999999999997</v>
      </c>
      <c r="AP208" s="39">
        <v>251.29</v>
      </c>
      <c r="AQ208" s="39">
        <v>241.31</v>
      </c>
      <c r="AR208" s="39">
        <v>259.33999999999997</v>
      </c>
    </row>
    <row r="209" spans="1:44" x14ac:dyDescent="0.35">
      <c r="A209" s="16" t="str">
        <f t="shared" si="17"/>
        <v>45</v>
      </c>
      <c r="B209" s="19">
        <v>70086</v>
      </c>
      <c r="C209" s="16" t="str">
        <f t="shared" si="18"/>
        <v>0000000</v>
      </c>
      <c r="D209" s="17" t="s">
        <v>3663</v>
      </c>
      <c r="E209" s="16" t="s">
        <v>2934</v>
      </c>
      <c r="F209" s="16" t="s">
        <v>2886</v>
      </c>
      <c r="G209" s="35" t="s">
        <v>2935</v>
      </c>
      <c r="H209" s="39">
        <v>10.64</v>
      </c>
      <c r="I209" s="39">
        <v>15.65</v>
      </c>
      <c r="J209" s="39">
        <v>46.93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10.64</v>
      </c>
      <c r="AJ209" s="39">
        <v>15.65</v>
      </c>
      <c r="AK209" s="39">
        <v>46.93</v>
      </c>
      <c r="AL209" s="39">
        <v>0</v>
      </c>
      <c r="AM209" s="39">
        <v>0</v>
      </c>
      <c r="AN209" s="39">
        <v>0</v>
      </c>
      <c r="AO209" s="39">
        <v>10.64</v>
      </c>
      <c r="AP209" s="39">
        <v>15.65</v>
      </c>
      <c r="AQ209" s="39">
        <v>46.93</v>
      </c>
      <c r="AR209" s="39">
        <v>46.93</v>
      </c>
    </row>
    <row r="210" spans="1:44" x14ac:dyDescent="0.35">
      <c r="A210" s="16" t="str">
        <f t="shared" si="17"/>
        <v>45</v>
      </c>
      <c r="B210" s="19">
        <v>70128</v>
      </c>
      <c r="C210" s="16" t="str">
        <f t="shared" si="18"/>
        <v>0000000</v>
      </c>
      <c r="D210" s="17" t="s">
        <v>3663</v>
      </c>
      <c r="E210" s="16" t="s">
        <v>2943</v>
      </c>
      <c r="F210" s="16" t="s">
        <v>2886</v>
      </c>
      <c r="G210" s="35" t="s">
        <v>2944</v>
      </c>
      <c r="H210" s="39">
        <v>95.67</v>
      </c>
      <c r="I210" s="39">
        <v>96.85</v>
      </c>
      <c r="J210" s="39">
        <v>81.489999999999995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95.67</v>
      </c>
      <c r="AJ210" s="39">
        <v>96.85</v>
      </c>
      <c r="AK210" s="39">
        <v>81.489999999999995</v>
      </c>
      <c r="AL210" s="39">
        <v>0</v>
      </c>
      <c r="AM210" s="39">
        <v>0</v>
      </c>
      <c r="AN210" s="39">
        <v>0</v>
      </c>
      <c r="AO210" s="39">
        <v>95.67</v>
      </c>
      <c r="AP210" s="39">
        <v>96.85</v>
      </c>
      <c r="AQ210" s="39">
        <v>81.489999999999995</v>
      </c>
      <c r="AR210" s="39">
        <v>96.85</v>
      </c>
    </row>
    <row r="211" spans="1:44" x14ac:dyDescent="0.35">
      <c r="A211" s="16" t="str">
        <f t="shared" si="17"/>
        <v>45</v>
      </c>
      <c r="B211" s="19">
        <v>70169</v>
      </c>
      <c r="C211" s="16" t="str">
        <f t="shared" si="18"/>
        <v>0000000</v>
      </c>
      <c r="D211" s="17" t="s">
        <v>3663</v>
      </c>
      <c r="E211" s="16" t="s">
        <v>2950</v>
      </c>
      <c r="F211" s="16" t="s">
        <v>2886</v>
      </c>
      <c r="G211" s="35" t="s">
        <v>2951</v>
      </c>
      <c r="H211" s="39">
        <v>65.260000000000005</v>
      </c>
      <c r="I211" s="39">
        <v>62.9</v>
      </c>
      <c r="J211" s="39">
        <v>60.99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65.260000000000005</v>
      </c>
      <c r="AJ211" s="39">
        <v>62.9</v>
      </c>
      <c r="AK211" s="39">
        <v>60.99</v>
      </c>
      <c r="AL211" s="39">
        <v>0</v>
      </c>
      <c r="AM211" s="39">
        <v>0</v>
      </c>
      <c r="AN211" s="39">
        <v>0</v>
      </c>
      <c r="AO211" s="39">
        <v>65.260000000000005</v>
      </c>
      <c r="AP211" s="39">
        <v>62.9</v>
      </c>
      <c r="AQ211" s="39">
        <v>60.99</v>
      </c>
      <c r="AR211" s="39">
        <v>65.260000000000005</v>
      </c>
    </row>
    <row r="212" spans="1:44" x14ac:dyDescent="0.35">
      <c r="A212" s="16" t="str">
        <f t="shared" si="17"/>
        <v>45</v>
      </c>
      <c r="B212" s="19">
        <v>73700</v>
      </c>
      <c r="C212" s="16" t="str">
        <f t="shared" si="18"/>
        <v>0000000</v>
      </c>
      <c r="D212" s="17" t="s">
        <v>3663</v>
      </c>
      <c r="E212" s="16" t="s">
        <v>2952</v>
      </c>
      <c r="F212" s="16" t="s">
        <v>2886</v>
      </c>
      <c r="G212" s="35" t="s">
        <v>2953</v>
      </c>
      <c r="H212" s="39">
        <v>64.63</v>
      </c>
      <c r="I212" s="39">
        <v>72.78</v>
      </c>
      <c r="J212" s="39">
        <v>68.06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0</v>
      </c>
      <c r="AI212" s="39">
        <v>64.63</v>
      </c>
      <c r="AJ212" s="39">
        <v>72.78</v>
      </c>
      <c r="AK212" s="39">
        <v>68.06</v>
      </c>
      <c r="AL212" s="39">
        <v>0</v>
      </c>
      <c r="AM212" s="39">
        <v>0</v>
      </c>
      <c r="AN212" s="39">
        <v>0</v>
      </c>
      <c r="AO212" s="39">
        <v>64.63</v>
      </c>
      <c r="AP212" s="39">
        <v>72.78</v>
      </c>
      <c r="AQ212" s="39">
        <v>68.06</v>
      </c>
      <c r="AR212" s="39">
        <v>72.78</v>
      </c>
    </row>
    <row r="213" spans="1:44" x14ac:dyDescent="0.35">
      <c r="A213" s="16" t="str">
        <f t="shared" si="17"/>
        <v>45</v>
      </c>
      <c r="B213" s="19">
        <v>75267</v>
      </c>
      <c r="C213" s="16" t="str">
        <f>TEXT(113407,"0000000")</f>
        <v>0113407</v>
      </c>
      <c r="D213" s="17" t="s">
        <v>2958</v>
      </c>
      <c r="E213" s="16" t="s">
        <v>2956</v>
      </c>
      <c r="F213" s="16" t="s">
        <v>2886</v>
      </c>
      <c r="G213" s="35" t="s">
        <v>2957</v>
      </c>
      <c r="H213" s="39">
        <v>0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164.77</v>
      </c>
      <c r="AD213" s="39">
        <v>168.54</v>
      </c>
      <c r="AE213" s="39">
        <v>151.61000000000001</v>
      </c>
      <c r="AF213" s="39">
        <v>0</v>
      </c>
      <c r="AG213" s="39">
        <v>0</v>
      </c>
      <c r="AH213" s="39">
        <v>0</v>
      </c>
      <c r="AI213" s="39">
        <v>164.77</v>
      </c>
      <c r="AJ213" s="39">
        <v>168.54</v>
      </c>
      <c r="AK213" s="39">
        <v>151.61000000000001</v>
      </c>
      <c r="AL213" s="39">
        <v>0</v>
      </c>
      <c r="AM213" s="39">
        <v>0</v>
      </c>
      <c r="AN213" s="39">
        <v>0</v>
      </c>
      <c r="AO213" s="39">
        <v>164.77</v>
      </c>
      <c r="AP213" s="39">
        <v>168.54</v>
      </c>
      <c r="AQ213" s="39">
        <v>151.61000000000001</v>
      </c>
      <c r="AR213" s="39">
        <v>168.54</v>
      </c>
    </row>
    <row r="214" spans="1:44" x14ac:dyDescent="0.35">
      <c r="A214" s="16" t="str">
        <f t="shared" si="17"/>
        <v>45</v>
      </c>
      <c r="B214" s="19">
        <v>69955</v>
      </c>
      <c r="C214" s="16" t="str">
        <f>TEXT(121640,"0000000")</f>
        <v>0121640</v>
      </c>
      <c r="D214" s="19">
        <v>1183</v>
      </c>
      <c r="E214" s="16" t="s">
        <v>2914</v>
      </c>
      <c r="F214" s="16" t="s">
        <v>2886</v>
      </c>
      <c r="G214" s="35" t="s">
        <v>2915</v>
      </c>
      <c r="H214" s="39">
        <v>0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288.45999999999998</v>
      </c>
      <c r="AD214" s="39">
        <v>271.49</v>
      </c>
      <c r="AE214" s="39">
        <v>258.18</v>
      </c>
      <c r="AF214" s="39">
        <v>0</v>
      </c>
      <c r="AG214" s="39">
        <v>0</v>
      </c>
      <c r="AH214" s="39">
        <v>0</v>
      </c>
      <c r="AI214" s="39">
        <v>288.45999999999998</v>
      </c>
      <c r="AJ214" s="39">
        <v>271.49</v>
      </c>
      <c r="AK214" s="39">
        <v>258.18</v>
      </c>
      <c r="AL214" s="39">
        <v>0</v>
      </c>
      <c r="AM214" s="39">
        <v>0</v>
      </c>
      <c r="AN214" s="39">
        <v>0</v>
      </c>
      <c r="AO214" s="39">
        <v>288.45999999999998</v>
      </c>
      <c r="AP214" s="39">
        <v>271.49</v>
      </c>
      <c r="AQ214" s="39">
        <v>258.18</v>
      </c>
      <c r="AR214" s="39">
        <v>288.45999999999998</v>
      </c>
    </row>
    <row r="215" spans="1:44" x14ac:dyDescent="0.35">
      <c r="A215" s="16" t="str">
        <f t="shared" si="17"/>
        <v>45</v>
      </c>
      <c r="B215" s="19">
        <v>10454</v>
      </c>
      <c r="C215" s="16" t="str">
        <f>TEXT(129957,"0000000")</f>
        <v>0129957</v>
      </c>
      <c r="D215" s="19">
        <v>2076</v>
      </c>
      <c r="E215" s="16" t="s">
        <v>2890</v>
      </c>
      <c r="F215" s="16" t="s">
        <v>2886</v>
      </c>
      <c r="G215" s="35" t="s">
        <v>2891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213.38</v>
      </c>
      <c r="AD215" s="39">
        <v>194.11</v>
      </c>
      <c r="AE215" s="39">
        <v>188.51</v>
      </c>
      <c r="AF215" s="39">
        <v>0</v>
      </c>
      <c r="AG215" s="39">
        <v>0</v>
      </c>
      <c r="AH215" s="39">
        <v>0</v>
      </c>
      <c r="AI215" s="39">
        <v>213.38</v>
      </c>
      <c r="AJ215" s="39">
        <v>194.11</v>
      </c>
      <c r="AK215" s="39">
        <v>188.51</v>
      </c>
      <c r="AL215" s="39">
        <v>0</v>
      </c>
      <c r="AM215" s="39">
        <v>0</v>
      </c>
      <c r="AN215" s="39">
        <v>0</v>
      </c>
      <c r="AO215" s="39">
        <v>213.38</v>
      </c>
      <c r="AP215" s="39">
        <v>194.11</v>
      </c>
      <c r="AQ215" s="39">
        <v>188.51</v>
      </c>
      <c r="AR215" s="39">
        <v>213.38</v>
      </c>
    </row>
    <row r="216" spans="1:44" x14ac:dyDescent="0.35">
      <c r="A216" s="16" t="str">
        <f t="shared" si="17"/>
        <v>45</v>
      </c>
      <c r="B216" s="19">
        <v>70110</v>
      </c>
      <c r="C216" s="16" t="str">
        <f>TEXT(6117931,"0000000")</f>
        <v>6117931</v>
      </c>
      <c r="D216" s="17" t="s">
        <v>2942</v>
      </c>
      <c r="E216" s="16" t="s">
        <v>2940</v>
      </c>
      <c r="F216" s="16" t="s">
        <v>2886</v>
      </c>
      <c r="G216" s="35" t="s">
        <v>2941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85.08</v>
      </c>
      <c r="AD216" s="39">
        <v>89.35</v>
      </c>
      <c r="AE216" s="39">
        <v>84.29</v>
      </c>
      <c r="AF216" s="39">
        <v>0</v>
      </c>
      <c r="AG216" s="39">
        <v>0</v>
      </c>
      <c r="AH216" s="39">
        <v>0</v>
      </c>
      <c r="AI216" s="39">
        <v>85.08</v>
      </c>
      <c r="AJ216" s="39">
        <v>89.35</v>
      </c>
      <c r="AK216" s="39">
        <v>84.29</v>
      </c>
      <c r="AL216" s="39">
        <v>0</v>
      </c>
      <c r="AM216" s="39">
        <v>0</v>
      </c>
      <c r="AN216" s="39">
        <v>0</v>
      </c>
      <c r="AO216" s="39">
        <v>85.08</v>
      </c>
      <c r="AP216" s="39">
        <v>89.35</v>
      </c>
      <c r="AQ216" s="39">
        <v>84.29</v>
      </c>
      <c r="AR216" s="39">
        <v>89.35</v>
      </c>
    </row>
    <row r="217" spans="1:44" x14ac:dyDescent="0.35">
      <c r="A217" s="16" t="str">
        <f>TEXT(33,"00")</f>
        <v>33</v>
      </c>
      <c r="B217" s="19">
        <v>75192</v>
      </c>
      <c r="C217" s="16" t="str">
        <f t="shared" ref="C217:C249" si="19">TEXT(,"0000000")</f>
        <v>0000000</v>
      </c>
      <c r="D217" s="17" t="s">
        <v>3663</v>
      </c>
      <c r="E217" s="16" t="s">
        <v>1775</v>
      </c>
      <c r="F217" s="16" t="s">
        <v>1776</v>
      </c>
      <c r="G217" s="35" t="s">
        <v>1776</v>
      </c>
      <c r="H217" s="39">
        <v>24782.98</v>
      </c>
      <c r="I217" s="39">
        <v>24757.65</v>
      </c>
      <c r="J217" s="39">
        <v>24619.599999999999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0</v>
      </c>
      <c r="AI217" s="39">
        <v>24782.98</v>
      </c>
      <c r="AJ217" s="39">
        <v>24757.65</v>
      </c>
      <c r="AK217" s="39">
        <v>24619.599999999999</v>
      </c>
      <c r="AL217" s="39">
        <v>0</v>
      </c>
      <c r="AM217" s="39">
        <v>0</v>
      </c>
      <c r="AN217" s="39">
        <v>0</v>
      </c>
      <c r="AO217" s="39">
        <v>24782.98</v>
      </c>
      <c r="AP217" s="39">
        <v>24757.65</v>
      </c>
      <c r="AQ217" s="39">
        <v>24619.599999999999</v>
      </c>
      <c r="AR217" s="39">
        <v>24782.98</v>
      </c>
    </row>
    <row r="218" spans="1:44" x14ac:dyDescent="0.35">
      <c r="A218" s="16" t="str">
        <f t="shared" ref="A218:A230" si="20">TEXT(23,"00")</f>
        <v>23</v>
      </c>
      <c r="B218" s="19">
        <v>10231</v>
      </c>
      <c r="C218" s="16" t="str">
        <f t="shared" si="19"/>
        <v>0000000</v>
      </c>
      <c r="D218" s="17" t="s">
        <v>3663</v>
      </c>
      <c r="E218" s="16" t="s">
        <v>1294</v>
      </c>
      <c r="F218" s="16" t="s">
        <v>1295</v>
      </c>
      <c r="G218" s="35" t="s">
        <v>1295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21.58</v>
      </c>
      <c r="U218" s="39">
        <v>20.76</v>
      </c>
      <c r="V218" s="39">
        <v>23.06</v>
      </c>
      <c r="W218" s="39">
        <v>24.98</v>
      </c>
      <c r="X218" s="39">
        <v>25.84</v>
      </c>
      <c r="Y218" s="39">
        <v>50.69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46.56</v>
      </c>
      <c r="AJ218" s="39">
        <v>46.6</v>
      </c>
      <c r="AK218" s="39">
        <v>73.75</v>
      </c>
      <c r="AL218" s="39">
        <v>0</v>
      </c>
      <c r="AM218" s="39">
        <v>0</v>
      </c>
      <c r="AN218" s="39">
        <v>0</v>
      </c>
      <c r="AO218" s="39">
        <v>46.56</v>
      </c>
      <c r="AP218" s="39">
        <v>46.6</v>
      </c>
      <c r="AQ218" s="39">
        <v>73.75</v>
      </c>
      <c r="AR218" s="39">
        <v>73.75</v>
      </c>
    </row>
    <row r="219" spans="1:44" x14ac:dyDescent="0.35">
      <c r="A219" s="16" t="str">
        <f t="shared" si="20"/>
        <v>23</v>
      </c>
      <c r="B219" s="19">
        <v>65540</v>
      </c>
      <c r="C219" s="16" t="str">
        <f t="shared" si="19"/>
        <v>0000000</v>
      </c>
      <c r="D219" s="17" t="s">
        <v>3663</v>
      </c>
      <c r="E219" s="16" t="s">
        <v>1296</v>
      </c>
      <c r="F219" s="16" t="s">
        <v>1295</v>
      </c>
      <c r="G219" s="35" t="s">
        <v>1297</v>
      </c>
      <c r="H219" s="39">
        <v>346.56</v>
      </c>
      <c r="I219" s="39">
        <v>357.87</v>
      </c>
      <c r="J219" s="39">
        <v>373.65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346.56</v>
      </c>
      <c r="AJ219" s="39">
        <v>357.87</v>
      </c>
      <c r="AK219" s="39">
        <v>373.65</v>
      </c>
      <c r="AL219" s="39">
        <v>0</v>
      </c>
      <c r="AM219" s="39">
        <v>0</v>
      </c>
      <c r="AN219" s="39">
        <v>0</v>
      </c>
      <c r="AO219" s="39">
        <v>346.56</v>
      </c>
      <c r="AP219" s="39">
        <v>357.87</v>
      </c>
      <c r="AQ219" s="39">
        <v>373.65</v>
      </c>
      <c r="AR219" s="39">
        <v>373.65</v>
      </c>
    </row>
    <row r="220" spans="1:44" x14ac:dyDescent="0.35">
      <c r="A220" s="16" t="str">
        <f t="shared" si="20"/>
        <v>23</v>
      </c>
      <c r="B220" s="19">
        <v>65557</v>
      </c>
      <c r="C220" s="16" t="str">
        <f t="shared" si="19"/>
        <v>0000000</v>
      </c>
      <c r="D220" s="17" t="s">
        <v>3663</v>
      </c>
      <c r="E220" s="16" t="s">
        <v>1298</v>
      </c>
      <c r="F220" s="16" t="s">
        <v>1295</v>
      </c>
      <c r="G220" s="35" t="s">
        <v>1299</v>
      </c>
      <c r="H220" s="39">
        <v>213.35</v>
      </c>
      <c r="I220" s="39">
        <v>200.18</v>
      </c>
      <c r="J220" s="39">
        <v>198.8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56.1</v>
      </c>
      <c r="AD220" s="39">
        <v>59.13</v>
      </c>
      <c r="AE220" s="39">
        <v>58.82</v>
      </c>
      <c r="AF220" s="39">
        <v>0</v>
      </c>
      <c r="AG220" s="39">
        <v>0</v>
      </c>
      <c r="AH220" s="39">
        <v>0</v>
      </c>
      <c r="AI220" s="39">
        <v>269.45</v>
      </c>
      <c r="AJ220" s="39">
        <v>259.31</v>
      </c>
      <c r="AK220" s="39">
        <v>257.62</v>
      </c>
      <c r="AL220" s="39">
        <v>0</v>
      </c>
      <c r="AM220" s="39">
        <v>0</v>
      </c>
      <c r="AN220" s="39">
        <v>0</v>
      </c>
      <c r="AO220" s="39">
        <v>269.45</v>
      </c>
      <c r="AP220" s="39">
        <v>259.31</v>
      </c>
      <c r="AQ220" s="39">
        <v>257.62</v>
      </c>
      <c r="AR220" s="39">
        <v>269.45</v>
      </c>
    </row>
    <row r="221" spans="1:44" x14ac:dyDescent="0.35">
      <c r="A221" s="16" t="str">
        <f t="shared" si="20"/>
        <v>23</v>
      </c>
      <c r="B221" s="19">
        <v>65565</v>
      </c>
      <c r="C221" s="16" t="str">
        <f t="shared" si="19"/>
        <v>0000000</v>
      </c>
      <c r="D221" s="17" t="s">
        <v>3663</v>
      </c>
      <c r="E221" s="16" t="s">
        <v>1300</v>
      </c>
      <c r="F221" s="16" t="s">
        <v>1295</v>
      </c>
      <c r="G221" s="35" t="s">
        <v>1301</v>
      </c>
      <c r="H221" s="39">
        <v>1534.31</v>
      </c>
      <c r="I221" s="39">
        <v>1541.1</v>
      </c>
      <c r="J221" s="39">
        <v>1522.12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73.599999999999994</v>
      </c>
      <c r="AD221" s="39">
        <v>73.84</v>
      </c>
      <c r="AE221" s="39">
        <v>76.69</v>
      </c>
      <c r="AF221" s="39">
        <v>0</v>
      </c>
      <c r="AG221" s="39">
        <v>0</v>
      </c>
      <c r="AH221" s="39">
        <v>0</v>
      </c>
      <c r="AI221" s="39">
        <v>1607.91</v>
      </c>
      <c r="AJ221" s="39">
        <v>1614.94</v>
      </c>
      <c r="AK221" s="39">
        <v>1598.81</v>
      </c>
      <c r="AL221" s="39">
        <v>0</v>
      </c>
      <c r="AM221" s="39">
        <v>0</v>
      </c>
      <c r="AN221" s="39">
        <v>0</v>
      </c>
      <c r="AO221" s="39">
        <v>1607.91</v>
      </c>
      <c r="AP221" s="39">
        <v>1614.94</v>
      </c>
      <c r="AQ221" s="39">
        <v>1598.81</v>
      </c>
      <c r="AR221" s="39">
        <v>1614.94</v>
      </c>
    </row>
    <row r="222" spans="1:44" x14ac:dyDescent="0.35">
      <c r="A222" s="16" t="str">
        <f t="shared" si="20"/>
        <v>23</v>
      </c>
      <c r="B222" s="19">
        <v>65573</v>
      </c>
      <c r="C222" s="16" t="str">
        <f t="shared" si="19"/>
        <v>0000000</v>
      </c>
      <c r="D222" s="17" t="s">
        <v>3663</v>
      </c>
      <c r="E222" s="16" t="s">
        <v>1302</v>
      </c>
      <c r="F222" s="16" t="s">
        <v>1295</v>
      </c>
      <c r="G222" s="35" t="s">
        <v>1303</v>
      </c>
      <c r="H222" s="39">
        <v>31.46</v>
      </c>
      <c r="I222" s="39">
        <v>24.75</v>
      </c>
      <c r="J222" s="39">
        <v>31.04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31.46</v>
      </c>
      <c r="AJ222" s="39">
        <v>24.75</v>
      </c>
      <c r="AK222" s="39">
        <v>31.04</v>
      </c>
      <c r="AL222" s="39">
        <v>0</v>
      </c>
      <c r="AM222" s="39">
        <v>0</v>
      </c>
      <c r="AN222" s="39">
        <v>0</v>
      </c>
      <c r="AO222" s="39">
        <v>31.46</v>
      </c>
      <c r="AP222" s="39">
        <v>24.75</v>
      </c>
      <c r="AQ222" s="39">
        <v>31.04</v>
      </c>
      <c r="AR222" s="39">
        <v>31.46</v>
      </c>
    </row>
    <row r="223" spans="1:44" x14ac:dyDescent="0.35">
      <c r="A223" s="16" t="str">
        <f t="shared" si="20"/>
        <v>23</v>
      </c>
      <c r="B223" s="19">
        <v>65581</v>
      </c>
      <c r="C223" s="16" t="str">
        <f t="shared" si="19"/>
        <v>0000000</v>
      </c>
      <c r="D223" s="17" t="s">
        <v>3663</v>
      </c>
      <c r="E223" s="16" t="s">
        <v>1304</v>
      </c>
      <c r="F223" s="16" t="s">
        <v>1295</v>
      </c>
      <c r="G223" s="35" t="s">
        <v>1305</v>
      </c>
      <c r="H223" s="39">
        <v>351.35</v>
      </c>
      <c r="I223" s="39">
        <v>358.15</v>
      </c>
      <c r="J223" s="39">
        <v>366.52</v>
      </c>
      <c r="K223" s="39">
        <v>0</v>
      </c>
      <c r="L223" s="39">
        <v>0</v>
      </c>
      <c r="M223" s="39">
        <v>0</v>
      </c>
      <c r="N223" s="39">
        <v>36.19</v>
      </c>
      <c r="O223" s="39">
        <v>38.659999999999997</v>
      </c>
      <c r="P223" s="39">
        <v>39.81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387.54</v>
      </c>
      <c r="AJ223" s="39">
        <v>396.81</v>
      </c>
      <c r="AK223" s="39">
        <v>406.33</v>
      </c>
      <c r="AL223" s="39">
        <v>0</v>
      </c>
      <c r="AM223" s="39">
        <v>0</v>
      </c>
      <c r="AN223" s="39">
        <v>0</v>
      </c>
      <c r="AO223" s="39">
        <v>387.54</v>
      </c>
      <c r="AP223" s="39">
        <v>396.81</v>
      </c>
      <c r="AQ223" s="39">
        <v>406.33</v>
      </c>
      <c r="AR223" s="39">
        <v>406.33</v>
      </c>
    </row>
    <row r="224" spans="1:44" x14ac:dyDescent="0.35">
      <c r="A224" s="16" t="str">
        <f t="shared" si="20"/>
        <v>23</v>
      </c>
      <c r="B224" s="19">
        <v>65599</v>
      </c>
      <c r="C224" s="16" t="str">
        <f t="shared" si="19"/>
        <v>0000000</v>
      </c>
      <c r="D224" s="17" t="s">
        <v>3663</v>
      </c>
      <c r="E224" s="16" t="s">
        <v>1306</v>
      </c>
      <c r="F224" s="16" t="s">
        <v>1295</v>
      </c>
      <c r="G224" s="35" t="s">
        <v>1307</v>
      </c>
      <c r="H224" s="39">
        <v>122.24</v>
      </c>
      <c r="I224" s="39">
        <v>125.14</v>
      </c>
      <c r="J224" s="39">
        <v>117.26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0</v>
      </c>
      <c r="AI224" s="39">
        <v>122.24</v>
      </c>
      <c r="AJ224" s="39">
        <v>125.14</v>
      </c>
      <c r="AK224" s="39">
        <v>117.26</v>
      </c>
      <c r="AL224" s="39">
        <v>0</v>
      </c>
      <c r="AM224" s="39">
        <v>0</v>
      </c>
      <c r="AN224" s="39">
        <v>0</v>
      </c>
      <c r="AO224" s="39">
        <v>122.24</v>
      </c>
      <c r="AP224" s="39">
        <v>125.14</v>
      </c>
      <c r="AQ224" s="39">
        <v>117.26</v>
      </c>
      <c r="AR224" s="39">
        <v>125.14</v>
      </c>
    </row>
    <row r="225" spans="1:44" x14ac:dyDescent="0.35">
      <c r="A225" s="16" t="str">
        <f t="shared" si="20"/>
        <v>23</v>
      </c>
      <c r="B225" s="19">
        <v>65607</v>
      </c>
      <c r="C225" s="16" t="str">
        <f t="shared" si="19"/>
        <v>0000000</v>
      </c>
      <c r="D225" s="17" t="s">
        <v>3663</v>
      </c>
      <c r="E225" s="16" t="s">
        <v>1308</v>
      </c>
      <c r="F225" s="16" t="s">
        <v>1295</v>
      </c>
      <c r="G225" s="35" t="s">
        <v>1309</v>
      </c>
      <c r="H225" s="39">
        <v>392.58</v>
      </c>
      <c r="I225" s="39">
        <v>398.75</v>
      </c>
      <c r="J225" s="39">
        <v>386.43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57.2</v>
      </c>
      <c r="AD225" s="39">
        <v>50.86</v>
      </c>
      <c r="AE225" s="39">
        <v>51.1</v>
      </c>
      <c r="AF225" s="39">
        <v>0</v>
      </c>
      <c r="AG225" s="39">
        <v>0</v>
      </c>
      <c r="AH225" s="39">
        <v>0</v>
      </c>
      <c r="AI225" s="39">
        <v>449.78</v>
      </c>
      <c r="AJ225" s="39">
        <v>449.61</v>
      </c>
      <c r="AK225" s="39">
        <v>437.53</v>
      </c>
      <c r="AL225" s="39">
        <v>0</v>
      </c>
      <c r="AM225" s="39">
        <v>0</v>
      </c>
      <c r="AN225" s="39">
        <v>0</v>
      </c>
      <c r="AO225" s="39">
        <v>449.78</v>
      </c>
      <c r="AP225" s="39">
        <v>449.61</v>
      </c>
      <c r="AQ225" s="39">
        <v>437.53</v>
      </c>
      <c r="AR225" s="39">
        <v>449.78</v>
      </c>
    </row>
    <row r="226" spans="1:44" x14ac:dyDescent="0.35">
      <c r="A226" s="16" t="str">
        <f t="shared" si="20"/>
        <v>23</v>
      </c>
      <c r="B226" s="19">
        <v>65615</v>
      </c>
      <c r="C226" s="16" t="str">
        <f t="shared" si="19"/>
        <v>0000000</v>
      </c>
      <c r="D226" s="17" t="s">
        <v>3663</v>
      </c>
      <c r="E226" s="16" t="s">
        <v>1310</v>
      </c>
      <c r="F226" s="16" t="s">
        <v>1295</v>
      </c>
      <c r="G226" s="35" t="s">
        <v>1311</v>
      </c>
      <c r="H226" s="39">
        <v>5376.27</v>
      </c>
      <c r="I226" s="39">
        <v>5356.69</v>
      </c>
      <c r="J226" s="39">
        <v>5221.21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666.11</v>
      </c>
      <c r="AD226" s="39">
        <v>666.78</v>
      </c>
      <c r="AE226" s="39">
        <v>645.58000000000004</v>
      </c>
      <c r="AF226" s="39">
        <v>0</v>
      </c>
      <c r="AG226" s="39">
        <v>0</v>
      </c>
      <c r="AH226" s="39">
        <v>0</v>
      </c>
      <c r="AI226" s="39">
        <v>6042.38</v>
      </c>
      <c r="AJ226" s="39">
        <v>6023.47</v>
      </c>
      <c r="AK226" s="39">
        <v>5866.79</v>
      </c>
      <c r="AL226" s="39">
        <v>0</v>
      </c>
      <c r="AM226" s="39">
        <v>0</v>
      </c>
      <c r="AN226" s="39">
        <v>0</v>
      </c>
      <c r="AO226" s="39">
        <v>6042.38</v>
      </c>
      <c r="AP226" s="39">
        <v>6023.47</v>
      </c>
      <c r="AQ226" s="39">
        <v>5866.79</v>
      </c>
      <c r="AR226" s="39">
        <v>6042.38</v>
      </c>
    </row>
    <row r="227" spans="1:44" x14ac:dyDescent="0.35">
      <c r="A227" s="16" t="str">
        <f t="shared" si="20"/>
        <v>23</v>
      </c>
      <c r="B227" s="19">
        <v>65623</v>
      </c>
      <c r="C227" s="16" t="str">
        <f t="shared" si="19"/>
        <v>0000000</v>
      </c>
      <c r="D227" s="17" t="s">
        <v>3663</v>
      </c>
      <c r="E227" s="16" t="s">
        <v>1315</v>
      </c>
      <c r="F227" s="16" t="s">
        <v>1295</v>
      </c>
      <c r="G227" s="35" t="s">
        <v>1316</v>
      </c>
      <c r="H227" s="39">
        <v>1370.23</v>
      </c>
      <c r="I227" s="39">
        <v>1389.05</v>
      </c>
      <c r="J227" s="39">
        <v>1348.59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302.97000000000003</v>
      </c>
      <c r="AD227" s="39">
        <v>315.32</v>
      </c>
      <c r="AE227" s="39">
        <v>305.14</v>
      </c>
      <c r="AF227" s="39">
        <v>0</v>
      </c>
      <c r="AG227" s="39">
        <v>0</v>
      </c>
      <c r="AH227" s="39">
        <v>0</v>
      </c>
      <c r="AI227" s="39">
        <v>1673.2</v>
      </c>
      <c r="AJ227" s="39">
        <v>1704.37</v>
      </c>
      <c r="AK227" s="39">
        <v>1653.73</v>
      </c>
      <c r="AL227" s="39">
        <v>0</v>
      </c>
      <c r="AM227" s="39">
        <v>0</v>
      </c>
      <c r="AN227" s="39">
        <v>0</v>
      </c>
      <c r="AO227" s="39">
        <v>1673.2</v>
      </c>
      <c r="AP227" s="39">
        <v>1704.37</v>
      </c>
      <c r="AQ227" s="39">
        <v>1653.73</v>
      </c>
      <c r="AR227" s="39">
        <v>1704.37</v>
      </c>
    </row>
    <row r="228" spans="1:44" x14ac:dyDescent="0.35">
      <c r="A228" s="16" t="str">
        <f t="shared" si="20"/>
        <v>23</v>
      </c>
      <c r="B228" s="19">
        <v>73866</v>
      </c>
      <c r="C228" s="16" t="str">
        <f t="shared" si="19"/>
        <v>0000000</v>
      </c>
      <c r="D228" s="17" t="s">
        <v>3663</v>
      </c>
      <c r="E228" s="16" t="s">
        <v>1317</v>
      </c>
      <c r="F228" s="16" t="s">
        <v>1295</v>
      </c>
      <c r="G228" s="35" t="s">
        <v>1318</v>
      </c>
      <c r="H228" s="39">
        <v>248.45</v>
      </c>
      <c r="I228" s="39">
        <v>251.42</v>
      </c>
      <c r="J228" s="39">
        <v>257.82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0</v>
      </c>
      <c r="AI228" s="39">
        <v>248.45</v>
      </c>
      <c r="AJ228" s="39">
        <v>251.42</v>
      </c>
      <c r="AK228" s="39">
        <v>257.82</v>
      </c>
      <c r="AL228" s="39">
        <v>0</v>
      </c>
      <c r="AM228" s="39">
        <v>0</v>
      </c>
      <c r="AN228" s="39">
        <v>0</v>
      </c>
      <c r="AO228" s="39">
        <v>248.45</v>
      </c>
      <c r="AP228" s="39">
        <v>251.42</v>
      </c>
      <c r="AQ228" s="39">
        <v>257.82</v>
      </c>
      <c r="AR228" s="39">
        <v>257.82</v>
      </c>
    </row>
    <row r="229" spans="1:44" x14ac:dyDescent="0.35">
      <c r="A229" s="16" t="str">
        <f t="shared" si="20"/>
        <v>23</v>
      </c>
      <c r="B229" s="19">
        <v>73916</v>
      </c>
      <c r="C229" s="16" t="str">
        <f t="shared" si="19"/>
        <v>0000000</v>
      </c>
      <c r="D229" s="17" t="s">
        <v>3663</v>
      </c>
      <c r="E229" s="16" t="s">
        <v>1319</v>
      </c>
      <c r="F229" s="16" t="s">
        <v>1295</v>
      </c>
      <c r="G229" s="35" t="s">
        <v>1320</v>
      </c>
      <c r="H229" s="39">
        <v>282.16000000000003</v>
      </c>
      <c r="I229" s="39">
        <v>278.01</v>
      </c>
      <c r="J229" s="39">
        <v>276.98</v>
      </c>
      <c r="K229" s="39">
        <v>0</v>
      </c>
      <c r="L229" s="39">
        <v>0</v>
      </c>
      <c r="M229" s="39">
        <v>0</v>
      </c>
      <c r="N229" s="39">
        <v>0</v>
      </c>
      <c r="O229" s="39">
        <v>0</v>
      </c>
      <c r="P229" s="39">
        <v>0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0</v>
      </c>
      <c r="AI229" s="39">
        <v>282.16000000000003</v>
      </c>
      <c r="AJ229" s="39">
        <v>278.01</v>
      </c>
      <c r="AK229" s="39">
        <v>276.98</v>
      </c>
      <c r="AL229" s="39">
        <v>0</v>
      </c>
      <c r="AM229" s="39">
        <v>0</v>
      </c>
      <c r="AN229" s="39">
        <v>0</v>
      </c>
      <c r="AO229" s="39">
        <v>282.16000000000003</v>
      </c>
      <c r="AP229" s="39">
        <v>278.01</v>
      </c>
      <c r="AQ229" s="39">
        <v>276.98</v>
      </c>
      <c r="AR229" s="39">
        <v>282.16000000000003</v>
      </c>
    </row>
    <row r="230" spans="1:44" x14ac:dyDescent="0.35">
      <c r="A230" s="16" t="str">
        <f t="shared" si="20"/>
        <v>23</v>
      </c>
      <c r="B230" s="19">
        <v>75218</v>
      </c>
      <c r="C230" s="16" t="str">
        <f t="shared" si="19"/>
        <v>0000000</v>
      </c>
      <c r="D230" s="17" t="s">
        <v>3663</v>
      </c>
      <c r="E230" s="16" t="s">
        <v>1321</v>
      </c>
      <c r="F230" s="16" t="s">
        <v>1295</v>
      </c>
      <c r="G230" s="35" t="s">
        <v>1322</v>
      </c>
      <c r="H230" s="39">
        <v>106.58</v>
      </c>
      <c r="I230" s="39">
        <v>109.71</v>
      </c>
      <c r="J230" s="39">
        <v>107.8</v>
      </c>
      <c r="K230" s="39">
        <v>0</v>
      </c>
      <c r="L230" s="39">
        <v>0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0</v>
      </c>
      <c r="T230" s="39">
        <v>0</v>
      </c>
      <c r="U230" s="39">
        <v>0</v>
      </c>
      <c r="V230" s="39">
        <v>0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0</v>
      </c>
      <c r="AI230" s="39">
        <v>106.58</v>
      </c>
      <c r="AJ230" s="39">
        <v>109.71</v>
      </c>
      <c r="AK230" s="39">
        <v>107.8</v>
      </c>
      <c r="AL230" s="39">
        <v>0</v>
      </c>
      <c r="AM230" s="39">
        <v>0</v>
      </c>
      <c r="AN230" s="39">
        <v>0</v>
      </c>
      <c r="AO230" s="39">
        <v>106.58</v>
      </c>
      <c r="AP230" s="39">
        <v>109.71</v>
      </c>
      <c r="AQ230" s="39">
        <v>107.8</v>
      </c>
      <c r="AR230" s="39">
        <v>109.71</v>
      </c>
    </row>
    <row r="231" spans="1:44" x14ac:dyDescent="0.35">
      <c r="A231" s="16" t="str">
        <f t="shared" ref="A231:A255" si="21">TEXT(42,"00")</f>
        <v>42</v>
      </c>
      <c r="B231" s="19">
        <v>69211</v>
      </c>
      <c r="C231" s="16" t="str">
        <f t="shared" si="19"/>
        <v>0000000</v>
      </c>
      <c r="D231" s="17" t="s">
        <v>3663</v>
      </c>
      <c r="E231" s="16" t="s">
        <v>2615</v>
      </c>
      <c r="F231" s="16" t="s">
        <v>2616</v>
      </c>
      <c r="G231" s="35" t="s">
        <v>2616</v>
      </c>
      <c r="H231" s="39">
        <v>818.51</v>
      </c>
      <c r="I231" s="39">
        <v>832.61</v>
      </c>
      <c r="J231" s="39">
        <v>788.66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818.51</v>
      </c>
      <c r="AJ231" s="39">
        <v>832.61</v>
      </c>
      <c r="AK231" s="39">
        <v>788.66</v>
      </c>
      <c r="AL231" s="39">
        <v>0</v>
      </c>
      <c r="AM231" s="39">
        <v>0</v>
      </c>
      <c r="AN231" s="39">
        <v>0</v>
      </c>
      <c r="AO231" s="39">
        <v>818.51</v>
      </c>
      <c r="AP231" s="39">
        <v>832.61</v>
      </c>
      <c r="AQ231" s="39">
        <v>788.66</v>
      </c>
      <c r="AR231" s="39">
        <v>832.61</v>
      </c>
    </row>
    <row r="232" spans="1:44" x14ac:dyDescent="0.35">
      <c r="A232" s="16" t="str">
        <f t="shared" si="21"/>
        <v>42</v>
      </c>
      <c r="B232" s="19">
        <v>69260</v>
      </c>
      <c r="C232" s="16" t="str">
        <f t="shared" si="19"/>
        <v>0000000</v>
      </c>
      <c r="D232" s="17" t="s">
        <v>3663</v>
      </c>
      <c r="E232" s="16" t="s">
        <v>2655</v>
      </c>
      <c r="F232" s="16" t="s">
        <v>2616</v>
      </c>
      <c r="G232" s="35" t="s">
        <v>2656</v>
      </c>
      <c r="H232" s="39">
        <v>3883.71</v>
      </c>
      <c r="I232" s="39">
        <v>3787.61</v>
      </c>
      <c r="J232" s="39">
        <v>3624.36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757.08</v>
      </c>
      <c r="AD232" s="39">
        <v>734.45</v>
      </c>
      <c r="AE232" s="39">
        <v>710.11</v>
      </c>
      <c r="AF232" s="39">
        <v>0</v>
      </c>
      <c r="AG232" s="39">
        <v>0</v>
      </c>
      <c r="AH232" s="39">
        <v>0</v>
      </c>
      <c r="AI232" s="39">
        <v>4640.79</v>
      </c>
      <c r="AJ232" s="39">
        <v>4522.0600000000004</v>
      </c>
      <c r="AK232" s="39">
        <v>4334.47</v>
      </c>
      <c r="AL232" s="39">
        <v>0</v>
      </c>
      <c r="AM232" s="39">
        <v>0</v>
      </c>
      <c r="AN232" s="39">
        <v>0</v>
      </c>
      <c r="AO232" s="39">
        <v>4640.79</v>
      </c>
      <c r="AP232" s="39">
        <v>4522.0600000000004</v>
      </c>
      <c r="AQ232" s="39">
        <v>4334.47</v>
      </c>
      <c r="AR232" s="39">
        <v>4640.79</v>
      </c>
    </row>
    <row r="233" spans="1:44" x14ac:dyDescent="0.35">
      <c r="A233" s="16" t="str">
        <f t="shared" si="21"/>
        <v>42</v>
      </c>
      <c r="B233" s="19">
        <v>69120</v>
      </c>
      <c r="C233" s="16" t="str">
        <f t="shared" si="19"/>
        <v>0000000</v>
      </c>
      <c r="D233" s="17" t="s">
        <v>3663</v>
      </c>
      <c r="E233" s="16" t="s">
        <v>2632</v>
      </c>
      <c r="F233" s="16" t="s">
        <v>2616</v>
      </c>
      <c r="G233" s="35" t="s">
        <v>2633</v>
      </c>
      <c r="H233" s="39">
        <v>16277.67</v>
      </c>
      <c r="I233" s="39">
        <v>16100.79</v>
      </c>
      <c r="J233" s="39">
        <v>15603.86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16277.67</v>
      </c>
      <c r="AJ233" s="39">
        <v>16100.79</v>
      </c>
      <c r="AK233" s="39">
        <v>15603.86</v>
      </c>
      <c r="AL233" s="39">
        <v>0</v>
      </c>
      <c r="AM233" s="39">
        <v>0</v>
      </c>
      <c r="AN233" s="39">
        <v>0</v>
      </c>
      <c r="AO233" s="39">
        <v>16277.67</v>
      </c>
      <c r="AP233" s="39">
        <v>16100.79</v>
      </c>
      <c r="AQ233" s="39">
        <v>15603.86</v>
      </c>
      <c r="AR233" s="39">
        <v>16277.67</v>
      </c>
    </row>
    <row r="234" spans="1:44" x14ac:dyDescent="0.35">
      <c r="A234" s="16" t="str">
        <f t="shared" si="21"/>
        <v>42</v>
      </c>
      <c r="B234" s="19">
        <v>69310</v>
      </c>
      <c r="C234" s="16" t="str">
        <f t="shared" si="19"/>
        <v>0000000</v>
      </c>
      <c r="D234" s="17" t="s">
        <v>3663</v>
      </c>
      <c r="E234" s="16" t="s">
        <v>2657</v>
      </c>
      <c r="F234" s="16" t="s">
        <v>2616</v>
      </c>
      <c r="G234" s="35" t="s">
        <v>2658</v>
      </c>
      <c r="H234" s="39">
        <v>8270.08</v>
      </c>
      <c r="I234" s="39">
        <v>8349.4500000000007</v>
      </c>
      <c r="J234" s="39">
        <v>8553.2900000000009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8270.08</v>
      </c>
      <c r="AJ234" s="39">
        <v>8349.4500000000007</v>
      </c>
      <c r="AK234" s="39">
        <v>8553.2900000000009</v>
      </c>
      <c r="AL234" s="39">
        <v>0</v>
      </c>
      <c r="AM234" s="39">
        <v>0</v>
      </c>
      <c r="AN234" s="39">
        <v>0</v>
      </c>
      <c r="AO234" s="39">
        <v>8270.08</v>
      </c>
      <c r="AP234" s="39">
        <v>8349.4500000000007</v>
      </c>
      <c r="AQ234" s="39">
        <v>8553.2900000000009</v>
      </c>
      <c r="AR234" s="39">
        <v>8553.2900000000009</v>
      </c>
    </row>
    <row r="235" spans="1:44" x14ac:dyDescent="0.35">
      <c r="A235" s="16" t="str">
        <f t="shared" si="21"/>
        <v>42</v>
      </c>
      <c r="B235" s="19">
        <v>69146</v>
      </c>
      <c r="C235" s="16" t="str">
        <f t="shared" si="19"/>
        <v>0000000</v>
      </c>
      <c r="D235" s="17" t="s">
        <v>3663</v>
      </c>
      <c r="E235" s="16" t="s">
        <v>2636</v>
      </c>
      <c r="F235" s="16" t="s">
        <v>2616</v>
      </c>
      <c r="G235" s="35" t="s">
        <v>2637</v>
      </c>
      <c r="H235" s="39">
        <v>1812.26</v>
      </c>
      <c r="I235" s="39">
        <v>1829.06</v>
      </c>
      <c r="J235" s="39">
        <v>1864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1812.26</v>
      </c>
      <c r="AJ235" s="39">
        <v>1829.06</v>
      </c>
      <c r="AK235" s="39">
        <v>1864</v>
      </c>
      <c r="AL235" s="39">
        <v>0</v>
      </c>
      <c r="AM235" s="39">
        <v>0</v>
      </c>
      <c r="AN235" s="39">
        <v>0</v>
      </c>
      <c r="AO235" s="39">
        <v>1812.26</v>
      </c>
      <c r="AP235" s="39">
        <v>1829.06</v>
      </c>
      <c r="AQ235" s="39">
        <v>1864</v>
      </c>
      <c r="AR235" s="39">
        <v>1864</v>
      </c>
    </row>
    <row r="236" spans="1:44" x14ac:dyDescent="0.35">
      <c r="A236" s="16" t="str">
        <f t="shared" si="21"/>
        <v>42</v>
      </c>
      <c r="B236" s="19">
        <v>69229</v>
      </c>
      <c r="C236" s="16" t="str">
        <f t="shared" si="19"/>
        <v>0000000</v>
      </c>
      <c r="D236" s="17" t="s">
        <v>3663</v>
      </c>
      <c r="E236" s="16" t="s">
        <v>2646</v>
      </c>
      <c r="F236" s="16" t="s">
        <v>2616</v>
      </c>
      <c r="G236" s="35" t="s">
        <v>2647</v>
      </c>
      <c r="H236" s="39">
        <v>8188.53</v>
      </c>
      <c r="I236" s="39">
        <v>8255.33</v>
      </c>
      <c r="J236" s="39">
        <v>8191.48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8188.53</v>
      </c>
      <c r="AJ236" s="39">
        <v>8255.33</v>
      </c>
      <c r="AK236" s="39">
        <v>8191.48</v>
      </c>
      <c r="AL236" s="39">
        <v>0</v>
      </c>
      <c r="AM236" s="39">
        <v>0</v>
      </c>
      <c r="AN236" s="39">
        <v>0</v>
      </c>
      <c r="AO236" s="39">
        <v>8188.53</v>
      </c>
      <c r="AP236" s="39">
        <v>8255.33</v>
      </c>
      <c r="AQ236" s="39">
        <v>8191.48</v>
      </c>
      <c r="AR236" s="39">
        <v>8255.33</v>
      </c>
    </row>
    <row r="237" spans="1:44" x14ac:dyDescent="0.35">
      <c r="A237" s="16" t="str">
        <f t="shared" si="21"/>
        <v>42</v>
      </c>
      <c r="B237" s="19">
        <v>10421</v>
      </c>
      <c r="C237" s="16" t="str">
        <f t="shared" si="19"/>
        <v>0000000</v>
      </c>
      <c r="D237" s="17" t="s">
        <v>3663</v>
      </c>
      <c r="E237" s="16" t="s">
        <v>2617</v>
      </c>
      <c r="F237" s="16" t="s">
        <v>2616</v>
      </c>
      <c r="G237" s="35" t="s">
        <v>2618</v>
      </c>
      <c r="H237" s="39">
        <v>0</v>
      </c>
      <c r="I237" s="39">
        <v>0</v>
      </c>
      <c r="J237" s="39">
        <v>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34.4</v>
      </c>
      <c r="U237" s="39">
        <v>41.81</v>
      </c>
      <c r="V237" s="39">
        <v>42.11</v>
      </c>
      <c r="W237" s="39">
        <v>55.95</v>
      </c>
      <c r="X237" s="39">
        <v>84.94</v>
      </c>
      <c r="Y237" s="39">
        <v>80.069999999999993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0</v>
      </c>
      <c r="AI237" s="39">
        <v>90.35</v>
      </c>
      <c r="AJ237" s="39">
        <v>126.75</v>
      </c>
      <c r="AK237" s="39">
        <v>122.18</v>
      </c>
      <c r="AL237" s="39">
        <v>0</v>
      </c>
      <c r="AM237" s="39">
        <v>0</v>
      </c>
      <c r="AN237" s="39">
        <v>0</v>
      </c>
      <c r="AO237" s="39">
        <v>90.35</v>
      </c>
      <c r="AP237" s="39">
        <v>126.75</v>
      </c>
      <c r="AQ237" s="39">
        <v>122.18</v>
      </c>
      <c r="AR237" s="39">
        <v>126.75</v>
      </c>
    </row>
    <row r="238" spans="1:44" x14ac:dyDescent="0.35">
      <c r="A238" s="16" t="str">
        <f t="shared" si="21"/>
        <v>42</v>
      </c>
      <c r="B238" s="19">
        <v>69104</v>
      </c>
      <c r="C238" s="16" t="str">
        <f t="shared" si="19"/>
        <v>0000000</v>
      </c>
      <c r="D238" s="17" t="s">
        <v>3663</v>
      </c>
      <c r="E238" s="16" t="s">
        <v>2619</v>
      </c>
      <c r="F238" s="16" t="s">
        <v>2616</v>
      </c>
      <c r="G238" s="35" t="s">
        <v>2620</v>
      </c>
      <c r="H238" s="39">
        <v>107.89</v>
      </c>
      <c r="I238" s="39">
        <v>101.23</v>
      </c>
      <c r="J238" s="39">
        <v>111.52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0</v>
      </c>
      <c r="Q238" s="39">
        <v>0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0</v>
      </c>
      <c r="AI238" s="39">
        <v>107.89</v>
      </c>
      <c r="AJ238" s="39">
        <v>101.23</v>
      </c>
      <c r="AK238" s="39">
        <v>111.52</v>
      </c>
      <c r="AL238" s="39">
        <v>0</v>
      </c>
      <c r="AM238" s="39">
        <v>0</v>
      </c>
      <c r="AN238" s="39">
        <v>0</v>
      </c>
      <c r="AO238" s="39">
        <v>107.89</v>
      </c>
      <c r="AP238" s="39">
        <v>101.23</v>
      </c>
      <c r="AQ238" s="39">
        <v>111.52</v>
      </c>
      <c r="AR238" s="39">
        <v>111.52</v>
      </c>
    </row>
    <row r="239" spans="1:44" x14ac:dyDescent="0.35">
      <c r="A239" s="16" t="str">
        <f t="shared" si="21"/>
        <v>42</v>
      </c>
      <c r="B239" s="19">
        <v>69112</v>
      </c>
      <c r="C239" s="16" t="str">
        <f t="shared" si="19"/>
        <v>0000000</v>
      </c>
      <c r="D239" s="17" t="s">
        <v>3663</v>
      </c>
      <c r="E239" s="16" t="s">
        <v>2621</v>
      </c>
      <c r="F239" s="16" t="s">
        <v>2616</v>
      </c>
      <c r="G239" s="35" t="s">
        <v>2622</v>
      </c>
      <c r="H239" s="39">
        <v>197.13</v>
      </c>
      <c r="I239" s="39">
        <v>187.42</v>
      </c>
      <c r="J239" s="39">
        <v>180.1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0</v>
      </c>
      <c r="AI239" s="39">
        <v>197.13</v>
      </c>
      <c r="AJ239" s="39">
        <v>187.42</v>
      </c>
      <c r="AK239" s="39">
        <v>180.1</v>
      </c>
      <c r="AL239" s="39">
        <v>0</v>
      </c>
      <c r="AM239" s="39">
        <v>0</v>
      </c>
      <c r="AN239" s="39">
        <v>0</v>
      </c>
      <c r="AO239" s="39">
        <v>197.13</v>
      </c>
      <c r="AP239" s="39">
        <v>187.42</v>
      </c>
      <c r="AQ239" s="39">
        <v>180.1</v>
      </c>
      <c r="AR239" s="39">
        <v>197.13</v>
      </c>
    </row>
    <row r="240" spans="1:44" x14ac:dyDescent="0.35">
      <c r="A240" s="16" t="str">
        <f t="shared" si="21"/>
        <v>42</v>
      </c>
      <c r="B240" s="19">
        <v>69138</v>
      </c>
      <c r="C240" s="16" t="str">
        <f t="shared" si="19"/>
        <v>0000000</v>
      </c>
      <c r="D240" s="17" t="s">
        <v>3663</v>
      </c>
      <c r="E240" s="16" t="s">
        <v>2634</v>
      </c>
      <c r="F240" s="16" t="s">
        <v>2616</v>
      </c>
      <c r="G240" s="35" t="s">
        <v>2635</v>
      </c>
      <c r="H240" s="39">
        <v>543.36</v>
      </c>
      <c r="I240" s="39">
        <v>536.35</v>
      </c>
      <c r="J240" s="39">
        <v>512.65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0</v>
      </c>
      <c r="AI240" s="39">
        <v>543.36</v>
      </c>
      <c r="AJ240" s="39">
        <v>536.35</v>
      </c>
      <c r="AK240" s="39">
        <v>512.65</v>
      </c>
      <c r="AL240" s="39">
        <v>0</v>
      </c>
      <c r="AM240" s="39">
        <v>0</v>
      </c>
      <c r="AN240" s="39">
        <v>0</v>
      </c>
      <c r="AO240" s="39">
        <v>543.36</v>
      </c>
      <c r="AP240" s="39">
        <v>536.35</v>
      </c>
      <c r="AQ240" s="39">
        <v>512.65</v>
      </c>
      <c r="AR240" s="39">
        <v>543.36</v>
      </c>
    </row>
    <row r="241" spans="1:44" x14ac:dyDescent="0.35">
      <c r="A241" s="16" t="str">
        <f t="shared" si="21"/>
        <v>42</v>
      </c>
      <c r="B241" s="19">
        <v>69161</v>
      </c>
      <c r="C241" s="16" t="str">
        <f t="shared" si="19"/>
        <v>0000000</v>
      </c>
      <c r="D241" s="17" t="s">
        <v>3663</v>
      </c>
      <c r="E241" s="16" t="s">
        <v>2638</v>
      </c>
      <c r="F241" s="16" t="s">
        <v>2616</v>
      </c>
      <c r="G241" s="35" t="s">
        <v>2639</v>
      </c>
      <c r="H241" s="39">
        <v>181.95</v>
      </c>
      <c r="I241" s="39">
        <v>171.03</v>
      </c>
      <c r="J241" s="39">
        <v>180.25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0</v>
      </c>
      <c r="AI241" s="39">
        <v>181.95</v>
      </c>
      <c r="AJ241" s="39">
        <v>171.03</v>
      </c>
      <c r="AK241" s="39">
        <v>180.25</v>
      </c>
      <c r="AL241" s="39">
        <v>0</v>
      </c>
      <c r="AM241" s="39">
        <v>0</v>
      </c>
      <c r="AN241" s="39">
        <v>0</v>
      </c>
      <c r="AO241" s="39">
        <v>181.95</v>
      </c>
      <c r="AP241" s="39">
        <v>171.03</v>
      </c>
      <c r="AQ241" s="39">
        <v>180.25</v>
      </c>
      <c r="AR241" s="39">
        <v>181.95</v>
      </c>
    </row>
    <row r="242" spans="1:44" x14ac:dyDescent="0.35">
      <c r="A242" s="16" t="str">
        <f t="shared" si="21"/>
        <v>42</v>
      </c>
      <c r="B242" s="19">
        <v>69179</v>
      </c>
      <c r="C242" s="16" t="str">
        <f t="shared" si="19"/>
        <v>0000000</v>
      </c>
      <c r="D242" s="17" t="s">
        <v>3663</v>
      </c>
      <c r="E242" s="16" t="s">
        <v>2640</v>
      </c>
      <c r="F242" s="16" t="s">
        <v>2616</v>
      </c>
      <c r="G242" s="35" t="s">
        <v>2641</v>
      </c>
      <c r="H242" s="39">
        <v>153.91999999999999</v>
      </c>
      <c r="I242" s="39">
        <v>166.53</v>
      </c>
      <c r="J242" s="39">
        <v>162.69</v>
      </c>
      <c r="K242" s="39">
        <v>0</v>
      </c>
      <c r="L242" s="39">
        <v>0</v>
      </c>
      <c r="M242" s="39">
        <v>0</v>
      </c>
      <c r="N242" s="39">
        <v>12.15</v>
      </c>
      <c r="O242" s="39">
        <v>11.06</v>
      </c>
      <c r="P242" s="39">
        <v>19.97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175.92</v>
      </c>
      <c r="AD242" s="39">
        <v>157.01</v>
      </c>
      <c r="AE242" s="39">
        <v>149.47</v>
      </c>
      <c r="AF242" s="39">
        <v>0</v>
      </c>
      <c r="AG242" s="39">
        <v>0</v>
      </c>
      <c r="AH242" s="39">
        <v>0</v>
      </c>
      <c r="AI242" s="39">
        <v>341.99</v>
      </c>
      <c r="AJ242" s="39">
        <v>334.6</v>
      </c>
      <c r="AK242" s="39">
        <v>332.13</v>
      </c>
      <c r="AL242" s="39">
        <v>0</v>
      </c>
      <c r="AM242" s="39">
        <v>0</v>
      </c>
      <c r="AN242" s="39">
        <v>0</v>
      </c>
      <c r="AO242" s="39">
        <v>341.99</v>
      </c>
      <c r="AP242" s="39">
        <v>334.6</v>
      </c>
      <c r="AQ242" s="39">
        <v>332.13</v>
      </c>
      <c r="AR242" s="39">
        <v>341.99</v>
      </c>
    </row>
    <row r="243" spans="1:44" x14ac:dyDescent="0.35">
      <c r="A243" s="16" t="str">
        <f t="shared" si="21"/>
        <v>42</v>
      </c>
      <c r="B243" s="19">
        <v>69203</v>
      </c>
      <c r="C243" s="16" t="str">
        <f t="shared" si="19"/>
        <v>0000000</v>
      </c>
      <c r="D243" s="17" t="s">
        <v>3663</v>
      </c>
      <c r="E243" s="16" t="s">
        <v>2642</v>
      </c>
      <c r="F243" s="16" t="s">
        <v>2616</v>
      </c>
      <c r="G243" s="35" t="s">
        <v>2643</v>
      </c>
      <c r="H243" s="39">
        <v>1238.1199999999999</v>
      </c>
      <c r="I243" s="39">
        <v>1241.98</v>
      </c>
      <c r="J243" s="39">
        <v>1170.01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1238.1199999999999</v>
      </c>
      <c r="AJ243" s="39">
        <v>1241.98</v>
      </c>
      <c r="AK243" s="39">
        <v>1170.01</v>
      </c>
      <c r="AL243" s="39">
        <v>0</v>
      </c>
      <c r="AM243" s="39">
        <v>0</v>
      </c>
      <c r="AN243" s="39">
        <v>0</v>
      </c>
      <c r="AO243" s="39">
        <v>1238.1199999999999</v>
      </c>
      <c r="AP243" s="39">
        <v>1241.98</v>
      </c>
      <c r="AQ243" s="39">
        <v>1170.01</v>
      </c>
      <c r="AR243" s="39">
        <v>1241.98</v>
      </c>
    </row>
    <row r="244" spans="1:44" x14ac:dyDescent="0.35">
      <c r="A244" s="16" t="str">
        <f t="shared" si="21"/>
        <v>42</v>
      </c>
      <c r="B244" s="19">
        <v>69245</v>
      </c>
      <c r="C244" s="16" t="str">
        <f t="shared" si="19"/>
        <v>0000000</v>
      </c>
      <c r="D244" s="17" t="s">
        <v>3663</v>
      </c>
      <c r="E244" s="16" t="s">
        <v>2651</v>
      </c>
      <c r="F244" s="16" t="s">
        <v>2616</v>
      </c>
      <c r="G244" s="35" t="s">
        <v>2652</v>
      </c>
      <c r="H244" s="39">
        <v>149.81</v>
      </c>
      <c r="I244" s="39">
        <v>147.59</v>
      </c>
      <c r="J244" s="39">
        <v>148.26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149.81</v>
      </c>
      <c r="AJ244" s="39">
        <v>147.59</v>
      </c>
      <c r="AK244" s="39">
        <v>148.26</v>
      </c>
      <c r="AL244" s="39">
        <v>0</v>
      </c>
      <c r="AM244" s="39">
        <v>0</v>
      </c>
      <c r="AN244" s="39">
        <v>0</v>
      </c>
      <c r="AO244" s="39">
        <v>149.81</v>
      </c>
      <c r="AP244" s="39">
        <v>147.59</v>
      </c>
      <c r="AQ244" s="39">
        <v>148.26</v>
      </c>
      <c r="AR244" s="39">
        <v>149.81</v>
      </c>
    </row>
    <row r="245" spans="1:44" x14ac:dyDescent="0.35">
      <c r="A245" s="16" t="str">
        <f t="shared" si="21"/>
        <v>42</v>
      </c>
      <c r="B245" s="19">
        <v>69252</v>
      </c>
      <c r="C245" s="16" t="str">
        <f t="shared" si="19"/>
        <v>0000000</v>
      </c>
      <c r="D245" s="17" t="s">
        <v>3663</v>
      </c>
      <c r="E245" s="16" t="s">
        <v>2653</v>
      </c>
      <c r="F245" s="16" t="s">
        <v>2616</v>
      </c>
      <c r="G245" s="35" t="s">
        <v>2654</v>
      </c>
      <c r="H245" s="39">
        <v>351.05</v>
      </c>
      <c r="I245" s="39">
        <v>332.82</v>
      </c>
      <c r="J245" s="39">
        <v>331.41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351.05</v>
      </c>
      <c r="AJ245" s="39">
        <v>332.82</v>
      </c>
      <c r="AK245" s="39">
        <v>331.41</v>
      </c>
      <c r="AL245" s="39">
        <v>0</v>
      </c>
      <c r="AM245" s="39">
        <v>0</v>
      </c>
      <c r="AN245" s="39">
        <v>0</v>
      </c>
      <c r="AO245" s="39">
        <v>351.05</v>
      </c>
      <c r="AP245" s="39">
        <v>332.82</v>
      </c>
      <c r="AQ245" s="39">
        <v>331.41</v>
      </c>
      <c r="AR245" s="39">
        <v>351.05</v>
      </c>
    </row>
    <row r="246" spans="1:44" x14ac:dyDescent="0.35">
      <c r="A246" s="16" t="str">
        <f t="shared" si="21"/>
        <v>42</v>
      </c>
      <c r="B246" s="19">
        <v>69328</v>
      </c>
      <c r="C246" s="16" t="str">
        <f t="shared" si="19"/>
        <v>0000000</v>
      </c>
      <c r="D246" s="17" t="s">
        <v>3663</v>
      </c>
      <c r="E246" s="16" t="s">
        <v>2659</v>
      </c>
      <c r="F246" s="16" t="s">
        <v>2616</v>
      </c>
      <c r="G246" s="35" t="s">
        <v>2660</v>
      </c>
      <c r="H246" s="39">
        <v>750.28</v>
      </c>
      <c r="I246" s="39">
        <v>804.28</v>
      </c>
      <c r="J246" s="39">
        <v>802.14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750.28</v>
      </c>
      <c r="AJ246" s="39">
        <v>804.28</v>
      </c>
      <c r="AK246" s="39">
        <v>802.14</v>
      </c>
      <c r="AL246" s="39">
        <v>0</v>
      </c>
      <c r="AM246" s="39">
        <v>0</v>
      </c>
      <c r="AN246" s="39">
        <v>0</v>
      </c>
      <c r="AO246" s="39">
        <v>750.28</v>
      </c>
      <c r="AP246" s="39">
        <v>804.28</v>
      </c>
      <c r="AQ246" s="39">
        <v>802.14</v>
      </c>
      <c r="AR246" s="39">
        <v>804.28</v>
      </c>
    </row>
    <row r="247" spans="1:44" x14ac:dyDescent="0.35">
      <c r="A247" s="16" t="str">
        <f t="shared" si="21"/>
        <v>42</v>
      </c>
      <c r="B247" s="19">
        <v>69336</v>
      </c>
      <c r="C247" s="16" t="str">
        <f t="shared" si="19"/>
        <v>0000000</v>
      </c>
      <c r="D247" s="17" t="s">
        <v>3663</v>
      </c>
      <c r="E247" s="16" t="s">
        <v>2661</v>
      </c>
      <c r="F247" s="16" t="s">
        <v>2616</v>
      </c>
      <c r="G247" s="35" t="s">
        <v>2662</v>
      </c>
      <c r="H247" s="39">
        <v>564.97</v>
      </c>
      <c r="I247" s="39">
        <v>567.69000000000005</v>
      </c>
      <c r="J247" s="39">
        <v>556.55999999999995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564.97</v>
      </c>
      <c r="AJ247" s="39">
        <v>567.69000000000005</v>
      </c>
      <c r="AK247" s="39">
        <v>556.55999999999995</v>
      </c>
      <c r="AL247" s="39">
        <v>0</v>
      </c>
      <c r="AM247" s="39">
        <v>0</v>
      </c>
      <c r="AN247" s="39">
        <v>0</v>
      </c>
      <c r="AO247" s="39">
        <v>564.97</v>
      </c>
      <c r="AP247" s="39">
        <v>567.69000000000005</v>
      </c>
      <c r="AQ247" s="39">
        <v>556.55999999999995</v>
      </c>
      <c r="AR247" s="39">
        <v>567.69000000000005</v>
      </c>
    </row>
    <row r="248" spans="1:44" x14ac:dyDescent="0.35">
      <c r="A248" s="16" t="str">
        <f t="shared" si="21"/>
        <v>42</v>
      </c>
      <c r="B248" s="19">
        <v>69344</v>
      </c>
      <c r="C248" s="16" t="str">
        <f t="shared" si="19"/>
        <v>0000000</v>
      </c>
      <c r="D248" s="17" t="s">
        <v>3663</v>
      </c>
      <c r="E248" s="16" t="s">
        <v>2663</v>
      </c>
      <c r="F248" s="16" t="s">
        <v>2616</v>
      </c>
      <c r="G248" s="35" t="s">
        <v>2664</v>
      </c>
      <c r="H248" s="39">
        <v>26.42</v>
      </c>
      <c r="I248" s="39">
        <v>29.52</v>
      </c>
      <c r="J248" s="39">
        <v>25.01</v>
      </c>
      <c r="K248" s="39">
        <v>0</v>
      </c>
      <c r="L248" s="39">
        <v>0</v>
      </c>
      <c r="M248" s="39">
        <v>0</v>
      </c>
      <c r="N248" s="39">
        <v>33.47</v>
      </c>
      <c r="O248" s="39">
        <v>27.75</v>
      </c>
      <c r="P248" s="39">
        <v>11.02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59.89</v>
      </c>
      <c r="AJ248" s="39">
        <v>57.27</v>
      </c>
      <c r="AK248" s="39">
        <v>36.03</v>
      </c>
      <c r="AL248" s="39">
        <v>0</v>
      </c>
      <c r="AM248" s="39">
        <v>0</v>
      </c>
      <c r="AN248" s="39">
        <v>0</v>
      </c>
      <c r="AO248" s="39">
        <v>59.89</v>
      </c>
      <c r="AP248" s="39">
        <v>57.27</v>
      </c>
      <c r="AQ248" s="39">
        <v>36.03</v>
      </c>
      <c r="AR248" s="39">
        <v>59.89</v>
      </c>
    </row>
    <row r="249" spans="1:44" x14ac:dyDescent="0.35">
      <c r="A249" s="16" t="str">
        <f t="shared" si="21"/>
        <v>42</v>
      </c>
      <c r="B249" s="19">
        <v>75010</v>
      </c>
      <c r="C249" s="16" t="str">
        <f t="shared" si="19"/>
        <v>0000000</v>
      </c>
      <c r="D249" s="17" t="s">
        <v>3663</v>
      </c>
      <c r="E249" s="16" t="s">
        <v>2665</v>
      </c>
      <c r="F249" s="16" t="s">
        <v>2616</v>
      </c>
      <c r="G249" s="35" t="s">
        <v>2666</v>
      </c>
      <c r="H249" s="39">
        <v>153.04</v>
      </c>
      <c r="I249" s="39">
        <v>160.63</v>
      </c>
      <c r="J249" s="39">
        <v>159.53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0</v>
      </c>
      <c r="AI249" s="39">
        <v>153.04</v>
      </c>
      <c r="AJ249" s="39">
        <v>160.63</v>
      </c>
      <c r="AK249" s="39">
        <v>159.53</v>
      </c>
      <c r="AL249" s="39">
        <v>0</v>
      </c>
      <c r="AM249" s="39">
        <v>0</v>
      </c>
      <c r="AN249" s="39">
        <v>0</v>
      </c>
      <c r="AO249" s="39">
        <v>153.04</v>
      </c>
      <c r="AP249" s="39">
        <v>160.63</v>
      </c>
      <c r="AQ249" s="39">
        <v>159.53</v>
      </c>
      <c r="AR249" s="39">
        <v>160.63</v>
      </c>
    </row>
    <row r="250" spans="1:44" x14ac:dyDescent="0.35">
      <c r="A250" s="16" t="str">
        <f t="shared" si="21"/>
        <v>42</v>
      </c>
      <c r="B250" s="19">
        <v>69112</v>
      </c>
      <c r="C250" s="16" t="str">
        <f>TEXT(111773,"0000000")</f>
        <v>0111773</v>
      </c>
      <c r="D250" s="17" t="s">
        <v>2625</v>
      </c>
      <c r="E250" s="16" t="s">
        <v>2623</v>
      </c>
      <c r="F250" s="16" t="s">
        <v>2616</v>
      </c>
      <c r="G250" s="35" t="s">
        <v>2624</v>
      </c>
      <c r="H250" s="39">
        <v>0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374.71</v>
      </c>
      <c r="AD250" s="39">
        <v>383.29</v>
      </c>
      <c r="AE250" s="39">
        <v>372.49</v>
      </c>
      <c r="AF250" s="39">
        <v>0</v>
      </c>
      <c r="AG250" s="39">
        <v>0</v>
      </c>
      <c r="AH250" s="39">
        <v>0</v>
      </c>
      <c r="AI250" s="39">
        <v>374.71</v>
      </c>
      <c r="AJ250" s="39">
        <v>383.29</v>
      </c>
      <c r="AK250" s="39">
        <v>372.49</v>
      </c>
      <c r="AL250" s="39">
        <v>0</v>
      </c>
      <c r="AM250" s="39">
        <v>0</v>
      </c>
      <c r="AN250" s="39">
        <v>0</v>
      </c>
      <c r="AO250" s="39">
        <v>374.71</v>
      </c>
      <c r="AP250" s="39">
        <v>383.29</v>
      </c>
      <c r="AQ250" s="39">
        <v>372.49</v>
      </c>
      <c r="AR250" s="39">
        <v>383.29</v>
      </c>
    </row>
    <row r="251" spans="1:44" x14ac:dyDescent="0.35">
      <c r="A251" s="16" t="str">
        <f t="shared" si="21"/>
        <v>42</v>
      </c>
      <c r="B251" s="19">
        <v>76786</v>
      </c>
      <c r="C251" s="16" t="str">
        <f>TEXT(,"0000000")</f>
        <v>0000000</v>
      </c>
      <c r="D251" s="17" t="s">
        <v>3663</v>
      </c>
      <c r="E251" s="16" t="s">
        <v>2669</v>
      </c>
      <c r="F251" s="16" t="s">
        <v>2616</v>
      </c>
      <c r="G251" s="35" t="s">
        <v>2670</v>
      </c>
      <c r="H251" s="39">
        <v>11006.66</v>
      </c>
      <c r="I251" s="39">
        <v>11253.4</v>
      </c>
      <c r="J251" s="39">
        <v>11213.85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744.52</v>
      </c>
      <c r="AD251" s="39">
        <v>741.72</v>
      </c>
      <c r="AE251" s="39">
        <v>721.63</v>
      </c>
      <c r="AF251" s="39">
        <v>0</v>
      </c>
      <c r="AG251" s="39">
        <v>0</v>
      </c>
      <c r="AH251" s="39">
        <v>0</v>
      </c>
      <c r="AI251" s="39">
        <v>11751.18</v>
      </c>
      <c r="AJ251" s="39">
        <v>11995.12</v>
      </c>
      <c r="AK251" s="39">
        <v>11935.48</v>
      </c>
      <c r="AL251" s="39">
        <v>0</v>
      </c>
      <c r="AM251" s="39">
        <v>0</v>
      </c>
      <c r="AN251" s="39">
        <v>0</v>
      </c>
      <c r="AO251" s="39">
        <v>11751.18</v>
      </c>
      <c r="AP251" s="39">
        <v>11995.12</v>
      </c>
      <c r="AQ251" s="39">
        <v>11935.48</v>
      </c>
      <c r="AR251" s="39">
        <v>11995.12</v>
      </c>
    </row>
    <row r="252" spans="1:44" x14ac:dyDescent="0.35">
      <c r="A252" s="16" t="str">
        <f t="shared" si="21"/>
        <v>42</v>
      </c>
      <c r="B252" s="19">
        <v>76786</v>
      </c>
      <c r="C252" s="16" t="str">
        <f>TEXT(6111603,"0000000")</f>
        <v>6111603</v>
      </c>
      <c r="D252" s="17" t="s">
        <v>2673</v>
      </c>
      <c r="E252" s="16" t="s">
        <v>2671</v>
      </c>
      <c r="F252" s="16" t="s">
        <v>2616</v>
      </c>
      <c r="G252" s="35" t="s">
        <v>2672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255.46</v>
      </c>
      <c r="AD252" s="39">
        <v>274.02999999999997</v>
      </c>
      <c r="AE252" s="39">
        <v>264.52</v>
      </c>
      <c r="AF252" s="39">
        <v>0</v>
      </c>
      <c r="AG252" s="39">
        <v>0</v>
      </c>
      <c r="AH252" s="39">
        <v>0</v>
      </c>
      <c r="AI252" s="39">
        <v>255.46</v>
      </c>
      <c r="AJ252" s="39">
        <v>274.02999999999997</v>
      </c>
      <c r="AK252" s="39">
        <v>264.52</v>
      </c>
      <c r="AL252" s="39">
        <v>0</v>
      </c>
      <c r="AM252" s="39">
        <v>0</v>
      </c>
      <c r="AN252" s="39">
        <v>0</v>
      </c>
      <c r="AO252" s="39">
        <v>255.46</v>
      </c>
      <c r="AP252" s="39">
        <v>274.02999999999997</v>
      </c>
      <c r="AQ252" s="39">
        <v>264.52</v>
      </c>
      <c r="AR252" s="39">
        <v>274.02999999999997</v>
      </c>
    </row>
    <row r="253" spans="1:44" x14ac:dyDescent="0.35">
      <c r="A253" s="16" t="str">
        <f t="shared" si="21"/>
        <v>42</v>
      </c>
      <c r="B253" s="19">
        <v>69229</v>
      </c>
      <c r="C253" s="16" t="str">
        <f>TEXT(116921,"0000000")</f>
        <v>0116921</v>
      </c>
      <c r="D253" s="17" t="s">
        <v>2650</v>
      </c>
      <c r="E253" s="16" t="s">
        <v>2648</v>
      </c>
      <c r="F253" s="16" t="s">
        <v>2616</v>
      </c>
      <c r="G253" s="35" t="s">
        <v>2649</v>
      </c>
      <c r="H253" s="39">
        <v>0</v>
      </c>
      <c r="I253" s="39">
        <v>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460.56</v>
      </c>
      <c r="AD253" s="39">
        <v>437.87</v>
      </c>
      <c r="AE253" s="39">
        <v>424.74</v>
      </c>
      <c r="AF253" s="39">
        <v>0</v>
      </c>
      <c r="AG253" s="39">
        <v>0</v>
      </c>
      <c r="AH253" s="39">
        <v>0</v>
      </c>
      <c r="AI253" s="39">
        <v>460.56</v>
      </c>
      <c r="AJ253" s="39">
        <v>437.87</v>
      </c>
      <c r="AK253" s="39">
        <v>424.74</v>
      </c>
      <c r="AL253" s="39">
        <v>0</v>
      </c>
      <c r="AM253" s="39">
        <v>0</v>
      </c>
      <c r="AN253" s="39">
        <v>0</v>
      </c>
      <c r="AO253" s="39">
        <v>460.56</v>
      </c>
      <c r="AP253" s="39">
        <v>437.87</v>
      </c>
      <c r="AQ253" s="39">
        <v>424.74</v>
      </c>
      <c r="AR253" s="39">
        <v>460.56</v>
      </c>
    </row>
    <row r="254" spans="1:44" x14ac:dyDescent="0.35">
      <c r="A254" s="16" t="str">
        <f t="shared" si="21"/>
        <v>42</v>
      </c>
      <c r="B254" s="19">
        <v>76786</v>
      </c>
      <c r="C254" s="16" t="str">
        <f>TEXT(6118202,"0000000")</f>
        <v>6118202</v>
      </c>
      <c r="D254" s="17" t="s">
        <v>2676</v>
      </c>
      <c r="E254" s="16" t="s">
        <v>2674</v>
      </c>
      <c r="F254" s="16" t="s">
        <v>2616</v>
      </c>
      <c r="G254" s="35" t="s">
        <v>2675</v>
      </c>
      <c r="H254" s="39">
        <v>0</v>
      </c>
      <c r="I254" s="39">
        <v>0</v>
      </c>
      <c r="J254" s="39">
        <v>0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291.17</v>
      </c>
      <c r="AD254" s="39">
        <v>288.05</v>
      </c>
      <c r="AE254" s="39">
        <v>273.39</v>
      </c>
      <c r="AF254" s="39">
        <v>0</v>
      </c>
      <c r="AG254" s="39">
        <v>0</v>
      </c>
      <c r="AH254" s="39">
        <v>0</v>
      </c>
      <c r="AI254" s="39">
        <v>291.17</v>
      </c>
      <c r="AJ254" s="39">
        <v>288.05</v>
      </c>
      <c r="AK254" s="39">
        <v>273.39</v>
      </c>
      <c r="AL254" s="39">
        <v>0</v>
      </c>
      <c r="AM254" s="39">
        <v>0</v>
      </c>
      <c r="AN254" s="39">
        <v>0</v>
      </c>
      <c r="AO254" s="39">
        <v>291.17</v>
      </c>
      <c r="AP254" s="39">
        <v>288.05</v>
      </c>
      <c r="AQ254" s="39">
        <v>273.39</v>
      </c>
      <c r="AR254" s="39">
        <v>291.17</v>
      </c>
    </row>
    <row r="255" spans="1:44" x14ac:dyDescent="0.35">
      <c r="A255" s="16" t="str">
        <f t="shared" si="21"/>
        <v>42</v>
      </c>
      <c r="B255" s="19">
        <v>69195</v>
      </c>
      <c r="C255" s="16" t="str">
        <f t="shared" ref="C255:C286" si="22">TEXT(,"0000000")</f>
        <v>0000000</v>
      </c>
      <c r="D255" s="17" t="s">
        <v>3663</v>
      </c>
      <c r="E255" s="16" t="s">
        <v>3587</v>
      </c>
      <c r="F255" s="16" t="s">
        <v>2616</v>
      </c>
      <c r="G255" s="35" t="s">
        <v>3588</v>
      </c>
      <c r="H255" s="39">
        <v>3226.18</v>
      </c>
      <c r="I255" s="39">
        <v>3231.47</v>
      </c>
      <c r="J255" s="39">
        <v>3196.02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3226.18</v>
      </c>
      <c r="AJ255" s="39">
        <v>3231.47</v>
      </c>
      <c r="AK255" s="39">
        <v>3196.02</v>
      </c>
      <c r="AL255" s="39">
        <v>0</v>
      </c>
      <c r="AM255" s="39">
        <v>0</v>
      </c>
      <c r="AN255" s="39">
        <v>0</v>
      </c>
      <c r="AO255" s="39">
        <v>3226.18</v>
      </c>
      <c r="AP255" s="39">
        <v>3231.47</v>
      </c>
      <c r="AQ255" s="39">
        <v>3196.02</v>
      </c>
      <c r="AR255" s="39">
        <v>3231.47</v>
      </c>
    </row>
    <row r="256" spans="1:44" x14ac:dyDescent="0.35">
      <c r="A256" s="16" t="str">
        <f t="shared" ref="A256:A280" si="23">TEXT(27,"00")</f>
        <v>27</v>
      </c>
      <c r="B256" s="19">
        <v>10272</v>
      </c>
      <c r="C256" s="16" t="str">
        <f t="shared" si="22"/>
        <v>0000000</v>
      </c>
      <c r="D256" s="17" t="s">
        <v>3663</v>
      </c>
      <c r="E256" s="16" t="s">
        <v>1379</v>
      </c>
      <c r="F256" s="16" t="s">
        <v>1380</v>
      </c>
      <c r="G256" s="35" t="s">
        <v>1380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85.11</v>
      </c>
      <c r="U256" s="39">
        <v>65.42</v>
      </c>
      <c r="V256" s="39">
        <v>90.61</v>
      </c>
      <c r="W256" s="39">
        <v>287.67</v>
      </c>
      <c r="X256" s="39">
        <v>310.94</v>
      </c>
      <c r="Y256" s="39">
        <v>273.36</v>
      </c>
      <c r="Z256" s="39">
        <v>296.56</v>
      </c>
      <c r="AA256" s="39">
        <v>281.16000000000003</v>
      </c>
      <c r="AB256" s="39">
        <v>284.24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669.34</v>
      </c>
      <c r="AJ256" s="39">
        <v>657.52</v>
      </c>
      <c r="AK256" s="39">
        <v>648.21</v>
      </c>
      <c r="AL256" s="39">
        <v>0</v>
      </c>
      <c r="AM256" s="39">
        <v>0</v>
      </c>
      <c r="AN256" s="39">
        <v>0</v>
      </c>
      <c r="AO256" s="39">
        <v>669.34</v>
      </c>
      <c r="AP256" s="39">
        <v>657.52</v>
      </c>
      <c r="AQ256" s="39">
        <v>648.21</v>
      </c>
      <c r="AR256" s="39">
        <v>669.34</v>
      </c>
    </row>
    <row r="257" spans="1:44" x14ac:dyDescent="0.35">
      <c r="A257" s="16" t="str">
        <f t="shared" si="23"/>
        <v>27</v>
      </c>
      <c r="B257" s="19">
        <v>65961</v>
      </c>
      <c r="C257" s="16" t="str">
        <f t="shared" si="22"/>
        <v>0000000</v>
      </c>
      <c r="D257" s="17" t="s">
        <v>3663</v>
      </c>
      <c r="E257" s="16" t="s">
        <v>1389</v>
      </c>
      <c r="F257" s="16" t="s">
        <v>1380</v>
      </c>
      <c r="G257" s="35" t="s">
        <v>1390</v>
      </c>
      <c r="H257" s="39">
        <v>6859.73</v>
      </c>
      <c r="I257" s="39">
        <v>6958.25</v>
      </c>
      <c r="J257" s="39">
        <v>6971.61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6859.73</v>
      </c>
      <c r="AJ257" s="39">
        <v>6958.25</v>
      </c>
      <c r="AK257" s="39">
        <v>6971.61</v>
      </c>
      <c r="AL257" s="39">
        <v>0</v>
      </c>
      <c r="AM257" s="39">
        <v>0</v>
      </c>
      <c r="AN257" s="39">
        <v>0</v>
      </c>
      <c r="AO257" s="39">
        <v>6859.73</v>
      </c>
      <c r="AP257" s="39">
        <v>6958.25</v>
      </c>
      <c r="AQ257" s="39">
        <v>6971.61</v>
      </c>
      <c r="AR257" s="39">
        <v>6971.61</v>
      </c>
    </row>
    <row r="258" spans="1:44" x14ac:dyDescent="0.35">
      <c r="A258" s="16" t="str">
        <f t="shared" si="23"/>
        <v>27</v>
      </c>
      <c r="B258" s="19">
        <v>65995</v>
      </c>
      <c r="C258" s="16" t="str">
        <f t="shared" si="22"/>
        <v>0000000</v>
      </c>
      <c r="D258" s="17" t="s">
        <v>3663</v>
      </c>
      <c r="E258" s="16" t="s">
        <v>1395</v>
      </c>
      <c r="F258" s="16" t="s">
        <v>1380</v>
      </c>
      <c r="G258" s="35" t="s">
        <v>1396</v>
      </c>
      <c r="H258" s="39">
        <v>214.54</v>
      </c>
      <c r="I258" s="39">
        <v>229.78</v>
      </c>
      <c r="J258" s="39">
        <v>245.26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214.54</v>
      </c>
      <c r="AJ258" s="39">
        <v>229.78</v>
      </c>
      <c r="AK258" s="39">
        <v>245.26</v>
      </c>
      <c r="AL258" s="39">
        <v>0</v>
      </c>
      <c r="AM258" s="39">
        <v>0</v>
      </c>
      <c r="AN258" s="39">
        <v>0</v>
      </c>
      <c r="AO258" s="39">
        <v>214.54</v>
      </c>
      <c r="AP258" s="39">
        <v>229.78</v>
      </c>
      <c r="AQ258" s="39">
        <v>245.26</v>
      </c>
      <c r="AR258" s="39">
        <v>245.26</v>
      </c>
    </row>
    <row r="259" spans="1:44" x14ac:dyDescent="0.35">
      <c r="A259" s="16" t="str">
        <f t="shared" si="23"/>
        <v>27</v>
      </c>
      <c r="B259" s="19">
        <v>66035</v>
      </c>
      <c r="C259" s="16" t="str">
        <f t="shared" si="22"/>
        <v>0000000</v>
      </c>
      <c r="D259" s="17" t="s">
        <v>3663</v>
      </c>
      <c r="E259" s="16" t="s">
        <v>1399</v>
      </c>
      <c r="F259" s="16" t="s">
        <v>1380</v>
      </c>
      <c r="G259" s="35" t="s">
        <v>1400</v>
      </c>
      <c r="H259" s="39">
        <v>3141.21</v>
      </c>
      <c r="I259" s="39">
        <v>3172.93</v>
      </c>
      <c r="J259" s="39">
        <v>3187.15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3141.21</v>
      </c>
      <c r="AJ259" s="39">
        <v>3172.93</v>
      </c>
      <c r="AK259" s="39">
        <v>3187.15</v>
      </c>
      <c r="AL259" s="39">
        <v>0</v>
      </c>
      <c r="AM259" s="39">
        <v>0</v>
      </c>
      <c r="AN259" s="39">
        <v>0</v>
      </c>
      <c r="AO259" s="39">
        <v>3141.21</v>
      </c>
      <c r="AP259" s="39">
        <v>3172.93</v>
      </c>
      <c r="AQ259" s="39">
        <v>3187.15</v>
      </c>
      <c r="AR259" s="39">
        <v>3187.15</v>
      </c>
    </row>
    <row r="260" spans="1:44" x14ac:dyDescent="0.35">
      <c r="A260" s="16" t="str">
        <f t="shared" si="23"/>
        <v>27</v>
      </c>
      <c r="B260" s="19">
        <v>66050</v>
      </c>
      <c r="C260" s="16" t="str">
        <f t="shared" si="22"/>
        <v>0000000</v>
      </c>
      <c r="D260" s="17" t="s">
        <v>3663</v>
      </c>
      <c r="E260" s="16" t="s">
        <v>1401</v>
      </c>
      <c r="F260" s="16" t="s">
        <v>1380</v>
      </c>
      <c r="G260" s="35" t="s">
        <v>1402</v>
      </c>
      <c r="H260" s="39">
        <v>2386.7399999999998</v>
      </c>
      <c r="I260" s="39">
        <v>2380.25</v>
      </c>
      <c r="J260" s="39">
        <v>2370.7800000000002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2386.7399999999998</v>
      </c>
      <c r="AJ260" s="39">
        <v>2380.25</v>
      </c>
      <c r="AK260" s="39">
        <v>2370.7800000000002</v>
      </c>
      <c r="AL260" s="39">
        <v>0</v>
      </c>
      <c r="AM260" s="39">
        <v>0</v>
      </c>
      <c r="AN260" s="39">
        <v>0</v>
      </c>
      <c r="AO260" s="39">
        <v>2386.7399999999998</v>
      </c>
      <c r="AP260" s="39">
        <v>2380.25</v>
      </c>
      <c r="AQ260" s="39">
        <v>2370.7800000000002</v>
      </c>
      <c r="AR260" s="39">
        <v>2386.7399999999998</v>
      </c>
    </row>
    <row r="261" spans="1:44" x14ac:dyDescent="0.35">
      <c r="A261" s="16" t="str">
        <f t="shared" si="23"/>
        <v>27</v>
      </c>
      <c r="B261" s="19">
        <v>66142</v>
      </c>
      <c r="C261" s="16" t="str">
        <f t="shared" si="22"/>
        <v>0000000</v>
      </c>
      <c r="D261" s="17" t="s">
        <v>3663</v>
      </c>
      <c r="E261" s="16" t="s">
        <v>1419</v>
      </c>
      <c r="F261" s="16" t="s">
        <v>1380</v>
      </c>
      <c r="G261" s="35" t="s">
        <v>1420</v>
      </c>
      <c r="H261" s="39">
        <v>7666.51</v>
      </c>
      <c r="I261" s="39">
        <v>7655.05</v>
      </c>
      <c r="J261" s="39">
        <v>7543.04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>
        <v>0</v>
      </c>
      <c r="Q261" s="39">
        <v>0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0</v>
      </c>
      <c r="AI261" s="39">
        <v>7666.51</v>
      </c>
      <c r="AJ261" s="39">
        <v>7655.05</v>
      </c>
      <c r="AK261" s="39">
        <v>7543.04</v>
      </c>
      <c r="AL261" s="39">
        <v>0</v>
      </c>
      <c r="AM261" s="39">
        <v>0</v>
      </c>
      <c r="AN261" s="39">
        <v>0</v>
      </c>
      <c r="AO261" s="39">
        <v>7666.51</v>
      </c>
      <c r="AP261" s="39">
        <v>7655.05</v>
      </c>
      <c r="AQ261" s="39">
        <v>7543.04</v>
      </c>
      <c r="AR261" s="39">
        <v>7666.51</v>
      </c>
    </row>
    <row r="262" spans="1:44" x14ac:dyDescent="0.35">
      <c r="A262" s="16" t="str">
        <f t="shared" si="23"/>
        <v>27</v>
      </c>
      <c r="B262" s="19">
        <v>66167</v>
      </c>
      <c r="C262" s="16" t="str">
        <f t="shared" si="22"/>
        <v>0000000</v>
      </c>
      <c r="D262" s="17" t="s">
        <v>3663</v>
      </c>
      <c r="E262" s="16" t="s">
        <v>1423</v>
      </c>
      <c r="F262" s="16" t="s">
        <v>1380</v>
      </c>
      <c r="G262" s="35" t="s">
        <v>1424</v>
      </c>
      <c r="H262" s="39">
        <v>128.13</v>
      </c>
      <c r="I262" s="39">
        <v>135.66</v>
      </c>
      <c r="J262" s="39">
        <v>121.03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0</v>
      </c>
      <c r="Q262" s="39">
        <v>0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0</v>
      </c>
      <c r="AI262" s="39">
        <v>128.13</v>
      </c>
      <c r="AJ262" s="39">
        <v>135.66</v>
      </c>
      <c r="AK262" s="39">
        <v>121.03</v>
      </c>
      <c r="AL262" s="39">
        <v>0</v>
      </c>
      <c r="AM262" s="39">
        <v>0</v>
      </c>
      <c r="AN262" s="39">
        <v>0</v>
      </c>
      <c r="AO262" s="39">
        <v>128.13</v>
      </c>
      <c r="AP262" s="39">
        <v>135.66</v>
      </c>
      <c r="AQ262" s="39">
        <v>121.03</v>
      </c>
      <c r="AR262" s="39">
        <v>135.66</v>
      </c>
    </row>
    <row r="263" spans="1:44" x14ac:dyDescent="0.35">
      <c r="A263" s="16" t="str">
        <f t="shared" si="23"/>
        <v>27</v>
      </c>
      <c r="B263" s="19">
        <v>66191</v>
      </c>
      <c r="C263" s="16" t="str">
        <f t="shared" si="22"/>
        <v>0000000</v>
      </c>
      <c r="D263" s="17" t="s">
        <v>3663</v>
      </c>
      <c r="E263" s="16" t="s">
        <v>1429</v>
      </c>
      <c r="F263" s="16" t="s">
        <v>1380</v>
      </c>
      <c r="G263" s="35" t="s">
        <v>1430</v>
      </c>
      <c r="H263" s="39">
        <v>2916.38</v>
      </c>
      <c r="I263" s="39">
        <v>2989.74</v>
      </c>
      <c r="J263" s="39">
        <v>2989.13</v>
      </c>
      <c r="K263" s="39">
        <v>0</v>
      </c>
      <c r="L263" s="39">
        <v>0</v>
      </c>
      <c r="M263" s="39">
        <v>0</v>
      </c>
      <c r="N263" s="39">
        <v>0</v>
      </c>
      <c r="O263" s="39">
        <v>0</v>
      </c>
      <c r="P263" s="39">
        <v>0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0</v>
      </c>
      <c r="AI263" s="39">
        <v>2916.38</v>
      </c>
      <c r="AJ263" s="39">
        <v>2989.74</v>
      </c>
      <c r="AK263" s="39">
        <v>2989.13</v>
      </c>
      <c r="AL263" s="39">
        <v>0</v>
      </c>
      <c r="AM263" s="39">
        <v>0</v>
      </c>
      <c r="AN263" s="39">
        <v>0</v>
      </c>
      <c r="AO263" s="39">
        <v>2916.38</v>
      </c>
      <c r="AP263" s="39">
        <v>2989.74</v>
      </c>
      <c r="AQ263" s="39">
        <v>2989.13</v>
      </c>
      <c r="AR263" s="39">
        <v>2989.74</v>
      </c>
    </row>
    <row r="264" spans="1:44" x14ac:dyDescent="0.35">
      <c r="A264" s="16" t="str">
        <f t="shared" si="23"/>
        <v>27</v>
      </c>
      <c r="B264" s="19">
        <v>66225</v>
      </c>
      <c r="C264" s="16" t="str">
        <f t="shared" si="22"/>
        <v>0000000</v>
      </c>
      <c r="D264" s="17" t="s">
        <v>3663</v>
      </c>
      <c r="E264" s="16" t="s">
        <v>1431</v>
      </c>
      <c r="F264" s="16" t="s">
        <v>1380</v>
      </c>
      <c r="G264" s="35" t="s">
        <v>1432</v>
      </c>
      <c r="H264" s="39">
        <v>811.39</v>
      </c>
      <c r="I264" s="39">
        <v>839.65</v>
      </c>
      <c r="J264" s="39">
        <v>863.74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811.39</v>
      </c>
      <c r="AJ264" s="39">
        <v>839.65</v>
      </c>
      <c r="AK264" s="39">
        <v>863.74</v>
      </c>
      <c r="AL264" s="39">
        <v>0</v>
      </c>
      <c r="AM264" s="39">
        <v>0</v>
      </c>
      <c r="AN264" s="39">
        <v>0</v>
      </c>
      <c r="AO264" s="39">
        <v>811.39</v>
      </c>
      <c r="AP264" s="39">
        <v>839.65</v>
      </c>
      <c r="AQ264" s="39">
        <v>863.74</v>
      </c>
      <c r="AR264" s="39">
        <v>863.74</v>
      </c>
    </row>
    <row r="265" spans="1:44" x14ac:dyDescent="0.35">
      <c r="A265" s="16" t="str">
        <f t="shared" si="23"/>
        <v>27</v>
      </c>
      <c r="B265" s="19">
        <v>66233</v>
      </c>
      <c r="C265" s="16" t="str">
        <f t="shared" si="22"/>
        <v>0000000</v>
      </c>
      <c r="D265" s="17" t="s">
        <v>3663</v>
      </c>
      <c r="E265" s="16" t="s">
        <v>1433</v>
      </c>
      <c r="F265" s="16" t="s">
        <v>1380</v>
      </c>
      <c r="G265" s="35" t="s">
        <v>1434</v>
      </c>
      <c r="H265" s="39">
        <v>724.46</v>
      </c>
      <c r="I265" s="39">
        <v>712.59</v>
      </c>
      <c r="J265" s="39">
        <v>690.84</v>
      </c>
      <c r="K265" s="39">
        <v>0</v>
      </c>
      <c r="L265" s="39">
        <v>0</v>
      </c>
      <c r="M265" s="39">
        <v>0</v>
      </c>
      <c r="N265" s="39">
        <v>0</v>
      </c>
      <c r="O265" s="39">
        <v>0</v>
      </c>
      <c r="P265" s="39">
        <v>0</v>
      </c>
      <c r="Q265" s="39">
        <v>0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724.46</v>
      </c>
      <c r="AJ265" s="39">
        <v>712.59</v>
      </c>
      <c r="AK265" s="39">
        <v>690.84</v>
      </c>
      <c r="AL265" s="39">
        <v>0</v>
      </c>
      <c r="AM265" s="39">
        <v>0</v>
      </c>
      <c r="AN265" s="39">
        <v>0</v>
      </c>
      <c r="AO265" s="39">
        <v>724.46</v>
      </c>
      <c r="AP265" s="39">
        <v>712.59</v>
      </c>
      <c r="AQ265" s="39">
        <v>690.84</v>
      </c>
      <c r="AR265" s="39">
        <v>724.46</v>
      </c>
    </row>
    <row r="266" spans="1:44" x14ac:dyDescent="0.35">
      <c r="A266" s="16" t="str">
        <f t="shared" si="23"/>
        <v>27</v>
      </c>
      <c r="B266" s="19">
        <v>66068</v>
      </c>
      <c r="C266" s="16" t="str">
        <f t="shared" si="22"/>
        <v>0000000</v>
      </c>
      <c r="D266" s="17" t="s">
        <v>3663</v>
      </c>
      <c r="E266" s="16" t="s">
        <v>1403</v>
      </c>
      <c r="F266" s="16" t="s">
        <v>1380</v>
      </c>
      <c r="G266" s="35" t="s">
        <v>1404</v>
      </c>
      <c r="H266" s="39">
        <v>2442.5</v>
      </c>
      <c r="I266" s="39">
        <v>2518.4299999999998</v>
      </c>
      <c r="J266" s="39">
        <v>2531.6799999999998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0</v>
      </c>
      <c r="Q266" s="39">
        <v>0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2442.5</v>
      </c>
      <c r="AJ266" s="39">
        <v>2518.4299999999998</v>
      </c>
      <c r="AK266" s="39">
        <v>2531.6799999999998</v>
      </c>
      <c r="AL266" s="39">
        <v>0</v>
      </c>
      <c r="AM266" s="39">
        <v>0</v>
      </c>
      <c r="AN266" s="39">
        <v>0</v>
      </c>
      <c r="AO266" s="39">
        <v>2442.5</v>
      </c>
      <c r="AP266" s="39">
        <v>2518.4299999999998</v>
      </c>
      <c r="AQ266" s="39">
        <v>2531.6799999999998</v>
      </c>
      <c r="AR266" s="39">
        <v>2531.6799999999998</v>
      </c>
    </row>
    <row r="267" spans="1:44" x14ac:dyDescent="0.35">
      <c r="A267" s="16" t="str">
        <f t="shared" si="23"/>
        <v>27</v>
      </c>
      <c r="B267" s="19">
        <v>66159</v>
      </c>
      <c r="C267" s="16" t="str">
        <f t="shared" si="22"/>
        <v>0000000</v>
      </c>
      <c r="D267" s="17" t="s">
        <v>3663</v>
      </c>
      <c r="E267" s="16" t="s">
        <v>1421</v>
      </c>
      <c r="F267" s="16" t="s">
        <v>1380</v>
      </c>
      <c r="G267" s="35" t="s">
        <v>1422</v>
      </c>
      <c r="H267" s="39">
        <v>14749.15</v>
      </c>
      <c r="I267" s="39">
        <v>15063.71</v>
      </c>
      <c r="J267" s="39">
        <v>15066.34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14749.15</v>
      </c>
      <c r="AJ267" s="39">
        <v>15063.71</v>
      </c>
      <c r="AK267" s="39">
        <v>15066.34</v>
      </c>
      <c r="AL267" s="39">
        <v>0</v>
      </c>
      <c r="AM267" s="39">
        <v>0</v>
      </c>
      <c r="AN267" s="39">
        <v>0</v>
      </c>
      <c r="AO267" s="39">
        <v>14749.15</v>
      </c>
      <c r="AP267" s="39">
        <v>15063.71</v>
      </c>
      <c r="AQ267" s="39">
        <v>15066.34</v>
      </c>
      <c r="AR267" s="39">
        <v>15066.34</v>
      </c>
    </row>
    <row r="268" spans="1:44" x14ac:dyDescent="0.35">
      <c r="A268" s="16" t="str">
        <f t="shared" si="23"/>
        <v>27</v>
      </c>
      <c r="B268" s="19">
        <v>65987</v>
      </c>
      <c r="C268" s="16" t="str">
        <f t="shared" si="22"/>
        <v>0000000</v>
      </c>
      <c r="D268" s="17" t="s">
        <v>3663</v>
      </c>
      <c r="E268" s="16" t="s">
        <v>1393</v>
      </c>
      <c r="F268" s="16" t="s">
        <v>1380</v>
      </c>
      <c r="G268" s="35" t="s">
        <v>1394</v>
      </c>
      <c r="H268" s="39">
        <v>2038.32</v>
      </c>
      <c r="I268" s="39">
        <v>2039.56</v>
      </c>
      <c r="J268" s="39">
        <v>2121.4499999999998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2038.32</v>
      </c>
      <c r="AJ268" s="39">
        <v>2039.56</v>
      </c>
      <c r="AK268" s="39">
        <v>2121.4499999999998</v>
      </c>
      <c r="AL268" s="39">
        <v>0</v>
      </c>
      <c r="AM268" s="39">
        <v>0</v>
      </c>
      <c r="AN268" s="39">
        <v>0</v>
      </c>
      <c r="AO268" s="39">
        <v>2038.32</v>
      </c>
      <c r="AP268" s="39">
        <v>2039.56</v>
      </c>
      <c r="AQ268" s="39">
        <v>2121.4499999999998</v>
      </c>
      <c r="AR268" s="39">
        <v>2121.4499999999998</v>
      </c>
    </row>
    <row r="269" spans="1:44" x14ac:dyDescent="0.35">
      <c r="A269" s="16" t="str">
        <f t="shared" si="23"/>
        <v>27</v>
      </c>
      <c r="B269" s="19">
        <v>66092</v>
      </c>
      <c r="C269" s="16" t="str">
        <f t="shared" si="22"/>
        <v>0000000</v>
      </c>
      <c r="D269" s="17" t="s">
        <v>3663</v>
      </c>
      <c r="E269" s="16" t="s">
        <v>1409</v>
      </c>
      <c r="F269" s="16" t="s">
        <v>1380</v>
      </c>
      <c r="G269" s="35" t="s">
        <v>1410</v>
      </c>
      <c r="H269" s="39">
        <v>8902.56</v>
      </c>
      <c r="I269" s="39">
        <v>8683.61</v>
      </c>
      <c r="J269" s="39">
        <v>8642.82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8902.56</v>
      </c>
      <c r="AJ269" s="39">
        <v>8683.61</v>
      </c>
      <c r="AK269" s="39">
        <v>8642.82</v>
      </c>
      <c r="AL269" s="39">
        <v>0</v>
      </c>
      <c r="AM269" s="39">
        <v>0</v>
      </c>
      <c r="AN269" s="39">
        <v>0</v>
      </c>
      <c r="AO269" s="39">
        <v>8902.56</v>
      </c>
      <c r="AP269" s="39">
        <v>8683.61</v>
      </c>
      <c r="AQ269" s="39">
        <v>8642.82</v>
      </c>
      <c r="AR269" s="39">
        <v>8902.56</v>
      </c>
    </row>
    <row r="270" spans="1:44" x14ac:dyDescent="0.35">
      <c r="A270" s="16" t="str">
        <f t="shared" si="23"/>
        <v>27</v>
      </c>
      <c r="B270" s="19">
        <v>73825</v>
      </c>
      <c r="C270" s="16" t="str">
        <f t="shared" si="22"/>
        <v>0000000</v>
      </c>
      <c r="D270" s="17" t="s">
        <v>3663</v>
      </c>
      <c r="E270" s="16" t="s">
        <v>1435</v>
      </c>
      <c r="F270" s="16" t="s">
        <v>1380</v>
      </c>
      <c r="G270" s="35" t="s">
        <v>1436</v>
      </c>
      <c r="H270" s="39">
        <v>3997.81</v>
      </c>
      <c r="I270" s="39">
        <v>4079.42</v>
      </c>
      <c r="J270" s="39">
        <v>4098.47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3997.81</v>
      </c>
      <c r="AJ270" s="39">
        <v>4079.42</v>
      </c>
      <c r="AK270" s="39">
        <v>4098.47</v>
      </c>
      <c r="AL270" s="39">
        <v>0</v>
      </c>
      <c r="AM270" s="39">
        <v>0</v>
      </c>
      <c r="AN270" s="39">
        <v>0</v>
      </c>
      <c r="AO270" s="39">
        <v>3997.81</v>
      </c>
      <c r="AP270" s="39">
        <v>4079.42</v>
      </c>
      <c r="AQ270" s="39">
        <v>4098.47</v>
      </c>
      <c r="AR270" s="39">
        <v>4098.47</v>
      </c>
    </row>
    <row r="271" spans="1:44" x14ac:dyDescent="0.35">
      <c r="A271" s="16" t="str">
        <f t="shared" si="23"/>
        <v>27</v>
      </c>
      <c r="B271" s="19">
        <v>66134</v>
      </c>
      <c r="C271" s="16" t="str">
        <f t="shared" si="22"/>
        <v>0000000</v>
      </c>
      <c r="D271" s="17" t="s">
        <v>3663</v>
      </c>
      <c r="E271" s="16" t="s">
        <v>1417</v>
      </c>
      <c r="F271" s="16" t="s">
        <v>1380</v>
      </c>
      <c r="G271" s="35" t="s">
        <v>1418</v>
      </c>
      <c r="H271" s="39">
        <v>1616.28</v>
      </c>
      <c r="I271" s="39">
        <v>1594.61</v>
      </c>
      <c r="J271" s="39">
        <v>1526.56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1616.28</v>
      </c>
      <c r="AJ271" s="39">
        <v>1594.61</v>
      </c>
      <c r="AK271" s="39">
        <v>1526.56</v>
      </c>
      <c r="AL271" s="39">
        <v>0</v>
      </c>
      <c r="AM271" s="39">
        <v>0</v>
      </c>
      <c r="AN271" s="39">
        <v>0</v>
      </c>
      <c r="AO271" s="39">
        <v>1616.28</v>
      </c>
      <c r="AP271" s="39">
        <v>1594.61</v>
      </c>
      <c r="AQ271" s="39">
        <v>1526.56</v>
      </c>
      <c r="AR271" s="39">
        <v>1616.28</v>
      </c>
    </row>
    <row r="272" spans="1:44" x14ac:dyDescent="0.35">
      <c r="A272" s="16" t="str">
        <f t="shared" si="23"/>
        <v>27</v>
      </c>
      <c r="B272" s="19">
        <v>66175</v>
      </c>
      <c r="C272" s="16" t="str">
        <f t="shared" si="22"/>
        <v>0000000</v>
      </c>
      <c r="D272" s="17" t="s">
        <v>3663</v>
      </c>
      <c r="E272" s="16" t="s">
        <v>1425</v>
      </c>
      <c r="F272" s="16" t="s">
        <v>1380</v>
      </c>
      <c r="G272" s="35" t="s">
        <v>1426</v>
      </c>
      <c r="H272" s="39">
        <v>69.42</v>
      </c>
      <c r="I272" s="39">
        <v>82.12</v>
      </c>
      <c r="J272" s="39">
        <v>76.92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69.42</v>
      </c>
      <c r="AJ272" s="39">
        <v>82.12</v>
      </c>
      <c r="AK272" s="39">
        <v>76.92</v>
      </c>
      <c r="AL272" s="39">
        <v>0</v>
      </c>
      <c r="AM272" s="39">
        <v>0</v>
      </c>
      <c r="AN272" s="39">
        <v>0</v>
      </c>
      <c r="AO272" s="39">
        <v>69.42</v>
      </c>
      <c r="AP272" s="39">
        <v>82.12</v>
      </c>
      <c r="AQ272" s="39">
        <v>76.92</v>
      </c>
      <c r="AR272" s="39">
        <v>82.12</v>
      </c>
    </row>
    <row r="273" spans="1:44" x14ac:dyDescent="0.35">
      <c r="A273" s="16" t="str">
        <f t="shared" si="23"/>
        <v>27</v>
      </c>
      <c r="B273" s="19">
        <v>66183</v>
      </c>
      <c r="C273" s="16" t="str">
        <f t="shared" si="22"/>
        <v>0000000</v>
      </c>
      <c r="D273" s="17" t="s">
        <v>3663</v>
      </c>
      <c r="E273" s="16" t="s">
        <v>1427</v>
      </c>
      <c r="F273" s="16" t="s">
        <v>1380</v>
      </c>
      <c r="G273" s="35" t="s">
        <v>1428</v>
      </c>
      <c r="H273" s="39">
        <v>66.180000000000007</v>
      </c>
      <c r="I273" s="39">
        <v>72.17</v>
      </c>
      <c r="J273" s="39">
        <v>66.099999999999994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66.180000000000007</v>
      </c>
      <c r="AJ273" s="39">
        <v>72.17</v>
      </c>
      <c r="AK273" s="39">
        <v>66.099999999999994</v>
      </c>
      <c r="AL273" s="39">
        <v>0</v>
      </c>
      <c r="AM273" s="39">
        <v>0</v>
      </c>
      <c r="AN273" s="39">
        <v>0</v>
      </c>
      <c r="AO273" s="39">
        <v>66.180000000000007</v>
      </c>
      <c r="AP273" s="39">
        <v>72.17</v>
      </c>
      <c r="AQ273" s="39">
        <v>66.099999999999994</v>
      </c>
      <c r="AR273" s="39">
        <v>72.17</v>
      </c>
    </row>
    <row r="274" spans="1:44" x14ac:dyDescent="0.35">
      <c r="A274" s="16" t="str">
        <f t="shared" si="23"/>
        <v>27</v>
      </c>
      <c r="B274" s="19">
        <v>66084</v>
      </c>
      <c r="C274" s="16" t="str">
        <f t="shared" si="22"/>
        <v>0000000</v>
      </c>
      <c r="D274" s="17" t="s">
        <v>3663</v>
      </c>
      <c r="E274" s="16" t="s">
        <v>1407</v>
      </c>
      <c r="F274" s="16" t="s">
        <v>1380</v>
      </c>
      <c r="G274" s="35" t="s">
        <v>1408</v>
      </c>
      <c r="H274" s="39">
        <v>120.6</v>
      </c>
      <c r="I274" s="39">
        <v>121.54</v>
      </c>
      <c r="J274" s="39">
        <v>110.43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120.6</v>
      </c>
      <c r="AJ274" s="39">
        <v>121.54</v>
      </c>
      <c r="AK274" s="39">
        <v>110.43</v>
      </c>
      <c r="AL274" s="39">
        <v>0</v>
      </c>
      <c r="AM274" s="39">
        <v>0</v>
      </c>
      <c r="AN274" s="39">
        <v>0</v>
      </c>
      <c r="AO274" s="39">
        <v>120.6</v>
      </c>
      <c r="AP274" s="39">
        <v>121.54</v>
      </c>
      <c r="AQ274" s="39">
        <v>110.43</v>
      </c>
      <c r="AR274" s="39">
        <v>121.54</v>
      </c>
    </row>
    <row r="275" spans="1:44" x14ac:dyDescent="0.35">
      <c r="A275" s="16" t="str">
        <f t="shared" si="23"/>
        <v>27</v>
      </c>
      <c r="B275" s="19">
        <v>75150</v>
      </c>
      <c r="C275" s="16" t="str">
        <f t="shared" si="22"/>
        <v>0000000</v>
      </c>
      <c r="D275" s="17" t="s">
        <v>3663</v>
      </c>
      <c r="E275" s="16" t="s">
        <v>1437</v>
      </c>
      <c r="F275" s="16" t="s">
        <v>1380</v>
      </c>
      <c r="G275" s="35" t="s">
        <v>1438</v>
      </c>
      <c r="H275" s="39">
        <v>9.9499999999999993</v>
      </c>
      <c r="I275" s="39">
        <v>9.58</v>
      </c>
      <c r="J275" s="39">
        <v>17.079999999999998</v>
      </c>
      <c r="K275" s="39">
        <v>0</v>
      </c>
      <c r="L275" s="39">
        <v>0</v>
      </c>
      <c r="M275" s="39">
        <v>0</v>
      </c>
      <c r="N275" s="39">
        <v>0</v>
      </c>
      <c r="O275" s="39">
        <v>0</v>
      </c>
      <c r="P275" s="39">
        <v>0</v>
      </c>
      <c r="Q275" s="39">
        <v>0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9.9499999999999993</v>
      </c>
      <c r="AJ275" s="39">
        <v>9.58</v>
      </c>
      <c r="AK275" s="39">
        <v>17.079999999999998</v>
      </c>
      <c r="AL275" s="39">
        <v>0</v>
      </c>
      <c r="AM275" s="39">
        <v>0</v>
      </c>
      <c r="AN275" s="39">
        <v>0</v>
      </c>
      <c r="AO275" s="39">
        <v>9.9499999999999993</v>
      </c>
      <c r="AP275" s="39">
        <v>9.58</v>
      </c>
      <c r="AQ275" s="39">
        <v>17.079999999999998</v>
      </c>
      <c r="AR275" s="39">
        <v>17.079999999999998</v>
      </c>
    </row>
    <row r="276" spans="1:44" x14ac:dyDescent="0.35">
      <c r="A276" s="16" t="str">
        <f t="shared" si="23"/>
        <v>27</v>
      </c>
      <c r="B276" s="19">
        <v>75440</v>
      </c>
      <c r="C276" s="16" t="str">
        <f t="shared" si="22"/>
        <v>0000000</v>
      </c>
      <c r="D276" s="17" t="s">
        <v>3663</v>
      </c>
      <c r="E276" s="16" t="s">
        <v>1441</v>
      </c>
      <c r="F276" s="16" t="s">
        <v>1380</v>
      </c>
      <c r="G276" s="35" t="s">
        <v>1442</v>
      </c>
      <c r="H276" s="39">
        <v>4421.83</v>
      </c>
      <c r="I276" s="39">
        <v>4395.63</v>
      </c>
      <c r="J276" s="39">
        <v>4374.5600000000004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0</v>
      </c>
      <c r="Q276" s="39">
        <v>0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4421.83</v>
      </c>
      <c r="AJ276" s="39">
        <v>4395.63</v>
      </c>
      <c r="AK276" s="39">
        <v>4374.5600000000004</v>
      </c>
      <c r="AL276" s="39">
        <v>0</v>
      </c>
      <c r="AM276" s="39">
        <v>0</v>
      </c>
      <c r="AN276" s="39">
        <v>0</v>
      </c>
      <c r="AO276" s="39">
        <v>4421.83</v>
      </c>
      <c r="AP276" s="39">
        <v>4395.63</v>
      </c>
      <c r="AQ276" s="39">
        <v>4374.5600000000004</v>
      </c>
      <c r="AR276" s="39">
        <v>4421.83</v>
      </c>
    </row>
    <row r="277" spans="1:44" x14ac:dyDescent="0.35">
      <c r="A277" s="16" t="str">
        <f t="shared" si="23"/>
        <v>27</v>
      </c>
      <c r="B277" s="19">
        <v>75473</v>
      </c>
      <c r="C277" s="16" t="str">
        <f t="shared" si="22"/>
        <v>0000000</v>
      </c>
      <c r="D277" s="17" t="s">
        <v>3663</v>
      </c>
      <c r="E277" s="16" t="s">
        <v>1443</v>
      </c>
      <c r="F277" s="16" t="s">
        <v>1380</v>
      </c>
      <c r="G277" s="35" t="s">
        <v>1444</v>
      </c>
      <c r="H277" s="39">
        <v>1802.98</v>
      </c>
      <c r="I277" s="39">
        <v>1882.56</v>
      </c>
      <c r="J277" s="39">
        <v>1934.5</v>
      </c>
      <c r="K277" s="39">
        <v>0</v>
      </c>
      <c r="L277" s="39">
        <v>0</v>
      </c>
      <c r="M277" s="39">
        <v>0</v>
      </c>
      <c r="N277" s="39">
        <v>0</v>
      </c>
      <c r="O277" s="39">
        <v>0</v>
      </c>
      <c r="P277" s="39">
        <v>0</v>
      </c>
      <c r="Q277" s="39">
        <v>0</v>
      </c>
      <c r="R277" s="39">
        <v>0</v>
      </c>
      <c r="S277" s="39">
        <v>0</v>
      </c>
      <c r="T277" s="39">
        <v>0</v>
      </c>
      <c r="U277" s="39">
        <v>0</v>
      </c>
      <c r="V277" s="39">
        <v>0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1802.98</v>
      </c>
      <c r="AJ277" s="39">
        <v>1882.56</v>
      </c>
      <c r="AK277" s="39">
        <v>1934.5</v>
      </c>
      <c r="AL277" s="39">
        <v>0</v>
      </c>
      <c r="AM277" s="39">
        <v>0</v>
      </c>
      <c r="AN277" s="39">
        <v>0</v>
      </c>
      <c r="AO277" s="39">
        <v>1802.98</v>
      </c>
      <c r="AP277" s="39">
        <v>1882.56</v>
      </c>
      <c r="AQ277" s="39">
        <v>1934.5</v>
      </c>
      <c r="AR277" s="39">
        <v>1934.5</v>
      </c>
    </row>
    <row r="278" spans="1:44" x14ac:dyDescent="0.35">
      <c r="A278" s="16" t="str">
        <f t="shared" si="23"/>
        <v>27</v>
      </c>
      <c r="B278" s="19">
        <v>65979</v>
      </c>
      <c r="C278" s="16" t="str">
        <f t="shared" si="22"/>
        <v>0000000</v>
      </c>
      <c r="D278" s="17" t="s">
        <v>3663</v>
      </c>
      <c r="E278" s="16" t="s">
        <v>1391</v>
      </c>
      <c r="F278" s="16" t="s">
        <v>1380</v>
      </c>
      <c r="G278" s="35" t="s">
        <v>1392</v>
      </c>
      <c r="H278" s="39">
        <v>49.86</v>
      </c>
      <c r="I278" s="39">
        <v>38.31</v>
      </c>
      <c r="J278" s="39">
        <v>37.11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49.86</v>
      </c>
      <c r="AJ278" s="39">
        <v>38.31</v>
      </c>
      <c r="AK278" s="39">
        <v>37.11</v>
      </c>
      <c r="AL278" s="39">
        <v>0</v>
      </c>
      <c r="AM278" s="39">
        <v>0</v>
      </c>
      <c r="AN278" s="39">
        <v>0</v>
      </c>
      <c r="AO278" s="39">
        <v>49.86</v>
      </c>
      <c r="AP278" s="39">
        <v>38.31</v>
      </c>
      <c r="AQ278" s="39">
        <v>37.11</v>
      </c>
      <c r="AR278" s="39">
        <v>49.86</v>
      </c>
    </row>
    <row r="279" spans="1:44" x14ac:dyDescent="0.35">
      <c r="A279" s="16" t="str">
        <f t="shared" si="23"/>
        <v>27</v>
      </c>
      <c r="B279" s="19">
        <v>66027</v>
      </c>
      <c r="C279" s="16" t="str">
        <f t="shared" si="22"/>
        <v>0000000</v>
      </c>
      <c r="D279" s="17" t="s">
        <v>3663</v>
      </c>
      <c r="E279" s="16" t="s">
        <v>1397</v>
      </c>
      <c r="F279" s="16" t="s">
        <v>1380</v>
      </c>
      <c r="G279" s="35" t="s">
        <v>1398</v>
      </c>
      <c r="H279" s="39">
        <v>29.81</v>
      </c>
      <c r="I279" s="39">
        <v>33.39</v>
      </c>
      <c r="J279" s="39">
        <v>31.53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0</v>
      </c>
      <c r="R279" s="39">
        <v>0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29.81</v>
      </c>
      <c r="AJ279" s="39">
        <v>33.39</v>
      </c>
      <c r="AK279" s="39">
        <v>31.53</v>
      </c>
      <c r="AL279" s="39">
        <v>0</v>
      </c>
      <c r="AM279" s="39">
        <v>0</v>
      </c>
      <c r="AN279" s="39">
        <v>0</v>
      </c>
      <c r="AO279" s="39">
        <v>29.81</v>
      </c>
      <c r="AP279" s="39">
        <v>33.39</v>
      </c>
      <c r="AQ279" s="39">
        <v>31.53</v>
      </c>
      <c r="AR279" s="39">
        <v>33.39</v>
      </c>
    </row>
    <row r="280" spans="1:44" x14ac:dyDescent="0.35">
      <c r="A280" s="16" t="str">
        <f t="shared" si="23"/>
        <v>27</v>
      </c>
      <c r="B280" s="19">
        <v>66076</v>
      </c>
      <c r="C280" s="16" t="str">
        <f t="shared" si="22"/>
        <v>0000000</v>
      </c>
      <c r="D280" s="17" t="s">
        <v>3663</v>
      </c>
      <c r="E280" s="16" t="s">
        <v>1405</v>
      </c>
      <c r="F280" s="16" t="s">
        <v>1380</v>
      </c>
      <c r="G280" s="35" t="s">
        <v>1406</v>
      </c>
      <c r="H280" s="39">
        <v>57.61</v>
      </c>
      <c r="I280" s="39">
        <v>58.39</v>
      </c>
      <c r="J280" s="39">
        <v>72.36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0</v>
      </c>
      <c r="AI280" s="39">
        <v>57.61</v>
      </c>
      <c r="AJ280" s="39">
        <v>58.39</v>
      </c>
      <c r="AK280" s="39">
        <v>72.36</v>
      </c>
      <c r="AL280" s="39">
        <v>0</v>
      </c>
      <c r="AM280" s="39">
        <v>0</v>
      </c>
      <c r="AN280" s="39">
        <v>0</v>
      </c>
      <c r="AO280" s="39">
        <v>57.61</v>
      </c>
      <c r="AP280" s="39">
        <v>58.39</v>
      </c>
      <c r="AQ280" s="39">
        <v>72.36</v>
      </c>
      <c r="AR280" s="39">
        <v>72.36</v>
      </c>
    </row>
    <row r="281" spans="1:44" x14ac:dyDescent="0.35">
      <c r="A281" s="16" t="str">
        <f t="shared" ref="A281:A298" si="24">TEXT(21,"00")</f>
        <v>21</v>
      </c>
      <c r="B281" s="19">
        <v>10215</v>
      </c>
      <c r="C281" s="16" t="str">
        <f t="shared" si="22"/>
        <v>0000000</v>
      </c>
      <c r="D281" s="17" t="s">
        <v>3663</v>
      </c>
      <c r="E281" s="16" t="s">
        <v>1249</v>
      </c>
      <c r="F281" s="16" t="s">
        <v>1250</v>
      </c>
      <c r="G281" s="35" t="s">
        <v>1250</v>
      </c>
      <c r="H281" s="39">
        <v>0</v>
      </c>
      <c r="I281" s="39">
        <v>0</v>
      </c>
      <c r="J281" s="39">
        <v>0</v>
      </c>
      <c r="K281" s="39">
        <v>0</v>
      </c>
      <c r="L281" s="39">
        <v>0</v>
      </c>
      <c r="M281" s="39">
        <v>0</v>
      </c>
      <c r="N281" s="39">
        <v>0</v>
      </c>
      <c r="O281" s="39">
        <v>0</v>
      </c>
      <c r="P281" s="39">
        <v>0</v>
      </c>
      <c r="Q281" s="39">
        <v>0</v>
      </c>
      <c r="R281" s="39">
        <v>0</v>
      </c>
      <c r="S281" s="39">
        <v>0</v>
      </c>
      <c r="T281" s="39">
        <v>35.979999999999997</v>
      </c>
      <c r="U281" s="39">
        <v>40.090000000000003</v>
      </c>
      <c r="V281" s="39">
        <v>38.479999999999997</v>
      </c>
      <c r="W281" s="39">
        <v>227.06</v>
      </c>
      <c r="X281" s="39">
        <v>247.94</v>
      </c>
      <c r="Y281" s="39">
        <v>200.82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0</v>
      </c>
      <c r="AI281" s="39">
        <v>263.04000000000002</v>
      </c>
      <c r="AJ281" s="39">
        <v>288.02999999999997</v>
      </c>
      <c r="AK281" s="39">
        <v>239.3</v>
      </c>
      <c r="AL281" s="39">
        <v>0</v>
      </c>
      <c r="AM281" s="39">
        <v>0</v>
      </c>
      <c r="AN281" s="39">
        <v>0</v>
      </c>
      <c r="AO281" s="39">
        <v>263.04000000000002</v>
      </c>
      <c r="AP281" s="39">
        <v>288.02999999999997</v>
      </c>
      <c r="AQ281" s="39">
        <v>239.3</v>
      </c>
      <c r="AR281" s="39">
        <v>288.02999999999997</v>
      </c>
    </row>
    <row r="282" spans="1:44" x14ac:dyDescent="0.35">
      <c r="A282" s="16" t="str">
        <f t="shared" si="24"/>
        <v>21</v>
      </c>
      <c r="B282" s="19">
        <v>65300</v>
      </c>
      <c r="C282" s="16" t="str">
        <f t="shared" si="22"/>
        <v>0000000</v>
      </c>
      <c r="D282" s="17" t="s">
        <v>3663</v>
      </c>
      <c r="E282" s="16" t="s">
        <v>1253</v>
      </c>
      <c r="F282" s="16" t="s">
        <v>1250</v>
      </c>
      <c r="G282" s="35" t="s">
        <v>1254</v>
      </c>
      <c r="H282" s="39">
        <v>100.7</v>
      </c>
      <c r="I282" s="39">
        <v>100.06</v>
      </c>
      <c r="J282" s="39">
        <v>91.81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100.7</v>
      </c>
      <c r="AJ282" s="39">
        <v>100.06</v>
      </c>
      <c r="AK282" s="39">
        <v>91.81</v>
      </c>
      <c r="AL282" s="39">
        <v>0</v>
      </c>
      <c r="AM282" s="39">
        <v>0</v>
      </c>
      <c r="AN282" s="39">
        <v>0</v>
      </c>
      <c r="AO282" s="39">
        <v>100.7</v>
      </c>
      <c r="AP282" s="39">
        <v>100.06</v>
      </c>
      <c r="AQ282" s="39">
        <v>91.81</v>
      </c>
      <c r="AR282" s="39">
        <v>100.7</v>
      </c>
    </row>
    <row r="283" spans="1:44" x14ac:dyDescent="0.35">
      <c r="A283" s="16" t="str">
        <f t="shared" si="24"/>
        <v>21</v>
      </c>
      <c r="B283" s="19">
        <v>65318</v>
      </c>
      <c r="C283" s="16" t="str">
        <f t="shared" si="22"/>
        <v>0000000</v>
      </c>
      <c r="D283" s="17" t="s">
        <v>3663</v>
      </c>
      <c r="E283" s="16" t="s">
        <v>1255</v>
      </c>
      <c r="F283" s="16" t="s">
        <v>1250</v>
      </c>
      <c r="G283" s="35" t="s">
        <v>1256</v>
      </c>
      <c r="H283" s="39">
        <v>1673.71</v>
      </c>
      <c r="I283" s="39">
        <v>1721.95</v>
      </c>
      <c r="J283" s="39">
        <v>1712.27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1673.71</v>
      </c>
      <c r="AJ283" s="39">
        <v>1721.95</v>
      </c>
      <c r="AK283" s="39">
        <v>1712.27</v>
      </c>
      <c r="AL283" s="39">
        <v>0</v>
      </c>
      <c r="AM283" s="39">
        <v>0</v>
      </c>
      <c r="AN283" s="39">
        <v>0</v>
      </c>
      <c r="AO283" s="39">
        <v>1673.71</v>
      </c>
      <c r="AP283" s="39">
        <v>1721.95</v>
      </c>
      <c r="AQ283" s="39">
        <v>1712.27</v>
      </c>
      <c r="AR283" s="39">
        <v>1721.95</v>
      </c>
    </row>
    <row r="284" spans="1:44" x14ac:dyDescent="0.35">
      <c r="A284" s="16" t="str">
        <f t="shared" si="24"/>
        <v>21</v>
      </c>
      <c r="B284" s="19">
        <v>65334</v>
      </c>
      <c r="C284" s="16" t="str">
        <f t="shared" si="22"/>
        <v>0000000</v>
      </c>
      <c r="D284" s="17" t="s">
        <v>3663</v>
      </c>
      <c r="E284" s="16" t="s">
        <v>1257</v>
      </c>
      <c r="F284" s="16" t="s">
        <v>1250</v>
      </c>
      <c r="G284" s="35" t="s">
        <v>1258</v>
      </c>
      <c r="H284" s="39">
        <v>976.89</v>
      </c>
      <c r="I284" s="39">
        <v>1010.81</v>
      </c>
      <c r="J284" s="39">
        <v>995.64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0</v>
      </c>
      <c r="AI284" s="39">
        <v>976.89</v>
      </c>
      <c r="AJ284" s="39">
        <v>1010.81</v>
      </c>
      <c r="AK284" s="39">
        <v>995.64</v>
      </c>
      <c r="AL284" s="39">
        <v>0</v>
      </c>
      <c r="AM284" s="39">
        <v>0</v>
      </c>
      <c r="AN284" s="39">
        <v>0</v>
      </c>
      <c r="AO284" s="39">
        <v>976.89</v>
      </c>
      <c r="AP284" s="39">
        <v>1010.81</v>
      </c>
      <c r="AQ284" s="39">
        <v>995.64</v>
      </c>
      <c r="AR284" s="39">
        <v>1010.81</v>
      </c>
    </row>
    <row r="285" spans="1:44" x14ac:dyDescent="0.35">
      <c r="A285" s="16" t="str">
        <f t="shared" si="24"/>
        <v>21</v>
      </c>
      <c r="B285" s="19">
        <v>65359</v>
      </c>
      <c r="C285" s="16" t="str">
        <f t="shared" si="22"/>
        <v>0000000</v>
      </c>
      <c r="D285" s="17" t="s">
        <v>3663</v>
      </c>
      <c r="E285" s="16" t="s">
        <v>1261</v>
      </c>
      <c r="F285" s="16" t="s">
        <v>1250</v>
      </c>
      <c r="G285" s="35" t="s">
        <v>1262</v>
      </c>
      <c r="H285" s="39">
        <v>149.44</v>
      </c>
      <c r="I285" s="39">
        <v>149</v>
      </c>
      <c r="J285" s="39">
        <v>147.11000000000001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0</v>
      </c>
      <c r="Q285" s="39">
        <v>0</v>
      </c>
      <c r="R285" s="39">
        <v>0</v>
      </c>
      <c r="S285" s="39">
        <v>0</v>
      </c>
      <c r="T285" s="39">
        <v>0</v>
      </c>
      <c r="U285" s="39">
        <v>0</v>
      </c>
      <c r="V285" s="39">
        <v>0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149.44</v>
      </c>
      <c r="AJ285" s="39">
        <v>149</v>
      </c>
      <c r="AK285" s="39">
        <v>147.11000000000001</v>
      </c>
      <c r="AL285" s="39">
        <v>0</v>
      </c>
      <c r="AM285" s="39">
        <v>0</v>
      </c>
      <c r="AN285" s="39">
        <v>0</v>
      </c>
      <c r="AO285" s="39">
        <v>149.44</v>
      </c>
      <c r="AP285" s="39">
        <v>149</v>
      </c>
      <c r="AQ285" s="39">
        <v>147.11000000000001</v>
      </c>
      <c r="AR285" s="39">
        <v>149.44</v>
      </c>
    </row>
    <row r="286" spans="1:44" x14ac:dyDescent="0.35">
      <c r="A286" s="16" t="str">
        <f t="shared" si="24"/>
        <v>21</v>
      </c>
      <c r="B286" s="19">
        <v>65367</v>
      </c>
      <c r="C286" s="16" t="str">
        <f t="shared" si="22"/>
        <v>0000000</v>
      </c>
      <c r="D286" s="17" t="s">
        <v>3663</v>
      </c>
      <c r="E286" s="16" t="s">
        <v>1263</v>
      </c>
      <c r="F286" s="16" t="s">
        <v>1250</v>
      </c>
      <c r="G286" s="35" t="s">
        <v>1264</v>
      </c>
      <c r="H286" s="39">
        <v>1116.7</v>
      </c>
      <c r="I286" s="39">
        <v>1123.77</v>
      </c>
      <c r="J286" s="39">
        <v>1190.97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0</v>
      </c>
      <c r="Q286" s="39">
        <v>0</v>
      </c>
      <c r="R286" s="39">
        <v>0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1116.7</v>
      </c>
      <c r="AJ286" s="39">
        <v>1123.77</v>
      </c>
      <c r="AK286" s="39">
        <v>1190.97</v>
      </c>
      <c r="AL286" s="39">
        <v>0</v>
      </c>
      <c r="AM286" s="39">
        <v>0</v>
      </c>
      <c r="AN286" s="39">
        <v>0</v>
      </c>
      <c r="AO286" s="39">
        <v>1116.7</v>
      </c>
      <c r="AP286" s="39">
        <v>1123.77</v>
      </c>
      <c r="AQ286" s="39">
        <v>1190.97</v>
      </c>
      <c r="AR286" s="39">
        <v>1190.97</v>
      </c>
    </row>
    <row r="287" spans="1:44" x14ac:dyDescent="0.35">
      <c r="A287" s="16" t="str">
        <f t="shared" si="24"/>
        <v>21</v>
      </c>
      <c r="B287" s="19">
        <v>65391</v>
      </c>
      <c r="C287" s="16" t="str">
        <f t="shared" ref="C287:C323" si="25">TEXT(,"0000000")</f>
        <v>0000000</v>
      </c>
      <c r="D287" s="17" t="s">
        <v>3663</v>
      </c>
      <c r="E287" s="16" t="s">
        <v>1265</v>
      </c>
      <c r="F287" s="16" t="s">
        <v>1250</v>
      </c>
      <c r="G287" s="35" t="s">
        <v>1266</v>
      </c>
      <c r="H287" s="39">
        <v>2196.5300000000002</v>
      </c>
      <c r="I287" s="39">
        <v>2182.9299999999998</v>
      </c>
      <c r="J287" s="39">
        <v>2234.5100000000002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0</v>
      </c>
      <c r="Q287" s="39">
        <v>0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2196.5300000000002</v>
      </c>
      <c r="AJ287" s="39">
        <v>2182.9299999999998</v>
      </c>
      <c r="AK287" s="39">
        <v>2234.5100000000002</v>
      </c>
      <c r="AL287" s="39">
        <v>0</v>
      </c>
      <c r="AM287" s="39">
        <v>0</v>
      </c>
      <c r="AN287" s="39">
        <v>0</v>
      </c>
      <c r="AO287" s="39">
        <v>2196.5300000000002</v>
      </c>
      <c r="AP287" s="39">
        <v>2182.9299999999998</v>
      </c>
      <c r="AQ287" s="39">
        <v>2234.5100000000002</v>
      </c>
      <c r="AR287" s="39">
        <v>2234.5100000000002</v>
      </c>
    </row>
    <row r="288" spans="1:44" x14ac:dyDescent="0.35">
      <c r="A288" s="16" t="str">
        <f t="shared" si="24"/>
        <v>21</v>
      </c>
      <c r="B288" s="19">
        <v>65425</v>
      </c>
      <c r="C288" s="16" t="str">
        <f t="shared" si="25"/>
        <v>0000000</v>
      </c>
      <c r="D288" s="17" t="s">
        <v>3663</v>
      </c>
      <c r="E288" s="16" t="s">
        <v>1274</v>
      </c>
      <c r="F288" s="16" t="s">
        <v>1250</v>
      </c>
      <c r="G288" s="35" t="s">
        <v>1275</v>
      </c>
      <c r="H288" s="39">
        <v>987.68</v>
      </c>
      <c r="I288" s="39">
        <v>995.35</v>
      </c>
      <c r="J288" s="39">
        <v>951.2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987.68</v>
      </c>
      <c r="AJ288" s="39">
        <v>995.35</v>
      </c>
      <c r="AK288" s="39">
        <v>951.2</v>
      </c>
      <c r="AL288" s="39">
        <v>0</v>
      </c>
      <c r="AM288" s="39">
        <v>0</v>
      </c>
      <c r="AN288" s="39">
        <v>0</v>
      </c>
      <c r="AO288" s="39">
        <v>987.68</v>
      </c>
      <c r="AP288" s="39">
        <v>995.35</v>
      </c>
      <c r="AQ288" s="39">
        <v>951.2</v>
      </c>
      <c r="AR288" s="39">
        <v>995.35</v>
      </c>
    </row>
    <row r="289" spans="1:44" x14ac:dyDescent="0.35">
      <c r="A289" s="16" t="str">
        <f t="shared" si="24"/>
        <v>21</v>
      </c>
      <c r="B289" s="19">
        <v>65433</v>
      </c>
      <c r="C289" s="16" t="str">
        <f t="shared" si="25"/>
        <v>0000000</v>
      </c>
      <c r="D289" s="17" t="s">
        <v>3663</v>
      </c>
      <c r="E289" s="16" t="s">
        <v>1276</v>
      </c>
      <c r="F289" s="16" t="s">
        <v>1250</v>
      </c>
      <c r="G289" s="35" t="s">
        <v>1277</v>
      </c>
      <c r="H289" s="39">
        <v>323.29000000000002</v>
      </c>
      <c r="I289" s="39">
        <v>334.47</v>
      </c>
      <c r="J289" s="39">
        <v>336.89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0</v>
      </c>
      <c r="Q289" s="39">
        <v>0</v>
      </c>
      <c r="R289" s="39">
        <v>0</v>
      </c>
      <c r="S289" s="39">
        <v>0</v>
      </c>
      <c r="T289" s="39">
        <v>0</v>
      </c>
      <c r="U289" s="39">
        <v>0</v>
      </c>
      <c r="V289" s="39">
        <v>0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323.29000000000002</v>
      </c>
      <c r="AJ289" s="39">
        <v>334.47</v>
      </c>
      <c r="AK289" s="39">
        <v>336.89</v>
      </c>
      <c r="AL289" s="39">
        <v>0</v>
      </c>
      <c r="AM289" s="39">
        <v>0</v>
      </c>
      <c r="AN289" s="39">
        <v>0</v>
      </c>
      <c r="AO289" s="39">
        <v>323.29000000000002</v>
      </c>
      <c r="AP289" s="39">
        <v>334.47</v>
      </c>
      <c r="AQ289" s="39">
        <v>336.89</v>
      </c>
      <c r="AR289" s="39">
        <v>336.89</v>
      </c>
    </row>
    <row r="290" spans="1:44" x14ac:dyDescent="0.35">
      <c r="A290" s="16" t="str">
        <f t="shared" si="24"/>
        <v>21</v>
      </c>
      <c r="B290" s="19">
        <v>65458</v>
      </c>
      <c r="C290" s="16" t="str">
        <f t="shared" si="25"/>
        <v>0000000</v>
      </c>
      <c r="D290" s="17" t="s">
        <v>3663</v>
      </c>
      <c r="E290" s="16" t="s">
        <v>1278</v>
      </c>
      <c r="F290" s="16" t="s">
        <v>1250</v>
      </c>
      <c r="G290" s="35" t="s">
        <v>1279</v>
      </c>
      <c r="H290" s="39">
        <v>4210.49</v>
      </c>
      <c r="I290" s="39">
        <v>4180.2299999999996</v>
      </c>
      <c r="J290" s="39">
        <v>4034.11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4210.49</v>
      </c>
      <c r="AJ290" s="39">
        <v>4180.2299999999996</v>
      </c>
      <c r="AK290" s="39">
        <v>4034.11</v>
      </c>
      <c r="AL290" s="39">
        <v>0</v>
      </c>
      <c r="AM290" s="39">
        <v>0</v>
      </c>
      <c r="AN290" s="39">
        <v>0</v>
      </c>
      <c r="AO290" s="39">
        <v>4210.49</v>
      </c>
      <c r="AP290" s="39">
        <v>4180.2299999999996</v>
      </c>
      <c r="AQ290" s="39">
        <v>4034.11</v>
      </c>
      <c r="AR290" s="39">
        <v>4210.49</v>
      </c>
    </row>
    <row r="291" spans="1:44" x14ac:dyDescent="0.35">
      <c r="A291" s="16" t="str">
        <f t="shared" si="24"/>
        <v>21</v>
      </c>
      <c r="B291" s="19">
        <v>65474</v>
      </c>
      <c r="C291" s="16" t="str">
        <f t="shared" si="25"/>
        <v>0000000</v>
      </c>
      <c r="D291" s="17" t="s">
        <v>3663</v>
      </c>
      <c r="E291" s="16" t="s">
        <v>1282</v>
      </c>
      <c r="F291" s="16" t="s">
        <v>1250</v>
      </c>
      <c r="G291" s="35" t="s">
        <v>1283</v>
      </c>
      <c r="H291" s="39">
        <v>240.85</v>
      </c>
      <c r="I291" s="39">
        <v>262.19</v>
      </c>
      <c r="J291" s="39">
        <v>282.14999999999998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10.74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240.85</v>
      </c>
      <c r="AJ291" s="39">
        <v>262.19</v>
      </c>
      <c r="AK291" s="39">
        <v>292.89</v>
      </c>
      <c r="AL291" s="39">
        <v>0</v>
      </c>
      <c r="AM291" s="39">
        <v>0</v>
      </c>
      <c r="AN291" s="39">
        <v>0</v>
      </c>
      <c r="AO291" s="39">
        <v>240.85</v>
      </c>
      <c r="AP291" s="39">
        <v>262.19</v>
      </c>
      <c r="AQ291" s="39">
        <v>292.89</v>
      </c>
      <c r="AR291" s="39">
        <v>292.89</v>
      </c>
    </row>
    <row r="292" spans="1:44" x14ac:dyDescent="0.35">
      <c r="A292" s="16" t="str">
        <f t="shared" si="24"/>
        <v>21</v>
      </c>
      <c r="B292" s="19">
        <v>65466</v>
      </c>
      <c r="C292" s="16" t="str">
        <f t="shared" si="25"/>
        <v>0000000</v>
      </c>
      <c r="D292" s="17" t="s">
        <v>3663</v>
      </c>
      <c r="E292" s="16" t="s">
        <v>1280</v>
      </c>
      <c r="F292" s="16" t="s">
        <v>1250</v>
      </c>
      <c r="G292" s="35" t="s">
        <v>1281</v>
      </c>
      <c r="H292" s="39">
        <v>2525.48</v>
      </c>
      <c r="I292" s="39">
        <v>2483.2399999999998</v>
      </c>
      <c r="J292" s="39">
        <v>2471.27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2525.48</v>
      </c>
      <c r="AJ292" s="39">
        <v>2483.2399999999998</v>
      </c>
      <c r="AK292" s="39">
        <v>2471.27</v>
      </c>
      <c r="AL292" s="39">
        <v>0</v>
      </c>
      <c r="AM292" s="39">
        <v>0</v>
      </c>
      <c r="AN292" s="39">
        <v>0</v>
      </c>
      <c r="AO292" s="39">
        <v>2525.48</v>
      </c>
      <c r="AP292" s="39">
        <v>2483.2399999999998</v>
      </c>
      <c r="AQ292" s="39">
        <v>2471.27</v>
      </c>
      <c r="AR292" s="39">
        <v>2525.48</v>
      </c>
    </row>
    <row r="293" spans="1:44" x14ac:dyDescent="0.35">
      <c r="A293" s="16" t="str">
        <f t="shared" si="24"/>
        <v>21</v>
      </c>
      <c r="B293" s="19">
        <v>65482</v>
      </c>
      <c r="C293" s="16" t="str">
        <f t="shared" si="25"/>
        <v>0000000</v>
      </c>
      <c r="D293" s="17" t="s">
        <v>3663</v>
      </c>
      <c r="E293" s="16" t="s">
        <v>1284</v>
      </c>
      <c r="F293" s="16" t="s">
        <v>1250</v>
      </c>
      <c r="G293" s="35" t="s">
        <v>1285</v>
      </c>
      <c r="H293" s="39">
        <v>4233.92</v>
      </c>
      <c r="I293" s="39">
        <v>4405.4399999999996</v>
      </c>
      <c r="J293" s="39">
        <v>4506.08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4233.92</v>
      </c>
      <c r="AJ293" s="39">
        <v>4405.4399999999996</v>
      </c>
      <c r="AK293" s="39">
        <v>4506.08</v>
      </c>
      <c r="AL293" s="39">
        <v>0</v>
      </c>
      <c r="AM293" s="39">
        <v>0</v>
      </c>
      <c r="AN293" s="39">
        <v>0</v>
      </c>
      <c r="AO293" s="39">
        <v>4233.92</v>
      </c>
      <c r="AP293" s="39">
        <v>4405.4399999999996</v>
      </c>
      <c r="AQ293" s="39">
        <v>4506.08</v>
      </c>
      <c r="AR293" s="39">
        <v>4506.08</v>
      </c>
    </row>
    <row r="294" spans="1:44" x14ac:dyDescent="0.35">
      <c r="A294" s="16" t="str">
        <f t="shared" si="24"/>
        <v>21</v>
      </c>
      <c r="B294" s="19">
        <v>65417</v>
      </c>
      <c r="C294" s="16" t="str">
        <f t="shared" si="25"/>
        <v>0000000</v>
      </c>
      <c r="D294" s="17" t="s">
        <v>3663</v>
      </c>
      <c r="E294" s="16" t="s">
        <v>1269</v>
      </c>
      <c r="F294" s="16" t="s">
        <v>1250</v>
      </c>
      <c r="G294" s="35" t="s">
        <v>1270</v>
      </c>
      <c r="H294" s="39">
        <v>6860.15</v>
      </c>
      <c r="I294" s="39">
        <v>6898.35</v>
      </c>
      <c r="J294" s="39">
        <v>6744.45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0</v>
      </c>
      <c r="AI294" s="39">
        <v>6860.15</v>
      </c>
      <c r="AJ294" s="39">
        <v>6898.35</v>
      </c>
      <c r="AK294" s="39">
        <v>6744.45</v>
      </c>
      <c r="AL294" s="39">
        <v>0</v>
      </c>
      <c r="AM294" s="39">
        <v>0</v>
      </c>
      <c r="AN294" s="39">
        <v>0</v>
      </c>
      <c r="AO294" s="39">
        <v>6860.15</v>
      </c>
      <c r="AP294" s="39">
        <v>6898.35</v>
      </c>
      <c r="AQ294" s="39">
        <v>6744.45</v>
      </c>
      <c r="AR294" s="39">
        <v>6898.35</v>
      </c>
    </row>
    <row r="295" spans="1:44" x14ac:dyDescent="0.35">
      <c r="A295" s="16" t="str">
        <f t="shared" si="24"/>
        <v>21</v>
      </c>
      <c r="B295" s="19">
        <v>73361</v>
      </c>
      <c r="C295" s="16" t="str">
        <f t="shared" si="25"/>
        <v>0000000</v>
      </c>
      <c r="D295" s="17" t="s">
        <v>3663</v>
      </c>
      <c r="E295" s="16" t="s">
        <v>1286</v>
      </c>
      <c r="F295" s="16" t="s">
        <v>1250</v>
      </c>
      <c r="G295" s="35" t="s">
        <v>1287</v>
      </c>
      <c r="H295" s="39">
        <v>330.95</v>
      </c>
      <c r="I295" s="39">
        <v>338.88</v>
      </c>
      <c r="J295" s="39">
        <v>335.58</v>
      </c>
      <c r="K295" s="39">
        <v>0</v>
      </c>
      <c r="L295" s="39">
        <v>0</v>
      </c>
      <c r="M295" s="39">
        <v>0</v>
      </c>
      <c r="N295" s="39">
        <v>103.26</v>
      </c>
      <c r="O295" s="39">
        <v>104.03</v>
      </c>
      <c r="P295" s="39">
        <v>94.64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0</v>
      </c>
      <c r="AI295" s="39">
        <v>434.21</v>
      </c>
      <c r="AJ295" s="39">
        <v>442.91</v>
      </c>
      <c r="AK295" s="39">
        <v>430.22</v>
      </c>
      <c r="AL295" s="39">
        <v>0</v>
      </c>
      <c r="AM295" s="39">
        <v>0</v>
      </c>
      <c r="AN295" s="39">
        <v>0</v>
      </c>
      <c r="AO295" s="39">
        <v>434.21</v>
      </c>
      <c r="AP295" s="39">
        <v>442.91</v>
      </c>
      <c r="AQ295" s="39">
        <v>430.22</v>
      </c>
      <c r="AR295" s="39">
        <v>442.91</v>
      </c>
    </row>
    <row r="296" spans="1:44" x14ac:dyDescent="0.35">
      <c r="A296" s="16" t="str">
        <f t="shared" si="24"/>
        <v>21</v>
      </c>
      <c r="B296" s="19">
        <v>75002</v>
      </c>
      <c r="C296" s="16" t="str">
        <f t="shared" si="25"/>
        <v>0000000</v>
      </c>
      <c r="D296" s="17" t="s">
        <v>3663</v>
      </c>
      <c r="E296" s="16" t="s">
        <v>1288</v>
      </c>
      <c r="F296" s="16" t="s">
        <v>1250</v>
      </c>
      <c r="G296" s="35" t="s">
        <v>1289</v>
      </c>
      <c r="H296" s="39">
        <v>1611.32</v>
      </c>
      <c r="I296" s="39">
        <v>1638.57</v>
      </c>
      <c r="J296" s="39">
        <v>1605.31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0</v>
      </c>
      <c r="AI296" s="39">
        <v>1611.32</v>
      </c>
      <c r="AJ296" s="39">
        <v>1638.57</v>
      </c>
      <c r="AK296" s="39">
        <v>1605.31</v>
      </c>
      <c r="AL296" s="39">
        <v>0</v>
      </c>
      <c r="AM296" s="39">
        <v>0</v>
      </c>
      <c r="AN296" s="39">
        <v>0</v>
      </c>
      <c r="AO296" s="39">
        <v>1611.32</v>
      </c>
      <c r="AP296" s="39">
        <v>1638.57</v>
      </c>
      <c r="AQ296" s="39">
        <v>1605.31</v>
      </c>
      <c r="AR296" s="39">
        <v>1638.57</v>
      </c>
    </row>
    <row r="297" spans="1:44" x14ac:dyDescent="0.35">
      <c r="A297" s="16" t="str">
        <f t="shared" si="24"/>
        <v>21</v>
      </c>
      <c r="B297" s="19">
        <v>65409</v>
      </c>
      <c r="C297" s="16" t="str">
        <f t="shared" si="25"/>
        <v>0000000</v>
      </c>
      <c r="D297" s="17" t="s">
        <v>3663</v>
      </c>
      <c r="E297" s="16" t="s">
        <v>1267</v>
      </c>
      <c r="F297" s="16" t="s">
        <v>1250</v>
      </c>
      <c r="G297" s="35" t="s">
        <v>1268</v>
      </c>
      <c r="H297" s="39">
        <v>32.61</v>
      </c>
      <c r="I297" s="39">
        <v>32.56</v>
      </c>
      <c r="J297" s="39">
        <v>32.46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0</v>
      </c>
      <c r="AI297" s="39">
        <v>32.61</v>
      </c>
      <c r="AJ297" s="39">
        <v>32.56</v>
      </c>
      <c r="AK297" s="39">
        <v>32.46</v>
      </c>
      <c r="AL297" s="39">
        <v>0</v>
      </c>
      <c r="AM297" s="39">
        <v>0</v>
      </c>
      <c r="AN297" s="39">
        <v>0</v>
      </c>
      <c r="AO297" s="39">
        <v>32.61</v>
      </c>
      <c r="AP297" s="39">
        <v>32.56</v>
      </c>
      <c r="AQ297" s="39">
        <v>32.46</v>
      </c>
      <c r="AR297" s="39">
        <v>32.61</v>
      </c>
    </row>
    <row r="298" spans="1:44" x14ac:dyDescent="0.35">
      <c r="A298" s="16" t="str">
        <f t="shared" si="24"/>
        <v>21</v>
      </c>
      <c r="B298" s="19">
        <v>65342</v>
      </c>
      <c r="C298" s="16" t="str">
        <f t="shared" si="25"/>
        <v>0000000</v>
      </c>
      <c r="D298" s="17" t="s">
        <v>3663</v>
      </c>
      <c r="E298" s="16" t="s">
        <v>1259</v>
      </c>
      <c r="F298" s="16" t="s">
        <v>1250</v>
      </c>
      <c r="G298" s="35" t="s">
        <v>1260</v>
      </c>
      <c r="H298" s="39">
        <v>8.6</v>
      </c>
      <c r="I298" s="39">
        <v>8.2100000000000009</v>
      </c>
      <c r="J298" s="39">
        <v>15.15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0</v>
      </c>
      <c r="AI298" s="39">
        <v>8.6</v>
      </c>
      <c r="AJ298" s="39">
        <v>8.2100000000000009</v>
      </c>
      <c r="AK298" s="39">
        <v>15.15</v>
      </c>
      <c r="AL298" s="39">
        <v>0</v>
      </c>
      <c r="AM298" s="39">
        <v>0</v>
      </c>
      <c r="AN298" s="39">
        <v>0</v>
      </c>
      <c r="AO298" s="39">
        <v>8.6</v>
      </c>
      <c r="AP298" s="39">
        <v>8.2100000000000009</v>
      </c>
      <c r="AQ298" s="39">
        <v>15.15</v>
      </c>
      <c r="AR298" s="39">
        <v>15.15</v>
      </c>
    </row>
    <row r="299" spans="1:44" x14ac:dyDescent="0.35">
      <c r="A299" s="16" t="str">
        <f t="shared" ref="A299:A325" si="26">TEXT(47,"00")</f>
        <v>47</v>
      </c>
      <c r="B299" s="19">
        <v>10470</v>
      </c>
      <c r="C299" s="16" t="str">
        <f t="shared" si="25"/>
        <v>0000000</v>
      </c>
      <c r="D299" s="17" t="s">
        <v>3663</v>
      </c>
      <c r="E299" s="16" t="s">
        <v>2963</v>
      </c>
      <c r="F299" s="16" t="s">
        <v>2964</v>
      </c>
      <c r="G299" s="35" t="s">
        <v>2964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67.260000000000005</v>
      </c>
      <c r="X299" s="39">
        <v>91.07</v>
      </c>
      <c r="Y299" s="39">
        <v>76.86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0</v>
      </c>
      <c r="AI299" s="39">
        <v>67.260000000000005</v>
      </c>
      <c r="AJ299" s="39">
        <v>91.07</v>
      </c>
      <c r="AK299" s="39">
        <v>76.86</v>
      </c>
      <c r="AL299" s="39">
        <v>0</v>
      </c>
      <c r="AM299" s="39">
        <v>0</v>
      </c>
      <c r="AN299" s="39">
        <v>0</v>
      </c>
      <c r="AO299" s="39">
        <v>67.260000000000005</v>
      </c>
      <c r="AP299" s="39">
        <v>91.07</v>
      </c>
      <c r="AQ299" s="39">
        <v>76.86</v>
      </c>
      <c r="AR299" s="39">
        <v>91.07</v>
      </c>
    </row>
    <row r="300" spans="1:44" x14ac:dyDescent="0.35">
      <c r="A300" s="16" t="str">
        <f t="shared" si="26"/>
        <v>47</v>
      </c>
      <c r="B300" s="19">
        <v>70326</v>
      </c>
      <c r="C300" s="16" t="str">
        <f t="shared" si="25"/>
        <v>0000000</v>
      </c>
      <c r="D300" s="17" t="s">
        <v>3663</v>
      </c>
      <c r="E300" s="16" t="s">
        <v>2986</v>
      </c>
      <c r="F300" s="16" t="s">
        <v>2964</v>
      </c>
      <c r="G300" s="35" t="s">
        <v>2987</v>
      </c>
      <c r="H300" s="39">
        <v>198.38</v>
      </c>
      <c r="I300" s="39">
        <v>190.24</v>
      </c>
      <c r="J300" s="39">
        <v>182.74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198.38</v>
      </c>
      <c r="AJ300" s="39">
        <v>190.24</v>
      </c>
      <c r="AK300" s="39">
        <v>182.74</v>
      </c>
      <c r="AL300" s="39">
        <v>0</v>
      </c>
      <c r="AM300" s="39">
        <v>0</v>
      </c>
      <c r="AN300" s="39">
        <v>0</v>
      </c>
      <c r="AO300" s="39">
        <v>198.38</v>
      </c>
      <c r="AP300" s="39">
        <v>190.24</v>
      </c>
      <c r="AQ300" s="39">
        <v>182.74</v>
      </c>
      <c r="AR300" s="39">
        <v>198.38</v>
      </c>
    </row>
    <row r="301" spans="1:44" x14ac:dyDescent="0.35">
      <c r="A301" s="16" t="str">
        <f t="shared" si="26"/>
        <v>47</v>
      </c>
      <c r="B301" s="19">
        <v>70409</v>
      </c>
      <c r="C301" s="16" t="str">
        <f t="shared" si="25"/>
        <v>0000000</v>
      </c>
      <c r="D301" s="17" t="s">
        <v>3663</v>
      </c>
      <c r="E301" s="16" t="s">
        <v>2997</v>
      </c>
      <c r="F301" s="16" t="s">
        <v>2964</v>
      </c>
      <c r="G301" s="35" t="s">
        <v>2998</v>
      </c>
      <c r="H301" s="39">
        <v>48.22</v>
      </c>
      <c r="I301" s="39">
        <v>44.41</v>
      </c>
      <c r="J301" s="39">
        <v>45.96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0</v>
      </c>
      <c r="AI301" s="39">
        <v>48.22</v>
      </c>
      <c r="AJ301" s="39">
        <v>44.41</v>
      </c>
      <c r="AK301" s="39">
        <v>45.96</v>
      </c>
      <c r="AL301" s="39">
        <v>0</v>
      </c>
      <c r="AM301" s="39">
        <v>0</v>
      </c>
      <c r="AN301" s="39">
        <v>0</v>
      </c>
      <c r="AO301" s="39">
        <v>48.22</v>
      </c>
      <c r="AP301" s="39">
        <v>44.41</v>
      </c>
      <c r="AQ301" s="39">
        <v>45.96</v>
      </c>
      <c r="AR301" s="39">
        <v>48.22</v>
      </c>
    </row>
    <row r="302" spans="1:44" x14ac:dyDescent="0.35">
      <c r="A302" s="16" t="str">
        <f t="shared" si="26"/>
        <v>47</v>
      </c>
      <c r="B302" s="19">
        <v>70417</v>
      </c>
      <c r="C302" s="16" t="str">
        <f t="shared" si="25"/>
        <v>0000000</v>
      </c>
      <c r="D302" s="17" t="s">
        <v>3663</v>
      </c>
      <c r="E302" s="16" t="s">
        <v>2999</v>
      </c>
      <c r="F302" s="16" t="s">
        <v>2964</v>
      </c>
      <c r="G302" s="35" t="s">
        <v>3000</v>
      </c>
      <c r="H302" s="39">
        <v>167.31</v>
      </c>
      <c r="I302" s="39">
        <v>145.61000000000001</v>
      </c>
      <c r="J302" s="39">
        <v>151.63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0</v>
      </c>
      <c r="AI302" s="39">
        <v>167.31</v>
      </c>
      <c r="AJ302" s="39">
        <v>145.61000000000001</v>
      </c>
      <c r="AK302" s="39">
        <v>151.63</v>
      </c>
      <c r="AL302" s="39">
        <v>0</v>
      </c>
      <c r="AM302" s="39">
        <v>0</v>
      </c>
      <c r="AN302" s="39">
        <v>0</v>
      </c>
      <c r="AO302" s="39">
        <v>167.31</v>
      </c>
      <c r="AP302" s="39">
        <v>145.61000000000001</v>
      </c>
      <c r="AQ302" s="39">
        <v>151.63</v>
      </c>
      <c r="AR302" s="39">
        <v>167.31</v>
      </c>
    </row>
    <row r="303" spans="1:44" x14ac:dyDescent="0.35">
      <c r="A303" s="16" t="str">
        <f t="shared" si="26"/>
        <v>47</v>
      </c>
      <c r="B303" s="19">
        <v>70425</v>
      </c>
      <c r="C303" s="16" t="str">
        <f t="shared" si="25"/>
        <v>0000000</v>
      </c>
      <c r="D303" s="17" t="s">
        <v>3663</v>
      </c>
      <c r="E303" s="16" t="s">
        <v>3001</v>
      </c>
      <c r="F303" s="16" t="s">
        <v>2964</v>
      </c>
      <c r="G303" s="35" t="s">
        <v>3002</v>
      </c>
      <c r="H303" s="39">
        <v>428.43</v>
      </c>
      <c r="I303" s="39">
        <v>465.23</v>
      </c>
      <c r="J303" s="39">
        <v>422.75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0</v>
      </c>
      <c r="AI303" s="39">
        <v>428.43</v>
      </c>
      <c r="AJ303" s="39">
        <v>465.23</v>
      </c>
      <c r="AK303" s="39">
        <v>422.75</v>
      </c>
      <c r="AL303" s="39">
        <v>0</v>
      </c>
      <c r="AM303" s="39">
        <v>0</v>
      </c>
      <c r="AN303" s="39">
        <v>0</v>
      </c>
      <c r="AO303" s="39">
        <v>428.43</v>
      </c>
      <c r="AP303" s="39">
        <v>465.23</v>
      </c>
      <c r="AQ303" s="39">
        <v>422.75</v>
      </c>
      <c r="AR303" s="39">
        <v>465.23</v>
      </c>
    </row>
    <row r="304" spans="1:44" x14ac:dyDescent="0.35">
      <c r="A304" s="16" t="str">
        <f t="shared" si="26"/>
        <v>47</v>
      </c>
      <c r="B304" s="19">
        <v>70482</v>
      </c>
      <c r="C304" s="16" t="str">
        <f t="shared" si="25"/>
        <v>0000000</v>
      </c>
      <c r="D304" s="17" t="s">
        <v>3663</v>
      </c>
      <c r="E304" s="16" t="s">
        <v>3007</v>
      </c>
      <c r="F304" s="16" t="s">
        <v>2964</v>
      </c>
      <c r="G304" s="35" t="s">
        <v>3008</v>
      </c>
      <c r="H304" s="39">
        <v>253.2</v>
      </c>
      <c r="I304" s="39">
        <v>258.45</v>
      </c>
      <c r="J304" s="39">
        <v>306.07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0</v>
      </c>
      <c r="AI304" s="39">
        <v>253.2</v>
      </c>
      <c r="AJ304" s="39">
        <v>258.45</v>
      </c>
      <c r="AK304" s="39">
        <v>306.07</v>
      </c>
      <c r="AL304" s="39">
        <v>0</v>
      </c>
      <c r="AM304" s="39">
        <v>0</v>
      </c>
      <c r="AN304" s="39">
        <v>0</v>
      </c>
      <c r="AO304" s="39">
        <v>253.2</v>
      </c>
      <c r="AP304" s="39">
        <v>258.45</v>
      </c>
      <c r="AQ304" s="39">
        <v>306.07</v>
      </c>
      <c r="AR304" s="39">
        <v>306.07</v>
      </c>
    </row>
    <row r="305" spans="1:44" x14ac:dyDescent="0.35">
      <c r="A305" s="16" t="str">
        <f t="shared" si="26"/>
        <v>47</v>
      </c>
      <c r="B305" s="19">
        <v>70243</v>
      </c>
      <c r="C305" s="16" t="str">
        <f t="shared" si="25"/>
        <v>0000000</v>
      </c>
      <c r="D305" s="17" t="s">
        <v>3663</v>
      </c>
      <c r="E305" s="16" t="s">
        <v>2978</v>
      </c>
      <c r="F305" s="16" t="s">
        <v>2964</v>
      </c>
      <c r="G305" s="35" t="s">
        <v>2979</v>
      </c>
      <c r="H305" s="39">
        <v>58.12</v>
      </c>
      <c r="I305" s="39">
        <v>61</v>
      </c>
      <c r="J305" s="39">
        <v>71.400000000000006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0</v>
      </c>
      <c r="AI305" s="39">
        <v>58.12</v>
      </c>
      <c r="AJ305" s="39">
        <v>61</v>
      </c>
      <c r="AK305" s="39">
        <v>71.400000000000006</v>
      </c>
      <c r="AL305" s="39">
        <v>0</v>
      </c>
      <c r="AM305" s="39">
        <v>0</v>
      </c>
      <c r="AN305" s="39">
        <v>0</v>
      </c>
      <c r="AO305" s="39">
        <v>58.12</v>
      </c>
      <c r="AP305" s="39">
        <v>61</v>
      </c>
      <c r="AQ305" s="39">
        <v>71.400000000000006</v>
      </c>
      <c r="AR305" s="39">
        <v>71.400000000000006</v>
      </c>
    </row>
    <row r="306" spans="1:44" x14ac:dyDescent="0.35">
      <c r="A306" s="16" t="str">
        <f t="shared" si="26"/>
        <v>47</v>
      </c>
      <c r="B306" s="19">
        <v>70185</v>
      </c>
      <c r="C306" s="16" t="str">
        <f t="shared" si="25"/>
        <v>0000000</v>
      </c>
      <c r="D306" s="17" t="s">
        <v>3663</v>
      </c>
      <c r="E306" s="16" t="s">
        <v>2970</v>
      </c>
      <c r="F306" s="16" t="s">
        <v>2964</v>
      </c>
      <c r="G306" s="35" t="s">
        <v>2971</v>
      </c>
      <c r="H306" s="39">
        <v>137.97</v>
      </c>
      <c r="I306" s="39">
        <v>135.93</v>
      </c>
      <c r="J306" s="39">
        <v>139.22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0</v>
      </c>
      <c r="AI306" s="39">
        <v>137.97</v>
      </c>
      <c r="AJ306" s="39">
        <v>135.93</v>
      </c>
      <c r="AK306" s="39">
        <v>139.22</v>
      </c>
      <c r="AL306" s="39">
        <v>0</v>
      </c>
      <c r="AM306" s="39">
        <v>0</v>
      </c>
      <c r="AN306" s="39">
        <v>0</v>
      </c>
      <c r="AO306" s="39">
        <v>137.97</v>
      </c>
      <c r="AP306" s="39">
        <v>135.93</v>
      </c>
      <c r="AQ306" s="39">
        <v>139.22</v>
      </c>
      <c r="AR306" s="39">
        <v>139.22</v>
      </c>
    </row>
    <row r="307" spans="1:44" x14ac:dyDescent="0.35">
      <c r="A307" s="16" t="str">
        <f t="shared" si="26"/>
        <v>47</v>
      </c>
      <c r="B307" s="19">
        <v>70508</v>
      </c>
      <c r="C307" s="16" t="str">
        <f t="shared" si="25"/>
        <v>0000000</v>
      </c>
      <c r="D307" s="17" t="s">
        <v>3663</v>
      </c>
      <c r="E307" s="16" t="s">
        <v>3011</v>
      </c>
      <c r="F307" s="16" t="s">
        <v>2964</v>
      </c>
      <c r="G307" s="35" t="s">
        <v>3012</v>
      </c>
      <c r="H307" s="39">
        <v>797.79</v>
      </c>
      <c r="I307" s="39">
        <v>789.27</v>
      </c>
      <c r="J307" s="39">
        <v>817.47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0</v>
      </c>
      <c r="AI307" s="39">
        <v>797.79</v>
      </c>
      <c r="AJ307" s="39">
        <v>789.27</v>
      </c>
      <c r="AK307" s="39">
        <v>817.47</v>
      </c>
      <c r="AL307" s="39">
        <v>0</v>
      </c>
      <c r="AM307" s="39">
        <v>0</v>
      </c>
      <c r="AN307" s="39">
        <v>0</v>
      </c>
      <c r="AO307" s="39">
        <v>797.79</v>
      </c>
      <c r="AP307" s="39">
        <v>789.27</v>
      </c>
      <c r="AQ307" s="39">
        <v>817.47</v>
      </c>
      <c r="AR307" s="39">
        <v>817.47</v>
      </c>
    </row>
    <row r="308" spans="1:44" x14ac:dyDescent="0.35">
      <c r="A308" s="16" t="str">
        <f t="shared" si="26"/>
        <v>47</v>
      </c>
      <c r="B308" s="19">
        <v>70466</v>
      </c>
      <c r="C308" s="16" t="str">
        <f t="shared" si="25"/>
        <v>0000000</v>
      </c>
      <c r="D308" s="17" t="s">
        <v>3663</v>
      </c>
      <c r="E308" s="16" t="s">
        <v>3005</v>
      </c>
      <c r="F308" s="16" t="s">
        <v>2964</v>
      </c>
      <c r="G308" s="35" t="s">
        <v>3006</v>
      </c>
      <c r="H308" s="39">
        <v>418.84</v>
      </c>
      <c r="I308" s="39">
        <v>429.23</v>
      </c>
      <c r="J308" s="39">
        <v>465.01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0</v>
      </c>
      <c r="AI308" s="39">
        <v>418.84</v>
      </c>
      <c r="AJ308" s="39">
        <v>429.23</v>
      </c>
      <c r="AK308" s="39">
        <v>465.01</v>
      </c>
      <c r="AL308" s="39">
        <v>0</v>
      </c>
      <c r="AM308" s="39">
        <v>0</v>
      </c>
      <c r="AN308" s="39">
        <v>0</v>
      </c>
      <c r="AO308" s="39">
        <v>418.84</v>
      </c>
      <c r="AP308" s="39">
        <v>429.23</v>
      </c>
      <c r="AQ308" s="39">
        <v>465.01</v>
      </c>
      <c r="AR308" s="39">
        <v>465.01</v>
      </c>
    </row>
    <row r="309" spans="1:44" x14ac:dyDescent="0.35">
      <c r="A309" s="16" t="str">
        <f t="shared" si="26"/>
        <v>47</v>
      </c>
      <c r="B309" s="19">
        <v>70516</v>
      </c>
      <c r="C309" s="16" t="str">
        <f t="shared" si="25"/>
        <v>0000000</v>
      </c>
      <c r="D309" s="17" t="s">
        <v>3663</v>
      </c>
      <c r="E309" s="16" t="s">
        <v>3013</v>
      </c>
      <c r="F309" s="16" t="s">
        <v>2964</v>
      </c>
      <c r="G309" s="35" t="s">
        <v>3014</v>
      </c>
      <c r="H309" s="39">
        <v>568.92999999999995</v>
      </c>
      <c r="I309" s="39">
        <v>610.41</v>
      </c>
      <c r="J309" s="39">
        <v>641.37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0</v>
      </c>
      <c r="AI309" s="39">
        <v>568.92999999999995</v>
      </c>
      <c r="AJ309" s="39">
        <v>610.41</v>
      </c>
      <c r="AK309" s="39">
        <v>641.37</v>
      </c>
      <c r="AL309" s="39">
        <v>0</v>
      </c>
      <c r="AM309" s="39">
        <v>0</v>
      </c>
      <c r="AN309" s="39">
        <v>0</v>
      </c>
      <c r="AO309" s="39">
        <v>568.92999999999995</v>
      </c>
      <c r="AP309" s="39">
        <v>610.41</v>
      </c>
      <c r="AQ309" s="39">
        <v>641.37</v>
      </c>
      <c r="AR309" s="39">
        <v>641.37</v>
      </c>
    </row>
    <row r="310" spans="1:44" x14ac:dyDescent="0.35">
      <c r="A310" s="16" t="str">
        <f t="shared" si="26"/>
        <v>47</v>
      </c>
      <c r="B310" s="19">
        <v>73684</v>
      </c>
      <c r="C310" s="16" t="str">
        <f t="shared" si="25"/>
        <v>0000000</v>
      </c>
      <c r="D310" s="17" t="s">
        <v>3663</v>
      </c>
      <c r="E310" s="16" t="s">
        <v>3015</v>
      </c>
      <c r="F310" s="16" t="s">
        <v>2964</v>
      </c>
      <c r="G310" s="35" t="s">
        <v>3016</v>
      </c>
      <c r="H310" s="39">
        <v>288.63</v>
      </c>
      <c r="I310" s="39">
        <v>280.22000000000003</v>
      </c>
      <c r="J310" s="39">
        <v>258.60000000000002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0</v>
      </c>
      <c r="AI310" s="39">
        <v>288.63</v>
      </c>
      <c r="AJ310" s="39">
        <v>280.22000000000003</v>
      </c>
      <c r="AK310" s="39">
        <v>258.60000000000002</v>
      </c>
      <c r="AL310" s="39">
        <v>0</v>
      </c>
      <c r="AM310" s="39">
        <v>0</v>
      </c>
      <c r="AN310" s="39">
        <v>0</v>
      </c>
      <c r="AO310" s="39">
        <v>288.63</v>
      </c>
      <c r="AP310" s="39">
        <v>280.22000000000003</v>
      </c>
      <c r="AQ310" s="39">
        <v>258.60000000000002</v>
      </c>
      <c r="AR310" s="39">
        <v>288.63</v>
      </c>
    </row>
    <row r="311" spans="1:44" x14ac:dyDescent="0.35">
      <c r="A311" s="16" t="str">
        <f t="shared" si="26"/>
        <v>47</v>
      </c>
      <c r="B311" s="19">
        <v>70250</v>
      </c>
      <c r="C311" s="16" t="str">
        <f t="shared" si="25"/>
        <v>0000000</v>
      </c>
      <c r="D311" s="17" t="s">
        <v>3663</v>
      </c>
      <c r="E311" s="16" t="s">
        <v>2980</v>
      </c>
      <c r="F311" s="16" t="s">
        <v>2964</v>
      </c>
      <c r="G311" s="35" t="s">
        <v>2981</v>
      </c>
      <c r="H311" s="39">
        <v>53.87</v>
      </c>
      <c r="I311" s="39">
        <v>55.07</v>
      </c>
      <c r="J311" s="39">
        <v>59.06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0</v>
      </c>
      <c r="AI311" s="39">
        <v>53.87</v>
      </c>
      <c r="AJ311" s="39">
        <v>55.07</v>
      </c>
      <c r="AK311" s="39">
        <v>59.06</v>
      </c>
      <c r="AL311" s="39">
        <v>0</v>
      </c>
      <c r="AM311" s="39">
        <v>0</v>
      </c>
      <c r="AN311" s="39">
        <v>0</v>
      </c>
      <c r="AO311" s="39">
        <v>53.87</v>
      </c>
      <c r="AP311" s="39">
        <v>55.07</v>
      </c>
      <c r="AQ311" s="39">
        <v>59.06</v>
      </c>
      <c r="AR311" s="39">
        <v>59.06</v>
      </c>
    </row>
    <row r="312" spans="1:44" x14ac:dyDescent="0.35">
      <c r="A312" s="16" t="str">
        <f t="shared" si="26"/>
        <v>47</v>
      </c>
      <c r="B312" s="19">
        <v>70334</v>
      </c>
      <c r="C312" s="16" t="str">
        <f t="shared" si="25"/>
        <v>0000000</v>
      </c>
      <c r="D312" s="17" t="s">
        <v>3663</v>
      </c>
      <c r="E312" s="16" t="s">
        <v>2988</v>
      </c>
      <c r="F312" s="16" t="s">
        <v>2964</v>
      </c>
      <c r="G312" s="35" t="s">
        <v>2989</v>
      </c>
      <c r="H312" s="39">
        <v>70.91</v>
      </c>
      <c r="I312" s="39">
        <v>98.88</v>
      </c>
      <c r="J312" s="39">
        <v>99.92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70.91</v>
      </c>
      <c r="AJ312" s="39">
        <v>98.88</v>
      </c>
      <c r="AK312" s="39">
        <v>99.92</v>
      </c>
      <c r="AL312" s="39">
        <v>0</v>
      </c>
      <c r="AM312" s="39">
        <v>0</v>
      </c>
      <c r="AN312" s="39">
        <v>0</v>
      </c>
      <c r="AO312" s="39">
        <v>70.91</v>
      </c>
      <c r="AP312" s="39">
        <v>98.88</v>
      </c>
      <c r="AQ312" s="39">
        <v>99.92</v>
      </c>
      <c r="AR312" s="39">
        <v>99.92</v>
      </c>
    </row>
    <row r="313" spans="1:44" x14ac:dyDescent="0.35">
      <c r="A313" s="16" t="str">
        <f t="shared" si="26"/>
        <v>47</v>
      </c>
      <c r="B313" s="19">
        <v>70193</v>
      </c>
      <c r="C313" s="16" t="str">
        <f t="shared" si="25"/>
        <v>0000000</v>
      </c>
      <c r="D313" s="17" t="s">
        <v>3663</v>
      </c>
      <c r="E313" s="16" t="s">
        <v>2972</v>
      </c>
      <c r="F313" s="16" t="s">
        <v>2964</v>
      </c>
      <c r="G313" s="35" t="s">
        <v>2973</v>
      </c>
      <c r="H313" s="39">
        <v>16.309999999999999</v>
      </c>
      <c r="I313" s="39">
        <v>14.43</v>
      </c>
      <c r="J313" s="39">
        <v>12.7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0</v>
      </c>
      <c r="AI313" s="39">
        <v>16.309999999999999</v>
      </c>
      <c r="AJ313" s="39">
        <v>14.43</v>
      </c>
      <c r="AK313" s="39">
        <v>12.7</v>
      </c>
      <c r="AL313" s="39">
        <v>0</v>
      </c>
      <c r="AM313" s="39">
        <v>0</v>
      </c>
      <c r="AN313" s="39">
        <v>0</v>
      </c>
      <c r="AO313" s="39">
        <v>16.309999999999999</v>
      </c>
      <c r="AP313" s="39">
        <v>14.43</v>
      </c>
      <c r="AQ313" s="39">
        <v>12.7</v>
      </c>
      <c r="AR313" s="39">
        <v>16.309999999999999</v>
      </c>
    </row>
    <row r="314" spans="1:44" x14ac:dyDescent="0.35">
      <c r="A314" s="16" t="str">
        <f t="shared" si="26"/>
        <v>47</v>
      </c>
      <c r="B314" s="19">
        <v>70201</v>
      </c>
      <c r="C314" s="16" t="str">
        <f t="shared" si="25"/>
        <v>0000000</v>
      </c>
      <c r="D314" s="17" t="s">
        <v>3663</v>
      </c>
      <c r="E314" s="16" t="s">
        <v>2974</v>
      </c>
      <c r="F314" s="16" t="s">
        <v>2964</v>
      </c>
      <c r="G314" s="35" t="s">
        <v>2975</v>
      </c>
      <c r="H314" s="39">
        <v>151.69</v>
      </c>
      <c r="I314" s="39">
        <v>140.4</v>
      </c>
      <c r="J314" s="39">
        <v>143.03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0</v>
      </c>
      <c r="AI314" s="39">
        <v>151.69</v>
      </c>
      <c r="AJ314" s="39">
        <v>140.4</v>
      </c>
      <c r="AK314" s="39">
        <v>143.03</v>
      </c>
      <c r="AL314" s="39">
        <v>0</v>
      </c>
      <c r="AM314" s="39">
        <v>0</v>
      </c>
      <c r="AN314" s="39">
        <v>0</v>
      </c>
      <c r="AO314" s="39">
        <v>151.69</v>
      </c>
      <c r="AP314" s="39">
        <v>140.4</v>
      </c>
      <c r="AQ314" s="39">
        <v>143.03</v>
      </c>
      <c r="AR314" s="39">
        <v>151.69</v>
      </c>
    </row>
    <row r="315" spans="1:44" x14ac:dyDescent="0.35">
      <c r="A315" s="16" t="str">
        <f t="shared" si="26"/>
        <v>47</v>
      </c>
      <c r="B315" s="19">
        <v>70227</v>
      </c>
      <c r="C315" s="16" t="str">
        <f t="shared" si="25"/>
        <v>0000000</v>
      </c>
      <c r="D315" s="17" t="s">
        <v>3663</v>
      </c>
      <c r="E315" s="16" t="s">
        <v>2976</v>
      </c>
      <c r="F315" s="16" t="s">
        <v>2964</v>
      </c>
      <c r="G315" s="35" t="s">
        <v>2977</v>
      </c>
      <c r="H315" s="39">
        <v>42.38</v>
      </c>
      <c r="I315" s="39">
        <v>58.75</v>
      </c>
      <c r="J315" s="39">
        <v>54.14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0</v>
      </c>
      <c r="AI315" s="39">
        <v>42.38</v>
      </c>
      <c r="AJ315" s="39">
        <v>58.75</v>
      </c>
      <c r="AK315" s="39">
        <v>54.14</v>
      </c>
      <c r="AL315" s="39">
        <v>0</v>
      </c>
      <c r="AM315" s="39">
        <v>0</v>
      </c>
      <c r="AN315" s="39">
        <v>0</v>
      </c>
      <c r="AO315" s="39">
        <v>42.38</v>
      </c>
      <c r="AP315" s="39">
        <v>58.75</v>
      </c>
      <c r="AQ315" s="39">
        <v>54.14</v>
      </c>
      <c r="AR315" s="39">
        <v>58.75</v>
      </c>
    </row>
    <row r="316" spans="1:44" x14ac:dyDescent="0.35">
      <c r="A316" s="16" t="str">
        <f t="shared" si="26"/>
        <v>47</v>
      </c>
      <c r="B316" s="19">
        <v>70318</v>
      </c>
      <c r="C316" s="16" t="str">
        <f t="shared" si="25"/>
        <v>0000000</v>
      </c>
      <c r="D316" s="17" t="s">
        <v>3663</v>
      </c>
      <c r="E316" s="16" t="s">
        <v>2984</v>
      </c>
      <c r="F316" s="16" t="s">
        <v>2964</v>
      </c>
      <c r="G316" s="35" t="s">
        <v>2985</v>
      </c>
      <c r="H316" s="39">
        <v>22.55</v>
      </c>
      <c r="I316" s="39">
        <v>23.9</v>
      </c>
      <c r="J316" s="39">
        <v>33.89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0</v>
      </c>
      <c r="AI316" s="39">
        <v>22.55</v>
      </c>
      <c r="AJ316" s="39">
        <v>23.9</v>
      </c>
      <c r="AK316" s="39">
        <v>33.89</v>
      </c>
      <c r="AL316" s="39">
        <v>0</v>
      </c>
      <c r="AM316" s="39">
        <v>0</v>
      </c>
      <c r="AN316" s="39">
        <v>0</v>
      </c>
      <c r="AO316" s="39">
        <v>22.55</v>
      </c>
      <c r="AP316" s="39">
        <v>23.9</v>
      </c>
      <c r="AQ316" s="39">
        <v>33.89</v>
      </c>
      <c r="AR316" s="39">
        <v>33.89</v>
      </c>
    </row>
    <row r="317" spans="1:44" x14ac:dyDescent="0.35">
      <c r="A317" s="16" t="str">
        <f t="shared" si="26"/>
        <v>47</v>
      </c>
      <c r="B317" s="19">
        <v>70359</v>
      </c>
      <c r="C317" s="16" t="str">
        <f t="shared" si="25"/>
        <v>0000000</v>
      </c>
      <c r="D317" s="17" t="s">
        <v>3663</v>
      </c>
      <c r="E317" s="16" t="s">
        <v>2990</v>
      </c>
      <c r="F317" s="16" t="s">
        <v>2964</v>
      </c>
      <c r="G317" s="35" t="s">
        <v>2991</v>
      </c>
      <c r="H317" s="39">
        <v>30.5</v>
      </c>
      <c r="I317" s="39">
        <v>36.409999999999997</v>
      </c>
      <c r="J317" s="39">
        <v>35.49</v>
      </c>
      <c r="K317" s="39">
        <v>0</v>
      </c>
      <c r="L317" s="39">
        <v>0</v>
      </c>
      <c r="M317" s="39">
        <v>0</v>
      </c>
      <c r="N317" s="39">
        <v>0</v>
      </c>
      <c r="O317" s="39">
        <v>0</v>
      </c>
      <c r="P317" s="39">
        <v>0</v>
      </c>
      <c r="Q317" s="39">
        <v>0</v>
      </c>
      <c r="R317" s="39">
        <v>0</v>
      </c>
      <c r="S317" s="39">
        <v>0</v>
      </c>
      <c r="T317" s="39">
        <v>0</v>
      </c>
      <c r="U317" s="39">
        <v>0</v>
      </c>
      <c r="V317" s="39">
        <v>0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0</v>
      </c>
      <c r="AI317" s="39">
        <v>30.5</v>
      </c>
      <c r="AJ317" s="39">
        <v>36.409999999999997</v>
      </c>
      <c r="AK317" s="39">
        <v>35.49</v>
      </c>
      <c r="AL317" s="39">
        <v>0</v>
      </c>
      <c r="AM317" s="39">
        <v>0</v>
      </c>
      <c r="AN317" s="39">
        <v>0</v>
      </c>
      <c r="AO317" s="39">
        <v>30.5</v>
      </c>
      <c r="AP317" s="39">
        <v>36.409999999999997</v>
      </c>
      <c r="AQ317" s="39">
        <v>35.49</v>
      </c>
      <c r="AR317" s="39">
        <v>36.409999999999997</v>
      </c>
    </row>
    <row r="318" spans="1:44" x14ac:dyDescent="0.35">
      <c r="A318" s="16" t="str">
        <f t="shared" si="26"/>
        <v>47</v>
      </c>
      <c r="B318" s="19">
        <v>70367</v>
      </c>
      <c r="C318" s="16" t="str">
        <f t="shared" si="25"/>
        <v>0000000</v>
      </c>
      <c r="D318" s="17" t="s">
        <v>3663</v>
      </c>
      <c r="E318" s="16" t="s">
        <v>2992</v>
      </c>
      <c r="F318" s="16" t="s">
        <v>2964</v>
      </c>
      <c r="G318" s="35" t="s">
        <v>2929</v>
      </c>
      <c r="H318" s="39">
        <v>29.58</v>
      </c>
      <c r="I318" s="39">
        <v>19.5</v>
      </c>
      <c r="J318" s="39">
        <v>10.68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0</v>
      </c>
      <c r="AI318" s="39">
        <v>29.58</v>
      </c>
      <c r="AJ318" s="39">
        <v>19.5</v>
      </c>
      <c r="AK318" s="39">
        <v>10.68</v>
      </c>
      <c r="AL318" s="39">
        <v>0</v>
      </c>
      <c r="AM318" s="39">
        <v>0</v>
      </c>
      <c r="AN318" s="39">
        <v>0</v>
      </c>
      <c r="AO318" s="39">
        <v>29.58</v>
      </c>
      <c r="AP318" s="39">
        <v>19.5</v>
      </c>
      <c r="AQ318" s="39">
        <v>10.68</v>
      </c>
      <c r="AR318" s="39">
        <v>29.58</v>
      </c>
    </row>
    <row r="319" spans="1:44" x14ac:dyDescent="0.35">
      <c r="A319" s="16" t="str">
        <f t="shared" si="26"/>
        <v>47</v>
      </c>
      <c r="B319" s="19">
        <v>70375</v>
      </c>
      <c r="C319" s="16" t="str">
        <f t="shared" si="25"/>
        <v>0000000</v>
      </c>
      <c r="D319" s="17" t="s">
        <v>3663</v>
      </c>
      <c r="E319" s="16" t="s">
        <v>2993</v>
      </c>
      <c r="F319" s="16" t="s">
        <v>2964</v>
      </c>
      <c r="G319" s="35" t="s">
        <v>2994</v>
      </c>
      <c r="H319" s="39">
        <v>4.3600000000000003</v>
      </c>
      <c r="I319" s="39">
        <v>4.38</v>
      </c>
      <c r="J319" s="39">
        <v>5.04</v>
      </c>
      <c r="K319" s="39">
        <v>0</v>
      </c>
      <c r="L319" s="39">
        <v>0</v>
      </c>
      <c r="M319" s="39">
        <v>0</v>
      </c>
      <c r="N319" s="39">
        <v>0</v>
      </c>
      <c r="O319" s="39">
        <v>0</v>
      </c>
      <c r="P319" s="39">
        <v>0</v>
      </c>
      <c r="Q319" s="39">
        <v>0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0</v>
      </c>
      <c r="AI319" s="39">
        <v>4.3600000000000003</v>
      </c>
      <c r="AJ319" s="39">
        <v>4.38</v>
      </c>
      <c r="AK319" s="39">
        <v>5.04</v>
      </c>
      <c r="AL319" s="39">
        <v>0</v>
      </c>
      <c r="AM319" s="39">
        <v>0</v>
      </c>
      <c r="AN319" s="39">
        <v>0</v>
      </c>
      <c r="AO319" s="39">
        <v>4.3600000000000003</v>
      </c>
      <c r="AP319" s="39">
        <v>4.38</v>
      </c>
      <c r="AQ319" s="39">
        <v>5.04</v>
      </c>
      <c r="AR319" s="39">
        <v>5.04</v>
      </c>
    </row>
    <row r="320" spans="1:44" x14ac:dyDescent="0.35">
      <c r="A320" s="16" t="str">
        <f t="shared" si="26"/>
        <v>47</v>
      </c>
      <c r="B320" s="19">
        <v>70383</v>
      </c>
      <c r="C320" s="16" t="str">
        <f t="shared" si="25"/>
        <v>0000000</v>
      </c>
      <c r="D320" s="17" t="s">
        <v>3663</v>
      </c>
      <c r="E320" s="16" t="s">
        <v>2995</v>
      </c>
      <c r="F320" s="16" t="s">
        <v>2964</v>
      </c>
      <c r="G320" s="35" t="s">
        <v>2996</v>
      </c>
      <c r="H320" s="39">
        <v>15.4</v>
      </c>
      <c r="I320" s="39">
        <v>18.399999999999999</v>
      </c>
      <c r="J320" s="39">
        <v>10.57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>
        <v>0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0</v>
      </c>
      <c r="AI320" s="39">
        <v>15.4</v>
      </c>
      <c r="AJ320" s="39">
        <v>18.399999999999999</v>
      </c>
      <c r="AK320" s="39">
        <v>10.57</v>
      </c>
      <c r="AL320" s="39">
        <v>0</v>
      </c>
      <c r="AM320" s="39">
        <v>0</v>
      </c>
      <c r="AN320" s="39">
        <v>0</v>
      </c>
      <c r="AO320" s="39">
        <v>15.4</v>
      </c>
      <c r="AP320" s="39">
        <v>18.399999999999999</v>
      </c>
      <c r="AQ320" s="39">
        <v>10.57</v>
      </c>
      <c r="AR320" s="39">
        <v>18.399999999999999</v>
      </c>
    </row>
    <row r="321" spans="1:44" x14ac:dyDescent="0.35">
      <c r="A321" s="16" t="str">
        <f t="shared" si="26"/>
        <v>47</v>
      </c>
      <c r="B321" s="19">
        <v>70458</v>
      </c>
      <c r="C321" s="16" t="str">
        <f t="shared" si="25"/>
        <v>0000000</v>
      </c>
      <c r="D321" s="17" t="s">
        <v>3663</v>
      </c>
      <c r="E321" s="16" t="s">
        <v>3003</v>
      </c>
      <c r="F321" s="16" t="s">
        <v>2964</v>
      </c>
      <c r="G321" s="35" t="s">
        <v>3004</v>
      </c>
      <c r="H321" s="39">
        <v>17.940000000000001</v>
      </c>
      <c r="I321" s="39">
        <v>10.99</v>
      </c>
      <c r="J321" s="39">
        <v>15.08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>
        <v>0</v>
      </c>
      <c r="Q321" s="39">
        <v>0</v>
      </c>
      <c r="R321" s="39">
        <v>0</v>
      </c>
      <c r="S321" s="39">
        <v>0</v>
      </c>
      <c r="T321" s="39">
        <v>0</v>
      </c>
      <c r="U321" s="39">
        <v>0</v>
      </c>
      <c r="V321" s="39">
        <v>0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0</v>
      </c>
      <c r="AI321" s="39">
        <v>17.940000000000001</v>
      </c>
      <c r="AJ321" s="39">
        <v>10.99</v>
      </c>
      <c r="AK321" s="39">
        <v>15.08</v>
      </c>
      <c r="AL321" s="39">
        <v>0</v>
      </c>
      <c r="AM321" s="39">
        <v>0</v>
      </c>
      <c r="AN321" s="39">
        <v>0</v>
      </c>
      <c r="AO321" s="39">
        <v>17.940000000000001</v>
      </c>
      <c r="AP321" s="39">
        <v>10.99</v>
      </c>
      <c r="AQ321" s="39">
        <v>15.08</v>
      </c>
      <c r="AR321" s="39">
        <v>17.940000000000001</v>
      </c>
    </row>
    <row r="322" spans="1:44" x14ac:dyDescent="0.35">
      <c r="A322" s="16" t="str">
        <f t="shared" si="26"/>
        <v>47</v>
      </c>
      <c r="B322" s="19">
        <v>70490</v>
      </c>
      <c r="C322" s="16" t="str">
        <f t="shared" si="25"/>
        <v>0000000</v>
      </c>
      <c r="D322" s="17" t="s">
        <v>3663</v>
      </c>
      <c r="E322" s="16" t="s">
        <v>3009</v>
      </c>
      <c r="F322" s="16" t="s">
        <v>2964</v>
      </c>
      <c r="G322" s="35" t="s">
        <v>3010</v>
      </c>
      <c r="H322" s="39">
        <v>43.42</v>
      </c>
      <c r="I322" s="39">
        <v>32.67</v>
      </c>
      <c r="J322" s="39">
        <v>37.270000000000003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0</v>
      </c>
      <c r="AI322" s="39">
        <v>43.42</v>
      </c>
      <c r="AJ322" s="39">
        <v>32.67</v>
      </c>
      <c r="AK322" s="39">
        <v>37.270000000000003</v>
      </c>
      <c r="AL322" s="39">
        <v>0</v>
      </c>
      <c r="AM322" s="39">
        <v>0</v>
      </c>
      <c r="AN322" s="39">
        <v>0</v>
      </c>
      <c r="AO322" s="39">
        <v>43.42</v>
      </c>
      <c r="AP322" s="39">
        <v>32.67</v>
      </c>
      <c r="AQ322" s="39">
        <v>37.270000000000003</v>
      </c>
      <c r="AR322" s="39">
        <v>43.42</v>
      </c>
    </row>
    <row r="323" spans="1:44" x14ac:dyDescent="0.35">
      <c r="A323" s="16" t="str">
        <f t="shared" si="26"/>
        <v>47</v>
      </c>
      <c r="B323" s="19">
        <v>76455</v>
      </c>
      <c r="C323" s="16" t="str">
        <f t="shared" si="25"/>
        <v>0000000</v>
      </c>
      <c r="D323" s="17" t="s">
        <v>3663</v>
      </c>
      <c r="E323" s="16" t="s">
        <v>3017</v>
      </c>
      <c r="F323" s="16" t="s">
        <v>2964</v>
      </c>
      <c r="G323" s="35" t="s">
        <v>3018</v>
      </c>
      <c r="H323" s="39">
        <v>557.04999999999995</v>
      </c>
      <c r="I323" s="39">
        <v>573.58000000000004</v>
      </c>
      <c r="J323" s="39">
        <v>568.12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0</v>
      </c>
      <c r="AI323" s="39">
        <v>557.04999999999995</v>
      </c>
      <c r="AJ323" s="39">
        <v>573.58000000000004</v>
      </c>
      <c r="AK323" s="39">
        <v>568.12</v>
      </c>
      <c r="AL323" s="39">
        <v>0</v>
      </c>
      <c r="AM323" s="39">
        <v>0</v>
      </c>
      <c r="AN323" s="39">
        <v>0</v>
      </c>
      <c r="AO323" s="39">
        <v>557.04999999999995</v>
      </c>
      <c r="AP323" s="39">
        <v>573.58000000000004</v>
      </c>
      <c r="AQ323" s="39">
        <v>568.12</v>
      </c>
      <c r="AR323" s="39">
        <v>573.58000000000004</v>
      </c>
    </row>
    <row r="324" spans="1:44" x14ac:dyDescent="0.35">
      <c r="A324" s="16" t="str">
        <f t="shared" si="26"/>
        <v>47</v>
      </c>
      <c r="B324" s="19">
        <v>10470</v>
      </c>
      <c r="C324" s="16" t="str">
        <f>TEXT(117168,"0000000")</f>
        <v>0117168</v>
      </c>
      <c r="D324" s="17" t="s">
        <v>2967</v>
      </c>
      <c r="E324" s="16" t="s">
        <v>2965</v>
      </c>
      <c r="F324" s="16" t="s">
        <v>2964</v>
      </c>
      <c r="G324" s="35" t="s">
        <v>2966</v>
      </c>
      <c r="H324" s="39">
        <v>0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0</v>
      </c>
      <c r="Y324" s="39">
        <v>0</v>
      </c>
      <c r="Z324" s="39">
        <v>495.47</v>
      </c>
      <c r="AA324" s="39">
        <v>417.81</v>
      </c>
      <c r="AB324" s="39">
        <v>416.01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0</v>
      </c>
      <c r="AI324" s="39">
        <v>495.47</v>
      </c>
      <c r="AJ324" s="39">
        <v>417.81</v>
      </c>
      <c r="AK324" s="39">
        <v>416.01</v>
      </c>
      <c r="AL324" s="39">
        <v>0</v>
      </c>
      <c r="AM324" s="39">
        <v>0</v>
      </c>
      <c r="AN324" s="39">
        <v>0</v>
      </c>
      <c r="AO324" s="39">
        <v>495.47</v>
      </c>
      <c r="AP324" s="39">
        <v>417.81</v>
      </c>
      <c r="AQ324" s="39">
        <v>416.01</v>
      </c>
      <c r="AR324" s="39">
        <v>495.47</v>
      </c>
    </row>
    <row r="325" spans="1:44" x14ac:dyDescent="0.35">
      <c r="A325" s="16" t="str">
        <f t="shared" si="26"/>
        <v>47</v>
      </c>
      <c r="B325" s="19">
        <v>10470</v>
      </c>
      <c r="C325" s="16" t="str">
        <f>TEXT(137372,"0000000")</f>
        <v>0137372</v>
      </c>
      <c r="D325" s="19">
        <v>1958</v>
      </c>
      <c r="E325" s="16" t="s">
        <v>2968</v>
      </c>
      <c r="F325" s="16" t="s">
        <v>2964</v>
      </c>
      <c r="G325" s="35" t="s">
        <v>2969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129.04</v>
      </c>
      <c r="AA325" s="39">
        <v>116.41</v>
      </c>
      <c r="AB325" s="39">
        <v>116.53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129.04</v>
      </c>
      <c r="AJ325" s="39">
        <v>116.41</v>
      </c>
      <c r="AK325" s="39">
        <v>116.53</v>
      </c>
      <c r="AL325" s="39">
        <v>0</v>
      </c>
      <c r="AM325" s="39">
        <v>0</v>
      </c>
      <c r="AN325" s="39">
        <v>0</v>
      </c>
      <c r="AO325" s="39">
        <v>129.04</v>
      </c>
      <c r="AP325" s="39">
        <v>116.41</v>
      </c>
      <c r="AQ325" s="39">
        <v>116.53</v>
      </c>
      <c r="AR325" s="39">
        <v>129.04</v>
      </c>
    </row>
    <row r="326" spans="1:44" x14ac:dyDescent="0.35">
      <c r="A326" s="16" t="str">
        <f t="shared" ref="A326:A370" si="27">TEXT(49,"00")</f>
        <v>49</v>
      </c>
      <c r="B326" s="19">
        <v>10496</v>
      </c>
      <c r="C326" s="16" t="str">
        <f t="shared" ref="C326:C366" si="28">TEXT(,"0000000")</f>
        <v>0000000</v>
      </c>
      <c r="D326" s="17" t="s">
        <v>3663</v>
      </c>
      <c r="E326" s="16" t="s">
        <v>3051</v>
      </c>
      <c r="F326" s="16" t="s">
        <v>3052</v>
      </c>
      <c r="G326" s="35" t="s">
        <v>3052</v>
      </c>
      <c r="H326" s="39">
        <v>0</v>
      </c>
      <c r="I326" s="39">
        <v>0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84</v>
      </c>
      <c r="U326" s="39">
        <v>86.32</v>
      </c>
      <c r="V326" s="39">
        <v>76.31</v>
      </c>
      <c r="W326" s="39">
        <v>166.54</v>
      </c>
      <c r="X326" s="39">
        <v>203.17</v>
      </c>
      <c r="Y326" s="39">
        <v>216.16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0</v>
      </c>
      <c r="AI326" s="39">
        <v>250.54</v>
      </c>
      <c r="AJ326" s="39">
        <v>289.49</v>
      </c>
      <c r="AK326" s="39">
        <v>292.47000000000003</v>
      </c>
      <c r="AL326" s="39">
        <v>0</v>
      </c>
      <c r="AM326" s="39">
        <v>0</v>
      </c>
      <c r="AN326" s="39">
        <v>0</v>
      </c>
      <c r="AO326" s="39">
        <v>250.54</v>
      </c>
      <c r="AP326" s="39">
        <v>289.49</v>
      </c>
      <c r="AQ326" s="39">
        <v>292.47000000000003</v>
      </c>
      <c r="AR326" s="39">
        <v>292.47000000000003</v>
      </c>
    </row>
    <row r="327" spans="1:44" x14ac:dyDescent="0.35">
      <c r="A327" s="16" t="str">
        <f t="shared" si="27"/>
        <v>49</v>
      </c>
      <c r="B327" s="19">
        <v>70599</v>
      </c>
      <c r="C327" s="16" t="str">
        <f t="shared" si="28"/>
        <v>0000000</v>
      </c>
      <c r="D327" s="17" t="s">
        <v>3663</v>
      </c>
      <c r="E327" s="16" t="s">
        <v>3053</v>
      </c>
      <c r="F327" s="16" t="s">
        <v>3052</v>
      </c>
      <c r="G327" s="35" t="s">
        <v>3054</v>
      </c>
      <c r="H327" s="39">
        <v>107.83</v>
      </c>
      <c r="I327" s="39">
        <v>110.79</v>
      </c>
      <c r="J327" s="39">
        <v>106.32</v>
      </c>
      <c r="K327" s="39">
        <v>0</v>
      </c>
      <c r="L327" s="39">
        <v>0</v>
      </c>
      <c r="M327" s="39">
        <v>0</v>
      </c>
      <c r="N327" s="39">
        <v>0</v>
      </c>
      <c r="O327" s="39">
        <v>0</v>
      </c>
      <c r="P327" s="39">
        <v>0</v>
      </c>
      <c r="Q327" s="39">
        <v>0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0</v>
      </c>
      <c r="AI327" s="39">
        <v>107.83</v>
      </c>
      <c r="AJ327" s="39">
        <v>110.79</v>
      </c>
      <c r="AK327" s="39">
        <v>106.32</v>
      </c>
      <c r="AL327" s="39">
        <v>0</v>
      </c>
      <c r="AM327" s="39">
        <v>0</v>
      </c>
      <c r="AN327" s="39">
        <v>0</v>
      </c>
      <c r="AO327" s="39">
        <v>107.83</v>
      </c>
      <c r="AP327" s="39">
        <v>110.79</v>
      </c>
      <c r="AQ327" s="39">
        <v>106.32</v>
      </c>
      <c r="AR327" s="39">
        <v>110.79</v>
      </c>
    </row>
    <row r="328" spans="1:44" x14ac:dyDescent="0.35">
      <c r="A328" s="16" t="str">
        <f t="shared" si="27"/>
        <v>49</v>
      </c>
      <c r="B328" s="19">
        <v>70607</v>
      </c>
      <c r="C328" s="16" t="str">
        <f t="shared" si="28"/>
        <v>0000000</v>
      </c>
      <c r="D328" s="17" t="s">
        <v>3663</v>
      </c>
      <c r="E328" s="16" t="s">
        <v>3055</v>
      </c>
      <c r="F328" s="16" t="s">
        <v>3052</v>
      </c>
      <c r="G328" s="35" t="s">
        <v>3056</v>
      </c>
      <c r="H328" s="39">
        <v>1441.05</v>
      </c>
      <c r="I328" s="39">
        <v>1425.56</v>
      </c>
      <c r="J328" s="39">
        <v>1422.27</v>
      </c>
      <c r="K328" s="39">
        <v>0</v>
      </c>
      <c r="L328" s="39">
        <v>0</v>
      </c>
      <c r="M328" s="39">
        <v>0</v>
      </c>
      <c r="N328" s="39">
        <v>0</v>
      </c>
      <c r="O328" s="39">
        <v>0</v>
      </c>
      <c r="P328" s="39">
        <v>0</v>
      </c>
      <c r="Q328" s="39">
        <v>0</v>
      </c>
      <c r="R328" s="39">
        <v>0</v>
      </c>
      <c r="S328" s="39">
        <v>0</v>
      </c>
      <c r="T328" s="39">
        <v>0</v>
      </c>
      <c r="U328" s="39">
        <v>0</v>
      </c>
      <c r="V328" s="39">
        <v>0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0</v>
      </c>
      <c r="AI328" s="39">
        <v>1441.05</v>
      </c>
      <c r="AJ328" s="39">
        <v>1425.56</v>
      </c>
      <c r="AK328" s="39">
        <v>1422.27</v>
      </c>
      <c r="AL328" s="39">
        <v>0</v>
      </c>
      <c r="AM328" s="39">
        <v>0</v>
      </c>
      <c r="AN328" s="39">
        <v>0</v>
      </c>
      <c r="AO328" s="39">
        <v>1441.05</v>
      </c>
      <c r="AP328" s="39">
        <v>1425.56</v>
      </c>
      <c r="AQ328" s="39">
        <v>1422.27</v>
      </c>
      <c r="AR328" s="39">
        <v>1441.05</v>
      </c>
    </row>
    <row r="329" spans="1:44" x14ac:dyDescent="0.35">
      <c r="A329" s="16" t="str">
        <f t="shared" si="27"/>
        <v>49</v>
      </c>
      <c r="B329" s="19">
        <v>70615</v>
      </c>
      <c r="C329" s="16" t="str">
        <f t="shared" si="28"/>
        <v>0000000</v>
      </c>
      <c r="D329" s="17" t="s">
        <v>3663</v>
      </c>
      <c r="E329" s="16" t="s">
        <v>3057</v>
      </c>
      <c r="F329" s="16" t="s">
        <v>3052</v>
      </c>
      <c r="G329" s="35" t="s">
        <v>3058</v>
      </c>
      <c r="H329" s="39">
        <v>1534.95</v>
      </c>
      <c r="I329" s="39">
        <v>1456.94</v>
      </c>
      <c r="J329" s="39">
        <v>1396.98</v>
      </c>
      <c r="K329" s="39">
        <v>0</v>
      </c>
      <c r="L329" s="39">
        <v>0</v>
      </c>
      <c r="M329" s="39">
        <v>0</v>
      </c>
      <c r="N329" s="39">
        <v>0</v>
      </c>
      <c r="O329" s="39">
        <v>0</v>
      </c>
      <c r="P329" s="39">
        <v>0</v>
      </c>
      <c r="Q329" s="39">
        <v>0</v>
      </c>
      <c r="R329" s="39">
        <v>0</v>
      </c>
      <c r="S329" s="39">
        <v>0</v>
      </c>
      <c r="T329" s="39">
        <v>0</v>
      </c>
      <c r="U329" s="39">
        <v>0</v>
      </c>
      <c r="V329" s="39">
        <v>0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0</v>
      </c>
      <c r="AI329" s="39">
        <v>1534.95</v>
      </c>
      <c r="AJ329" s="39">
        <v>1456.94</v>
      </c>
      <c r="AK329" s="39">
        <v>1396.98</v>
      </c>
      <c r="AL329" s="39">
        <v>0</v>
      </c>
      <c r="AM329" s="39">
        <v>0</v>
      </c>
      <c r="AN329" s="39">
        <v>0</v>
      </c>
      <c r="AO329" s="39">
        <v>1534.95</v>
      </c>
      <c r="AP329" s="39">
        <v>1456.94</v>
      </c>
      <c r="AQ329" s="39">
        <v>1396.98</v>
      </c>
      <c r="AR329" s="39">
        <v>1534.95</v>
      </c>
    </row>
    <row r="330" spans="1:44" x14ac:dyDescent="0.35">
      <c r="A330" s="16" t="str">
        <f t="shared" si="27"/>
        <v>49</v>
      </c>
      <c r="B330" s="19">
        <v>70623</v>
      </c>
      <c r="C330" s="16" t="str">
        <f t="shared" si="28"/>
        <v>0000000</v>
      </c>
      <c r="D330" s="17" t="s">
        <v>3663</v>
      </c>
      <c r="E330" s="16" t="s">
        <v>3059</v>
      </c>
      <c r="F330" s="16" t="s">
        <v>3052</v>
      </c>
      <c r="G330" s="35" t="s">
        <v>3060</v>
      </c>
      <c r="H330" s="39">
        <v>846.23</v>
      </c>
      <c r="I330" s="39">
        <v>871.64</v>
      </c>
      <c r="J330" s="39">
        <v>866.31</v>
      </c>
      <c r="K330" s="39">
        <v>0</v>
      </c>
      <c r="L330" s="39">
        <v>0</v>
      </c>
      <c r="M330" s="39">
        <v>0</v>
      </c>
      <c r="N330" s="39">
        <v>0</v>
      </c>
      <c r="O330" s="39">
        <v>0</v>
      </c>
      <c r="P330" s="39">
        <v>0</v>
      </c>
      <c r="Q330" s="39">
        <v>0</v>
      </c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0</v>
      </c>
      <c r="AI330" s="39">
        <v>846.23</v>
      </c>
      <c r="AJ330" s="39">
        <v>871.64</v>
      </c>
      <c r="AK330" s="39">
        <v>866.31</v>
      </c>
      <c r="AL330" s="39">
        <v>0</v>
      </c>
      <c r="AM330" s="39">
        <v>0</v>
      </c>
      <c r="AN330" s="39">
        <v>0</v>
      </c>
      <c r="AO330" s="39">
        <v>846.23</v>
      </c>
      <c r="AP330" s="39">
        <v>871.64</v>
      </c>
      <c r="AQ330" s="39">
        <v>866.31</v>
      </c>
      <c r="AR330" s="39">
        <v>871.64</v>
      </c>
    </row>
    <row r="331" spans="1:44" x14ac:dyDescent="0.35">
      <c r="A331" s="16" t="str">
        <f t="shared" si="27"/>
        <v>49</v>
      </c>
      <c r="B331" s="19">
        <v>70649</v>
      </c>
      <c r="C331" s="16" t="str">
        <f t="shared" si="28"/>
        <v>0000000</v>
      </c>
      <c r="D331" s="17" t="s">
        <v>3663</v>
      </c>
      <c r="E331" s="16" t="s">
        <v>3061</v>
      </c>
      <c r="F331" s="16" t="s">
        <v>3052</v>
      </c>
      <c r="G331" s="35" t="s">
        <v>3062</v>
      </c>
      <c r="H331" s="39">
        <v>19.52</v>
      </c>
      <c r="I331" s="39">
        <v>14.03</v>
      </c>
      <c r="J331" s="39">
        <v>18.86</v>
      </c>
      <c r="K331" s="39">
        <v>0</v>
      </c>
      <c r="L331" s="39">
        <v>0</v>
      </c>
      <c r="M331" s="39">
        <v>0</v>
      </c>
      <c r="N331" s="39">
        <v>0</v>
      </c>
      <c r="O331" s="39">
        <v>0</v>
      </c>
      <c r="P331" s="39">
        <v>0</v>
      </c>
      <c r="Q331" s="39">
        <v>0</v>
      </c>
      <c r="R331" s="39">
        <v>0</v>
      </c>
      <c r="S331" s="39">
        <v>0</v>
      </c>
      <c r="T331" s="39">
        <v>0</v>
      </c>
      <c r="U331" s="39">
        <v>0</v>
      </c>
      <c r="V331" s="39">
        <v>0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139.53</v>
      </c>
      <c r="AD331" s="39">
        <v>143.97</v>
      </c>
      <c r="AE331" s="39">
        <v>161.56</v>
      </c>
      <c r="AF331" s="39">
        <v>0</v>
      </c>
      <c r="AG331" s="39">
        <v>0</v>
      </c>
      <c r="AH331" s="39">
        <v>0</v>
      </c>
      <c r="AI331" s="39">
        <v>159.05000000000001</v>
      </c>
      <c r="AJ331" s="39">
        <v>158</v>
      </c>
      <c r="AK331" s="39">
        <v>180.42</v>
      </c>
      <c r="AL331" s="39">
        <v>0</v>
      </c>
      <c r="AM331" s="39">
        <v>0</v>
      </c>
      <c r="AN331" s="39">
        <v>0</v>
      </c>
      <c r="AO331" s="39">
        <v>159.05000000000001</v>
      </c>
      <c r="AP331" s="39">
        <v>158</v>
      </c>
      <c r="AQ331" s="39">
        <v>180.42</v>
      </c>
      <c r="AR331" s="39">
        <v>180.42</v>
      </c>
    </row>
    <row r="332" spans="1:44" x14ac:dyDescent="0.35">
      <c r="A332" s="16" t="str">
        <f t="shared" si="27"/>
        <v>49</v>
      </c>
      <c r="B332" s="19">
        <v>70656</v>
      </c>
      <c r="C332" s="16" t="str">
        <f t="shared" si="28"/>
        <v>0000000</v>
      </c>
      <c r="D332" s="17" t="s">
        <v>3663</v>
      </c>
      <c r="E332" s="16" t="s">
        <v>3063</v>
      </c>
      <c r="F332" s="16" t="s">
        <v>3052</v>
      </c>
      <c r="G332" s="35" t="s">
        <v>3064</v>
      </c>
      <c r="H332" s="39">
        <v>1208.95</v>
      </c>
      <c r="I332" s="39">
        <v>1192.3699999999999</v>
      </c>
      <c r="J332" s="39">
        <v>1186.55</v>
      </c>
      <c r="K332" s="39">
        <v>0</v>
      </c>
      <c r="L332" s="39">
        <v>0</v>
      </c>
      <c r="M332" s="39">
        <v>0</v>
      </c>
      <c r="N332" s="39">
        <v>0</v>
      </c>
      <c r="O332" s="39">
        <v>0</v>
      </c>
      <c r="P332" s="39">
        <v>0</v>
      </c>
      <c r="Q332" s="39">
        <v>0</v>
      </c>
      <c r="R332" s="39">
        <v>0</v>
      </c>
      <c r="S332" s="39">
        <v>0</v>
      </c>
      <c r="T332" s="39">
        <v>0</v>
      </c>
      <c r="U332" s="39">
        <v>0</v>
      </c>
      <c r="V332" s="39">
        <v>0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0</v>
      </c>
      <c r="AI332" s="39">
        <v>1208.95</v>
      </c>
      <c r="AJ332" s="39">
        <v>1192.3699999999999</v>
      </c>
      <c r="AK332" s="39">
        <v>1186.55</v>
      </c>
      <c r="AL332" s="39">
        <v>0</v>
      </c>
      <c r="AM332" s="39">
        <v>0</v>
      </c>
      <c r="AN332" s="39">
        <v>0</v>
      </c>
      <c r="AO332" s="39">
        <v>1208.95</v>
      </c>
      <c r="AP332" s="39">
        <v>1192.3699999999999</v>
      </c>
      <c r="AQ332" s="39">
        <v>1186.55</v>
      </c>
      <c r="AR332" s="39">
        <v>1208.95</v>
      </c>
    </row>
    <row r="333" spans="1:44" x14ac:dyDescent="0.35">
      <c r="A333" s="16" t="str">
        <f t="shared" si="27"/>
        <v>49</v>
      </c>
      <c r="B333" s="19">
        <v>73882</v>
      </c>
      <c r="C333" s="16" t="str">
        <f t="shared" si="28"/>
        <v>0000000</v>
      </c>
      <c r="D333" s="17" t="s">
        <v>3663</v>
      </c>
      <c r="E333" s="16" t="s">
        <v>3152</v>
      </c>
      <c r="F333" s="16" t="s">
        <v>3052</v>
      </c>
      <c r="G333" s="35" t="s">
        <v>3153</v>
      </c>
      <c r="H333" s="39">
        <v>5942.64</v>
      </c>
      <c r="I333" s="39">
        <v>5718.35</v>
      </c>
      <c r="J333" s="39">
        <v>5552.42</v>
      </c>
      <c r="K333" s="39">
        <v>0</v>
      </c>
      <c r="L333" s="39">
        <v>0</v>
      </c>
      <c r="M333" s="39">
        <v>0</v>
      </c>
      <c r="N333" s="39">
        <v>0</v>
      </c>
      <c r="O333" s="39">
        <v>0</v>
      </c>
      <c r="P333" s="39">
        <v>0</v>
      </c>
      <c r="Q333" s="39">
        <v>0</v>
      </c>
      <c r="R333" s="39">
        <v>0</v>
      </c>
      <c r="S333" s="39">
        <v>0</v>
      </c>
      <c r="T333" s="39">
        <v>0</v>
      </c>
      <c r="U333" s="39">
        <v>0</v>
      </c>
      <c r="V333" s="39">
        <v>0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0</v>
      </c>
      <c r="AI333" s="39">
        <v>5942.64</v>
      </c>
      <c r="AJ333" s="39">
        <v>5718.35</v>
      </c>
      <c r="AK333" s="39">
        <v>5552.42</v>
      </c>
      <c r="AL333" s="39">
        <v>0</v>
      </c>
      <c r="AM333" s="39">
        <v>0</v>
      </c>
      <c r="AN333" s="39">
        <v>0</v>
      </c>
      <c r="AO333" s="39">
        <v>5942.64</v>
      </c>
      <c r="AP333" s="39">
        <v>5718.35</v>
      </c>
      <c r="AQ333" s="39">
        <v>5552.42</v>
      </c>
      <c r="AR333" s="39">
        <v>5942.64</v>
      </c>
    </row>
    <row r="334" spans="1:44" x14ac:dyDescent="0.35">
      <c r="A334" s="16" t="str">
        <f t="shared" si="27"/>
        <v>49</v>
      </c>
      <c r="B334" s="19">
        <v>70672</v>
      </c>
      <c r="C334" s="16" t="str">
        <f t="shared" si="28"/>
        <v>0000000</v>
      </c>
      <c r="D334" s="17" t="s">
        <v>3663</v>
      </c>
      <c r="E334" s="16" t="s">
        <v>3065</v>
      </c>
      <c r="F334" s="16" t="s">
        <v>3052</v>
      </c>
      <c r="G334" s="35" t="s">
        <v>3066</v>
      </c>
      <c r="H334" s="39">
        <v>8.6999999999999993</v>
      </c>
      <c r="I334" s="39">
        <v>8.58</v>
      </c>
      <c r="J334" s="39">
        <v>8.5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>
        <v>0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161.26</v>
      </c>
      <c r="AD334" s="39">
        <v>145.74</v>
      </c>
      <c r="AE334" s="39">
        <v>125.49</v>
      </c>
      <c r="AF334" s="39">
        <v>0</v>
      </c>
      <c r="AG334" s="39">
        <v>0</v>
      </c>
      <c r="AH334" s="39">
        <v>0</v>
      </c>
      <c r="AI334" s="39">
        <v>169.96</v>
      </c>
      <c r="AJ334" s="39">
        <v>154.32</v>
      </c>
      <c r="AK334" s="39">
        <v>133.99</v>
      </c>
      <c r="AL334" s="39">
        <v>0</v>
      </c>
      <c r="AM334" s="39">
        <v>0</v>
      </c>
      <c r="AN334" s="39">
        <v>0</v>
      </c>
      <c r="AO334" s="39">
        <v>169.96</v>
      </c>
      <c r="AP334" s="39">
        <v>154.32</v>
      </c>
      <c r="AQ334" s="39">
        <v>133.99</v>
      </c>
      <c r="AR334" s="39">
        <v>169.96</v>
      </c>
    </row>
    <row r="335" spans="1:44" x14ac:dyDescent="0.35">
      <c r="A335" s="16" t="str">
        <f t="shared" si="27"/>
        <v>49</v>
      </c>
      <c r="B335" s="19">
        <v>70680</v>
      </c>
      <c r="C335" s="16" t="str">
        <f t="shared" si="28"/>
        <v>0000000</v>
      </c>
      <c r="D335" s="17" t="s">
        <v>3663</v>
      </c>
      <c r="E335" s="16" t="s">
        <v>3067</v>
      </c>
      <c r="F335" s="16" t="s">
        <v>3052</v>
      </c>
      <c r="G335" s="35" t="s">
        <v>3068</v>
      </c>
      <c r="H335" s="39">
        <v>56.16</v>
      </c>
      <c r="I335" s="39">
        <v>52.39</v>
      </c>
      <c r="J335" s="39">
        <v>45.63</v>
      </c>
      <c r="K335" s="39">
        <v>0</v>
      </c>
      <c r="L335" s="39">
        <v>0</v>
      </c>
      <c r="M335" s="39">
        <v>0</v>
      </c>
      <c r="N335" s="39">
        <v>4.7699999999999996</v>
      </c>
      <c r="O335" s="39">
        <v>8.5299999999999994</v>
      </c>
      <c r="P335" s="39">
        <v>4.57</v>
      </c>
      <c r="Q335" s="39">
        <v>0</v>
      </c>
      <c r="R335" s="39">
        <v>0</v>
      </c>
      <c r="S335" s="39">
        <v>0</v>
      </c>
      <c r="T335" s="39">
        <v>0</v>
      </c>
      <c r="U335" s="39">
        <v>0</v>
      </c>
      <c r="V335" s="39">
        <v>0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139.43</v>
      </c>
      <c r="AD335" s="39">
        <v>153.6</v>
      </c>
      <c r="AE335" s="39">
        <v>154.04</v>
      </c>
      <c r="AF335" s="39">
        <v>0</v>
      </c>
      <c r="AG335" s="39">
        <v>0</v>
      </c>
      <c r="AH335" s="39">
        <v>0</v>
      </c>
      <c r="AI335" s="39">
        <v>200.36</v>
      </c>
      <c r="AJ335" s="39">
        <v>214.52</v>
      </c>
      <c r="AK335" s="39">
        <v>204.24</v>
      </c>
      <c r="AL335" s="39">
        <v>0</v>
      </c>
      <c r="AM335" s="39">
        <v>0</v>
      </c>
      <c r="AN335" s="39">
        <v>0</v>
      </c>
      <c r="AO335" s="39">
        <v>200.36</v>
      </c>
      <c r="AP335" s="39">
        <v>214.52</v>
      </c>
      <c r="AQ335" s="39">
        <v>204.24</v>
      </c>
      <c r="AR335" s="39">
        <v>214.52</v>
      </c>
    </row>
    <row r="336" spans="1:44" x14ac:dyDescent="0.35">
      <c r="A336" s="16" t="str">
        <f t="shared" si="27"/>
        <v>49</v>
      </c>
      <c r="B336" s="19">
        <v>70698</v>
      </c>
      <c r="C336" s="16" t="str">
        <f t="shared" si="28"/>
        <v>0000000</v>
      </c>
      <c r="D336" s="17" t="s">
        <v>3663</v>
      </c>
      <c r="E336" s="16" t="s">
        <v>3069</v>
      </c>
      <c r="F336" s="16" t="s">
        <v>3052</v>
      </c>
      <c r="G336" s="35" t="s">
        <v>3070</v>
      </c>
      <c r="H336" s="39">
        <v>15.59</v>
      </c>
      <c r="I336" s="39">
        <v>13.31</v>
      </c>
      <c r="J336" s="39">
        <v>8.9600000000000009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  <c r="Q336" s="39">
        <v>0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15.59</v>
      </c>
      <c r="AJ336" s="39">
        <v>13.31</v>
      </c>
      <c r="AK336" s="39">
        <v>8.9600000000000009</v>
      </c>
      <c r="AL336" s="39">
        <v>0</v>
      </c>
      <c r="AM336" s="39">
        <v>0</v>
      </c>
      <c r="AN336" s="39">
        <v>0</v>
      </c>
      <c r="AO336" s="39">
        <v>15.59</v>
      </c>
      <c r="AP336" s="39">
        <v>13.31</v>
      </c>
      <c r="AQ336" s="39">
        <v>8.9600000000000009</v>
      </c>
      <c r="AR336" s="39">
        <v>15.59</v>
      </c>
    </row>
    <row r="337" spans="1:44" x14ac:dyDescent="0.35">
      <c r="A337" s="16" t="str">
        <f t="shared" si="27"/>
        <v>49</v>
      </c>
      <c r="B337" s="19">
        <v>70706</v>
      </c>
      <c r="C337" s="16" t="str">
        <f t="shared" si="28"/>
        <v>0000000</v>
      </c>
      <c r="D337" s="17" t="s">
        <v>3663</v>
      </c>
      <c r="E337" s="16" t="s">
        <v>3071</v>
      </c>
      <c r="F337" s="16" t="s">
        <v>3052</v>
      </c>
      <c r="G337" s="35" t="s">
        <v>3072</v>
      </c>
      <c r="H337" s="39">
        <v>111.81</v>
      </c>
      <c r="I337" s="39">
        <v>102.85</v>
      </c>
      <c r="J337" s="39">
        <v>112.08</v>
      </c>
      <c r="K337" s="39">
        <v>0</v>
      </c>
      <c r="L337" s="39">
        <v>0</v>
      </c>
      <c r="M337" s="39">
        <v>0</v>
      </c>
      <c r="N337" s="39">
        <v>70.53</v>
      </c>
      <c r="O337" s="39">
        <v>78.37</v>
      </c>
      <c r="P337" s="39">
        <v>73.7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182.34</v>
      </c>
      <c r="AJ337" s="39">
        <v>181.22</v>
      </c>
      <c r="AK337" s="39">
        <v>185.78</v>
      </c>
      <c r="AL337" s="39">
        <v>0</v>
      </c>
      <c r="AM337" s="39">
        <v>0</v>
      </c>
      <c r="AN337" s="39">
        <v>0</v>
      </c>
      <c r="AO337" s="39">
        <v>182.34</v>
      </c>
      <c r="AP337" s="39">
        <v>181.22</v>
      </c>
      <c r="AQ337" s="39">
        <v>185.78</v>
      </c>
      <c r="AR337" s="39">
        <v>185.78</v>
      </c>
    </row>
    <row r="338" spans="1:44" x14ac:dyDescent="0.35">
      <c r="A338" s="16" t="str">
        <f t="shared" si="27"/>
        <v>49</v>
      </c>
      <c r="B338" s="19">
        <v>70714</v>
      </c>
      <c r="C338" s="16" t="str">
        <f t="shared" si="28"/>
        <v>0000000</v>
      </c>
      <c r="D338" s="17" t="s">
        <v>3663</v>
      </c>
      <c r="E338" s="16" t="s">
        <v>3073</v>
      </c>
      <c r="F338" s="16" t="s">
        <v>3052</v>
      </c>
      <c r="G338" s="35" t="s">
        <v>3074</v>
      </c>
      <c r="H338" s="39">
        <v>37.4</v>
      </c>
      <c r="I338" s="39">
        <v>40.299999999999997</v>
      </c>
      <c r="J338" s="39">
        <v>39.270000000000003</v>
      </c>
      <c r="K338" s="39">
        <v>0</v>
      </c>
      <c r="L338" s="39">
        <v>0</v>
      </c>
      <c r="M338" s="39">
        <v>0</v>
      </c>
      <c r="N338" s="39">
        <v>0</v>
      </c>
      <c r="O338" s="39">
        <v>0</v>
      </c>
      <c r="P338" s="39">
        <v>0</v>
      </c>
      <c r="Q338" s="39">
        <v>0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0</v>
      </c>
      <c r="Y338" s="39">
        <v>0</v>
      </c>
      <c r="Z338" s="39">
        <v>0</v>
      </c>
      <c r="AA338" s="39">
        <v>0</v>
      </c>
      <c r="AB338" s="39">
        <v>0</v>
      </c>
      <c r="AC338" s="39">
        <v>717.44</v>
      </c>
      <c r="AD338" s="39">
        <v>721.28</v>
      </c>
      <c r="AE338" s="39">
        <v>666.37</v>
      </c>
      <c r="AF338" s="39">
        <v>0</v>
      </c>
      <c r="AG338" s="39">
        <v>0</v>
      </c>
      <c r="AH338" s="39">
        <v>0</v>
      </c>
      <c r="AI338" s="39">
        <v>754.84</v>
      </c>
      <c r="AJ338" s="39">
        <v>761.58</v>
      </c>
      <c r="AK338" s="39">
        <v>705.64</v>
      </c>
      <c r="AL338" s="39">
        <v>0</v>
      </c>
      <c r="AM338" s="39">
        <v>0</v>
      </c>
      <c r="AN338" s="39">
        <v>0</v>
      </c>
      <c r="AO338" s="39">
        <v>754.84</v>
      </c>
      <c r="AP338" s="39">
        <v>761.58</v>
      </c>
      <c r="AQ338" s="39">
        <v>705.64</v>
      </c>
      <c r="AR338" s="39">
        <v>761.58</v>
      </c>
    </row>
    <row r="339" spans="1:44" x14ac:dyDescent="0.35">
      <c r="A339" s="16" t="str">
        <f t="shared" si="27"/>
        <v>49</v>
      </c>
      <c r="B339" s="19">
        <v>70722</v>
      </c>
      <c r="C339" s="16" t="str">
        <f t="shared" si="28"/>
        <v>0000000</v>
      </c>
      <c r="D339" s="17" t="s">
        <v>3663</v>
      </c>
      <c r="E339" s="16" t="s">
        <v>3075</v>
      </c>
      <c r="F339" s="16" t="s">
        <v>3052</v>
      </c>
      <c r="G339" s="35" t="s">
        <v>3076</v>
      </c>
      <c r="H339" s="39">
        <v>13.52</v>
      </c>
      <c r="I339" s="39">
        <v>11.37</v>
      </c>
      <c r="J339" s="39">
        <v>10.98</v>
      </c>
      <c r="K339" s="39">
        <v>0</v>
      </c>
      <c r="L339" s="39">
        <v>0</v>
      </c>
      <c r="M339" s="39">
        <v>0</v>
      </c>
      <c r="N339" s="39">
        <v>0</v>
      </c>
      <c r="O339" s="39">
        <v>0</v>
      </c>
      <c r="P339" s="39">
        <v>0</v>
      </c>
      <c r="Q339" s="39">
        <v>0</v>
      </c>
      <c r="R339" s="39">
        <v>0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0</v>
      </c>
      <c r="Y339" s="39">
        <v>0</v>
      </c>
      <c r="Z339" s="39">
        <v>0</v>
      </c>
      <c r="AA339" s="39">
        <v>0</v>
      </c>
      <c r="AB339" s="39">
        <v>0</v>
      </c>
      <c r="AC339" s="39">
        <v>154.55000000000001</v>
      </c>
      <c r="AD339" s="39">
        <v>167.02</v>
      </c>
      <c r="AE339" s="39">
        <v>190.38</v>
      </c>
      <c r="AF339" s="39">
        <v>0</v>
      </c>
      <c r="AG339" s="39">
        <v>0</v>
      </c>
      <c r="AH339" s="39">
        <v>0</v>
      </c>
      <c r="AI339" s="39">
        <v>168.07</v>
      </c>
      <c r="AJ339" s="39">
        <v>178.39</v>
      </c>
      <c r="AK339" s="39">
        <v>201.36</v>
      </c>
      <c r="AL339" s="39">
        <v>0</v>
      </c>
      <c r="AM339" s="39">
        <v>0</v>
      </c>
      <c r="AN339" s="39">
        <v>0</v>
      </c>
      <c r="AO339" s="39">
        <v>168.07</v>
      </c>
      <c r="AP339" s="39">
        <v>178.39</v>
      </c>
      <c r="AQ339" s="39">
        <v>201.36</v>
      </c>
      <c r="AR339" s="39">
        <v>201.36</v>
      </c>
    </row>
    <row r="340" spans="1:44" x14ac:dyDescent="0.35">
      <c r="A340" s="16" t="str">
        <f t="shared" si="27"/>
        <v>49</v>
      </c>
      <c r="B340" s="19">
        <v>70730</v>
      </c>
      <c r="C340" s="16" t="str">
        <f t="shared" si="28"/>
        <v>0000000</v>
      </c>
      <c r="D340" s="17" t="s">
        <v>3663</v>
      </c>
      <c r="E340" s="16" t="s">
        <v>3079</v>
      </c>
      <c r="F340" s="16" t="s">
        <v>3052</v>
      </c>
      <c r="G340" s="35" t="s">
        <v>3080</v>
      </c>
      <c r="H340" s="39">
        <v>60.13</v>
      </c>
      <c r="I340" s="39">
        <v>45.39</v>
      </c>
      <c r="J340" s="39">
        <v>39.9</v>
      </c>
      <c r="K340" s="39">
        <v>0</v>
      </c>
      <c r="L340" s="39">
        <v>0</v>
      </c>
      <c r="M340" s="39">
        <v>0</v>
      </c>
      <c r="N340" s="39">
        <v>0</v>
      </c>
      <c r="O340" s="39">
        <v>0</v>
      </c>
      <c r="P340" s="39">
        <v>0</v>
      </c>
      <c r="Q340" s="39">
        <v>0</v>
      </c>
      <c r="R340" s="39">
        <v>0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0</v>
      </c>
      <c r="Y340" s="39">
        <v>0</v>
      </c>
      <c r="Z340" s="39">
        <v>0</v>
      </c>
      <c r="AA340" s="39">
        <v>0</v>
      </c>
      <c r="AB340" s="39">
        <v>0</v>
      </c>
      <c r="AC340" s="39">
        <v>145.16999999999999</v>
      </c>
      <c r="AD340" s="39">
        <v>165.44</v>
      </c>
      <c r="AE340" s="39">
        <v>134.44</v>
      </c>
      <c r="AF340" s="39">
        <v>0</v>
      </c>
      <c r="AG340" s="39">
        <v>0</v>
      </c>
      <c r="AH340" s="39">
        <v>0</v>
      </c>
      <c r="AI340" s="39">
        <v>205.3</v>
      </c>
      <c r="AJ340" s="39">
        <v>210.83</v>
      </c>
      <c r="AK340" s="39">
        <v>174.34</v>
      </c>
      <c r="AL340" s="39">
        <v>0</v>
      </c>
      <c r="AM340" s="39">
        <v>0</v>
      </c>
      <c r="AN340" s="39">
        <v>0</v>
      </c>
      <c r="AO340" s="39">
        <v>205.3</v>
      </c>
      <c r="AP340" s="39">
        <v>210.83</v>
      </c>
      <c r="AQ340" s="39">
        <v>174.34</v>
      </c>
      <c r="AR340" s="39">
        <v>210.83</v>
      </c>
    </row>
    <row r="341" spans="1:44" x14ac:dyDescent="0.35">
      <c r="A341" s="16" t="str">
        <f t="shared" si="27"/>
        <v>49</v>
      </c>
      <c r="B341" s="19">
        <v>70763</v>
      </c>
      <c r="C341" s="16" t="str">
        <f t="shared" si="28"/>
        <v>0000000</v>
      </c>
      <c r="D341" s="17" t="s">
        <v>3663</v>
      </c>
      <c r="E341" s="16" t="s">
        <v>3084</v>
      </c>
      <c r="F341" s="16" t="s">
        <v>3052</v>
      </c>
      <c r="G341" s="35" t="s">
        <v>3085</v>
      </c>
      <c r="H341" s="39">
        <v>63.63</v>
      </c>
      <c r="I341" s="39">
        <v>58.59</v>
      </c>
      <c r="J341" s="39">
        <v>52.57</v>
      </c>
      <c r="K341" s="39">
        <v>0</v>
      </c>
      <c r="L341" s="39">
        <v>0</v>
      </c>
      <c r="M341" s="39">
        <v>0</v>
      </c>
      <c r="N341" s="39">
        <v>0</v>
      </c>
      <c r="O341" s="39">
        <v>0</v>
      </c>
      <c r="P341" s="39">
        <v>0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0</v>
      </c>
      <c r="AA341" s="39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63.63</v>
      </c>
      <c r="AJ341" s="39">
        <v>58.59</v>
      </c>
      <c r="AK341" s="39">
        <v>52.57</v>
      </c>
      <c r="AL341" s="39">
        <v>0</v>
      </c>
      <c r="AM341" s="39">
        <v>0</v>
      </c>
      <c r="AN341" s="39">
        <v>0</v>
      </c>
      <c r="AO341" s="39">
        <v>63.63</v>
      </c>
      <c r="AP341" s="39">
        <v>58.59</v>
      </c>
      <c r="AQ341" s="39">
        <v>52.57</v>
      </c>
      <c r="AR341" s="39">
        <v>63.63</v>
      </c>
    </row>
    <row r="342" spans="1:44" x14ac:dyDescent="0.35">
      <c r="A342" s="16" t="str">
        <f t="shared" si="27"/>
        <v>49</v>
      </c>
      <c r="B342" s="19">
        <v>70789</v>
      </c>
      <c r="C342" s="16" t="str">
        <f t="shared" si="28"/>
        <v>0000000</v>
      </c>
      <c r="D342" s="17" t="s">
        <v>3663</v>
      </c>
      <c r="E342" s="16" t="s">
        <v>3086</v>
      </c>
      <c r="F342" s="16" t="s">
        <v>3052</v>
      </c>
      <c r="G342" s="35" t="s">
        <v>3087</v>
      </c>
      <c r="H342" s="39">
        <v>69.14</v>
      </c>
      <c r="I342" s="39">
        <v>61.26</v>
      </c>
      <c r="J342" s="39">
        <v>56.54</v>
      </c>
      <c r="K342" s="39">
        <v>0</v>
      </c>
      <c r="L342" s="39">
        <v>0</v>
      </c>
      <c r="M342" s="39">
        <v>0</v>
      </c>
      <c r="N342" s="39">
        <v>47.6</v>
      </c>
      <c r="O342" s="39">
        <v>44.21</v>
      </c>
      <c r="P342" s="39">
        <v>48.61</v>
      </c>
      <c r="Q342" s="39">
        <v>0</v>
      </c>
      <c r="R342" s="39">
        <v>0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0</v>
      </c>
      <c r="Y342" s="39">
        <v>0</v>
      </c>
      <c r="Z342" s="39">
        <v>0</v>
      </c>
      <c r="AA342" s="39">
        <v>0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116.74</v>
      </c>
      <c r="AJ342" s="39">
        <v>105.47</v>
      </c>
      <c r="AK342" s="39">
        <v>105.15</v>
      </c>
      <c r="AL342" s="39">
        <v>0</v>
      </c>
      <c r="AM342" s="39">
        <v>0</v>
      </c>
      <c r="AN342" s="39">
        <v>0</v>
      </c>
      <c r="AO342" s="39">
        <v>116.74</v>
      </c>
      <c r="AP342" s="39">
        <v>105.47</v>
      </c>
      <c r="AQ342" s="39">
        <v>105.15</v>
      </c>
      <c r="AR342" s="39">
        <v>116.74</v>
      </c>
    </row>
    <row r="343" spans="1:44" x14ac:dyDescent="0.35">
      <c r="A343" s="16" t="str">
        <f t="shared" si="27"/>
        <v>49</v>
      </c>
      <c r="B343" s="19">
        <v>70797</v>
      </c>
      <c r="C343" s="16" t="str">
        <f t="shared" si="28"/>
        <v>0000000</v>
      </c>
      <c r="D343" s="17" t="s">
        <v>3663</v>
      </c>
      <c r="E343" s="16" t="s">
        <v>3088</v>
      </c>
      <c r="F343" s="16" t="s">
        <v>3052</v>
      </c>
      <c r="G343" s="35" t="s">
        <v>3089</v>
      </c>
      <c r="H343" s="39">
        <v>54.17</v>
      </c>
      <c r="I343" s="39">
        <v>51.98</v>
      </c>
      <c r="J343" s="39">
        <v>49.83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0</v>
      </c>
      <c r="AA343" s="39">
        <v>0</v>
      </c>
      <c r="AB343" s="39">
        <v>0</v>
      </c>
      <c r="AC343" s="39">
        <v>156.87</v>
      </c>
      <c r="AD343" s="39">
        <v>152.59</v>
      </c>
      <c r="AE343" s="39">
        <v>155.58000000000001</v>
      </c>
      <c r="AF343" s="39">
        <v>0</v>
      </c>
      <c r="AG343" s="39">
        <v>0</v>
      </c>
      <c r="AH343" s="39">
        <v>0</v>
      </c>
      <c r="AI343" s="39">
        <v>211.04</v>
      </c>
      <c r="AJ343" s="39">
        <v>204.57</v>
      </c>
      <c r="AK343" s="39">
        <v>205.41</v>
      </c>
      <c r="AL343" s="39">
        <v>0</v>
      </c>
      <c r="AM343" s="39">
        <v>0</v>
      </c>
      <c r="AN343" s="39">
        <v>0</v>
      </c>
      <c r="AO343" s="39">
        <v>211.04</v>
      </c>
      <c r="AP343" s="39">
        <v>204.57</v>
      </c>
      <c r="AQ343" s="39">
        <v>205.41</v>
      </c>
      <c r="AR343" s="39">
        <v>211.04</v>
      </c>
    </row>
    <row r="344" spans="1:44" x14ac:dyDescent="0.35">
      <c r="A344" s="16" t="str">
        <f t="shared" si="27"/>
        <v>49</v>
      </c>
      <c r="B344" s="19">
        <v>70805</v>
      </c>
      <c r="C344" s="16" t="str">
        <f t="shared" si="28"/>
        <v>0000000</v>
      </c>
      <c r="D344" s="17" t="s">
        <v>3663</v>
      </c>
      <c r="E344" s="16" t="s">
        <v>3095</v>
      </c>
      <c r="F344" s="16" t="s">
        <v>3052</v>
      </c>
      <c r="G344" s="35" t="s">
        <v>3096</v>
      </c>
      <c r="H344" s="39">
        <v>406.32</v>
      </c>
      <c r="I344" s="39">
        <v>400.75</v>
      </c>
      <c r="J344" s="39">
        <v>369.26</v>
      </c>
      <c r="K344" s="39">
        <v>0</v>
      </c>
      <c r="L344" s="39">
        <v>0</v>
      </c>
      <c r="M344" s="39">
        <v>0</v>
      </c>
      <c r="N344" s="39">
        <v>0</v>
      </c>
      <c r="O344" s="39">
        <v>0</v>
      </c>
      <c r="P344" s="39">
        <v>0</v>
      </c>
      <c r="Q344" s="39">
        <v>0</v>
      </c>
      <c r="R344" s="39">
        <v>0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0</v>
      </c>
      <c r="Y344" s="39">
        <v>0</v>
      </c>
      <c r="Z344" s="39">
        <v>0</v>
      </c>
      <c r="AA344" s="39">
        <v>0</v>
      </c>
      <c r="AB344" s="39">
        <v>0</v>
      </c>
      <c r="AC344" s="39">
        <v>877.98</v>
      </c>
      <c r="AD344" s="39">
        <v>863.08</v>
      </c>
      <c r="AE344" s="39">
        <v>844.88</v>
      </c>
      <c r="AF344" s="39">
        <v>0</v>
      </c>
      <c r="AG344" s="39">
        <v>0</v>
      </c>
      <c r="AH344" s="39">
        <v>0</v>
      </c>
      <c r="AI344" s="39">
        <v>1284.3</v>
      </c>
      <c r="AJ344" s="39">
        <v>1263.83</v>
      </c>
      <c r="AK344" s="39">
        <v>1214.1400000000001</v>
      </c>
      <c r="AL344" s="39">
        <v>0</v>
      </c>
      <c r="AM344" s="39">
        <v>0</v>
      </c>
      <c r="AN344" s="39">
        <v>0</v>
      </c>
      <c r="AO344" s="39">
        <v>1284.3</v>
      </c>
      <c r="AP344" s="39">
        <v>1263.83</v>
      </c>
      <c r="AQ344" s="39">
        <v>1214.1400000000001</v>
      </c>
      <c r="AR344" s="39">
        <v>1284.3</v>
      </c>
    </row>
    <row r="345" spans="1:44" x14ac:dyDescent="0.35">
      <c r="A345" s="16" t="str">
        <f t="shared" si="27"/>
        <v>49</v>
      </c>
      <c r="B345" s="19">
        <v>70813</v>
      </c>
      <c r="C345" s="16" t="str">
        <f t="shared" si="28"/>
        <v>0000000</v>
      </c>
      <c r="D345" s="17" t="s">
        <v>3663</v>
      </c>
      <c r="E345" s="16" t="s">
        <v>3097</v>
      </c>
      <c r="F345" s="16" t="s">
        <v>3052</v>
      </c>
      <c r="G345" s="35" t="s">
        <v>3098</v>
      </c>
      <c r="H345" s="39">
        <v>61.06</v>
      </c>
      <c r="I345" s="39">
        <v>60.03</v>
      </c>
      <c r="J345" s="39">
        <v>51.15</v>
      </c>
      <c r="K345" s="39">
        <v>0</v>
      </c>
      <c r="L345" s="39">
        <v>0</v>
      </c>
      <c r="M345" s="39">
        <v>0</v>
      </c>
      <c r="N345" s="39">
        <v>0</v>
      </c>
      <c r="O345" s="39">
        <v>0</v>
      </c>
      <c r="P345" s="39">
        <v>0</v>
      </c>
      <c r="Q345" s="39">
        <v>0</v>
      </c>
      <c r="R345" s="39">
        <v>0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0</v>
      </c>
      <c r="Y345" s="39">
        <v>0</v>
      </c>
      <c r="Z345" s="39">
        <v>0</v>
      </c>
      <c r="AA345" s="39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61.06</v>
      </c>
      <c r="AJ345" s="39">
        <v>60.03</v>
      </c>
      <c r="AK345" s="39">
        <v>51.15</v>
      </c>
      <c r="AL345" s="39">
        <v>0</v>
      </c>
      <c r="AM345" s="39">
        <v>0</v>
      </c>
      <c r="AN345" s="39">
        <v>0</v>
      </c>
      <c r="AO345" s="39">
        <v>61.06</v>
      </c>
      <c r="AP345" s="39">
        <v>60.03</v>
      </c>
      <c r="AQ345" s="39">
        <v>51.15</v>
      </c>
      <c r="AR345" s="39">
        <v>61.06</v>
      </c>
    </row>
    <row r="346" spans="1:44" x14ac:dyDescent="0.35">
      <c r="A346" s="16" t="str">
        <f t="shared" si="27"/>
        <v>49</v>
      </c>
      <c r="B346" s="19">
        <v>70821</v>
      </c>
      <c r="C346" s="16" t="str">
        <f t="shared" si="28"/>
        <v>0000000</v>
      </c>
      <c r="D346" s="17" t="s">
        <v>3663</v>
      </c>
      <c r="E346" s="16" t="s">
        <v>3099</v>
      </c>
      <c r="F346" s="16" t="s">
        <v>3052</v>
      </c>
      <c r="G346" s="35" t="s">
        <v>3100</v>
      </c>
      <c r="H346" s="39">
        <v>21.96</v>
      </c>
      <c r="I346" s="39">
        <v>18.05</v>
      </c>
      <c r="J346" s="39">
        <v>17.36</v>
      </c>
      <c r="K346" s="39">
        <v>0</v>
      </c>
      <c r="L346" s="39">
        <v>0</v>
      </c>
      <c r="M346" s="39">
        <v>0</v>
      </c>
      <c r="N346" s="39">
        <v>0</v>
      </c>
      <c r="O346" s="39">
        <v>0</v>
      </c>
      <c r="P346" s="39">
        <v>0</v>
      </c>
      <c r="Q346" s="39">
        <v>0</v>
      </c>
      <c r="R346" s="39">
        <v>0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0</v>
      </c>
      <c r="Y346" s="39">
        <v>0</v>
      </c>
      <c r="Z346" s="39">
        <v>0</v>
      </c>
      <c r="AA346" s="39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21.96</v>
      </c>
      <c r="AJ346" s="39">
        <v>18.05</v>
      </c>
      <c r="AK346" s="39">
        <v>17.36</v>
      </c>
      <c r="AL346" s="39">
        <v>0</v>
      </c>
      <c r="AM346" s="39">
        <v>0</v>
      </c>
      <c r="AN346" s="39">
        <v>0</v>
      </c>
      <c r="AO346" s="39">
        <v>21.96</v>
      </c>
      <c r="AP346" s="39">
        <v>18.05</v>
      </c>
      <c r="AQ346" s="39">
        <v>17.36</v>
      </c>
      <c r="AR346" s="39">
        <v>21.96</v>
      </c>
    </row>
    <row r="347" spans="1:44" x14ac:dyDescent="0.35">
      <c r="A347" s="16" t="str">
        <f t="shared" si="27"/>
        <v>49</v>
      </c>
      <c r="B347" s="19">
        <v>70839</v>
      </c>
      <c r="C347" s="16" t="str">
        <f t="shared" si="28"/>
        <v>0000000</v>
      </c>
      <c r="D347" s="17" t="s">
        <v>3663</v>
      </c>
      <c r="E347" s="16" t="s">
        <v>3101</v>
      </c>
      <c r="F347" s="16" t="s">
        <v>3052</v>
      </c>
      <c r="G347" s="35" t="s">
        <v>3102</v>
      </c>
      <c r="H347" s="39">
        <v>81.31</v>
      </c>
      <c r="I347" s="39">
        <v>84.21</v>
      </c>
      <c r="J347" s="39">
        <v>70.239999999999995</v>
      </c>
      <c r="K347" s="39">
        <v>0</v>
      </c>
      <c r="L347" s="39">
        <v>0</v>
      </c>
      <c r="M347" s="39">
        <v>0</v>
      </c>
      <c r="N347" s="39">
        <v>0</v>
      </c>
      <c r="O347" s="39">
        <v>0</v>
      </c>
      <c r="P347" s="39">
        <v>0</v>
      </c>
      <c r="Q347" s="39">
        <v>0</v>
      </c>
      <c r="R347" s="39">
        <v>0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0</v>
      </c>
      <c r="Y347" s="39">
        <v>0</v>
      </c>
      <c r="Z347" s="39">
        <v>0</v>
      </c>
      <c r="AA347" s="39">
        <v>0</v>
      </c>
      <c r="AB347" s="39">
        <v>0</v>
      </c>
      <c r="AC347" s="39">
        <v>668.73</v>
      </c>
      <c r="AD347" s="39">
        <v>673.48</v>
      </c>
      <c r="AE347" s="39">
        <v>690.06</v>
      </c>
      <c r="AF347" s="39">
        <v>0</v>
      </c>
      <c r="AG347" s="39">
        <v>0</v>
      </c>
      <c r="AH347" s="39">
        <v>0</v>
      </c>
      <c r="AI347" s="39">
        <v>750.04</v>
      </c>
      <c r="AJ347" s="39">
        <v>757.69</v>
      </c>
      <c r="AK347" s="39">
        <v>760.3</v>
      </c>
      <c r="AL347" s="39">
        <v>0</v>
      </c>
      <c r="AM347" s="39">
        <v>0</v>
      </c>
      <c r="AN347" s="39">
        <v>0</v>
      </c>
      <c r="AO347" s="39">
        <v>750.04</v>
      </c>
      <c r="AP347" s="39">
        <v>757.69</v>
      </c>
      <c r="AQ347" s="39">
        <v>760.3</v>
      </c>
      <c r="AR347" s="39">
        <v>760.3</v>
      </c>
    </row>
    <row r="348" spans="1:44" x14ac:dyDescent="0.35">
      <c r="A348" s="16" t="str">
        <f t="shared" si="27"/>
        <v>49</v>
      </c>
      <c r="B348" s="19">
        <v>70847</v>
      </c>
      <c r="C348" s="16" t="str">
        <f t="shared" si="28"/>
        <v>0000000</v>
      </c>
      <c r="D348" s="17" t="s">
        <v>3663</v>
      </c>
      <c r="E348" s="16" t="s">
        <v>3105</v>
      </c>
      <c r="F348" s="16" t="s">
        <v>3052</v>
      </c>
      <c r="G348" s="35" t="s">
        <v>3106</v>
      </c>
      <c r="H348" s="39">
        <v>287.75</v>
      </c>
      <c r="I348" s="39">
        <v>292.17</v>
      </c>
      <c r="J348" s="39">
        <v>301.49</v>
      </c>
      <c r="K348" s="39">
        <v>0</v>
      </c>
      <c r="L348" s="39">
        <v>0</v>
      </c>
      <c r="M348" s="39">
        <v>0</v>
      </c>
      <c r="N348" s="39">
        <v>0</v>
      </c>
      <c r="O348" s="39">
        <v>0</v>
      </c>
      <c r="P348" s="39">
        <v>0</v>
      </c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1366.95</v>
      </c>
      <c r="AD348" s="39">
        <v>1400.5</v>
      </c>
      <c r="AE348" s="39">
        <v>1373.26</v>
      </c>
      <c r="AF348" s="39">
        <v>0</v>
      </c>
      <c r="AG348" s="39">
        <v>0</v>
      </c>
      <c r="AH348" s="39">
        <v>0</v>
      </c>
      <c r="AI348" s="39">
        <v>1654.7</v>
      </c>
      <c r="AJ348" s="39">
        <v>1692.67</v>
      </c>
      <c r="AK348" s="39">
        <v>1674.75</v>
      </c>
      <c r="AL348" s="39">
        <v>0</v>
      </c>
      <c r="AM348" s="39">
        <v>0</v>
      </c>
      <c r="AN348" s="39">
        <v>0</v>
      </c>
      <c r="AO348" s="39">
        <v>1654.7</v>
      </c>
      <c r="AP348" s="39">
        <v>1692.67</v>
      </c>
      <c r="AQ348" s="39">
        <v>1674.75</v>
      </c>
      <c r="AR348" s="39">
        <v>1692.67</v>
      </c>
    </row>
    <row r="349" spans="1:44" x14ac:dyDescent="0.35">
      <c r="A349" s="16" t="str">
        <f t="shared" si="27"/>
        <v>49</v>
      </c>
      <c r="B349" s="19">
        <v>70854</v>
      </c>
      <c r="C349" s="16" t="str">
        <f t="shared" si="28"/>
        <v>0000000</v>
      </c>
      <c r="D349" s="17" t="s">
        <v>3663</v>
      </c>
      <c r="E349" s="16" t="s">
        <v>3109</v>
      </c>
      <c r="F349" s="16" t="s">
        <v>3052</v>
      </c>
      <c r="G349" s="35" t="s">
        <v>3110</v>
      </c>
      <c r="H349" s="39">
        <v>1555.23</v>
      </c>
      <c r="I349" s="39">
        <v>1514.5</v>
      </c>
      <c r="J349" s="39">
        <v>1455.35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700.95</v>
      </c>
      <c r="AD349" s="39">
        <v>685.91</v>
      </c>
      <c r="AE349" s="39">
        <v>675.74</v>
      </c>
      <c r="AF349" s="39">
        <v>0</v>
      </c>
      <c r="AG349" s="39">
        <v>0</v>
      </c>
      <c r="AH349" s="39">
        <v>0</v>
      </c>
      <c r="AI349" s="39">
        <v>2256.1799999999998</v>
      </c>
      <c r="AJ349" s="39">
        <v>2200.41</v>
      </c>
      <c r="AK349" s="39">
        <v>2131.09</v>
      </c>
      <c r="AL349" s="39">
        <v>0</v>
      </c>
      <c r="AM349" s="39">
        <v>0</v>
      </c>
      <c r="AN349" s="39">
        <v>0</v>
      </c>
      <c r="AO349" s="39">
        <v>2256.1799999999998</v>
      </c>
      <c r="AP349" s="39">
        <v>2200.41</v>
      </c>
      <c r="AQ349" s="39">
        <v>2131.09</v>
      </c>
      <c r="AR349" s="39">
        <v>2256.1799999999998</v>
      </c>
    </row>
    <row r="350" spans="1:44" x14ac:dyDescent="0.35">
      <c r="A350" s="16" t="str">
        <f t="shared" si="27"/>
        <v>49</v>
      </c>
      <c r="B350" s="19">
        <v>70862</v>
      </c>
      <c r="C350" s="16" t="str">
        <f t="shared" si="28"/>
        <v>0000000</v>
      </c>
      <c r="D350" s="17" t="s">
        <v>3663</v>
      </c>
      <c r="E350" s="16" t="s">
        <v>3111</v>
      </c>
      <c r="F350" s="16" t="s">
        <v>3052</v>
      </c>
      <c r="G350" s="35" t="s">
        <v>3112</v>
      </c>
      <c r="H350" s="39">
        <v>4059.15</v>
      </c>
      <c r="I350" s="39">
        <v>4115.67</v>
      </c>
      <c r="J350" s="39">
        <v>4125.38</v>
      </c>
      <c r="K350" s="39">
        <v>0</v>
      </c>
      <c r="L350" s="39">
        <v>0</v>
      </c>
      <c r="M350" s="39">
        <v>0</v>
      </c>
      <c r="N350" s="39">
        <v>0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</v>
      </c>
      <c r="Y350" s="39">
        <v>0</v>
      </c>
      <c r="Z350" s="39">
        <v>0</v>
      </c>
      <c r="AA350" s="39">
        <v>0</v>
      </c>
      <c r="AB350" s="39">
        <v>0</v>
      </c>
      <c r="AC350" s="39">
        <v>600.41</v>
      </c>
      <c r="AD350" s="39">
        <v>560.61</v>
      </c>
      <c r="AE350" s="39">
        <v>536.80999999999995</v>
      </c>
      <c r="AF350" s="39">
        <v>0</v>
      </c>
      <c r="AG350" s="39">
        <v>0</v>
      </c>
      <c r="AH350" s="39">
        <v>0</v>
      </c>
      <c r="AI350" s="39">
        <v>4659.5600000000004</v>
      </c>
      <c r="AJ350" s="39">
        <v>4676.28</v>
      </c>
      <c r="AK350" s="39">
        <v>4662.1899999999996</v>
      </c>
      <c r="AL350" s="39">
        <v>0</v>
      </c>
      <c r="AM350" s="39">
        <v>0</v>
      </c>
      <c r="AN350" s="39">
        <v>0</v>
      </c>
      <c r="AO350" s="39">
        <v>4659.5600000000004</v>
      </c>
      <c r="AP350" s="39">
        <v>4676.28</v>
      </c>
      <c r="AQ350" s="39">
        <v>4662.1899999999996</v>
      </c>
      <c r="AR350" s="39">
        <v>4676.28</v>
      </c>
    </row>
    <row r="351" spans="1:44" x14ac:dyDescent="0.35">
      <c r="A351" s="16" t="str">
        <f t="shared" si="27"/>
        <v>49</v>
      </c>
      <c r="B351" s="19">
        <v>70870</v>
      </c>
      <c r="C351" s="16" t="str">
        <f t="shared" si="28"/>
        <v>0000000</v>
      </c>
      <c r="D351" s="17" t="s">
        <v>3663</v>
      </c>
      <c r="E351" s="16" t="s">
        <v>3113</v>
      </c>
      <c r="F351" s="16" t="s">
        <v>3052</v>
      </c>
      <c r="G351" s="35" t="s">
        <v>3114</v>
      </c>
      <c r="H351" s="39">
        <v>256.7</v>
      </c>
      <c r="I351" s="39">
        <v>239.41</v>
      </c>
      <c r="J351" s="39">
        <v>253.71</v>
      </c>
      <c r="K351" s="39">
        <v>0</v>
      </c>
      <c r="L351" s="39">
        <v>0</v>
      </c>
      <c r="M351" s="39">
        <v>0</v>
      </c>
      <c r="N351" s="39">
        <v>0</v>
      </c>
      <c r="O351" s="39">
        <v>0</v>
      </c>
      <c r="P351" s="39">
        <v>0</v>
      </c>
      <c r="Q351" s="39">
        <v>0</v>
      </c>
      <c r="R351" s="39">
        <v>0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0</v>
      </c>
      <c r="Y351" s="39">
        <v>0</v>
      </c>
      <c r="Z351" s="39">
        <v>0</v>
      </c>
      <c r="AA351" s="39">
        <v>0</v>
      </c>
      <c r="AB351" s="39">
        <v>0</v>
      </c>
      <c r="AC351" s="39">
        <v>920.56</v>
      </c>
      <c r="AD351" s="39">
        <v>913.31</v>
      </c>
      <c r="AE351" s="39">
        <v>885.26</v>
      </c>
      <c r="AF351" s="39">
        <v>0</v>
      </c>
      <c r="AG351" s="39">
        <v>0</v>
      </c>
      <c r="AH351" s="39">
        <v>0</v>
      </c>
      <c r="AI351" s="39">
        <v>1177.26</v>
      </c>
      <c r="AJ351" s="39">
        <v>1152.72</v>
      </c>
      <c r="AK351" s="39">
        <v>1138.97</v>
      </c>
      <c r="AL351" s="39">
        <v>0</v>
      </c>
      <c r="AM351" s="39">
        <v>0</v>
      </c>
      <c r="AN351" s="39">
        <v>0</v>
      </c>
      <c r="AO351" s="39">
        <v>1177.26</v>
      </c>
      <c r="AP351" s="39">
        <v>1152.72</v>
      </c>
      <c r="AQ351" s="39">
        <v>1138.97</v>
      </c>
      <c r="AR351" s="39">
        <v>1177.26</v>
      </c>
    </row>
    <row r="352" spans="1:44" x14ac:dyDescent="0.35">
      <c r="A352" s="16" t="str">
        <f t="shared" si="27"/>
        <v>49</v>
      </c>
      <c r="B352" s="19">
        <v>70896</v>
      </c>
      <c r="C352" s="16" t="str">
        <f t="shared" si="28"/>
        <v>0000000</v>
      </c>
      <c r="D352" s="17" t="s">
        <v>3663</v>
      </c>
      <c r="E352" s="16" t="s">
        <v>3117</v>
      </c>
      <c r="F352" s="16" t="s">
        <v>3052</v>
      </c>
      <c r="G352" s="35" t="s">
        <v>3118</v>
      </c>
      <c r="H352" s="39">
        <v>1196.27</v>
      </c>
      <c r="I352" s="39">
        <v>1223.46</v>
      </c>
      <c r="J352" s="39">
        <v>1121.4100000000001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>
        <v>0</v>
      </c>
      <c r="Q352" s="39">
        <v>0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0</v>
      </c>
      <c r="Y352" s="39">
        <v>0</v>
      </c>
      <c r="Z352" s="39">
        <v>0</v>
      </c>
      <c r="AA352" s="39">
        <v>0</v>
      </c>
      <c r="AB352" s="39">
        <v>0</v>
      </c>
      <c r="AC352" s="39">
        <v>1698.22</v>
      </c>
      <c r="AD352" s="39">
        <v>1705.07</v>
      </c>
      <c r="AE352" s="39">
        <v>1665.81</v>
      </c>
      <c r="AF352" s="39">
        <v>0</v>
      </c>
      <c r="AG352" s="39">
        <v>0</v>
      </c>
      <c r="AH352" s="39">
        <v>0</v>
      </c>
      <c r="AI352" s="39">
        <v>2894.49</v>
      </c>
      <c r="AJ352" s="39">
        <v>2928.53</v>
      </c>
      <c r="AK352" s="39">
        <v>2787.22</v>
      </c>
      <c r="AL352" s="39">
        <v>0</v>
      </c>
      <c r="AM352" s="39">
        <v>0</v>
      </c>
      <c r="AN352" s="39">
        <v>0</v>
      </c>
      <c r="AO352" s="39">
        <v>2894.49</v>
      </c>
      <c r="AP352" s="39">
        <v>2928.53</v>
      </c>
      <c r="AQ352" s="39">
        <v>2787.22</v>
      </c>
      <c r="AR352" s="39">
        <v>2928.53</v>
      </c>
    </row>
    <row r="353" spans="1:44" x14ac:dyDescent="0.35">
      <c r="A353" s="16" t="str">
        <f t="shared" si="27"/>
        <v>49</v>
      </c>
      <c r="B353" s="19">
        <v>70904</v>
      </c>
      <c r="C353" s="16" t="str">
        <f t="shared" si="28"/>
        <v>0000000</v>
      </c>
      <c r="D353" s="17" t="s">
        <v>3663</v>
      </c>
      <c r="E353" s="16" t="s">
        <v>3119</v>
      </c>
      <c r="F353" s="16" t="s">
        <v>3052</v>
      </c>
      <c r="G353" s="35" t="s">
        <v>3120</v>
      </c>
      <c r="H353" s="39">
        <v>1507.52</v>
      </c>
      <c r="I353" s="39">
        <v>1396.78</v>
      </c>
      <c r="J353" s="39">
        <v>1353.79</v>
      </c>
      <c r="K353" s="39">
        <v>0</v>
      </c>
      <c r="L353" s="39">
        <v>0</v>
      </c>
      <c r="M353" s="39">
        <v>0</v>
      </c>
      <c r="N353" s="39">
        <v>0</v>
      </c>
      <c r="O353" s="39">
        <v>0</v>
      </c>
      <c r="P353" s="39">
        <v>0</v>
      </c>
      <c r="Q353" s="39">
        <v>0</v>
      </c>
      <c r="R353" s="39">
        <v>0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0</v>
      </c>
      <c r="Y353" s="39">
        <v>0</v>
      </c>
      <c r="Z353" s="39">
        <v>0</v>
      </c>
      <c r="AA353" s="39">
        <v>0</v>
      </c>
      <c r="AB353" s="39">
        <v>0</v>
      </c>
      <c r="AC353" s="39">
        <v>1162.82</v>
      </c>
      <c r="AD353" s="39">
        <v>1165.6300000000001</v>
      </c>
      <c r="AE353" s="39">
        <v>1189.6400000000001</v>
      </c>
      <c r="AF353" s="39">
        <v>0</v>
      </c>
      <c r="AG353" s="39">
        <v>0</v>
      </c>
      <c r="AH353" s="39">
        <v>0</v>
      </c>
      <c r="AI353" s="39">
        <v>2670.34</v>
      </c>
      <c r="AJ353" s="39">
        <v>2562.41</v>
      </c>
      <c r="AK353" s="39">
        <v>2543.4299999999998</v>
      </c>
      <c r="AL353" s="39">
        <v>0</v>
      </c>
      <c r="AM353" s="39">
        <v>0</v>
      </c>
      <c r="AN353" s="39">
        <v>0</v>
      </c>
      <c r="AO353" s="39">
        <v>2670.34</v>
      </c>
      <c r="AP353" s="39">
        <v>2562.41</v>
      </c>
      <c r="AQ353" s="39">
        <v>2543.4299999999998</v>
      </c>
      <c r="AR353" s="39">
        <v>2670.34</v>
      </c>
    </row>
    <row r="354" spans="1:44" x14ac:dyDescent="0.35">
      <c r="A354" s="16" t="str">
        <f t="shared" si="27"/>
        <v>49</v>
      </c>
      <c r="B354" s="19">
        <v>70912</v>
      </c>
      <c r="C354" s="16" t="str">
        <f t="shared" si="28"/>
        <v>0000000</v>
      </c>
      <c r="D354" s="17" t="s">
        <v>3663</v>
      </c>
      <c r="E354" s="16" t="s">
        <v>3121</v>
      </c>
      <c r="F354" s="16" t="s">
        <v>3052</v>
      </c>
      <c r="G354" s="35" t="s">
        <v>3122</v>
      </c>
      <c r="H354" s="39">
        <v>2945.14</v>
      </c>
      <c r="I354" s="39">
        <v>2841.72</v>
      </c>
      <c r="J354" s="39">
        <v>2795.07</v>
      </c>
      <c r="K354" s="39">
        <v>0</v>
      </c>
      <c r="L354" s="39">
        <v>0</v>
      </c>
      <c r="M354" s="39">
        <v>0</v>
      </c>
      <c r="N354" s="39">
        <v>0</v>
      </c>
      <c r="O354" s="39">
        <v>0</v>
      </c>
      <c r="P354" s="39">
        <v>0</v>
      </c>
      <c r="Q354" s="39">
        <v>0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0</v>
      </c>
      <c r="Y354" s="39">
        <v>0</v>
      </c>
      <c r="Z354" s="39">
        <v>0</v>
      </c>
      <c r="AA354" s="39">
        <v>0</v>
      </c>
      <c r="AB354" s="39">
        <v>0</v>
      </c>
      <c r="AC354" s="39">
        <v>1687.31</v>
      </c>
      <c r="AD354" s="39">
        <v>1680.58</v>
      </c>
      <c r="AE354" s="39">
        <v>1629.35</v>
      </c>
      <c r="AF354" s="39">
        <v>0</v>
      </c>
      <c r="AG354" s="39">
        <v>0</v>
      </c>
      <c r="AH354" s="39">
        <v>0</v>
      </c>
      <c r="AI354" s="39">
        <v>4632.45</v>
      </c>
      <c r="AJ354" s="39">
        <v>4522.3</v>
      </c>
      <c r="AK354" s="39">
        <v>4424.42</v>
      </c>
      <c r="AL354" s="39">
        <v>0</v>
      </c>
      <c r="AM354" s="39">
        <v>0</v>
      </c>
      <c r="AN354" s="39">
        <v>0</v>
      </c>
      <c r="AO354" s="39">
        <v>4632.45</v>
      </c>
      <c r="AP354" s="39">
        <v>4522.3</v>
      </c>
      <c r="AQ354" s="39">
        <v>4424.42</v>
      </c>
      <c r="AR354" s="39">
        <v>4632.45</v>
      </c>
    </row>
    <row r="355" spans="1:44" x14ac:dyDescent="0.35">
      <c r="A355" s="16" t="str">
        <f t="shared" si="27"/>
        <v>49</v>
      </c>
      <c r="B355" s="19">
        <v>70920</v>
      </c>
      <c r="C355" s="16" t="str">
        <f t="shared" si="28"/>
        <v>0000000</v>
      </c>
      <c r="D355" s="17" t="s">
        <v>3663</v>
      </c>
      <c r="E355" s="16" t="s">
        <v>3123</v>
      </c>
      <c r="F355" s="16" t="s">
        <v>3052</v>
      </c>
      <c r="G355" s="35" t="s">
        <v>3124</v>
      </c>
      <c r="H355" s="39">
        <v>8554.4500000000007</v>
      </c>
      <c r="I355" s="39">
        <v>8893.26</v>
      </c>
      <c r="J355" s="39">
        <v>8926.5499999999993</v>
      </c>
      <c r="K355" s="39">
        <v>0</v>
      </c>
      <c r="L355" s="39">
        <v>0</v>
      </c>
      <c r="M355" s="39">
        <v>0</v>
      </c>
      <c r="N355" s="39">
        <v>0</v>
      </c>
      <c r="O355" s="39">
        <v>0</v>
      </c>
      <c r="P355" s="39">
        <v>0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0</v>
      </c>
      <c r="AA355" s="39">
        <v>0</v>
      </c>
      <c r="AB355" s="39">
        <v>0</v>
      </c>
      <c r="AC355" s="39">
        <v>123.6</v>
      </c>
      <c r="AD355" s="39">
        <v>123.61</v>
      </c>
      <c r="AE355" s="39">
        <v>120.9</v>
      </c>
      <c r="AF355" s="39">
        <v>0</v>
      </c>
      <c r="AG355" s="39">
        <v>0</v>
      </c>
      <c r="AH355" s="39">
        <v>0</v>
      </c>
      <c r="AI355" s="39">
        <v>8678.0499999999993</v>
      </c>
      <c r="AJ355" s="39">
        <v>9016.8700000000008</v>
      </c>
      <c r="AK355" s="39">
        <v>9047.4500000000007</v>
      </c>
      <c r="AL355" s="39">
        <v>0</v>
      </c>
      <c r="AM355" s="39">
        <v>0</v>
      </c>
      <c r="AN355" s="39">
        <v>0</v>
      </c>
      <c r="AO355" s="39">
        <v>8678.0499999999993</v>
      </c>
      <c r="AP355" s="39">
        <v>9016.8700000000008</v>
      </c>
      <c r="AQ355" s="39">
        <v>9047.4500000000007</v>
      </c>
      <c r="AR355" s="39">
        <v>9047.4500000000007</v>
      </c>
    </row>
    <row r="356" spans="1:44" x14ac:dyDescent="0.35">
      <c r="A356" s="16" t="str">
        <f t="shared" si="27"/>
        <v>49</v>
      </c>
      <c r="B356" s="19">
        <v>70938</v>
      </c>
      <c r="C356" s="16" t="str">
        <f t="shared" si="28"/>
        <v>0000000</v>
      </c>
      <c r="D356" s="17" t="s">
        <v>3663</v>
      </c>
      <c r="E356" s="16" t="s">
        <v>3125</v>
      </c>
      <c r="F356" s="16" t="s">
        <v>3052</v>
      </c>
      <c r="G356" s="35" t="s">
        <v>3126</v>
      </c>
      <c r="H356" s="39">
        <v>447.13</v>
      </c>
      <c r="I356" s="39">
        <v>415.52</v>
      </c>
      <c r="J356" s="39">
        <v>395.89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0</v>
      </c>
      <c r="AA356" s="39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0</v>
      </c>
      <c r="AI356" s="39">
        <v>447.13</v>
      </c>
      <c r="AJ356" s="39">
        <v>415.52</v>
      </c>
      <c r="AK356" s="39">
        <v>395.89</v>
      </c>
      <c r="AL356" s="39">
        <v>0</v>
      </c>
      <c r="AM356" s="39">
        <v>0</v>
      </c>
      <c r="AN356" s="39">
        <v>0</v>
      </c>
      <c r="AO356" s="39">
        <v>447.13</v>
      </c>
      <c r="AP356" s="39">
        <v>415.52</v>
      </c>
      <c r="AQ356" s="39">
        <v>395.89</v>
      </c>
      <c r="AR356" s="39">
        <v>447.13</v>
      </c>
    </row>
    <row r="357" spans="1:44" x14ac:dyDescent="0.35">
      <c r="A357" s="16" t="str">
        <f t="shared" si="27"/>
        <v>49</v>
      </c>
      <c r="B357" s="19">
        <v>70953</v>
      </c>
      <c r="C357" s="16" t="str">
        <f t="shared" si="28"/>
        <v>0000000</v>
      </c>
      <c r="D357" s="17" t="s">
        <v>3663</v>
      </c>
      <c r="E357" s="16" t="s">
        <v>3132</v>
      </c>
      <c r="F357" s="16" t="s">
        <v>3052</v>
      </c>
      <c r="G357" s="35" t="s">
        <v>3133</v>
      </c>
      <c r="H357" s="39">
        <v>2856.63</v>
      </c>
      <c r="I357" s="39">
        <v>2899.64</v>
      </c>
      <c r="J357" s="39">
        <v>2907.23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>
        <v>0</v>
      </c>
      <c r="Q357" s="39">
        <v>0</v>
      </c>
      <c r="R357" s="39">
        <v>0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0</v>
      </c>
      <c r="Y357" s="39">
        <v>0</v>
      </c>
      <c r="Z357" s="39">
        <v>0</v>
      </c>
      <c r="AA357" s="39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2856.63</v>
      </c>
      <c r="AJ357" s="39">
        <v>2899.64</v>
      </c>
      <c r="AK357" s="39">
        <v>2907.23</v>
      </c>
      <c r="AL357" s="39">
        <v>0</v>
      </c>
      <c r="AM357" s="39">
        <v>0</v>
      </c>
      <c r="AN357" s="39">
        <v>0</v>
      </c>
      <c r="AO357" s="39">
        <v>2856.63</v>
      </c>
      <c r="AP357" s="39">
        <v>2899.64</v>
      </c>
      <c r="AQ357" s="39">
        <v>2907.23</v>
      </c>
      <c r="AR357" s="39">
        <v>2907.23</v>
      </c>
    </row>
    <row r="358" spans="1:44" x14ac:dyDescent="0.35">
      <c r="A358" s="16" t="str">
        <f t="shared" si="27"/>
        <v>49</v>
      </c>
      <c r="B358" s="19">
        <v>70961</v>
      </c>
      <c r="C358" s="16" t="str">
        <f t="shared" si="28"/>
        <v>0000000</v>
      </c>
      <c r="D358" s="17" t="s">
        <v>3663</v>
      </c>
      <c r="E358" s="16" t="s">
        <v>3140</v>
      </c>
      <c r="F358" s="16" t="s">
        <v>3052</v>
      </c>
      <c r="G358" s="35" t="s">
        <v>3141</v>
      </c>
      <c r="H358" s="39">
        <v>287.17</v>
      </c>
      <c r="I358" s="39">
        <v>267.72000000000003</v>
      </c>
      <c r="J358" s="39">
        <v>272.20999999999998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>
        <v>0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0</v>
      </c>
      <c r="AA358" s="39">
        <v>0</v>
      </c>
      <c r="AB358" s="39">
        <v>0</v>
      </c>
      <c r="AC358" s="39">
        <v>643.67999999999995</v>
      </c>
      <c r="AD358" s="39">
        <v>632.38</v>
      </c>
      <c r="AE358" s="39">
        <v>608.47</v>
      </c>
      <c r="AF358" s="39">
        <v>0</v>
      </c>
      <c r="AG358" s="39">
        <v>0</v>
      </c>
      <c r="AH358" s="39">
        <v>0</v>
      </c>
      <c r="AI358" s="39">
        <v>930.85</v>
      </c>
      <c r="AJ358" s="39">
        <v>900.1</v>
      </c>
      <c r="AK358" s="39">
        <v>880.68</v>
      </c>
      <c r="AL358" s="39">
        <v>0</v>
      </c>
      <c r="AM358" s="39">
        <v>0</v>
      </c>
      <c r="AN358" s="39">
        <v>0</v>
      </c>
      <c r="AO358" s="39">
        <v>930.85</v>
      </c>
      <c r="AP358" s="39">
        <v>900.1</v>
      </c>
      <c r="AQ358" s="39">
        <v>880.68</v>
      </c>
      <c r="AR358" s="39">
        <v>930.85</v>
      </c>
    </row>
    <row r="359" spans="1:44" x14ac:dyDescent="0.35">
      <c r="A359" s="16" t="str">
        <f t="shared" si="27"/>
        <v>49</v>
      </c>
      <c r="B359" s="19">
        <v>71001</v>
      </c>
      <c r="C359" s="16" t="str">
        <f t="shared" si="28"/>
        <v>0000000</v>
      </c>
      <c r="D359" s="17" t="s">
        <v>3663</v>
      </c>
      <c r="E359" s="16" t="s">
        <v>3146</v>
      </c>
      <c r="F359" s="16" t="s">
        <v>3052</v>
      </c>
      <c r="G359" s="35" t="s">
        <v>3147</v>
      </c>
      <c r="H359" s="39">
        <v>122.74</v>
      </c>
      <c r="I359" s="39">
        <v>129.03</v>
      </c>
      <c r="J359" s="39">
        <v>127.2</v>
      </c>
      <c r="K359" s="39">
        <v>0</v>
      </c>
      <c r="L359" s="39">
        <v>0</v>
      </c>
      <c r="M359" s="39">
        <v>0</v>
      </c>
      <c r="N359" s="39">
        <v>0</v>
      </c>
      <c r="O359" s="39">
        <v>0</v>
      </c>
      <c r="P359" s="39">
        <v>0</v>
      </c>
      <c r="Q359" s="39">
        <v>0</v>
      </c>
      <c r="R359" s="39">
        <v>0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0</v>
      </c>
      <c r="Y359" s="39">
        <v>0</v>
      </c>
      <c r="Z359" s="39">
        <v>0</v>
      </c>
      <c r="AA359" s="39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122.74</v>
      </c>
      <c r="AJ359" s="39">
        <v>129.03</v>
      </c>
      <c r="AK359" s="39">
        <v>127.2</v>
      </c>
      <c r="AL359" s="39">
        <v>0</v>
      </c>
      <c r="AM359" s="39">
        <v>0</v>
      </c>
      <c r="AN359" s="39">
        <v>0</v>
      </c>
      <c r="AO359" s="39">
        <v>122.74</v>
      </c>
      <c r="AP359" s="39">
        <v>129.03</v>
      </c>
      <c r="AQ359" s="39">
        <v>127.2</v>
      </c>
      <c r="AR359" s="39">
        <v>129.03</v>
      </c>
    </row>
    <row r="360" spans="1:44" x14ac:dyDescent="0.35">
      <c r="A360" s="16" t="str">
        <f t="shared" si="27"/>
        <v>49</v>
      </c>
      <c r="B360" s="19">
        <v>71019</v>
      </c>
      <c r="C360" s="16" t="str">
        <f t="shared" si="28"/>
        <v>0000000</v>
      </c>
      <c r="D360" s="17" t="s">
        <v>3663</v>
      </c>
      <c r="E360" s="16" t="s">
        <v>3148</v>
      </c>
      <c r="F360" s="16" t="s">
        <v>3052</v>
      </c>
      <c r="G360" s="35" t="s">
        <v>3149</v>
      </c>
      <c r="H360" s="39">
        <v>228.32</v>
      </c>
      <c r="I360" s="39">
        <v>214.15</v>
      </c>
      <c r="J360" s="39">
        <v>209.88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228.32</v>
      </c>
      <c r="AJ360" s="39">
        <v>214.15</v>
      </c>
      <c r="AK360" s="39">
        <v>209.88</v>
      </c>
      <c r="AL360" s="39">
        <v>0</v>
      </c>
      <c r="AM360" s="39">
        <v>0</v>
      </c>
      <c r="AN360" s="39">
        <v>0</v>
      </c>
      <c r="AO360" s="39">
        <v>228.32</v>
      </c>
      <c r="AP360" s="39">
        <v>214.15</v>
      </c>
      <c r="AQ360" s="39">
        <v>209.88</v>
      </c>
      <c r="AR360" s="39">
        <v>228.32</v>
      </c>
    </row>
    <row r="361" spans="1:44" x14ac:dyDescent="0.35">
      <c r="A361" s="16" t="str">
        <f t="shared" si="27"/>
        <v>49</v>
      </c>
      <c r="B361" s="19">
        <v>71035</v>
      </c>
      <c r="C361" s="16" t="str">
        <f t="shared" si="28"/>
        <v>0000000</v>
      </c>
      <c r="D361" s="17" t="s">
        <v>3663</v>
      </c>
      <c r="E361" s="16" t="s">
        <v>3150</v>
      </c>
      <c r="F361" s="16" t="s">
        <v>3052</v>
      </c>
      <c r="G361" s="35" t="s">
        <v>3151</v>
      </c>
      <c r="H361" s="39">
        <v>703.96</v>
      </c>
      <c r="I361" s="39">
        <v>709.66</v>
      </c>
      <c r="J361" s="39">
        <v>715.19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430.5</v>
      </c>
      <c r="AD361" s="39">
        <v>416.21</v>
      </c>
      <c r="AE361" s="39">
        <v>415.1</v>
      </c>
      <c r="AF361" s="39">
        <v>0</v>
      </c>
      <c r="AG361" s="39">
        <v>0</v>
      </c>
      <c r="AH361" s="39">
        <v>0</v>
      </c>
      <c r="AI361" s="39">
        <v>1134.46</v>
      </c>
      <c r="AJ361" s="39">
        <v>1125.8699999999999</v>
      </c>
      <c r="AK361" s="39">
        <v>1130.29</v>
      </c>
      <c r="AL361" s="39">
        <v>0</v>
      </c>
      <c r="AM361" s="39">
        <v>0</v>
      </c>
      <c r="AN361" s="39">
        <v>0</v>
      </c>
      <c r="AO361" s="39">
        <v>1134.46</v>
      </c>
      <c r="AP361" s="39">
        <v>1125.8699999999999</v>
      </c>
      <c r="AQ361" s="39">
        <v>1130.29</v>
      </c>
      <c r="AR361" s="39">
        <v>1134.46</v>
      </c>
    </row>
    <row r="362" spans="1:44" x14ac:dyDescent="0.35">
      <c r="A362" s="16" t="str">
        <f t="shared" si="27"/>
        <v>49</v>
      </c>
      <c r="B362" s="19">
        <v>70995</v>
      </c>
      <c r="C362" s="16" t="str">
        <f t="shared" si="28"/>
        <v>0000000</v>
      </c>
      <c r="D362" s="17" t="s">
        <v>3663</v>
      </c>
      <c r="E362" s="16" t="s">
        <v>3144</v>
      </c>
      <c r="F362" s="16" t="s">
        <v>3052</v>
      </c>
      <c r="G362" s="35" t="s">
        <v>3145</v>
      </c>
      <c r="H362" s="39">
        <v>756.18</v>
      </c>
      <c r="I362" s="39">
        <v>742.71</v>
      </c>
      <c r="J362" s="39">
        <v>721.85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0</v>
      </c>
      <c r="Y362" s="39">
        <v>0</v>
      </c>
      <c r="Z362" s="39">
        <v>0</v>
      </c>
      <c r="AA362" s="39">
        <v>0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756.18</v>
      </c>
      <c r="AJ362" s="39">
        <v>742.71</v>
      </c>
      <c r="AK362" s="39">
        <v>721.85</v>
      </c>
      <c r="AL362" s="39">
        <v>0</v>
      </c>
      <c r="AM362" s="39">
        <v>0</v>
      </c>
      <c r="AN362" s="39">
        <v>0</v>
      </c>
      <c r="AO362" s="39">
        <v>756.18</v>
      </c>
      <c r="AP362" s="39">
        <v>742.71</v>
      </c>
      <c r="AQ362" s="39">
        <v>721.85</v>
      </c>
      <c r="AR362" s="39">
        <v>756.18</v>
      </c>
    </row>
    <row r="363" spans="1:44" x14ac:dyDescent="0.35">
      <c r="A363" s="16" t="str">
        <f t="shared" si="27"/>
        <v>49</v>
      </c>
      <c r="B363" s="19">
        <v>70979</v>
      </c>
      <c r="C363" s="16" t="str">
        <f t="shared" si="28"/>
        <v>0000000</v>
      </c>
      <c r="D363" s="17" t="s">
        <v>3663</v>
      </c>
      <c r="E363" s="16" t="s">
        <v>3142</v>
      </c>
      <c r="F363" s="16" t="s">
        <v>3052</v>
      </c>
      <c r="G363" s="35" t="s">
        <v>3143</v>
      </c>
      <c r="H363" s="39">
        <v>128.11000000000001</v>
      </c>
      <c r="I363" s="39">
        <v>114.49</v>
      </c>
      <c r="J363" s="39">
        <v>120.17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0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128.11000000000001</v>
      </c>
      <c r="AJ363" s="39">
        <v>114.49</v>
      </c>
      <c r="AK363" s="39">
        <v>120.17</v>
      </c>
      <c r="AL363" s="39">
        <v>0</v>
      </c>
      <c r="AM363" s="39">
        <v>0</v>
      </c>
      <c r="AN363" s="39">
        <v>0</v>
      </c>
      <c r="AO363" s="39">
        <v>128.11000000000001</v>
      </c>
      <c r="AP363" s="39">
        <v>114.49</v>
      </c>
      <c r="AQ363" s="39">
        <v>120.17</v>
      </c>
      <c r="AR363" s="39">
        <v>128.11000000000001</v>
      </c>
    </row>
    <row r="364" spans="1:44" x14ac:dyDescent="0.35">
      <c r="A364" s="16" t="str">
        <f t="shared" si="27"/>
        <v>49</v>
      </c>
      <c r="B364" s="19">
        <v>75358</v>
      </c>
      <c r="C364" s="16" t="str">
        <f t="shared" si="28"/>
        <v>0000000</v>
      </c>
      <c r="D364" s="17" t="s">
        <v>3663</v>
      </c>
      <c r="E364" s="16" t="s">
        <v>3156</v>
      </c>
      <c r="F364" s="16" t="s">
        <v>3052</v>
      </c>
      <c r="G364" s="35" t="s">
        <v>3157</v>
      </c>
      <c r="H364" s="39">
        <v>3414.52</v>
      </c>
      <c r="I364" s="39">
        <v>3285.63</v>
      </c>
      <c r="J364" s="39">
        <v>3189.14</v>
      </c>
      <c r="K364" s="39">
        <v>0</v>
      </c>
      <c r="L364" s="39">
        <v>0</v>
      </c>
      <c r="M364" s="39">
        <v>0</v>
      </c>
      <c r="N364" s="39">
        <v>0</v>
      </c>
      <c r="O364" s="39">
        <v>0</v>
      </c>
      <c r="P364" s="39">
        <v>0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0</v>
      </c>
      <c r="AA364" s="39">
        <v>0</v>
      </c>
      <c r="AB364" s="39">
        <v>0</v>
      </c>
      <c r="AC364" s="39">
        <v>1124.4100000000001</v>
      </c>
      <c r="AD364" s="39">
        <v>1116.6400000000001</v>
      </c>
      <c r="AE364" s="39">
        <v>1118.7</v>
      </c>
      <c r="AF364" s="39">
        <v>0</v>
      </c>
      <c r="AG364" s="39">
        <v>0</v>
      </c>
      <c r="AH364" s="39">
        <v>0</v>
      </c>
      <c r="AI364" s="39">
        <v>4538.93</v>
      </c>
      <c r="AJ364" s="39">
        <v>4402.2700000000004</v>
      </c>
      <c r="AK364" s="39">
        <v>4307.84</v>
      </c>
      <c r="AL364" s="39">
        <v>0</v>
      </c>
      <c r="AM364" s="39">
        <v>0</v>
      </c>
      <c r="AN364" s="39">
        <v>0</v>
      </c>
      <c r="AO364" s="39">
        <v>4538.93</v>
      </c>
      <c r="AP364" s="39">
        <v>4402.2700000000004</v>
      </c>
      <c r="AQ364" s="39">
        <v>4307.84</v>
      </c>
      <c r="AR364" s="39">
        <v>4538.93</v>
      </c>
    </row>
    <row r="365" spans="1:44" x14ac:dyDescent="0.35">
      <c r="A365" s="16" t="str">
        <f t="shared" si="27"/>
        <v>49</v>
      </c>
      <c r="B365" s="19">
        <v>75390</v>
      </c>
      <c r="C365" s="16" t="str">
        <f t="shared" si="28"/>
        <v>0000000</v>
      </c>
      <c r="D365" s="17" t="s">
        <v>3663</v>
      </c>
      <c r="E365" s="16" t="s">
        <v>3158</v>
      </c>
      <c r="F365" s="16" t="s">
        <v>3052</v>
      </c>
      <c r="G365" s="35" t="s">
        <v>3159</v>
      </c>
      <c r="H365" s="39">
        <v>1166.3900000000001</v>
      </c>
      <c r="I365" s="39">
        <v>1127.3499999999999</v>
      </c>
      <c r="J365" s="39">
        <v>1135.58</v>
      </c>
      <c r="K365" s="39">
        <v>0</v>
      </c>
      <c r="L365" s="39">
        <v>0</v>
      </c>
      <c r="M365" s="39">
        <v>0</v>
      </c>
      <c r="N365" s="39">
        <v>0</v>
      </c>
      <c r="O365" s="39">
        <v>0</v>
      </c>
      <c r="P365" s="39">
        <v>0</v>
      </c>
      <c r="Q365" s="39">
        <v>0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0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1166.3900000000001</v>
      </c>
      <c r="AJ365" s="39">
        <v>1127.3499999999999</v>
      </c>
      <c r="AK365" s="39">
        <v>1135.58</v>
      </c>
      <c r="AL365" s="39">
        <v>0</v>
      </c>
      <c r="AM365" s="39">
        <v>0</v>
      </c>
      <c r="AN365" s="39">
        <v>0</v>
      </c>
      <c r="AO365" s="39">
        <v>1166.3900000000001</v>
      </c>
      <c r="AP365" s="39">
        <v>1127.3499999999999</v>
      </c>
      <c r="AQ365" s="39">
        <v>1135.58</v>
      </c>
      <c r="AR365" s="39">
        <v>1166.3900000000001</v>
      </c>
    </row>
    <row r="366" spans="1:44" x14ac:dyDescent="0.35">
      <c r="A366" s="16" t="str">
        <f t="shared" si="27"/>
        <v>49</v>
      </c>
      <c r="B366" s="19">
        <v>70888</v>
      </c>
      <c r="C366" s="16" t="str">
        <f t="shared" si="28"/>
        <v>0000000</v>
      </c>
      <c r="D366" s="17" t="s">
        <v>3663</v>
      </c>
      <c r="E366" s="16" t="s">
        <v>3115</v>
      </c>
      <c r="F366" s="16" t="s">
        <v>3052</v>
      </c>
      <c r="G366" s="35" t="s">
        <v>3116</v>
      </c>
      <c r="H366" s="39">
        <v>6.45</v>
      </c>
      <c r="I366" s="39">
        <v>6.09</v>
      </c>
      <c r="J366" s="39">
        <v>6.99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0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0</v>
      </c>
      <c r="AI366" s="39">
        <v>6.45</v>
      </c>
      <c r="AJ366" s="39">
        <v>6.09</v>
      </c>
      <c r="AK366" s="39">
        <v>6.99</v>
      </c>
      <c r="AL366" s="39">
        <v>0</v>
      </c>
      <c r="AM366" s="39">
        <v>0</v>
      </c>
      <c r="AN366" s="39">
        <v>0</v>
      </c>
      <c r="AO366" s="39">
        <v>6.45</v>
      </c>
      <c r="AP366" s="39">
        <v>6.09</v>
      </c>
      <c r="AQ366" s="39">
        <v>6.99</v>
      </c>
      <c r="AR366" s="39">
        <v>6.99</v>
      </c>
    </row>
    <row r="367" spans="1:44" x14ac:dyDescent="0.35">
      <c r="A367" s="16" t="str">
        <f t="shared" si="27"/>
        <v>49</v>
      </c>
      <c r="B367" s="19">
        <v>70797</v>
      </c>
      <c r="C367" s="16" t="str">
        <f>TEXT(139568,"0000000")</f>
        <v>0139568</v>
      </c>
      <c r="D367" s="19">
        <v>2071</v>
      </c>
      <c r="E367" s="16" t="s">
        <v>3093</v>
      </c>
      <c r="F367" s="16" t="s">
        <v>3052</v>
      </c>
      <c r="G367" s="35" t="s">
        <v>3094</v>
      </c>
      <c r="H367" s="39">
        <v>0</v>
      </c>
      <c r="I367" s="39">
        <v>0</v>
      </c>
      <c r="J367" s="39">
        <v>0</v>
      </c>
      <c r="K367" s="39">
        <v>0</v>
      </c>
      <c r="L367" s="39">
        <v>0</v>
      </c>
      <c r="M367" s="39">
        <v>0</v>
      </c>
      <c r="N367" s="39">
        <v>0</v>
      </c>
      <c r="O367" s="39">
        <v>0</v>
      </c>
      <c r="P367" s="39">
        <v>0</v>
      </c>
      <c r="Q367" s="39">
        <v>0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0</v>
      </c>
      <c r="AA367" s="39">
        <v>0</v>
      </c>
      <c r="AB367" s="39">
        <v>0</v>
      </c>
      <c r="AC367" s="39">
        <v>694.98</v>
      </c>
      <c r="AD367" s="39">
        <v>582.66999999999996</v>
      </c>
      <c r="AE367" s="39">
        <v>515.08000000000004</v>
      </c>
      <c r="AF367" s="39">
        <v>0</v>
      </c>
      <c r="AG367" s="39">
        <v>0</v>
      </c>
      <c r="AH367" s="39">
        <v>0</v>
      </c>
      <c r="AI367" s="39">
        <v>694.98</v>
      </c>
      <c r="AJ367" s="39">
        <v>582.66999999999996</v>
      </c>
      <c r="AK367" s="39">
        <v>515.08000000000004</v>
      </c>
      <c r="AL367" s="39">
        <v>0</v>
      </c>
      <c r="AM367" s="39">
        <v>0</v>
      </c>
      <c r="AN367" s="39">
        <v>0</v>
      </c>
      <c r="AO367" s="39">
        <v>694.98</v>
      </c>
      <c r="AP367" s="39">
        <v>582.66999999999996</v>
      </c>
      <c r="AQ367" s="39">
        <v>515.08000000000004</v>
      </c>
      <c r="AR367" s="39">
        <v>694.98</v>
      </c>
    </row>
    <row r="368" spans="1:44" x14ac:dyDescent="0.35">
      <c r="A368" s="16" t="str">
        <f t="shared" si="27"/>
        <v>49</v>
      </c>
      <c r="B368" s="19">
        <v>70730</v>
      </c>
      <c r="C368" s="16" t="str">
        <f>TEXT(6120588,"0000000")</f>
        <v>6120588</v>
      </c>
      <c r="D368" s="17" t="s">
        <v>3083</v>
      </c>
      <c r="E368" s="16" t="s">
        <v>3081</v>
      </c>
      <c r="F368" s="16" t="s">
        <v>3052</v>
      </c>
      <c r="G368" s="35" t="s">
        <v>3082</v>
      </c>
      <c r="H368" s="39">
        <v>0</v>
      </c>
      <c r="I368" s="39">
        <v>0</v>
      </c>
      <c r="J368" s="39">
        <v>0</v>
      </c>
      <c r="K368" s="39">
        <v>0</v>
      </c>
      <c r="L368" s="39">
        <v>0</v>
      </c>
      <c r="M368" s="39">
        <v>0</v>
      </c>
      <c r="N368" s="39">
        <v>0</v>
      </c>
      <c r="O368" s="39">
        <v>0</v>
      </c>
      <c r="P368" s="39">
        <v>0</v>
      </c>
      <c r="Q368" s="39">
        <v>0</v>
      </c>
      <c r="R368" s="39">
        <v>0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0</v>
      </c>
      <c r="AA368" s="39">
        <v>0</v>
      </c>
      <c r="AB368" s="39">
        <v>0</v>
      </c>
      <c r="AC368" s="39">
        <v>341.98</v>
      </c>
      <c r="AD368" s="39">
        <v>315.60000000000002</v>
      </c>
      <c r="AE368" s="39">
        <v>312.70999999999998</v>
      </c>
      <c r="AF368" s="39">
        <v>0</v>
      </c>
      <c r="AG368" s="39">
        <v>0</v>
      </c>
      <c r="AH368" s="39">
        <v>0</v>
      </c>
      <c r="AI368" s="39">
        <v>341.98</v>
      </c>
      <c r="AJ368" s="39">
        <v>315.60000000000002</v>
      </c>
      <c r="AK368" s="39">
        <v>312.70999999999998</v>
      </c>
      <c r="AL368" s="39">
        <v>0</v>
      </c>
      <c r="AM368" s="39">
        <v>0</v>
      </c>
      <c r="AN368" s="39">
        <v>0</v>
      </c>
      <c r="AO368" s="39">
        <v>341.98</v>
      </c>
      <c r="AP368" s="39">
        <v>315.60000000000002</v>
      </c>
      <c r="AQ368" s="39">
        <v>312.70999999999998</v>
      </c>
      <c r="AR368" s="39">
        <v>341.98</v>
      </c>
    </row>
    <row r="369" spans="1:44" x14ac:dyDescent="0.35">
      <c r="A369" s="16" t="str">
        <f t="shared" si="27"/>
        <v>49</v>
      </c>
      <c r="B369" s="19">
        <v>70797</v>
      </c>
      <c r="C369" s="16" t="str">
        <f>TEXT(107284,"0000000")</f>
        <v>0107284</v>
      </c>
      <c r="D369" s="17" t="s">
        <v>3092</v>
      </c>
      <c r="E369" s="16" t="s">
        <v>3090</v>
      </c>
      <c r="F369" s="16" t="s">
        <v>3052</v>
      </c>
      <c r="G369" s="35" t="s">
        <v>3091</v>
      </c>
      <c r="H369" s="39">
        <v>0</v>
      </c>
      <c r="I369" s="39">
        <v>0</v>
      </c>
      <c r="J369" s="39">
        <v>0</v>
      </c>
      <c r="K369" s="39">
        <v>0</v>
      </c>
      <c r="L369" s="39">
        <v>0</v>
      </c>
      <c r="M369" s="39">
        <v>0</v>
      </c>
      <c r="N369" s="39">
        <v>0</v>
      </c>
      <c r="O369" s="39">
        <v>0</v>
      </c>
      <c r="P369" s="39">
        <v>0</v>
      </c>
      <c r="Q369" s="39">
        <v>0</v>
      </c>
      <c r="R369" s="39">
        <v>0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0</v>
      </c>
      <c r="AA369" s="39">
        <v>0</v>
      </c>
      <c r="AB369" s="39">
        <v>0</v>
      </c>
      <c r="AC369" s="39">
        <v>952.11</v>
      </c>
      <c r="AD369" s="39">
        <v>844.65</v>
      </c>
      <c r="AE369" s="39">
        <v>799.27</v>
      </c>
      <c r="AF369" s="39">
        <v>0</v>
      </c>
      <c r="AG369" s="39">
        <v>0</v>
      </c>
      <c r="AH369" s="39">
        <v>0</v>
      </c>
      <c r="AI369" s="39">
        <v>952.11</v>
      </c>
      <c r="AJ369" s="39">
        <v>844.65</v>
      </c>
      <c r="AK369" s="39">
        <v>799.27</v>
      </c>
      <c r="AL369" s="39">
        <v>0</v>
      </c>
      <c r="AM369" s="39">
        <v>0</v>
      </c>
      <c r="AN369" s="39">
        <v>0</v>
      </c>
      <c r="AO369" s="39">
        <v>952.11</v>
      </c>
      <c r="AP369" s="39">
        <v>844.65</v>
      </c>
      <c r="AQ369" s="39">
        <v>799.27</v>
      </c>
      <c r="AR369" s="39">
        <v>952.11</v>
      </c>
    </row>
    <row r="370" spans="1:44" x14ac:dyDescent="0.35">
      <c r="A370" s="16" t="str">
        <f t="shared" si="27"/>
        <v>49</v>
      </c>
      <c r="B370" s="19">
        <v>70938</v>
      </c>
      <c r="C370" s="16" t="str">
        <f>TEXT(6113039,"0000000")</f>
        <v>6113039</v>
      </c>
      <c r="D370" s="17" t="s">
        <v>3131</v>
      </c>
      <c r="E370" s="16" t="s">
        <v>3129</v>
      </c>
      <c r="F370" s="16" t="s">
        <v>3052</v>
      </c>
      <c r="G370" s="35" t="s">
        <v>3130</v>
      </c>
      <c r="H370" s="39">
        <v>0</v>
      </c>
      <c r="I370" s="39">
        <v>0</v>
      </c>
      <c r="J370" s="39">
        <v>0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>
        <v>0</v>
      </c>
      <c r="Q370" s="39">
        <v>0</v>
      </c>
      <c r="R370" s="39">
        <v>0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0</v>
      </c>
      <c r="AA370" s="39">
        <v>0</v>
      </c>
      <c r="AB370" s="39">
        <v>0</v>
      </c>
      <c r="AC370" s="39">
        <v>274.14</v>
      </c>
      <c r="AD370" s="39">
        <v>270.77</v>
      </c>
      <c r="AE370" s="39">
        <v>249.92</v>
      </c>
      <c r="AF370" s="39">
        <v>0</v>
      </c>
      <c r="AG370" s="39">
        <v>0</v>
      </c>
      <c r="AH370" s="39">
        <v>0</v>
      </c>
      <c r="AI370" s="39">
        <v>274.14</v>
      </c>
      <c r="AJ370" s="39">
        <v>270.77</v>
      </c>
      <c r="AK370" s="39">
        <v>249.92</v>
      </c>
      <c r="AL370" s="39">
        <v>0</v>
      </c>
      <c r="AM370" s="39">
        <v>0</v>
      </c>
      <c r="AN370" s="39">
        <v>0</v>
      </c>
      <c r="AO370" s="39">
        <v>274.14</v>
      </c>
      <c r="AP370" s="39">
        <v>270.77</v>
      </c>
      <c r="AQ370" s="39">
        <v>249.92</v>
      </c>
      <c r="AR370" s="39">
        <v>274.14</v>
      </c>
    </row>
    <row r="371" spans="1:44" x14ac:dyDescent="0.35">
      <c r="A371" s="16" t="str">
        <f>TEXT(46,"00")</f>
        <v>46</v>
      </c>
      <c r="B371" s="19">
        <v>10462</v>
      </c>
      <c r="C371" s="16" t="str">
        <f t="shared" ref="C371:C397" si="29">TEXT(,"0000000")</f>
        <v>0000000</v>
      </c>
      <c r="D371" s="17" t="s">
        <v>3663</v>
      </c>
      <c r="E371" s="16" t="s">
        <v>2959</v>
      </c>
      <c r="F371" s="16" t="s">
        <v>2960</v>
      </c>
      <c r="G371" s="35" t="s">
        <v>2960</v>
      </c>
      <c r="H371" s="39">
        <v>0</v>
      </c>
      <c r="I371" s="39">
        <v>0</v>
      </c>
      <c r="J371" s="39">
        <v>0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>
        <v>0</v>
      </c>
      <c r="Q371" s="39">
        <v>0</v>
      </c>
      <c r="R371" s="39">
        <v>0</v>
      </c>
      <c r="S371" s="39">
        <v>0</v>
      </c>
      <c r="T371" s="39">
        <v>0</v>
      </c>
      <c r="U371" s="39">
        <v>0</v>
      </c>
      <c r="V371" s="39">
        <v>0</v>
      </c>
      <c r="W371" s="39">
        <v>17.350000000000001</v>
      </c>
      <c r="X371" s="39">
        <v>14.11</v>
      </c>
      <c r="Y371" s="39">
        <v>13.67</v>
      </c>
      <c r="Z371" s="39">
        <v>0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0</v>
      </c>
      <c r="AI371" s="39">
        <v>17.350000000000001</v>
      </c>
      <c r="AJ371" s="39">
        <v>14.11</v>
      </c>
      <c r="AK371" s="39">
        <v>13.67</v>
      </c>
      <c r="AL371" s="39">
        <v>0</v>
      </c>
      <c r="AM371" s="39">
        <v>0</v>
      </c>
      <c r="AN371" s="39">
        <v>0</v>
      </c>
      <c r="AO371" s="39">
        <v>17.350000000000001</v>
      </c>
      <c r="AP371" s="39">
        <v>14.11</v>
      </c>
      <c r="AQ371" s="39">
        <v>13.67</v>
      </c>
      <c r="AR371" s="39">
        <v>17.350000000000001</v>
      </c>
    </row>
    <row r="372" spans="1:44" x14ac:dyDescent="0.35">
      <c r="A372" s="16" t="str">
        <f>TEXT(46,"00")</f>
        <v>46</v>
      </c>
      <c r="B372" s="19">
        <v>70177</v>
      </c>
      <c r="C372" s="16" t="str">
        <f t="shared" si="29"/>
        <v>0000000</v>
      </c>
      <c r="D372" s="17" t="s">
        <v>3663</v>
      </c>
      <c r="E372" s="16" t="s">
        <v>2961</v>
      </c>
      <c r="F372" s="16" t="s">
        <v>2960</v>
      </c>
      <c r="G372" s="35" t="s">
        <v>2962</v>
      </c>
      <c r="H372" s="39">
        <v>378.46</v>
      </c>
      <c r="I372" s="39">
        <v>356.14</v>
      </c>
      <c r="J372" s="39">
        <v>351.2</v>
      </c>
      <c r="K372" s="39">
        <v>0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0</v>
      </c>
      <c r="AI372" s="39">
        <v>378.46</v>
      </c>
      <c r="AJ372" s="39">
        <v>356.14</v>
      </c>
      <c r="AK372" s="39">
        <v>351.2</v>
      </c>
      <c r="AL372" s="39">
        <v>0</v>
      </c>
      <c r="AM372" s="39">
        <v>0</v>
      </c>
      <c r="AN372" s="39">
        <v>0</v>
      </c>
      <c r="AO372" s="39">
        <v>378.46</v>
      </c>
      <c r="AP372" s="39">
        <v>356.14</v>
      </c>
      <c r="AQ372" s="39">
        <v>351.2</v>
      </c>
      <c r="AR372" s="39">
        <v>378.46</v>
      </c>
    </row>
    <row r="373" spans="1:44" x14ac:dyDescent="0.35">
      <c r="A373" s="16" t="str">
        <f t="shared" ref="A373:A390" si="30">TEXT(7,"00")</f>
        <v>07</v>
      </c>
      <c r="B373" s="19">
        <v>61697</v>
      </c>
      <c r="C373" s="16" t="str">
        <f t="shared" si="29"/>
        <v>0000000</v>
      </c>
      <c r="D373" s="17" t="s">
        <v>3663</v>
      </c>
      <c r="E373" s="16" t="s">
        <v>255</v>
      </c>
      <c r="F373" s="16" t="s">
        <v>256</v>
      </c>
      <c r="G373" s="35" t="s">
        <v>256</v>
      </c>
      <c r="H373" s="39">
        <v>1097.27</v>
      </c>
      <c r="I373" s="39">
        <v>1112.43</v>
      </c>
      <c r="J373" s="39">
        <v>1099.4100000000001</v>
      </c>
      <c r="K373" s="39">
        <v>0</v>
      </c>
      <c r="L373" s="39">
        <v>0</v>
      </c>
      <c r="M373" s="39">
        <v>0</v>
      </c>
      <c r="N373" s="39">
        <v>0</v>
      </c>
      <c r="O373" s="39">
        <v>0</v>
      </c>
      <c r="P373" s="39">
        <v>0</v>
      </c>
      <c r="Q373" s="39">
        <v>0</v>
      </c>
      <c r="R373" s="39">
        <v>0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0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0</v>
      </c>
      <c r="AI373" s="39">
        <v>1097.27</v>
      </c>
      <c r="AJ373" s="39">
        <v>1112.43</v>
      </c>
      <c r="AK373" s="39">
        <v>1099.4100000000001</v>
      </c>
      <c r="AL373" s="39">
        <v>0</v>
      </c>
      <c r="AM373" s="39">
        <v>0</v>
      </c>
      <c r="AN373" s="39">
        <v>0</v>
      </c>
      <c r="AO373" s="39">
        <v>1097.27</v>
      </c>
      <c r="AP373" s="39">
        <v>1112.43</v>
      </c>
      <c r="AQ373" s="39">
        <v>1099.4100000000001</v>
      </c>
      <c r="AR373" s="39">
        <v>1112.43</v>
      </c>
    </row>
    <row r="374" spans="1:44" x14ac:dyDescent="0.35">
      <c r="A374" s="16" t="str">
        <f t="shared" si="30"/>
        <v>07</v>
      </c>
      <c r="B374" s="19">
        <v>61655</v>
      </c>
      <c r="C374" s="16" t="str">
        <f t="shared" si="29"/>
        <v>0000000</v>
      </c>
      <c r="D374" s="17" t="s">
        <v>3663</v>
      </c>
      <c r="E374" s="16" t="s">
        <v>287</v>
      </c>
      <c r="F374" s="16" t="s">
        <v>256</v>
      </c>
      <c r="G374" s="35" t="s">
        <v>288</v>
      </c>
      <c r="H374" s="39">
        <v>9546.7099999999991</v>
      </c>
      <c r="I374" s="39">
        <v>9282.66</v>
      </c>
      <c r="J374" s="39">
        <v>8865.7000000000007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0</v>
      </c>
      <c r="Q374" s="39">
        <v>0</v>
      </c>
      <c r="R374" s="39">
        <v>0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0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0</v>
      </c>
      <c r="AI374" s="39">
        <v>9546.7099999999991</v>
      </c>
      <c r="AJ374" s="39">
        <v>9282.66</v>
      </c>
      <c r="AK374" s="39">
        <v>8865.7000000000007</v>
      </c>
      <c r="AL374" s="39">
        <v>0</v>
      </c>
      <c r="AM374" s="39">
        <v>0</v>
      </c>
      <c r="AN374" s="39">
        <v>0</v>
      </c>
      <c r="AO374" s="39">
        <v>9546.7099999999991</v>
      </c>
      <c r="AP374" s="39">
        <v>9282.66</v>
      </c>
      <c r="AQ374" s="39">
        <v>8865.7000000000007</v>
      </c>
      <c r="AR374" s="39">
        <v>9546.7099999999991</v>
      </c>
    </row>
    <row r="375" spans="1:44" x14ac:dyDescent="0.35">
      <c r="A375" s="16" t="str">
        <f t="shared" si="30"/>
        <v>07</v>
      </c>
      <c r="B375" s="19">
        <v>61705</v>
      </c>
      <c r="C375" s="16" t="str">
        <f t="shared" si="29"/>
        <v>0000000</v>
      </c>
      <c r="D375" s="17" t="s">
        <v>3663</v>
      </c>
      <c r="E375" s="16" t="s">
        <v>295</v>
      </c>
      <c r="F375" s="16" t="s">
        <v>256</v>
      </c>
      <c r="G375" s="35" t="s">
        <v>296</v>
      </c>
      <c r="H375" s="39">
        <v>616.11</v>
      </c>
      <c r="I375" s="39">
        <v>561.88</v>
      </c>
      <c r="J375" s="39">
        <v>540.34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>
        <v>0</v>
      </c>
      <c r="Q375" s="39">
        <v>0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0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0</v>
      </c>
      <c r="AI375" s="39">
        <v>616.11</v>
      </c>
      <c r="AJ375" s="39">
        <v>561.88</v>
      </c>
      <c r="AK375" s="39">
        <v>540.34</v>
      </c>
      <c r="AL375" s="39">
        <v>0</v>
      </c>
      <c r="AM375" s="39">
        <v>0</v>
      </c>
      <c r="AN375" s="39">
        <v>0</v>
      </c>
      <c r="AO375" s="39">
        <v>616.11</v>
      </c>
      <c r="AP375" s="39">
        <v>561.88</v>
      </c>
      <c r="AQ375" s="39">
        <v>540.34</v>
      </c>
      <c r="AR375" s="39">
        <v>616.11</v>
      </c>
    </row>
    <row r="376" spans="1:44" x14ac:dyDescent="0.35">
      <c r="A376" s="16" t="str">
        <f t="shared" si="30"/>
        <v>07</v>
      </c>
      <c r="B376" s="19">
        <v>61713</v>
      </c>
      <c r="C376" s="16" t="str">
        <f t="shared" si="29"/>
        <v>0000000</v>
      </c>
      <c r="D376" s="17" t="s">
        <v>3663</v>
      </c>
      <c r="E376" s="16" t="s">
        <v>297</v>
      </c>
      <c r="F376" s="16" t="s">
        <v>256</v>
      </c>
      <c r="G376" s="35" t="s">
        <v>298</v>
      </c>
      <c r="H376" s="39">
        <v>3129.14</v>
      </c>
      <c r="I376" s="39">
        <v>3097.65</v>
      </c>
      <c r="J376" s="39">
        <v>3055.45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3129.14</v>
      </c>
      <c r="AJ376" s="39">
        <v>3097.65</v>
      </c>
      <c r="AK376" s="39">
        <v>3055.45</v>
      </c>
      <c r="AL376" s="39">
        <v>0</v>
      </c>
      <c r="AM376" s="39">
        <v>0</v>
      </c>
      <c r="AN376" s="39">
        <v>0</v>
      </c>
      <c r="AO376" s="39">
        <v>3129.14</v>
      </c>
      <c r="AP376" s="39">
        <v>3097.65</v>
      </c>
      <c r="AQ376" s="39">
        <v>3055.45</v>
      </c>
      <c r="AR376" s="39">
        <v>3129.14</v>
      </c>
    </row>
    <row r="377" spans="1:44" x14ac:dyDescent="0.35">
      <c r="A377" s="16" t="str">
        <f t="shared" si="30"/>
        <v>07</v>
      </c>
      <c r="B377" s="19">
        <v>61747</v>
      </c>
      <c r="C377" s="16" t="str">
        <f t="shared" si="29"/>
        <v>0000000</v>
      </c>
      <c r="D377" s="17" t="s">
        <v>3663</v>
      </c>
      <c r="E377" s="16" t="s">
        <v>303</v>
      </c>
      <c r="F377" s="16" t="s">
        <v>256</v>
      </c>
      <c r="G377" s="35" t="s">
        <v>304</v>
      </c>
      <c r="H377" s="39">
        <v>1759.88</v>
      </c>
      <c r="I377" s="39">
        <v>1730.67</v>
      </c>
      <c r="J377" s="39">
        <v>1680.68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>
        <v>0</v>
      </c>
      <c r="Q377" s="39">
        <v>0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0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0</v>
      </c>
      <c r="AI377" s="39">
        <v>1759.88</v>
      </c>
      <c r="AJ377" s="39">
        <v>1730.67</v>
      </c>
      <c r="AK377" s="39">
        <v>1680.68</v>
      </c>
      <c r="AL377" s="39">
        <v>0</v>
      </c>
      <c r="AM377" s="39">
        <v>0</v>
      </c>
      <c r="AN377" s="39">
        <v>0</v>
      </c>
      <c r="AO377" s="39">
        <v>1759.88</v>
      </c>
      <c r="AP377" s="39">
        <v>1730.67</v>
      </c>
      <c r="AQ377" s="39">
        <v>1680.68</v>
      </c>
      <c r="AR377" s="39">
        <v>1759.88</v>
      </c>
    </row>
    <row r="378" spans="1:44" x14ac:dyDescent="0.35">
      <c r="A378" s="16" t="str">
        <f t="shared" si="30"/>
        <v>07</v>
      </c>
      <c r="B378" s="19">
        <v>61762</v>
      </c>
      <c r="C378" s="16" t="str">
        <f t="shared" si="29"/>
        <v>0000000</v>
      </c>
      <c r="D378" s="17" t="s">
        <v>3663</v>
      </c>
      <c r="E378" s="16" t="s">
        <v>309</v>
      </c>
      <c r="F378" s="16" t="s">
        <v>256</v>
      </c>
      <c r="G378" s="35" t="s">
        <v>310</v>
      </c>
      <c r="H378" s="39">
        <v>4792.09</v>
      </c>
      <c r="I378" s="39">
        <v>4801.21</v>
      </c>
      <c r="J378" s="39">
        <v>4662.37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0</v>
      </c>
      <c r="AI378" s="39">
        <v>4792.09</v>
      </c>
      <c r="AJ378" s="39">
        <v>4801.21</v>
      </c>
      <c r="AK378" s="39">
        <v>4662.37</v>
      </c>
      <c r="AL378" s="39">
        <v>0</v>
      </c>
      <c r="AM378" s="39">
        <v>0</v>
      </c>
      <c r="AN378" s="39">
        <v>0</v>
      </c>
      <c r="AO378" s="39">
        <v>4792.09</v>
      </c>
      <c r="AP378" s="39">
        <v>4801.21</v>
      </c>
      <c r="AQ378" s="39">
        <v>4662.37</v>
      </c>
      <c r="AR378" s="39">
        <v>4801.21</v>
      </c>
    </row>
    <row r="379" spans="1:44" x14ac:dyDescent="0.35">
      <c r="A379" s="16" t="str">
        <f t="shared" si="30"/>
        <v>07</v>
      </c>
      <c r="B379" s="19">
        <v>61770</v>
      </c>
      <c r="C379" s="16" t="str">
        <f t="shared" si="29"/>
        <v>0000000</v>
      </c>
      <c r="D379" s="17" t="s">
        <v>3663</v>
      </c>
      <c r="E379" s="16" t="s">
        <v>311</v>
      </c>
      <c r="F379" s="16" t="s">
        <v>256</v>
      </c>
      <c r="G379" s="35" t="s">
        <v>312</v>
      </c>
      <c r="H379" s="39">
        <v>2495.61</v>
      </c>
      <c r="I379" s="39">
        <v>2471.4499999999998</v>
      </c>
      <c r="J379" s="39">
        <v>2411.21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0</v>
      </c>
      <c r="AI379" s="39">
        <v>2495.61</v>
      </c>
      <c r="AJ379" s="39">
        <v>2471.4499999999998</v>
      </c>
      <c r="AK379" s="39">
        <v>2411.21</v>
      </c>
      <c r="AL379" s="39">
        <v>0</v>
      </c>
      <c r="AM379" s="39">
        <v>0</v>
      </c>
      <c r="AN379" s="39">
        <v>0</v>
      </c>
      <c r="AO379" s="39">
        <v>2495.61</v>
      </c>
      <c r="AP379" s="39">
        <v>2471.4499999999998</v>
      </c>
      <c r="AQ379" s="39">
        <v>2411.21</v>
      </c>
      <c r="AR379" s="39">
        <v>2495.61</v>
      </c>
    </row>
    <row r="380" spans="1:44" x14ac:dyDescent="0.35">
      <c r="A380" s="16" t="str">
        <f t="shared" si="30"/>
        <v>07</v>
      </c>
      <c r="B380" s="19">
        <v>61812</v>
      </c>
      <c r="C380" s="16" t="str">
        <f t="shared" si="29"/>
        <v>0000000</v>
      </c>
      <c r="D380" s="17" t="s">
        <v>3663</v>
      </c>
      <c r="E380" s="16" t="s">
        <v>334</v>
      </c>
      <c r="F380" s="16" t="s">
        <v>256</v>
      </c>
      <c r="G380" s="35" t="s">
        <v>335</v>
      </c>
      <c r="H380" s="39">
        <v>3456.14</v>
      </c>
      <c r="I380" s="39">
        <v>3402.51</v>
      </c>
      <c r="J380" s="39">
        <v>3259.7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0</v>
      </c>
      <c r="AI380" s="39">
        <v>3456.14</v>
      </c>
      <c r="AJ380" s="39">
        <v>3402.51</v>
      </c>
      <c r="AK380" s="39">
        <v>3259.7</v>
      </c>
      <c r="AL380" s="39">
        <v>0</v>
      </c>
      <c r="AM380" s="39">
        <v>0</v>
      </c>
      <c r="AN380" s="39">
        <v>0</v>
      </c>
      <c r="AO380" s="39">
        <v>3456.14</v>
      </c>
      <c r="AP380" s="39">
        <v>3402.51</v>
      </c>
      <c r="AQ380" s="39">
        <v>3259.7</v>
      </c>
      <c r="AR380" s="39">
        <v>3456.14</v>
      </c>
    </row>
    <row r="381" spans="1:44" x14ac:dyDescent="0.35">
      <c r="A381" s="16" t="str">
        <f t="shared" si="30"/>
        <v>07</v>
      </c>
      <c r="B381" s="19">
        <v>61721</v>
      </c>
      <c r="C381" s="16" t="str">
        <f t="shared" si="29"/>
        <v>0000000</v>
      </c>
      <c r="D381" s="17" t="s">
        <v>3663</v>
      </c>
      <c r="E381" s="16" t="s">
        <v>299</v>
      </c>
      <c r="F381" s="16" t="s">
        <v>256</v>
      </c>
      <c r="G381" s="35" t="s">
        <v>300</v>
      </c>
      <c r="H381" s="39">
        <v>7606.36</v>
      </c>
      <c r="I381" s="39">
        <v>7616.83</v>
      </c>
      <c r="J381" s="39">
        <v>7576.22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0</v>
      </c>
      <c r="AI381" s="39">
        <v>7606.36</v>
      </c>
      <c r="AJ381" s="39">
        <v>7616.83</v>
      </c>
      <c r="AK381" s="39">
        <v>7576.22</v>
      </c>
      <c r="AL381" s="39">
        <v>0</v>
      </c>
      <c r="AM381" s="39">
        <v>0</v>
      </c>
      <c r="AN381" s="39">
        <v>0</v>
      </c>
      <c r="AO381" s="39">
        <v>7606.36</v>
      </c>
      <c r="AP381" s="39">
        <v>7616.83</v>
      </c>
      <c r="AQ381" s="39">
        <v>7576.22</v>
      </c>
      <c r="AR381" s="39">
        <v>7616.83</v>
      </c>
    </row>
    <row r="382" spans="1:44" x14ac:dyDescent="0.35">
      <c r="A382" s="16" t="str">
        <f t="shared" si="30"/>
        <v>07</v>
      </c>
      <c r="B382" s="19">
        <v>61648</v>
      </c>
      <c r="C382" s="16" t="str">
        <f t="shared" si="29"/>
        <v>0000000</v>
      </c>
      <c r="D382" s="17" t="s">
        <v>3663</v>
      </c>
      <c r="E382" s="16" t="s">
        <v>277</v>
      </c>
      <c r="F382" s="16" t="s">
        <v>256</v>
      </c>
      <c r="G382" s="35" t="s">
        <v>278</v>
      </c>
      <c r="H382" s="39">
        <v>13797.13</v>
      </c>
      <c r="I382" s="39">
        <v>13637.86</v>
      </c>
      <c r="J382" s="39">
        <v>13625.13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0</v>
      </c>
      <c r="AI382" s="39">
        <v>13797.13</v>
      </c>
      <c r="AJ382" s="39">
        <v>13637.86</v>
      </c>
      <c r="AK382" s="39">
        <v>13625.13</v>
      </c>
      <c r="AL382" s="39">
        <v>0</v>
      </c>
      <c r="AM382" s="39">
        <v>0</v>
      </c>
      <c r="AN382" s="39">
        <v>0</v>
      </c>
      <c r="AO382" s="39">
        <v>13797.13</v>
      </c>
      <c r="AP382" s="39">
        <v>13637.86</v>
      </c>
      <c r="AQ382" s="39">
        <v>13625.13</v>
      </c>
      <c r="AR382" s="39">
        <v>13797.13</v>
      </c>
    </row>
    <row r="383" spans="1:44" x14ac:dyDescent="0.35">
      <c r="A383" s="16" t="str">
        <f t="shared" si="30"/>
        <v>07</v>
      </c>
      <c r="B383" s="19">
        <v>61739</v>
      </c>
      <c r="C383" s="16" t="str">
        <f t="shared" si="29"/>
        <v>0000000</v>
      </c>
      <c r="D383" s="17" t="s">
        <v>3663</v>
      </c>
      <c r="E383" s="16" t="s">
        <v>301</v>
      </c>
      <c r="F383" s="16" t="s">
        <v>256</v>
      </c>
      <c r="G383" s="35" t="s">
        <v>302</v>
      </c>
      <c r="H383" s="39">
        <v>3588.36</v>
      </c>
      <c r="I383" s="39">
        <v>3567.47</v>
      </c>
      <c r="J383" s="39">
        <v>3525.7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0</v>
      </c>
      <c r="AI383" s="39">
        <v>3588.36</v>
      </c>
      <c r="AJ383" s="39">
        <v>3567.47</v>
      </c>
      <c r="AK383" s="39">
        <v>3525.7</v>
      </c>
      <c r="AL383" s="39">
        <v>0</v>
      </c>
      <c r="AM383" s="39">
        <v>0</v>
      </c>
      <c r="AN383" s="39">
        <v>0</v>
      </c>
      <c r="AO383" s="39">
        <v>3588.36</v>
      </c>
      <c r="AP383" s="39">
        <v>3567.47</v>
      </c>
      <c r="AQ383" s="39">
        <v>3525.7</v>
      </c>
      <c r="AR383" s="39">
        <v>3588.36</v>
      </c>
    </row>
    <row r="384" spans="1:44" x14ac:dyDescent="0.35">
      <c r="A384" s="16" t="str">
        <f t="shared" si="30"/>
        <v>07</v>
      </c>
      <c r="B384" s="19">
        <v>61788</v>
      </c>
      <c r="C384" s="16" t="str">
        <f t="shared" si="29"/>
        <v>0000000</v>
      </c>
      <c r="D384" s="17" t="s">
        <v>3663</v>
      </c>
      <c r="E384" s="16" t="s">
        <v>313</v>
      </c>
      <c r="F384" s="16" t="s">
        <v>256</v>
      </c>
      <c r="G384" s="35" t="s">
        <v>314</v>
      </c>
      <c r="H384" s="39">
        <v>9686.74</v>
      </c>
      <c r="I384" s="39">
        <v>9755.68</v>
      </c>
      <c r="J384" s="39">
        <v>9599.7099999999991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0</v>
      </c>
      <c r="AI384" s="39">
        <v>9686.74</v>
      </c>
      <c r="AJ384" s="39">
        <v>9755.68</v>
      </c>
      <c r="AK384" s="39">
        <v>9599.7099999999991</v>
      </c>
      <c r="AL384" s="39">
        <v>0</v>
      </c>
      <c r="AM384" s="39">
        <v>0</v>
      </c>
      <c r="AN384" s="39">
        <v>0</v>
      </c>
      <c r="AO384" s="39">
        <v>9686.74</v>
      </c>
      <c r="AP384" s="39">
        <v>9755.68</v>
      </c>
      <c r="AQ384" s="39">
        <v>9599.7099999999991</v>
      </c>
      <c r="AR384" s="39">
        <v>9755.68</v>
      </c>
    </row>
    <row r="385" spans="1:44" x14ac:dyDescent="0.35">
      <c r="A385" s="16" t="str">
        <f t="shared" si="30"/>
        <v>07</v>
      </c>
      <c r="B385" s="19">
        <v>10074</v>
      </c>
      <c r="C385" s="16" t="str">
        <f t="shared" si="29"/>
        <v>0000000</v>
      </c>
      <c r="D385" s="17" t="s">
        <v>3663</v>
      </c>
      <c r="E385" s="16" t="s">
        <v>257</v>
      </c>
      <c r="F385" s="16" t="s">
        <v>256</v>
      </c>
      <c r="G385" s="35" t="s">
        <v>258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64.040000000000006</v>
      </c>
      <c r="U385" s="39">
        <v>58.7</v>
      </c>
      <c r="V385" s="39">
        <v>62.27</v>
      </c>
      <c r="W385" s="39">
        <v>207.11</v>
      </c>
      <c r="X385" s="39">
        <v>195.77</v>
      </c>
      <c r="Y385" s="39">
        <v>213.96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0</v>
      </c>
      <c r="AI385" s="39">
        <v>271.14999999999998</v>
      </c>
      <c r="AJ385" s="39">
        <v>254.47</v>
      </c>
      <c r="AK385" s="39">
        <v>276.23</v>
      </c>
      <c r="AL385" s="39">
        <v>0</v>
      </c>
      <c r="AM385" s="39">
        <v>0</v>
      </c>
      <c r="AN385" s="39">
        <v>0</v>
      </c>
      <c r="AO385" s="39">
        <v>271.14999999999998</v>
      </c>
      <c r="AP385" s="39">
        <v>254.47</v>
      </c>
      <c r="AQ385" s="39">
        <v>276.23</v>
      </c>
      <c r="AR385" s="39">
        <v>276.23</v>
      </c>
    </row>
    <row r="386" spans="1:44" x14ac:dyDescent="0.35">
      <c r="A386" s="16" t="str">
        <f t="shared" si="30"/>
        <v>07</v>
      </c>
      <c r="B386" s="19">
        <v>61671</v>
      </c>
      <c r="C386" s="16" t="str">
        <f t="shared" si="29"/>
        <v>0000000</v>
      </c>
      <c r="D386" s="17" t="s">
        <v>3663</v>
      </c>
      <c r="E386" s="16" t="s">
        <v>293</v>
      </c>
      <c r="F386" s="16" t="s">
        <v>256</v>
      </c>
      <c r="G386" s="35" t="s">
        <v>294</v>
      </c>
      <c r="H386" s="39">
        <v>63.23</v>
      </c>
      <c r="I386" s="39">
        <v>63.82</v>
      </c>
      <c r="J386" s="39">
        <v>59.56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0</v>
      </c>
      <c r="AI386" s="39">
        <v>63.23</v>
      </c>
      <c r="AJ386" s="39">
        <v>63.82</v>
      </c>
      <c r="AK386" s="39">
        <v>59.56</v>
      </c>
      <c r="AL386" s="39">
        <v>0</v>
      </c>
      <c r="AM386" s="39">
        <v>0</v>
      </c>
      <c r="AN386" s="39">
        <v>0</v>
      </c>
      <c r="AO386" s="39">
        <v>63.23</v>
      </c>
      <c r="AP386" s="39">
        <v>63.82</v>
      </c>
      <c r="AQ386" s="39">
        <v>59.56</v>
      </c>
      <c r="AR386" s="39">
        <v>63.82</v>
      </c>
    </row>
    <row r="387" spans="1:44" x14ac:dyDescent="0.35">
      <c r="A387" s="16" t="str">
        <f t="shared" si="30"/>
        <v>07</v>
      </c>
      <c r="B387" s="19">
        <v>61630</v>
      </c>
      <c r="C387" s="16" t="str">
        <f t="shared" si="29"/>
        <v>0000000</v>
      </c>
      <c r="D387" s="17" t="s">
        <v>3663</v>
      </c>
      <c r="E387" s="16" t="s">
        <v>275</v>
      </c>
      <c r="F387" s="16" t="s">
        <v>256</v>
      </c>
      <c r="G387" s="35" t="s">
        <v>276</v>
      </c>
      <c r="H387" s="39">
        <v>5111.53</v>
      </c>
      <c r="I387" s="39">
        <v>5179.24</v>
      </c>
      <c r="J387" s="39">
        <v>5154.1499999999996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0</v>
      </c>
      <c r="AI387" s="39">
        <v>5111.53</v>
      </c>
      <c r="AJ387" s="39">
        <v>5179.24</v>
      </c>
      <c r="AK387" s="39">
        <v>5154.1499999999996</v>
      </c>
      <c r="AL387" s="39">
        <v>0</v>
      </c>
      <c r="AM387" s="39">
        <v>0</v>
      </c>
      <c r="AN387" s="39">
        <v>0</v>
      </c>
      <c r="AO387" s="39">
        <v>5111.53</v>
      </c>
      <c r="AP387" s="39">
        <v>5179.24</v>
      </c>
      <c r="AQ387" s="39">
        <v>5154.1499999999996</v>
      </c>
      <c r="AR387" s="39">
        <v>5179.24</v>
      </c>
    </row>
    <row r="388" spans="1:44" x14ac:dyDescent="0.35">
      <c r="A388" s="16" t="str">
        <f t="shared" si="30"/>
        <v>07</v>
      </c>
      <c r="B388" s="19">
        <v>61663</v>
      </c>
      <c r="C388" s="16" t="str">
        <f t="shared" si="29"/>
        <v>0000000</v>
      </c>
      <c r="D388" s="17" t="s">
        <v>3663</v>
      </c>
      <c r="E388" s="16" t="s">
        <v>289</v>
      </c>
      <c r="F388" s="16" t="s">
        <v>256</v>
      </c>
      <c r="G388" s="35" t="s">
        <v>290</v>
      </c>
      <c r="H388" s="39">
        <v>1099.25</v>
      </c>
      <c r="I388" s="39">
        <v>1168.3699999999999</v>
      </c>
      <c r="J388" s="39">
        <v>1143.1600000000001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1099.25</v>
      </c>
      <c r="AJ388" s="39">
        <v>1168.3699999999999</v>
      </c>
      <c r="AK388" s="39">
        <v>1143.1600000000001</v>
      </c>
      <c r="AL388" s="39">
        <v>0</v>
      </c>
      <c r="AM388" s="39">
        <v>0</v>
      </c>
      <c r="AN388" s="39">
        <v>0</v>
      </c>
      <c r="AO388" s="39">
        <v>1099.25</v>
      </c>
      <c r="AP388" s="39">
        <v>1168.3699999999999</v>
      </c>
      <c r="AQ388" s="39">
        <v>1143.1600000000001</v>
      </c>
      <c r="AR388" s="39">
        <v>1168.3699999999999</v>
      </c>
    </row>
    <row r="389" spans="1:44" x14ac:dyDescent="0.35">
      <c r="A389" s="16" t="str">
        <f t="shared" si="30"/>
        <v>07</v>
      </c>
      <c r="B389" s="19">
        <v>61796</v>
      </c>
      <c r="C389" s="16" t="str">
        <f t="shared" si="29"/>
        <v>0000000</v>
      </c>
      <c r="D389" s="17" t="s">
        <v>3663</v>
      </c>
      <c r="E389" s="16" t="s">
        <v>315</v>
      </c>
      <c r="F389" s="16" t="s">
        <v>316</v>
      </c>
      <c r="G389" s="35" t="s">
        <v>316</v>
      </c>
      <c r="H389" s="39">
        <v>23113.06</v>
      </c>
      <c r="I389" s="39">
        <v>23476.880000000001</v>
      </c>
      <c r="J389" s="39">
        <v>23309.66</v>
      </c>
      <c r="K389" s="39">
        <v>0</v>
      </c>
      <c r="L389" s="39">
        <v>0</v>
      </c>
      <c r="M389" s="39">
        <v>0</v>
      </c>
      <c r="N389" s="39">
        <v>0</v>
      </c>
      <c r="O389" s="39">
        <v>0</v>
      </c>
      <c r="P389" s="39">
        <v>0</v>
      </c>
      <c r="Q389" s="39">
        <v>0</v>
      </c>
      <c r="R389" s="39">
        <v>0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0</v>
      </c>
      <c r="AA389" s="39">
        <v>0</v>
      </c>
      <c r="AB389" s="39">
        <v>0</v>
      </c>
      <c r="AC389" s="39">
        <v>528.94000000000005</v>
      </c>
      <c r="AD389" s="39">
        <v>520.5</v>
      </c>
      <c r="AE389" s="39">
        <v>513.42999999999995</v>
      </c>
      <c r="AF389" s="39">
        <v>0</v>
      </c>
      <c r="AG389" s="39">
        <v>0</v>
      </c>
      <c r="AH389" s="39">
        <v>0</v>
      </c>
      <c r="AI389" s="39">
        <v>23642</v>
      </c>
      <c r="AJ389" s="39">
        <v>23997.38</v>
      </c>
      <c r="AK389" s="39">
        <v>23823.09</v>
      </c>
      <c r="AL389" s="39">
        <v>0</v>
      </c>
      <c r="AM389" s="39">
        <v>0</v>
      </c>
      <c r="AN389" s="39">
        <v>0</v>
      </c>
      <c r="AO389" s="39">
        <v>23642</v>
      </c>
      <c r="AP389" s="39">
        <v>23997.38</v>
      </c>
      <c r="AQ389" s="39">
        <v>23823.09</v>
      </c>
      <c r="AR389" s="39">
        <v>23997.38</v>
      </c>
    </row>
    <row r="390" spans="1:44" x14ac:dyDescent="0.35">
      <c r="A390" s="16" t="str">
        <f t="shared" si="30"/>
        <v>07</v>
      </c>
      <c r="B390" s="19">
        <v>61754</v>
      </c>
      <c r="C390" s="16" t="str">
        <f t="shared" si="29"/>
        <v>0000000</v>
      </c>
      <c r="D390" s="17" t="s">
        <v>3663</v>
      </c>
      <c r="E390" s="16" t="s">
        <v>305</v>
      </c>
      <c r="F390" s="16" t="s">
        <v>306</v>
      </c>
      <c r="G390" s="35" t="s">
        <v>306</v>
      </c>
      <c r="H390" s="39">
        <v>27153.47</v>
      </c>
      <c r="I390" s="39">
        <v>27108.560000000001</v>
      </c>
      <c r="J390" s="39">
        <v>26513.29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290.87</v>
      </c>
      <c r="AD390" s="39">
        <v>282.01</v>
      </c>
      <c r="AE390" s="39">
        <v>281.74</v>
      </c>
      <c r="AF390" s="39">
        <v>0</v>
      </c>
      <c r="AG390" s="39">
        <v>0</v>
      </c>
      <c r="AH390" s="39">
        <v>0</v>
      </c>
      <c r="AI390" s="39">
        <v>27444.34</v>
      </c>
      <c r="AJ390" s="39">
        <v>27390.57</v>
      </c>
      <c r="AK390" s="39">
        <v>26795.03</v>
      </c>
      <c r="AL390" s="39">
        <v>0</v>
      </c>
      <c r="AM390" s="39">
        <v>0</v>
      </c>
      <c r="AN390" s="39">
        <v>0</v>
      </c>
      <c r="AO390" s="39">
        <v>27444.34</v>
      </c>
      <c r="AP390" s="39">
        <v>27390.57</v>
      </c>
      <c r="AQ390" s="39">
        <v>26795.03</v>
      </c>
      <c r="AR390" s="39">
        <v>27444.34</v>
      </c>
    </row>
    <row r="391" spans="1:44" x14ac:dyDescent="0.35">
      <c r="A391" s="16" t="str">
        <f>TEXT(15,"00")</f>
        <v>15</v>
      </c>
      <c r="B391" s="19">
        <v>63321</v>
      </c>
      <c r="C391" s="16" t="str">
        <f t="shared" si="29"/>
        <v>0000000</v>
      </c>
      <c r="D391" s="17" t="s">
        <v>3663</v>
      </c>
      <c r="E391" s="16" t="s">
        <v>651</v>
      </c>
      <c r="F391" s="16" t="s">
        <v>652</v>
      </c>
      <c r="G391" s="35" t="s">
        <v>652</v>
      </c>
      <c r="H391" s="39">
        <v>26474.05</v>
      </c>
      <c r="I391" s="39">
        <v>26849.22</v>
      </c>
      <c r="J391" s="39">
        <v>26388.720000000001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0</v>
      </c>
      <c r="AI391" s="39">
        <v>26474.05</v>
      </c>
      <c r="AJ391" s="39">
        <v>26849.22</v>
      </c>
      <c r="AK391" s="39">
        <v>26388.720000000001</v>
      </c>
      <c r="AL391" s="39">
        <v>0</v>
      </c>
      <c r="AM391" s="39">
        <v>0</v>
      </c>
      <c r="AN391" s="39">
        <v>0</v>
      </c>
      <c r="AO391" s="39">
        <v>26474.05</v>
      </c>
      <c r="AP391" s="39">
        <v>26849.22</v>
      </c>
      <c r="AQ391" s="39">
        <v>26388.720000000001</v>
      </c>
      <c r="AR391" s="39">
        <v>26849.22</v>
      </c>
    </row>
    <row r="392" spans="1:44" x14ac:dyDescent="0.35">
      <c r="A392" s="16" t="str">
        <f t="shared" ref="A392:A397" si="31">TEXT(58,"00")</f>
        <v>58</v>
      </c>
      <c r="B392" s="19">
        <v>10587</v>
      </c>
      <c r="C392" s="16" t="str">
        <f t="shared" si="29"/>
        <v>0000000</v>
      </c>
      <c r="D392" s="17" t="s">
        <v>3663</v>
      </c>
      <c r="E392" s="16" t="s">
        <v>350</v>
      </c>
      <c r="F392" s="16" t="s">
        <v>351</v>
      </c>
      <c r="G392" s="35" t="s">
        <v>351</v>
      </c>
      <c r="H392" s="39">
        <v>0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46.04</v>
      </c>
      <c r="U392" s="39">
        <v>53.56</v>
      </c>
      <c r="V392" s="39">
        <v>51.66</v>
      </c>
      <c r="W392" s="39">
        <v>161.16999999999999</v>
      </c>
      <c r="X392" s="39">
        <v>194.17</v>
      </c>
      <c r="Y392" s="39">
        <v>166.38</v>
      </c>
      <c r="Z392" s="39">
        <v>207.78</v>
      </c>
      <c r="AA392" s="39">
        <v>217.52</v>
      </c>
      <c r="AB392" s="39">
        <v>195.76</v>
      </c>
      <c r="AC392" s="39">
        <v>0</v>
      </c>
      <c r="AD392" s="39">
        <v>0</v>
      </c>
      <c r="AE392" s="39">
        <v>157.76</v>
      </c>
      <c r="AF392" s="39">
        <v>0</v>
      </c>
      <c r="AG392" s="39">
        <v>0</v>
      </c>
      <c r="AH392" s="39">
        <v>0</v>
      </c>
      <c r="AI392" s="39">
        <v>414.99</v>
      </c>
      <c r="AJ392" s="39">
        <v>465.25</v>
      </c>
      <c r="AK392" s="39">
        <v>571.55999999999995</v>
      </c>
      <c r="AL392" s="39">
        <v>0</v>
      </c>
      <c r="AM392" s="39">
        <v>0</v>
      </c>
      <c r="AN392" s="39">
        <v>-157.76</v>
      </c>
      <c r="AO392" s="39">
        <v>414.99</v>
      </c>
      <c r="AP392" s="39">
        <v>465.25</v>
      </c>
      <c r="AQ392" s="39">
        <v>413.8</v>
      </c>
      <c r="AR392" s="39">
        <v>465.25</v>
      </c>
    </row>
    <row r="393" spans="1:44" x14ac:dyDescent="0.35">
      <c r="A393" s="16" t="str">
        <f t="shared" si="31"/>
        <v>58</v>
      </c>
      <c r="B393" s="19">
        <v>72751</v>
      </c>
      <c r="C393" s="16" t="str">
        <f t="shared" si="29"/>
        <v>0000000</v>
      </c>
      <c r="D393" s="17" t="s">
        <v>3663</v>
      </c>
      <c r="E393" s="16" t="s">
        <v>3503</v>
      </c>
      <c r="F393" s="16" t="s">
        <v>351</v>
      </c>
      <c r="G393" s="35" t="s">
        <v>3504</v>
      </c>
      <c r="H393" s="39">
        <v>1203.8399999999999</v>
      </c>
      <c r="I393" s="39">
        <v>1174.26</v>
      </c>
      <c r="J393" s="39">
        <v>1180.0899999999999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84.92</v>
      </c>
      <c r="AD393" s="39">
        <v>79.19</v>
      </c>
      <c r="AE393" s="39">
        <v>81.12</v>
      </c>
      <c r="AF393" s="39">
        <v>0</v>
      </c>
      <c r="AG393" s="39">
        <v>0</v>
      </c>
      <c r="AH393" s="39">
        <v>0</v>
      </c>
      <c r="AI393" s="39">
        <v>1288.76</v>
      </c>
      <c r="AJ393" s="39">
        <v>1253.45</v>
      </c>
      <c r="AK393" s="39">
        <v>1261.21</v>
      </c>
      <c r="AL393" s="39">
        <v>0</v>
      </c>
      <c r="AM393" s="39">
        <v>0</v>
      </c>
      <c r="AN393" s="39">
        <v>0</v>
      </c>
      <c r="AO393" s="39">
        <v>1288.76</v>
      </c>
      <c r="AP393" s="39">
        <v>1253.45</v>
      </c>
      <c r="AQ393" s="39">
        <v>1261.21</v>
      </c>
      <c r="AR393" s="39">
        <v>1288.76</v>
      </c>
    </row>
    <row r="394" spans="1:44" x14ac:dyDescent="0.35">
      <c r="A394" s="16" t="str">
        <f t="shared" si="31"/>
        <v>58</v>
      </c>
      <c r="B394" s="19">
        <v>72769</v>
      </c>
      <c r="C394" s="16" t="str">
        <f t="shared" si="29"/>
        <v>0000000</v>
      </c>
      <c r="D394" s="17" t="s">
        <v>3663</v>
      </c>
      <c r="E394" s="16" t="s">
        <v>3505</v>
      </c>
      <c r="F394" s="16" t="s">
        <v>351</v>
      </c>
      <c r="G394" s="35" t="s">
        <v>3506</v>
      </c>
      <c r="H394" s="39">
        <v>1057.22</v>
      </c>
      <c r="I394" s="39">
        <v>1030.76</v>
      </c>
      <c r="J394" s="39">
        <v>1032.6500000000001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0</v>
      </c>
      <c r="AI394" s="39">
        <v>1057.22</v>
      </c>
      <c r="AJ394" s="39">
        <v>1030.76</v>
      </c>
      <c r="AK394" s="39">
        <v>1032.6500000000001</v>
      </c>
      <c r="AL394" s="39">
        <v>0</v>
      </c>
      <c r="AM394" s="39">
        <v>0</v>
      </c>
      <c r="AN394" s="39">
        <v>0</v>
      </c>
      <c r="AO394" s="39">
        <v>1057.22</v>
      </c>
      <c r="AP394" s="39">
        <v>1030.76</v>
      </c>
      <c r="AQ394" s="39">
        <v>1032.6500000000001</v>
      </c>
      <c r="AR394" s="39">
        <v>1057.22</v>
      </c>
    </row>
    <row r="395" spans="1:44" x14ac:dyDescent="0.35">
      <c r="A395" s="16" t="str">
        <f t="shared" si="31"/>
        <v>58</v>
      </c>
      <c r="B395" s="19">
        <v>72736</v>
      </c>
      <c r="C395" s="16" t="str">
        <f t="shared" si="29"/>
        <v>0000000</v>
      </c>
      <c r="D395" s="17" t="s">
        <v>3663</v>
      </c>
      <c r="E395" s="16" t="s">
        <v>3497</v>
      </c>
      <c r="F395" s="16" t="s">
        <v>351</v>
      </c>
      <c r="G395" s="35" t="s">
        <v>3498</v>
      </c>
      <c r="H395" s="39">
        <v>9411.9599999999991</v>
      </c>
      <c r="I395" s="39">
        <v>9229.48</v>
      </c>
      <c r="J395" s="39">
        <v>8930.42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349.76</v>
      </c>
      <c r="AD395" s="39">
        <v>354.73</v>
      </c>
      <c r="AE395" s="39">
        <v>342.35</v>
      </c>
      <c r="AF395" s="39">
        <v>0</v>
      </c>
      <c r="AG395" s="39">
        <v>0</v>
      </c>
      <c r="AH395" s="39">
        <v>0</v>
      </c>
      <c r="AI395" s="39">
        <v>9761.7199999999993</v>
      </c>
      <c r="AJ395" s="39">
        <v>9584.2099999999991</v>
      </c>
      <c r="AK395" s="39">
        <v>9272.77</v>
      </c>
      <c r="AL395" s="39">
        <v>0</v>
      </c>
      <c r="AM395" s="39">
        <v>0</v>
      </c>
      <c r="AN395" s="39">
        <v>0</v>
      </c>
      <c r="AO395" s="39">
        <v>9761.7199999999993</v>
      </c>
      <c r="AP395" s="39">
        <v>9584.2099999999991</v>
      </c>
      <c r="AQ395" s="39">
        <v>9272.77</v>
      </c>
      <c r="AR395" s="39">
        <v>9761.7199999999993</v>
      </c>
    </row>
    <row r="396" spans="1:44" x14ac:dyDescent="0.35">
      <c r="A396" s="16" t="str">
        <f t="shared" si="31"/>
        <v>58</v>
      </c>
      <c r="B396" s="19">
        <v>72728</v>
      </c>
      <c r="C396" s="16" t="str">
        <f t="shared" si="29"/>
        <v>0000000</v>
      </c>
      <c r="D396" s="17" t="s">
        <v>3663</v>
      </c>
      <c r="E396" s="16" t="s">
        <v>3495</v>
      </c>
      <c r="F396" s="16" t="s">
        <v>351</v>
      </c>
      <c r="G396" s="35" t="s">
        <v>3496</v>
      </c>
      <c r="H396" s="39">
        <v>45.23</v>
      </c>
      <c r="I396" s="39">
        <v>46.29</v>
      </c>
      <c r="J396" s="39">
        <v>45.74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457.26</v>
      </c>
      <c r="AF396" s="39">
        <v>0</v>
      </c>
      <c r="AG396" s="39">
        <v>0</v>
      </c>
      <c r="AH396" s="39">
        <v>0</v>
      </c>
      <c r="AI396" s="39">
        <v>45.23</v>
      </c>
      <c r="AJ396" s="39">
        <v>46.29</v>
      </c>
      <c r="AK396" s="39">
        <v>503</v>
      </c>
      <c r="AL396" s="39">
        <v>0</v>
      </c>
      <c r="AM396" s="39">
        <v>0</v>
      </c>
      <c r="AN396" s="39">
        <v>-457.26</v>
      </c>
      <c r="AO396" s="39">
        <v>45.23</v>
      </c>
      <c r="AP396" s="39">
        <v>46.29</v>
      </c>
      <c r="AQ396" s="39">
        <v>45.74</v>
      </c>
      <c r="AR396" s="39">
        <v>46.29</v>
      </c>
    </row>
    <row r="397" spans="1:44" x14ac:dyDescent="0.35">
      <c r="A397" s="16" t="str">
        <f t="shared" si="31"/>
        <v>58</v>
      </c>
      <c r="B397" s="19">
        <v>72744</v>
      </c>
      <c r="C397" s="16" t="str">
        <f t="shared" si="29"/>
        <v>0000000</v>
      </c>
      <c r="D397" s="17" t="s">
        <v>3663</v>
      </c>
      <c r="E397" s="16" t="s">
        <v>3501</v>
      </c>
      <c r="F397" s="16" t="s">
        <v>351</v>
      </c>
      <c r="G397" s="35" t="s">
        <v>3502</v>
      </c>
      <c r="H397" s="39">
        <v>1634.65</v>
      </c>
      <c r="I397" s="39">
        <v>1560.21</v>
      </c>
      <c r="J397" s="39">
        <v>1458.98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0</v>
      </c>
      <c r="AI397" s="39">
        <v>1634.65</v>
      </c>
      <c r="AJ397" s="39">
        <v>1560.21</v>
      </c>
      <c r="AK397" s="39">
        <v>1458.98</v>
      </c>
      <c r="AL397" s="39">
        <v>0</v>
      </c>
      <c r="AM397" s="39">
        <v>0</v>
      </c>
      <c r="AN397" s="39">
        <v>0</v>
      </c>
      <c r="AO397" s="39">
        <v>1634.65</v>
      </c>
      <c r="AP397" s="39">
        <v>1560.21</v>
      </c>
      <c r="AQ397" s="39">
        <v>1458.98</v>
      </c>
      <c r="AR397" s="39">
        <v>1634.65</v>
      </c>
    </row>
    <row r="398" spans="1:44" x14ac:dyDescent="0.35">
      <c r="A398" s="16" t="str">
        <f>TEXT(34,"00")</f>
        <v>34</v>
      </c>
      <c r="B398" s="19">
        <v>67439</v>
      </c>
      <c r="C398" s="16" t="str">
        <f>TEXT(111757,"0000000")</f>
        <v>0111757</v>
      </c>
      <c r="D398" s="17" t="s">
        <v>1835</v>
      </c>
      <c r="E398" s="16" t="s">
        <v>1833</v>
      </c>
      <c r="F398" s="16" t="s">
        <v>351</v>
      </c>
      <c r="G398" s="35" t="s">
        <v>1834</v>
      </c>
      <c r="H398" s="39">
        <v>0</v>
      </c>
      <c r="I398" s="39">
        <v>0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391.32</v>
      </c>
      <c r="AD398" s="39">
        <v>339.28</v>
      </c>
      <c r="AE398" s="39">
        <v>326.22000000000003</v>
      </c>
      <c r="AF398" s="39">
        <v>0</v>
      </c>
      <c r="AG398" s="39">
        <v>0</v>
      </c>
      <c r="AH398" s="39">
        <v>0</v>
      </c>
      <c r="AI398" s="39">
        <v>391.32</v>
      </c>
      <c r="AJ398" s="39">
        <v>339.28</v>
      </c>
      <c r="AK398" s="39">
        <v>326.22000000000003</v>
      </c>
      <c r="AL398" s="39">
        <v>0</v>
      </c>
      <c r="AM398" s="39">
        <v>0</v>
      </c>
      <c r="AN398" s="39">
        <v>0</v>
      </c>
      <c r="AO398" s="39">
        <v>391.32</v>
      </c>
      <c r="AP398" s="39">
        <v>339.28</v>
      </c>
      <c r="AQ398" s="39">
        <v>326.22000000000003</v>
      </c>
      <c r="AR398" s="39">
        <v>391.32</v>
      </c>
    </row>
    <row r="399" spans="1:44" ht="31" x14ac:dyDescent="0.35">
      <c r="A399" s="16" t="str">
        <f>TEXT(34,"00")</f>
        <v>34</v>
      </c>
      <c r="B399" s="19">
        <v>67314</v>
      </c>
      <c r="C399" s="16" t="str">
        <f>TEXT(111732,"0000000")</f>
        <v>0111732</v>
      </c>
      <c r="D399" s="17" t="s">
        <v>1797</v>
      </c>
      <c r="E399" s="16" t="s">
        <v>1795</v>
      </c>
      <c r="F399" s="16" t="s">
        <v>351</v>
      </c>
      <c r="G399" s="35" t="s">
        <v>1796</v>
      </c>
      <c r="H399" s="39">
        <v>0</v>
      </c>
      <c r="I399" s="39">
        <v>0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538.30999999999995</v>
      </c>
      <c r="AD399" s="39">
        <v>506.8</v>
      </c>
      <c r="AE399" s="39">
        <v>493.32</v>
      </c>
      <c r="AF399" s="39">
        <v>0</v>
      </c>
      <c r="AG399" s="39">
        <v>0</v>
      </c>
      <c r="AH399" s="39">
        <v>0</v>
      </c>
      <c r="AI399" s="39">
        <v>538.30999999999995</v>
      </c>
      <c r="AJ399" s="39">
        <v>506.8</v>
      </c>
      <c r="AK399" s="39">
        <v>493.32</v>
      </c>
      <c r="AL399" s="39">
        <v>0</v>
      </c>
      <c r="AM399" s="39">
        <v>0</v>
      </c>
      <c r="AN399" s="39">
        <v>0</v>
      </c>
      <c r="AO399" s="39">
        <v>538.30999999999995</v>
      </c>
      <c r="AP399" s="39">
        <v>506.8</v>
      </c>
      <c r="AQ399" s="39">
        <v>493.32</v>
      </c>
      <c r="AR399" s="39">
        <v>538.30999999999995</v>
      </c>
    </row>
    <row r="400" spans="1:44" ht="31" x14ac:dyDescent="0.35">
      <c r="A400" s="16" t="str">
        <f>TEXT(34,"00")</f>
        <v>34</v>
      </c>
      <c r="B400" s="19">
        <v>67447</v>
      </c>
      <c r="C400" s="16" t="str">
        <f>TEXT(112169,"0000000")</f>
        <v>0112169</v>
      </c>
      <c r="D400" s="17" t="s">
        <v>1848</v>
      </c>
      <c r="E400" s="16" t="s">
        <v>1846</v>
      </c>
      <c r="F400" s="16" t="s">
        <v>351</v>
      </c>
      <c r="G400" s="35" t="s">
        <v>1847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1443.01</v>
      </c>
      <c r="AD400" s="39">
        <v>1381.78</v>
      </c>
      <c r="AE400" s="39">
        <v>1311.99</v>
      </c>
      <c r="AF400" s="39">
        <v>0</v>
      </c>
      <c r="AG400" s="39">
        <v>0</v>
      </c>
      <c r="AH400" s="39">
        <v>0</v>
      </c>
      <c r="AI400" s="39">
        <v>1443.01</v>
      </c>
      <c r="AJ400" s="39">
        <v>1381.78</v>
      </c>
      <c r="AK400" s="39">
        <v>1311.99</v>
      </c>
      <c r="AL400" s="39">
        <v>0</v>
      </c>
      <c r="AM400" s="39">
        <v>0</v>
      </c>
      <c r="AN400" s="39">
        <v>0</v>
      </c>
      <c r="AO400" s="39">
        <v>1443.01</v>
      </c>
      <c r="AP400" s="39">
        <v>1381.78</v>
      </c>
      <c r="AQ400" s="39">
        <v>1311.99</v>
      </c>
      <c r="AR400" s="39">
        <v>1443.01</v>
      </c>
    </row>
    <row r="401" spans="1:44" ht="31" x14ac:dyDescent="0.35">
      <c r="A401" s="16" t="str">
        <f>TEXT(9,"00")</f>
        <v>09</v>
      </c>
      <c r="B401" s="19">
        <v>61838</v>
      </c>
      <c r="C401" s="16" t="str">
        <f>TEXT(111724,"0000000")</f>
        <v>0111724</v>
      </c>
      <c r="D401" s="17" t="s">
        <v>354</v>
      </c>
      <c r="E401" s="16" t="s">
        <v>352</v>
      </c>
      <c r="F401" s="16" t="s">
        <v>351</v>
      </c>
      <c r="G401" s="35" t="s">
        <v>353</v>
      </c>
      <c r="H401" s="39">
        <v>0</v>
      </c>
      <c r="I401" s="39">
        <v>0</v>
      </c>
      <c r="J401" s="39">
        <v>0</v>
      </c>
      <c r="K401" s="39">
        <v>0</v>
      </c>
      <c r="L401" s="39">
        <v>0</v>
      </c>
      <c r="M401" s="39">
        <v>0</v>
      </c>
      <c r="N401" s="39">
        <v>0</v>
      </c>
      <c r="O401" s="39">
        <v>0</v>
      </c>
      <c r="P401" s="39">
        <v>0</v>
      </c>
      <c r="Q401" s="39">
        <v>0</v>
      </c>
      <c r="R401" s="39">
        <v>0</v>
      </c>
      <c r="S401" s="39">
        <v>0</v>
      </c>
      <c r="T401" s="39">
        <v>0</v>
      </c>
      <c r="U401" s="39">
        <v>0</v>
      </c>
      <c r="V401" s="39">
        <v>0</v>
      </c>
      <c r="W401" s="39">
        <v>0</v>
      </c>
      <c r="X401" s="39">
        <v>0</v>
      </c>
      <c r="Y401" s="39">
        <v>0</v>
      </c>
      <c r="Z401" s="39">
        <v>0</v>
      </c>
      <c r="AA401" s="39">
        <v>0</v>
      </c>
      <c r="AB401" s="39">
        <v>0</v>
      </c>
      <c r="AC401" s="39">
        <v>516.08000000000004</v>
      </c>
      <c r="AD401" s="39">
        <v>503.17</v>
      </c>
      <c r="AE401" s="39">
        <v>475.23</v>
      </c>
      <c r="AF401" s="39">
        <v>0</v>
      </c>
      <c r="AG401" s="39">
        <v>0</v>
      </c>
      <c r="AH401" s="39">
        <v>0</v>
      </c>
      <c r="AI401" s="39">
        <v>516.08000000000004</v>
      </c>
      <c r="AJ401" s="39">
        <v>503.17</v>
      </c>
      <c r="AK401" s="39">
        <v>475.23</v>
      </c>
      <c r="AL401" s="39">
        <v>0</v>
      </c>
      <c r="AM401" s="39">
        <v>0</v>
      </c>
      <c r="AN401" s="39">
        <v>0</v>
      </c>
      <c r="AO401" s="39">
        <v>516.08000000000004</v>
      </c>
      <c r="AP401" s="39">
        <v>503.17</v>
      </c>
      <c r="AQ401" s="39">
        <v>475.23</v>
      </c>
      <c r="AR401" s="39">
        <v>516.08000000000004</v>
      </c>
    </row>
    <row r="402" spans="1:44" x14ac:dyDescent="0.35">
      <c r="A402" s="16" t="str">
        <f>TEXT(58,"00")</f>
        <v>58</v>
      </c>
      <c r="B402" s="19">
        <v>72728</v>
      </c>
      <c r="C402" s="16" t="str">
        <f>TEXT(6115935,"0000000")</f>
        <v>6115935</v>
      </c>
      <c r="D402" s="17" t="s">
        <v>3555</v>
      </c>
      <c r="E402" s="16" t="s">
        <v>3553</v>
      </c>
      <c r="F402" s="16" t="s">
        <v>351</v>
      </c>
      <c r="G402" s="35" t="s">
        <v>3554</v>
      </c>
      <c r="H402" s="39">
        <v>0</v>
      </c>
      <c r="I402" s="39">
        <v>0</v>
      </c>
      <c r="J402" s="39">
        <v>0</v>
      </c>
      <c r="K402" s="39">
        <v>0</v>
      </c>
      <c r="L402" s="39">
        <v>0</v>
      </c>
      <c r="M402" s="39">
        <v>0</v>
      </c>
      <c r="N402" s="39">
        <v>0</v>
      </c>
      <c r="O402" s="39">
        <v>0</v>
      </c>
      <c r="P402" s="39">
        <v>0</v>
      </c>
      <c r="Q402" s="39">
        <v>0</v>
      </c>
      <c r="R402" s="39">
        <v>0</v>
      </c>
      <c r="S402" s="39">
        <v>0</v>
      </c>
      <c r="T402" s="39">
        <v>0</v>
      </c>
      <c r="U402" s="39">
        <v>0</v>
      </c>
      <c r="V402" s="39">
        <v>0</v>
      </c>
      <c r="W402" s="39">
        <v>0</v>
      </c>
      <c r="X402" s="39">
        <v>0</v>
      </c>
      <c r="Y402" s="39">
        <v>0</v>
      </c>
      <c r="Z402" s="39">
        <v>0</v>
      </c>
      <c r="AA402" s="39">
        <v>0</v>
      </c>
      <c r="AB402" s="39">
        <v>0</v>
      </c>
      <c r="AC402" s="39">
        <v>553.77</v>
      </c>
      <c r="AD402" s="39">
        <v>520.39</v>
      </c>
      <c r="AE402" s="39">
        <v>0</v>
      </c>
      <c r="AF402" s="39">
        <v>0</v>
      </c>
      <c r="AG402" s="39">
        <v>0</v>
      </c>
      <c r="AH402" s="39">
        <v>0</v>
      </c>
      <c r="AI402" s="39">
        <v>553.77</v>
      </c>
      <c r="AJ402" s="39">
        <v>520.39</v>
      </c>
      <c r="AK402" s="39">
        <v>0</v>
      </c>
      <c r="AL402" s="39">
        <v>0</v>
      </c>
      <c r="AM402" s="39">
        <v>0</v>
      </c>
      <c r="AN402" s="39">
        <v>457.26</v>
      </c>
      <c r="AO402" s="39">
        <v>553.77</v>
      </c>
      <c r="AP402" s="39">
        <v>520.39</v>
      </c>
      <c r="AQ402" s="39">
        <v>457.26</v>
      </c>
      <c r="AR402" s="39">
        <v>553.77</v>
      </c>
    </row>
    <row r="403" spans="1:44" x14ac:dyDescent="0.35">
      <c r="A403" s="16" t="str">
        <f>TEXT(58,"00")</f>
        <v>58</v>
      </c>
      <c r="B403" s="19">
        <v>10587</v>
      </c>
      <c r="C403" s="16" t="str">
        <f>TEXT(117242,"0000000")</f>
        <v>0117242</v>
      </c>
      <c r="D403" s="17" t="s">
        <v>3552</v>
      </c>
      <c r="E403" s="16" t="s">
        <v>3550</v>
      </c>
      <c r="F403" s="16" t="s">
        <v>351</v>
      </c>
      <c r="G403" s="35" t="s">
        <v>3551</v>
      </c>
      <c r="H403" s="39">
        <v>0</v>
      </c>
      <c r="I403" s="39">
        <v>0</v>
      </c>
      <c r="J403" s="39">
        <v>0</v>
      </c>
      <c r="K403" s="39">
        <v>0</v>
      </c>
      <c r="L403" s="39">
        <v>0</v>
      </c>
      <c r="M403" s="39">
        <v>0</v>
      </c>
      <c r="N403" s="39">
        <v>0</v>
      </c>
      <c r="O403" s="39">
        <v>0</v>
      </c>
      <c r="P403" s="39">
        <v>0</v>
      </c>
      <c r="Q403" s="39">
        <v>0</v>
      </c>
      <c r="R403" s="39">
        <v>0</v>
      </c>
      <c r="S403" s="39">
        <v>0</v>
      </c>
      <c r="T403" s="39">
        <v>0</v>
      </c>
      <c r="U403" s="39">
        <v>0</v>
      </c>
      <c r="V403" s="39">
        <v>0</v>
      </c>
      <c r="W403" s="39">
        <v>0</v>
      </c>
      <c r="X403" s="39">
        <v>0</v>
      </c>
      <c r="Y403" s="39">
        <v>0</v>
      </c>
      <c r="Z403" s="39">
        <v>0</v>
      </c>
      <c r="AA403" s="39">
        <v>0</v>
      </c>
      <c r="AB403" s="39">
        <v>0</v>
      </c>
      <c r="AC403" s="39">
        <v>171.51</v>
      </c>
      <c r="AD403" s="39">
        <v>162.91</v>
      </c>
      <c r="AE403" s="39">
        <v>0</v>
      </c>
      <c r="AF403" s="39">
        <v>0</v>
      </c>
      <c r="AG403" s="39">
        <v>0</v>
      </c>
      <c r="AH403" s="39">
        <v>0</v>
      </c>
      <c r="AI403" s="39">
        <v>171.51</v>
      </c>
      <c r="AJ403" s="39">
        <v>162.91</v>
      </c>
      <c r="AK403" s="39">
        <v>0</v>
      </c>
      <c r="AL403" s="39">
        <v>0</v>
      </c>
      <c r="AM403" s="39">
        <v>0</v>
      </c>
      <c r="AN403" s="39">
        <v>157.76</v>
      </c>
      <c r="AO403" s="39">
        <v>171.51</v>
      </c>
      <c r="AP403" s="39">
        <v>162.91</v>
      </c>
      <c r="AQ403" s="39">
        <v>157.76</v>
      </c>
      <c r="AR403" s="39">
        <v>171.51</v>
      </c>
    </row>
    <row r="404" spans="1:44" x14ac:dyDescent="0.35">
      <c r="A404" s="16" t="str">
        <f t="shared" ref="A404:A414" si="32">TEXT(39,"00")</f>
        <v>39</v>
      </c>
      <c r="B404" s="19">
        <v>10397</v>
      </c>
      <c r="C404" s="16" t="str">
        <f t="shared" ref="C404:C435" si="33">TEXT(,"0000000")</f>
        <v>0000000</v>
      </c>
      <c r="D404" s="17" t="s">
        <v>3663</v>
      </c>
      <c r="E404" s="16" t="s">
        <v>2408</v>
      </c>
      <c r="F404" s="16" t="s">
        <v>2409</v>
      </c>
      <c r="G404" s="35" t="s">
        <v>2409</v>
      </c>
      <c r="H404" s="39">
        <v>0</v>
      </c>
      <c r="I404" s="39">
        <v>0</v>
      </c>
      <c r="J404" s="39">
        <v>0</v>
      </c>
      <c r="K404" s="39">
        <v>0</v>
      </c>
      <c r="L404" s="39">
        <v>0</v>
      </c>
      <c r="M404" s="39">
        <v>0</v>
      </c>
      <c r="N404" s="39">
        <v>0</v>
      </c>
      <c r="O404" s="39">
        <v>0</v>
      </c>
      <c r="P404" s="39">
        <v>0</v>
      </c>
      <c r="Q404" s="39">
        <v>0</v>
      </c>
      <c r="R404" s="39">
        <v>0</v>
      </c>
      <c r="S404" s="39">
        <v>0</v>
      </c>
      <c r="T404" s="39">
        <v>1276.28</v>
      </c>
      <c r="U404" s="39">
        <v>1341.74</v>
      </c>
      <c r="V404" s="39">
        <v>1201.3399999999999</v>
      </c>
      <c r="W404" s="39">
        <v>4081.69</v>
      </c>
      <c r="X404" s="39">
        <v>3689.44</v>
      </c>
      <c r="Y404" s="39">
        <v>3557.7</v>
      </c>
      <c r="Z404" s="39">
        <v>0</v>
      </c>
      <c r="AA404" s="39">
        <v>0</v>
      </c>
      <c r="AB404" s="39">
        <v>0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0</v>
      </c>
      <c r="AI404" s="39">
        <v>5357.97</v>
      </c>
      <c r="AJ404" s="39">
        <v>5031.18</v>
      </c>
      <c r="AK404" s="39">
        <v>4759.04</v>
      </c>
      <c r="AL404" s="39">
        <v>0</v>
      </c>
      <c r="AM404" s="39">
        <v>0</v>
      </c>
      <c r="AN404" s="39">
        <v>0</v>
      </c>
      <c r="AO404" s="39">
        <v>5357.97</v>
      </c>
      <c r="AP404" s="39">
        <v>5031.18</v>
      </c>
      <c r="AQ404" s="39">
        <v>4759.04</v>
      </c>
      <c r="AR404" s="39">
        <v>5357.97</v>
      </c>
    </row>
    <row r="405" spans="1:44" x14ac:dyDescent="0.35">
      <c r="A405" s="16" t="str">
        <f t="shared" si="32"/>
        <v>39</v>
      </c>
      <c r="B405" s="19">
        <v>77388</v>
      </c>
      <c r="C405" s="16" t="str">
        <f t="shared" si="33"/>
        <v>0000000</v>
      </c>
      <c r="D405" s="17" t="s">
        <v>3663</v>
      </c>
      <c r="E405" s="16" t="s">
        <v>2509</v>
      </c>
      <c r="F405" s="16" t="s">
        <v>2409</v>
      </c>
      <c r="G405" s="35" t="s">
        <v>2510</v>
      </c>
      <c r="H405" s="39">
        <v>182.18</v>
      </c>
      <c r="I405" s="39">
        <v>168.17</v>
      </c>
      <c r="J405" s="39">
        <v>181.91</v>
      </c>
      <c r="K405" s="39">
        <v>0</v>
      </c>
      <c r="L405" s="39">
        <v>0</v>
      </c>
      <c r="M405" s="39">
        <v>0</v>
      </c>
      <c r="N405" s="39">
        <v>0</v>
      </c>
      <c r="O405" s="39">
        <v>0</v>
      </c>
      <c r="P405" s="39">
        <v>0</v>
      </c>
      <c r="Q405" s="39">
        <v>0</v>
      </c>
      <c r="R405" s="39">
        <v>0</v>
      </c>
      <c r="S405" s="39">
        <v>0</v>
      </c>
      <c r="T405" s="39">
        <v>0</v>
      </c>
      <c r="U405" s="39">
        <v>0</v>
      </c>
      <c r="V405" s="39">
        <v>0</v>
      </c>
      <c r="W405" s="39">
        <v>0</v>
      </c>
      <c r="X405" s="39">
        <v>0</v>
      </c>
      <c r="Y405" s="39">
        <v>0</v>
      </c>
      <c r="Z405" s="39">
        <v>0</v>
      </c>
      <c r="AA405" s="39">
        <v>0</v>
      </c>
      <c r="AB405" s="39">
        <v>0</v>
      </c>
      <c r="AC405" s="39">
        <v>3208.96</v>
      </c>
      <c r="AD405" s="39">
        <v>2740.97</v>
      </c>
      <c r="AE405" s="39">
        <v>2243.7199999999998</v>
      </c>
      <c r="AF405" s="39">
        <v>0</v>
      </c>
      <c r="AG405" s="39">
        <v>0</v>
      </c>
      <c r="AH405" s="39">
        <v>0</v>
      </c>
      <c r="AI405" s="39">
        <v>3391.14</v>
      </c>
      <c r="AJ405" s="39">
        <v>2909.14</v>
      </c>
      <c r="AK405" s="39">
        <v>2425.63</v>
      </c>
      <c r="AL405" s="39">
        <v>0</v>
      </c>
      <c r="AM405" s="39">
        <v>0</v>
      </c>
      <c r="AN405" s="39">
        <v>0</v>
      </c>
      <c r="AO405" s="39">
        <v>3391.14</v>
      </c>
      <c r="AP405" s="39">
        <v>2909.14</v>
      </c>
      <c r="AQ405" s="39">
        <v>2425.63</v>
      </c>
      <c r="AR405" s="39">
        <v>3391.14</v>
      </c>
    </row>
    <row r="406" spans="1:44" x14ac:dyDescent="0.35">
      <c r="A406" s="16" t="str">
        <f t="shared" si="32"/>
        <v>39</v>
      </c>
      <c r="B406" s="19">
        <v>68627</v>
      </c>
      <c r="C406" s="16" t="str">
        <f t="shared" si="33"/>
        <v>0000000</v>
      </c>
      <c r="D406" s="17" t="s">
        <v>3663</v>
      </c>
      <c r="E406" s="16" t="s">
        <v>2438</v>
      </c>
      <c r="F406" s="16" t="s">
        <v>2409</v>
      </c>
      <c r="G406" s="35" t="s">
        <v>2439</v>
      </c>
      <c r="H406" s="39">
        <v>17.84</v>
      </c>
      <c r="I406" s="39">
        <v>13.5</v>
      </c>
      <c r="J406" s="39">
        <v>21.08</v>
      </c>
      <c r="K406" s="39">
        <v>0</v>
      </c>
      <c r="L406" s="39">
        <v>0</v>
      </c>
      <c r="M406" s="39">
        <v>0</v>
      </c>
      <c r="N406" s="39">
        <v>0</v>
      </c>
      <c r="O406" s="39">
        <v>0</v>
      </c>
      <c r="P406" s="39">
        <v>0</v>
      </c>
      <c r="Q406" s="39">
        <v>0</v>
      </c>
      <c r="R406" s="39">
        <v>0</v>
      </c>
      <c r="S406" s="39">
        <v>0</v>
      </c>
      <c r="T406" s="39">
        <v>0</v>
      </c>
      <c r="U406" s="39">
        <v>0</v>
      </c>
      <c r="V406" s="39">
        <v>0</v>
      </c>
      <c r="W406" s="39">
        <v>0</v>
      </c>
      <c r="X406" s="39">
        <v>0</v>
      </c>
      <c r="Y406" s="39">
        <v>0</v>
      </c>
      <c r="Z406" s="39">
        <v>0</v>
      </c>
      <c r="AA406" s="39">
        <v>0</v>
      </c>
      <c r="AB406" s="39">
        <v>0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0</v>
      </c>
      <c r="AI406" s="39">
        <v>17.84</v>
      </c>
      <c r="AJ406" s="39">
        <v>13.5</v>
      </c>
      <c r="AK406" s="39">
        <v>21.08</v>
      </c>
      <c r="AL406" s="39">
        <v>0</v>
      </c>
      <c r="AM406" s="39">
        <v>0</v>
      </c>
      <c r="AN406" s="39">
        <v>0</v>
      </c>
      <c r="AO406" s="39">
        <v>17.84</v>
      </c>
      <c r="AP406" s="39">
        <v>13.5</v>
      </c>
      <c r="AQ406" s="39">
        <v>21.08</v>
      </c>
      <c r="AR406" s="39">
        <v>21.08</v>
      </c>
    </row>
    <row r="407" spans="1:44" x14ac:dyDescent="0.35">
      <c r="A407" s="16" t="str">
        <f t="shared" si="32"/>
        <v>39</v>
      </c>
      <c r="B407" s="19">
        <v>68502</v>
      </c>
      <c r="C407" s="16" t="str">
        <f t="shared" si="33"/>
        <v>0000000</v>
      </c>
      <c r="D407" s="17" t="s">
        <v>3663</v>
      </c>
      <c r="E407" s="16" t="s">
        <v>2412</v>
      </c>
      <c r="F407" s="16" t="s">
        <v>2409</v>
      </c>
      <c r="G407" s="35" t="s">
        <v>2413</v>
      </c>
      <c r="H407" s="39">
        <v>2539.87</v>
      </c>
      <c r="I407" s="39">
        <v>2585.33</v>
      </c>
      <c r="J407" s="39">
        <v>2510.1799999999998</v>
      </c>
      <c r="K407" s="39">
        <v>0</v>
      </c>
      <c r="L407" s="39">
        <v>0</v>
      </c>
      <c r="M407" s="39">
        <v>0</v>
      </c>
      <c r="N407" s="39">
        <v>0</v>
      </c>
      <c r="O407" s="39">
        <v>0</v>
      </c>
      <c r="P407" s="39">
        <v>0</v>
      </c>
      <c r="Q407" s="39">
        <v>0</v>
      </c>
      <c r="R407" s="39">
        <v>0</v>
      </c>
      <c r="S407" s="39">
        <v>0</v>
      </c>
      <c r="T407" s="39">
        <v>0</v>
      </c>
      <c r="U407" s="39">
        <v>0</v>
      </c>
      <c r="V407" s="39">
        <v>0</v>
      </c>
      <c r="W407" s="39">
        <v>0</v>
      </c>
      <c r="X407" s="39">
        <v>0</v>
      </c>
      <c r="Y407" s="39">
        <v>0</v>
      </c>
      <c r="Z407" s="39">
        <v>0</v>
      </c>
      <c r="AA407" s="39">
        <v>0</v>
      </c>
      <c r="AB407" s="39">
        <v>0</v>
      </c>
      <c r="AC407" s="39">
        <v>358.71</v>
      </c>
      <c r="AD407" s="39">
        <v>328.48</v>
      </c>
      <c r="AE407" s="39">
        <v>304.45</v>
      </c>
      <c r="AF407" s="39">
        <v>0</v>
      </c>
      <c r="AG407" s="39">
        <v>0</v>
      </c>
      <c r="AH407" s="39">
        <v>0</v>
      </c>
      <c r="AI407" s="39">
        <v>2898.58</v>
      </c>
      <c r="AJ407" s="39">
        <v>2913.81</v>
      </c>
      <c r="AK407" s="39">
        <v>2814.63</v>
      </c>
      <c r="AL407" s="39">
        <v>0</v>
      </c>
      <c r="AM407" s="39">
        <v>0</v>
      </c>
      <c r="AN407" s="39">
        <v>0</v>
      </c>
      <c r="AO407" s="39">
        <v>2898.58</v>
      </c>
      <c r="AP407" s="39">
        <v>2913.81</v>
      </c>
      <c r="AQ407" s="39">
        <v>2814.63</v>
      </c>
      <c r="AR407" s="39">
        <v>2913.81</v>
      </c>
    </row>
    <row r="408" spans="1:44" x14ac:dyDescent="0.35">
      <c r="A408" s="16" t="str">
        <f t="shared" si="32"/>
        <v>39</v>
      </c>
      <c r="B408" s="19">
        <v>68569</v>
      </c>
      <c r="C408" s="16" t="str">
        <f t="shared" si="33"/>
        <v>0000000</v>
      </c>
      <c r="D408" s="17" t="s">
        <v>3663</v>
      </c>
      <c r="E408" s="16" t="s">
        <v>2415</v>
      </c>
      <c r="F408" s="16" t="s">
        <v>2409</v>
      </c>
      <c r="G408" s="35" t="s">
        <v>2416</v>
      </c>
      <c r="H408" s="39">
        <v>7726.14</v>
      </c>
      <c r="I408" s="39">
        <v>7738.14</v>
      </c>
      <c r="J408" s="39">
        <v>7631.31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0</v>
      </c>
      <c r="Q408" s="39">
        <v>0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39">
        <v>0</v>
      </c>
      <c r="X408" s="39">
        <v>0</v>
      </c>
      <c r="Y408" s="39">
        <v>0</v>
      </c>
      <c r="Z408" s="39">
        <v>0</v>
      </c>
      <c r="AA408" s="39">
        <v>0</v>
      </c>
      <c r="AB408" s="39">
        <v>0</v>
      </c>
      <c r="AC408" s="39">
        <v>405.88</v>
      </c>
      <c r="AD408" s="39">
        <v>424.3</v>
      </c>
      <c r="AE408" s="39">
        <v>428.63</v>
      </c>
      <c r="AF408" s="39">
        <v>0</v>
      </c>
      <c r="AG408" s="39">
        <v>0</v>
      </c>
      <c r="AH408" s="39">
        <v>0</v>
      </c>
      <c r="AI408" s="39">
        <v>8132.02</v>
      </c>
      <c r="AJ408" s="39">
        <v>8162.44</v>
      </c>
      <c r="AK408" s="39">
        <v>8059.94</v>
      </c>
      <c r="AL408" s="39">
        <v>0</v>
      </c>
      <c r="AM408" s="39">
        <v>0</v>
      </c>
      <c r="AN408" s="39">
        <v>0</v>
      </c>
      <c r="AO408" s="39">
        <v>8132.02</v>
      </c>
      <c r="AP408" s="39">
        <v>8162.44</v>
      </c>
      <c r="AQ408" s="39">
        <v>8059.94</v>
      </c>
      <c r="AR408" s="39">
        <v>8162.44</v>
      </c>
    </row>
    <row r="409" spans="1:44" x14ac:dyDescent="0.35">
      <c r="A409" s="16" t="str">
        <f t="shared" si="32"/>
        <v>39</v>
      </c>
      <c r="B409" s="19">
        <v>68577</v>
      </c>
      <c r="C409" s="16" t="str">
        <f t="shared" si="33"/>
        <v>0000000</v>
      </c>
      <c r="D409" s="17" t="s">
        <v>3663</v>
      </c>
      <c r="E409" s="16" t="s">
        <v>2417</v>
      </c>
      <c r="F409" s="16" t="s">
        <v>2409</v>
      </c>
      <c r="G409" s="35" t="s">
        <v>2418</v>
      </c>
      <c r="H409" s="39">
        <v>2213.8000000000002</v>
      </c>
      <c r="I409" s="39">
        <v>2147.06</v>
      </c>
      <c r="J409" s="39">
        <v>2107.17</v>
      </c>
      <c r="K409" s="39">
        <v>0</v>
      </c>
      <c r="L409" s="39">
        <v>0</v>
      </c>
      <c r="M409" s="39">
        <v>0</v>
      </c>
      <c r="N409" s="39">
        <v>0</v>
      </c>
      <c r="O409" s="39">
        <v>0</v>
      </c>
      <c r="P409" s="39">
        <v>0</v>
      </c>
      <c r="Q409" s="39">
        <v>0</v>
      </c>
      <c r="R409" s="39">
        <v>0</v>
      </c>
      <c r="S409" s="39">
        <v>0</v>
      </c>
      <c r="T409" s="39">
        <v>0</v>
      </c>
      <c r="U409" s="39">
        <v>0</v>
      </c>
      <c r="V409" s="39">
        <v>0</v>
      </c>
      <c r="W409" s="39">
        <v>0</v>
      </c>
      <c r="X409" s="39">
        <v>0</v>
      </c>
      <c r="Y409" s="39">
        <v>0</v>
      </c>
      <c r="Z409" s="39">
        <v>0</v>
      </c>
      <c r="AA409" s="39">
        <v>0</v>
      </c>
      <c r="AB409" s="39">
        <v>0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0</v>
      </c>
      <c r="AI409" s="39">
        <v>2213.8000000000002</v>
      </c>
      <c r="AJ409" s="39">
        <v>2147.06</v>
      </c>
      <c r="AK409" s="39">
        <v>2107.17</v>
      </c>
      <c r="AL409" s="39">
        <v>0</v>
      </c>
      <c r="AM409" s="39">
        <v>0</v>
      </c>
      <c r="AN409" s="39">
        <v>0</v>
      </c>
      <c r="AO409" s="39">
        <v>2213.8000000000002</v>
      </c>
      <c r="AP409" s="39">
        <v>2147.06</v>
      </c>
      <c r="AQ409" s="39">
        <v>2107.17</v>
      </c>
      <c r="AR409" s="39">
        <v>2213.8000000000002</v>
      </c>
    </row>
    <row r="410" spans="1:44" x14ac:dyDescent="0.35">
      <c r="A410" s="16" t="str">
        <f t="shared" si="32"/>
        <v>39</v>
      </c>
      <c r="B410" s="19">
        <v>68593</v>
      </c>
      <c r="C410" s="16" t="str">
        <f t="shared" si="33"/>
        <v>0000000</v>
      </c>
      <c r="D410" s="17" t="s">
        <v>3663</v>
      </c>
      <c r="E410" s="16" t="s">
        <v>2434</v>
      </c>
      <c r="F410" s="16" t="s">
        <v>2409</v>
      </c>
      <c r="G410" s="35" t="s">
        <v>2435</v>
      </c>
      <c r="H410" s="39">
        <v>23477.8</v>
      </c>
      <c r="I410" s="39">
        <v>23327.42</v>
      </c>
      <c r="J410" s="39">
        <v>23369.61</v>
      </c>
      <c r="K410" s="39">
        <v>0</v>
      </c>
      <c r="L410" s="39">
        <v>0</v>
      </c>
      <c r="M410" s="39">
        <v>0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0</v>
      </c>
      <c r="T410" s="39">
        <v>0</v>
      </c>
      <c r="U410" s="39">
        <v>0</v>
      </c>
      <c r="V410" s="39">
        <v>0</v>
      </c>
      <c r="W410" s="39">
        <v>0</v>
      </c>
      <c r="X410" s="39">
        <v>0</v>
      </c>
      <c r="Y410" s="39">
        <v>0</v>
      </c>
      <c r="Z410" s="39">
        <v>0</v>
      </c>
      <c r="AA410" s="39">
        <v>0</v>
      </c>
      <c r="AB410" s="39">
        <v>0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0</v>
      </c>
      <c r="AI410" s="39">
        <v>23477.8</v>
      </c>
      <c r="AJ410" s="39">
        <v>23327.42</v>
      </c>
      <c r="AK410" s="39">
        <v>23369.61</v>
      </c>
      <c r="AL410" s="39">
        <v>0</v>
      </c>
      <c r="AM410" s="39">
        <v>0</v>
      </c>
      <c r="AN410" s="39">
        <v>0</v>
      </c>
      <c r="AO410" s="39">
        <v>23477.8</v>
      </c>
      <c r="AP410" s="39">
        <v>23327.42</v>
      </c>
      <c r="AQ410" s="39">
        <v>23369.61</v>
      </c>
      <c r="AR410" s="39">
        <v>23477.8</v>
      </c>
    </row>
    <row r="411" spans="1:44" x14ac:dyDescent="0.35">
      <c r="A411" s="16" t="str">
        <f t="shared" si="32"/>
        <v>39</v>
      </c>
      <c r="B411" s="19">
        <v>68650</v>
      </c>
      <c r="C411" s="16" t="str">
        <f t="shared" si="33"/>
        <v>0000000</v>
      </c>
      <c r="D411" s="17" t="s">
        <v>3663</v>
      </c>
      <c r="E411" s="16" t="s">
        <v>2463</v>
      </c>
      <c r="F411" s="16" t="s">
        <v>2409</v>
      </c>
      <c r="G411" s="35" t="s">
        <v>2464</v>
      </c>
      <c r="H411" s="39">
        <v>3221.47</v>
      </c>
      <c r="I411" s="39">
        <v>3212.98</v>
      </c>
      <c r="J411" s="39">
        <v>3121.04</v>
      </c>
      <c r="K411" s="39">
        <v>0</v>
      </c>
      <c r="L411" s="39">
        <v>0</v>
      </c>
      <c r="M411" s="39">
        <v>0</v>
      </c>
      <c r="N411" s="39">
        <v>0</v>
      </c>
      <c r="O411" s="39">
        <v>0</v>
      </c>
      <c r="P411" s="39">
        <v>0</v>
      </c>
      <c r="Q411" s="39">
        <v>0</v>
      </c>
      <c r="R411" s="39">
        <v>0</v>
      </c>
      <c r="S411" s="39">
        <v>0</v>
      </c>
      <c r="T411" s="39">
        <v>0</v>
      </c>
      <c r="U411" s="39">
        <v>0</v>
      </c>
      <c r="V411" s="39">
        <v>0</v>
      </c>
      <c r="W411" s="39">
        <v>0</v>
      </c>
      <c r="X411" s="39">
        <v>0</v>
      </c>
      <c r="Y411" s="39">
        <v>0</v>
      </c>
      <c r="Z411" s="39">
        <v>0</v>
      </c>
      <c r="AA411" s="39">
        <v>0</v>
      </c>
      <c r="AB411" s="39">
        <v>0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0</v>
      </c>
      <c r="AI411" s="39">
        <v>3221.47</v>
      </c>
      <c r="AJ411" s="39">
        <v>3212.98</v>
      </c>
      <c r="AK411" s="39">
        <v>3121.04</v>
      </c>
      <c r="AL411" s="39">
        <v>0</v>
      </c>
      <c r="AM411" s="39">
        <v>0</v>
      </c>
      <c r="AN411" s="39">
        <v>0</v>
      </c>
      <c r="AO411" s="39">
        <v>3221.47</v>
      </c>
      <c r="AP411" s="39">
        <v>3212.98</v>
      </c>
      <c r="AQ411" s="39">
        <v>3121.04</v>
      </c>
      <c r="AR411" s="39">
        <v>3221.47</v>
      </c>
    </row>
    <row r="412" spans="1:44" x14ac:dyDescent="0.35">
      <c r="A412" s="16" t="str">
        <f t="shared" si="32"/>
        <v>39</v>
      </c>
      <c r="B412" s="19">
        <v>68544</v>
      </c>
      <c r="C412" s="16" t="str">
        <f t="shared" si="33"/>
        <v>0000000</v>
      </c>
      <c r="D412" s="17" t="s">
        <v>3663</v>
      </c>
      <c r="E412" s="16" t="s">
        <v>2414</v>
      </c>
      <c r="F412" s="16" t="s">
        <v>2409</v>
      </c>
      <c r="G412" s="35" t="s">
        <v>1893</v>
      </c>
      <c r="H412" s="39">
        <v>2984.17</v>
      </c>
      <c r="I412" s="39">
        <v>2790.4</v>
      </c>
      <c r="J412" s="39">
        <v>2502.33</v>
      </c>
      <c r="K412" s="39">
        <v>0</v>
      </c>
      <c r="L412" s="39">
        <v>0</v>
      </c>
      <c r="M412" s="39">
        <v>0</v>
      </c>
      <c r="N412" s="39">
        <v>0</v>
      </c>
      <c r="O412" s="39">
        <v>0</v>
      </c>
      <c r="P412" s="39">
        <v>0</v>
      </c>
      <c r="Q412" s="39">
        <v>0</v>
      </c>
      <c r="R412" s="39">
        <v>0</v>
      </c>
      <c r="S412" s="39">
        <v>0</v>
      </c>
      <c r="T412" s="39">
        <v>0</v>
      </c>
      <c r="U412" s="39">
        <v>0</v>
      </c>
      <c r="V412" s="39">
        <v>0</v>
      </c>
      <c r="W412" s="39">
        <v>0</v>
      </c>
      <c r="X412" s="39">
        <v>0</v>
      </c>
      <c r="Y412" s="39">
        <v>0</v>
      </c>
      <c r="Z412" s="39">
        <v>0</v>
      </c>
      <c r="AA412" s="39">
        <v>0</v>
      </c>
      <c r="AB412" s="39">
        <v>0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0</v>
      </c>
      <c r="AI412" s="39">
        <v>2984.17</v>
      </c>
      <c r="AJ412" s="39">
        <v>2790.4</v>
      </c>
      <c r="AK412" s="39">
        <v>2502.33</v>
      </c>
      <c r="AL412" s="39">
        <v>0</v>
      </c>
      <c r="AM412" s="39">
        <v>0</v>
      </c>
      <c r="AN412" s="39">
        <v>0</v>
      </c>
      <c r="AO412" s="39">
        <v>2984.17</v>
      </c>
      <c r="AP412" s="39">
        <v>2790.4</v>
      </c>
      <c r="AQ412" s="39">
        <v>2502.33</v>
      </c>
      <c r="AR412" s="39">
        <v>2984.17</v>
      </c>
    </row>
    <row r="413" spans="1:44" x14ac:dyDescent="0.35">
      <c r="A413" s="16" t="str">
        <f t="shared" si="32"/>
        <v>39</v>
      </c>
      <c r="B413" s="19">
        <v>75499</v>
      </c>
      <c r="C413" s="16" t="str">
        <f t="shared" si="33"/>
        <v>0000000</v>
      </c>
      <c r="D413" s="17" t="s">
        <v>3663</v>
      </c>
      <c r="E413" s="16" t="s">
        <v>2496</v>
      </c>
      <c r="F413" s="16" t="s">
        <v>2409</v>
      </c>
      <c r="G413" s="35" t="s">
        <v>2497</v>
      </c>
      <c r="H413" s="39">
        <v>12427.36</v>
      </c>
      <c r="I413" s="39">
        <v>12566.95</v>
      </c>
      <c r="J413" s="39">
        <v>12591.74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357.21</v>
      </c>
      <c r="AD413" s="39">
        <v>301.99</v>
      </c>
      <c r="AE413" s="39">
        <v>273.60000000000002</v>
      </c>
      <c r="AF413" s="39">
        <v>0</v>
      </c>
      <c r="AG413" s="39">
        <v>0</v>
      </c>
      <c r="AH413" s="39">
        <v>0</v>
      </c>
      <c r="AI413" s="39">
        <v>12784.57</v>
      </c>
      <c r="AJ413" s="39">
        <v>12868.94</v>
      </c>
      <c r="AK413" s="39">
        <v>12865.34</v>
      </c>
      <c r="AL413" s="39">
        <v>0</v>
      </c>
      <c r="AM413" s="39">
        <v>0</v>
      </c>
      <c r="AN413" s="39">
        <v>0</v>
      </c>
      <c r="AO413" s="39">
        <v>12784.57</v>
      </c>
      <c r="AP413" s="39">
        <v>12868.94</v>
      </c>
      <c r="AQ413" s="39">
        <v>12865.34</v>
      </c>
      <c r="AR413" s="39">
        <v>12868.94</v>
      </c>
    </row>
    <row r="414" spans="1:44" x14ac:dyDescent="0.35">
      <c r="A414" s="16" t="str">
        <f t="shared" si="32"/>
        <v>39</v>
      </c>
      <c r="B414" s="19">
        <v>76760</v>
      </c>
      <c r="C414" s="16" t="str">
        <f t="shared" si="33"/>
        <v>0000000</v>
      </c>
      <c r="D414" s="17" t="s">
        <v>3663</v>
      </c>
      <c r="E414" s="16" t="s">
        <v>2507</v>
      </c>
      <c r="F414" s="16" t="s">
        <v>2409</v>
      </c>
      <c r="G414" s="35" t="s">
        <v>2508</v>
      </c>
      <c r="H414" s="39">
        <v>7667.22</v>
      </c>
      <c r="I414" s="39">
        <v>7497.57</v>
      </c>
      <c r="J414" s="39">
        <v>7187.16</v>
      </c>
      <c r="K414" s="39">
        <v>0</v>
      </c>
      <c r="L414" s="39">
        <v>0</v>
      </c>
      <c r="M414" s="39">
        <v>0</v>
      </c>
      <c r="N414" s="39">
        <v>0</v>
      </c>
      <c r="O414" s="39">
        <v>0</v>
      </c>
      <c r="P414" s="39">
        <v>0</v>
      </c>
      <c r="Q414" s="39">
        <v>0</v>
      </c>
      <c r="R414" s="39">
        <v>0</v>
      </c>
      <c r="S414" s="39">
        <v>0</v>
      </c>
      <c r="T414" s="39">
        <v>0</v>
      </c>
      <c r="U414" s="39">
        <v>0</v>
      </c>
      <c r="V414" s="39">
        <v>0</v>
      </c>
      <c r="W414" s="39">
        <v>0</v>
      </c>
      <c r="X414" s="39">
        <v>0</v>
      </c>
      <c r="Y414" s="39">
        <v>0</v>
      </c>
      <c r="Z414" s="39">
        <v>0</v>
      </c>
      <c r="AA414" s="39">
        <v>0</v>
      </c>
      <c r="AB414" s="39">
        <v>0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0</v>
      </c>
      <c r="AI414" s="39">
        <v>7667.22</v>
      </c>
      <c r="AJ414" s="39">
        <v>7497.57</v>
      </c>
      <c r="AK414" s="39">
        <v>7187.16</v>
      </c>
      <c r="AL414" s="39">
        <v>0</v>
      </c>
      <c r="AM414" s="39">
        <v>0</v>
      </c>
      <c r="AN414" s="39">
        <v>0</v>
      </c>
      <c r="AO414" s="39">
        <v>7667.22</v>
      </c>
      <c r="AP414" s="39">
        <v>7497.57</v>
      </c>
      <c r="AQ414" s="39">
        <v>7187.16</v>
      </c>
      <c r="AR414" s="39">
        <v>7667.22</v>
      </c>
    </row>
    <row r="415" spans="1:44" x14ac:dyDescent="0.35">
      <c r="A415" s="16" t="str">
        <f t="shared" ref="A415:A444" si="34">TEXT(10,"00")</f>
        <v>10</v>
      </c>
      <c r="B415" s="19">
        <v>10108</v>
      </c>
      <c r="C415" s="16" t="str">
        <f t="shared" si="33"/>
        <v>0000000</v>
      </c>
      <c r="D415" s="17" t="s">
        <v>3663</v>
      </c>
      <c r="E415" s="16" t="s">
        <v>386</v>
      </c>
      <c r="F415" s="16" t="s">
        <v>387</v>
      </c>
      <c r="G415" s="35" t="s">
        <v>387</v>
      </c>
      <c r="H415" s="39">
        <v>0</v>
      </c>
      <c r="I415" s="39">
        <v>0</v>
      </c>
      <c r="J415" s="39">
        <v>0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0</v>
      </c>
      <c r="Q415" s="39">
        <v>0</v>
      </c>
      <c r="R415" s="39">
        <v>0</v>
      </c>
      <c r="S415" s="39">
        <v>0</v>
      </c>
      <c r="T415" s="39">
        <v>115.83</v>
      </c>
      <c r="U415" s="39">
        <v>117.16</v>
      </c>
      <c r="V415" s="39">
        <v>151.22</v>
      </c>
      <c r="W415" s="39">
        <v>575.09</v>
      </c>
      <c r="X415" s="39">
        <v>525.29999999999995</v>
      </c>
      <c r="Y415" s="39">
        <v>514.79999999999995</v>
      </c>
      <c r="Z415" s="39">
        <v>0</v>
      </c>
      <c r="AA415" s="39">
        <v>0</v>
      </c>
      <c r="AB415" s="39">
        <v>0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0</v>
      </c>
      <c r="AI415" s="39">
        <v>690.92</v>
      </c>
      <c r="AJ415" s="39">
        <v>642.46</v>
      </c>
      <c r="AK415" s="39">
        <v>666.02</v>
      </c>
      <c r="AL415" s="39">
        <v>0</v>
      </c>
      <c r="AM415" s="39">
        <v>0</v>
      </c>
      <c r="AN415" s="39">
        <v>0</v>
      </c>
      <c r="AO415" s="39">
        <v>690.92</v>
      </c>
      <c r="AP415" s="39">
        <v>642.46</v>
      </c>
      <c r="AQ415" s="39">
        <v>666.02</v>
      </c>
      <c r="AR415" s="39">
        <v>690.92</v>
      </c>
    </row>
    <row r="416" spans="1:44" x14ac:dyDescent="0.35">
      <c r="A416" s="16" t="str">
        <f t="shared" si="34"/>
        <v>10</v>
      </c>
      <c r="B416" s="19">
        <v>62240</v>
      </c>
      <c r="C416" s="16" t="str">
        <f t="shared" si="33"/>
        <v>0000000</v>
      </c>
      <c r="D416" s="17" t="s">
        <v>3663</v>
      </c>
      <c r="E416" s="16" t="s">
        <v>440</v>
      </c>
      <c r="F416" s="16" t="s">
        <v>387</v>
      </c>
      <c r="G416" s="35" t="s">
        <v>441</v>
      </c>
      <c r="H416" s="39">
        <v>0</v>
      </c>
      <c r="I416" s="39">
        <v>0</v>
      </c>
      <c r="J416" s="39">
        <v>0</v>
      </c>
      <c r="K416" s="39">
        <v>0</v>
      </c>
      <c r="L416" s="39">
        <v>0</v>
      </c>
      <c r="M416" s="39">
        <v>0</v>
      </c>
      <c r="N416" s="39">
        <v>0</v>
      </c>
      <c r="O416" s="39">
        <v>0</v>
      </c>
      <c r="P416" s="39">
        <v>0</v>
      </c>
      <c r="Q416" s="39">
        <v>0</v>
      </c>
      <c r="R416" s="39">
        <v>0</v>
      </c>
      <c r="S416" s="39">
        <v>0</v>
      </c>
      <c r="T416" s="39">
        <v>0</v>
      </c>
      <c r="U416" s="39">
        <v>0</v>
      </c>
      <c r="V416" s="39">
        <v>0</v>
      </c>
      <c r="W416" s="39">
        <v>0</v>
      </c>
      <c r="X416" s="39">
        <v>0</v>
      </c>
      <c r="Y416" s="39">
        <v>0</v>
      </c>
      <c r="Z416" s="39">
        <v>0</v>
      </c>
      <c r="AA416" s="39">
        <v>0</v>
      </c>
      <c r="AB416" s="39">
        <v>0</v>
      </c>
      <c r="AC416" s="39">
        <v>2084.5</v>
      </c>
      <c r="AD416" s="39">
        <v>2147.9699999999998</v>
      </c>
      <c r="AE416" s="39">
        <v>2127.62</v>
      </c>
      <c r="AF416" s="39">
        <v>0</v>
      </c>
      <c r="AG416" s="39">
        <v>0</v>
      </c>
      <c r="AH416" s="39">
        <v>0</v>
      </c>
      <c r="AI416" s="39">
        <v>2084.5</v>
      </c>
      <c r="AJ416" s="39">
        <v>2147.9699999999998</v>
      </c>
      <c r="AK416" s="39">
        <v>2127.62</v>
      </c>
      <c r="AL416" s="39">
        <v>0</v>
      </c>
      <c r="AM416" s="39">
        <v>0</v>
      </c>
      <c r="AN416" s="39">
        <v>0</v>
      </c>
      <c r="AO416" s="39">
        <v>2084.5</v>
      </c>
      <c r="AP416" s="39">
        <v>2147.9699999999998</v>
      </c>
      <c r="AQ416" s="39">
        <v>2127.62</v>
      </c>
      <c r="AR416" s="39">
        <v>2147.9699999999998</v>
      </c>
    </row>
    <row r="417" spans="1:44" x14ac:dyDescent="0.35">
      <c r="A417" s="16" t="str">
        <f t="shared" si="34"/>
        <v>10</v>
      </c>
      <c r="B417" s="19">
        <v>75127</v>
      </c>
      <c r="C417" s="16" t="str">
        <f t="shared" si="33"/>
        <v>0000000</v>
      </c>
      <c r="D417" s="17" t="s">
        <v>3663</v>
      </c>
      <c r="E417" s="16" t="s">
        <v>484</v>
      </c>
      <c r="F417" s="16" t="s">
        <v>387</v>
      </c>
      <c r="G417" s="35" t="s">
        <v>485</v>
      </c>
      <c r="H417" s="39">
        <v>3717.53</v>
      </c>
      <c r="I417" s="39">
        <v>3625.46</v>
      </c>
      <c r="J417" s="39">
        <v>3536.22</v>
      </c>
      <c r="K417" s="39">
        <v>0</v>
      </c>
      <c r="L417" s="39">
        <v>0</v>
      </c>
      <c r="M417" s="39">
        <v>0</v>
      </c>
      <c r="N417" s="39">
        <v>0</v>
      </c>
      <c r="O417" s="39">
        <v>0</v>
      </c>
      <c r="P417" s="39">
        <v>0</v>
      </c>
      <c r="Q417" s="39">
        <v>0</v>
      </c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39">
        <v>0</v>
      </c>
      <c r="X417" s="39">
        <v>0</v>
      </c>
      <c r="Y417" s="39">
        <v>0</v>
      </c>
      <c r="Z417" s="39">
        <v>0</v>
      </c>
      <c r="AA417" s="39">
        <v>0</v>
      </c>
      <c r="AB417" s="39">
        <v>0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0</v>
      </c>
      <c r="AI417" s="39">
        <v>3717.53</v>
      </c>
      <c r="AJ417" s="39">
        <v>3625.46</v>
      </c>
      <c r="AK417" s="39">
        <v>3536.22</v>
      </c>
      <c r="AL417" s="39">
        <v>0</v>
      </c>
      <c r="AM417" s="39">
        <v>0</v>
      </c>
      <c r="AN417" s="39">
        <v>0</v>
      </c>
      <c r="AO417" s="39">
        <v>3717.53</v>
      </c>
      <c r="AP417" s="39">
        <v>3625.46</v>
      </c>
      <c r="AQ417" s="39">
        <v>3536.22</v>
      </c>
      <c r="AR417" s="39">
        <v>3717.53</v>
      </c>
    </row>
    <row r="418" spans="1:44" x14ac:dyDescent="0.35">
      <c r="A418" s="16" t="str">
        <f t="shared" si="34"/>
        <v>10</v>
      </c>
      <c r="B418" s="19">
        <v>62331</v>
      </c>
      <c r="C418" s="16" t="str">
        <f t="shared" si="33"/>
        <v>0000000</v>
      </c>
      <c r="D418" s="17" t="s">
        <v>3663</v>
      </c>
      <c r="E418" s="16" t="s">
        <v>450</v>
      </c>
      <c r="F418" s="16" t="s">
        <v>387</v>
      </c>
      <c r="G418" s="35" t="s">
        <v>451</v>
      </c>
      <c r="H418" s="39">
        <v>238.54</v>
      </c>
      <c r="I418" s="39">
        <v>234.1</v>
      </c>
      <c r="J418" s="39">
        <v>230.15</v>
      </c>
      <c r="K418" s="39">
        <v>0</v>
      </c>
      <c r="L418" s="39">
        <v>0</v>
      </c>
      <c r="M418" s="39">
        <v>0</v>
      </c>
      <c r="N418" s="39">
        <v>0</v>
      </c>
      <c r="O418" s="39">
        <v>0</v>
      </c>
      <c r="P418" s="39">
        <v>0</v>
      </c>
      <c r="Q418" s="39">
        <v>0</v>
      </c>
      <c r="R418" s="39">
        <v>0</v>
      </c>
      <c r="S418" s="39">
        <v>0</v>
      </c>
      <c r="T418" s="39">
        <v>0</v>
      </c>
      <c r="U418" s="39">
        <v>0</v>
      </c>
      <c r="V418" s="39">
        <v>0</v>
      </c>
      <c r="W418" s="39">
        <v>0</v>
      </c>
      <c r="X418" s="39">
        <v>0</v>
      </c>
      <c r="Y418" s="39">
        <v>0</v>
      </c>
      <c r="Z418" s="39">
        <v>0</v>
      </c>
      <c r="AA418" s="39">
        <v>0</v>
      </c>
      <c r="AB418" s="39">
        <v>0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0</v>
      </c>
      <c r="AI418" s="39">
        <v>238.54</v>
      </c>
      <c r="AJ418" s="39">
        <v>234.1</v>
      </c>
      <c r="AK418" s="39">
        <v>230.15</v>
      </c>
      <c r="AL418" s="39">
        <v>0</v>
      </c>
      <c r="AM418" s="39">
        <v>0</v>
      </c>
      <c r="AN418" s="39">
        <v>0</v>
      </c>
      <c r="AO418" s="39">
        <v>238.54</v>
      </c>
      <c r="AP418" s="39">
        <v>234.1</v>
      </c>
      <c r="AQ418" s="39">
        <v>230.15</v>
      </c>
      <c r="AR418" s="39">
        <v>238.54</v>
      </c>
    </row>
    <row r="419" spans="1:44" x14ac:dyDescent="0.35">
      <c r="A419" s="16" t="str">
        <f t="shared" si="34"/>
        <v>10</v>
      </c>
      <c r="B419" s="19">
        <v>62356</v>
      </c>
      <c r="C419" s="16" t="str">
        <f t="shared" si="33"/>
        <v>0000000</v>
      </c>
      <c r="D419" s="17" t="s">
        <v>3663</v>
      </c>
      <c r="E419" s="16" t="s">
        <v>454</v>
      </c>
      <c r="F419" s="16" t="s">
        <v>387</v>
      </c>
      <c r="G419" s="35" t="s">
        <v>455</v>
      </c>
      <c r="H419" s="39">
        <v>308.56</v>
      </c>
      <c r="I419" s="39">
        <v>332.91</v>
      </c>
      <c r="J419" s="39">
        <v>323.63</v>
      </c>
      <c r="K419" s="39">
        <v>0</v>
      </c>
      <c r="L419" s="39">
        <v>0</v>
      </c>
      <c r="M419" s="39">
        <v>0</v>
      </c>
      <c r="N419" s="39">
        <v>0</v>
      </c>
      <c r="O419" s="39">
        <v>0</v>
      </c>
      <c r="P419" s="39">
        <v>0</v>
      </c>
      <c r="Q419" s="39">
        <v>0</v>
      </c>
      <c r="R419" s="39">
        <v>0</v>
      </c>
      <c r="S419" s="39">
        <v>0</v>
      </c>
      <c r="T419" s="39">
        <v>0</v>
      </c>
      <c r="U419" s="39">
        <v>0</v>
      </c>
      <c r="V419" s="39">
        <v>0</v>
      </c>
      <c r="W419" s="39">
        <v>0</v>
      </c>
      <c r="X419" s="39">
        <v>0</v>
      </c>
      <c r="Y419" s="39">
        <v>0</v>
      </c>
      <c r="Z419" s="39">
        <v>0</v>
      </c>
      <c r="AA419" s="39">
        <v>0</v>
      </c>
      <c r="AB419" s="39">
        <v>0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0</v>
      </c>
      <c r="AI419" s="39">
        <v>308.56</v>
      </c>
      <c r="AJ419" s="39">
        <v>332.91</v>
      </c>
      <c r="AK419" s="39">
        <v>323.63</v>
      </c>
      <c r="AL419" s="39">
        <v>0</v>
      </c>
      <c r="AM419" s="39">
        <v>0</v>
      </c>
      <c r="AN419" s="39">
        <v>0</v>
      </c>
      <c r="AO419" s="39">
        <v>308.56</v>
      </c>
      <c r="AP419" s="39">
        <v>332.91</v>
      </c>
      <c r="AQ419" s="39">
        <v>323.63</v>
      </c>
      <c r="AR419" s="39">
        <v>332.91</v>
      </c>
    </row>
    <row r="420" spans="1:44" x14ac:dyDescent="0.35">
      <c r="A420" s="16" t="str">
        <f t="shared" si="34"/>
        <v>10</v>
      </c>
      <c r="B420" s="19">
        <v>62380</v>
      </c>
      <c r="C420" s="16" t="str">
        <f t="shared" si="33"/>
        <v>0000000</v>
      </c>
      <c r="D420" s="17" t="s">
        <v>3663</v>
      </c>
      <c r="E420" s="16" t="s">
        <v>460</v>
      </c>
      <c r="F420" s="16" t="s">
        <v>387</v>
      </c>
      <c r="G420" s="35" t="s">
        <v>461</v>
      </c>
      <c r="H420" s="39">
        <v>242.79</v>
      </c>
      <c r="I420" s="39">
        <v>241.62</v>
      </c>
      <c r="J420" s="39">
        <v>243.51</v>
      </c>
      <c r="K420" s="39">
        <v>0</v>
      </c>
      <c r="L420" s="39">
        <v>0</v>
      </c>
      <c r="M420" s="39">
        <v>0</v>
      </c>
      <c r="N420" s="39">
        <v>0</v>
      </c>
      <c r="O420" s="39">
        <v>0</v>
      </c>
      <c r="P420" s="39">
        <v>0</v>
      </c>
      <c r="Q420" s="39">
        <v>0</v>
      </c>
      <c r="R420" s="39">
        <v>0</v>
      </c>
      <c r="S420" s="39">
        <v>0</v>
      </c>
      <c r="T420" s="39">
        <v>0</v>
      </c>
      <c r="U420" s="39">
        <v>0</v>
      </c>
      <c r="V420" s="39">
        <v>0</v>
      </c>
      <c r="W420" s="39">
        <v>0</v>
      </c>
      <c r="X420" s="39">
        <v>0</v>
      </c>
      <c r="Y420" s="39">
        <v>0</v>
      </c>
      <c r="Z420" s="39">
        <v>0</v>
      </c>
      <c r="AA420" s="39">
        <v>0</v>
      </c>
      <c r="AB420" s="39">
        <v>0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0</v>
      </c>
      <c r="AI420" s="39">
        <v>242.79</v>
      </c>
      <c r="AJ420" s="39">
        <v>241.62</v>
      </c>
      <c r="AK420" s="39">
        <v>243.51</v>
      </c>
      <c r="AL420" s="39">
        <v>0</v>
      </c>
      <c r="AM420" s="39">
        <v>0</v>
      </c>
      <c r="AN420" s="39">
        <v>0</v>
      </c>
      <c r="AO420" s="39">
        <v>242.79</v>
      </c>
      <c r="AP420" s="39">
        <v>241.62</v>
      </c>
      <c r="AQ420" s="39">
        <v>243.51</v>
      </c>
      <c r="AR420" s="39">
        <v>243.51</v>
      </c>
    </row>
    <row r="421" spans="1:44" x14ac:dyDescent="0.35">
      <c r="A421" s="16" t="str">
        <f t="shared" si="34"/>
        <v>10</v>
      </c>
      <c r="B421" s="19">
        <v>62539</v>
      </c>
      <c r="C421" s="16" t="str">
        <f t="shared" si="33"/>
        <v>0000000</v>
      </c>
      <c r="D421" s="17" t="s">
        <v>3663</v>
      </c>
      <c r="E421" s="16" t="s">
        <v>470</v>
      </c>
      <c r="F421" s="16" t="s">
        <v>387</v>
      </c>
      <c r="G421" s="35" t="s">
        <v>471</v>
      </c>
      <c r="H421" s="39">
        <v>260.39999999999998</v>
      </c>
      <c r="I421" s="39">
        <v>276.20999999999998</v>
      </c>
      <c r="J421" s="39">
        <v>277.64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  <c r="W421" s="39">
        <v>0</v>
      </c>
      <c r="X421" s="39">
        <v>0</v>
      </c>
      <c r="Y421" s="39">
        <v>0</v>
      </c>
      <c r="Z421" s="39">
        <v>0</v>
      </c>
      <c r="AA421" s="39">
        <v>0</v>
      </c>
      <c r="AB421" s="39">
        <v>0</v>
      </c>
      <c r="AC421" s="39">
        <v>166.09</v>
      </c>
      <c r="AD421" s="39">
        <v>172.61</v>
      </c>
      <c r="AE421" s="39">
        <v>218.54</v>
      </c>
      <c r="AF421" s="39">
        <v>0</v>
      </c>
      <c r="AG421" s="39">
        <v>0</v>
      </c>
      <c r="AH421" s="39">
        <v>0</v>
      </c>
      <c r="AI421" s="39">
        <v>426.49</v>
      </c>
      <c r="AJ421" s="39">
        <v>448.82</v>
      </c>
      <c r="AK421" s="39">
        <v>496.18</v>
      </c>
      <c r="AL421" s="39">
        <v>0</v>
      </c>
      <c r="AM421" s="39">
        <v>0</v>
      </c>
      <c r="AN421" s="39">
        <v>0</v>
      </c>
      <c r="AO421" s="39">
        <v>426.49</v>
      </c>
      <c r="AP421" s="39">
        <v>448.82</v>
      </c>
      <c r="AQ421" s="39">
        <v>496.18</v>
      </c>
      <c r="AR421" s="39">
        <v>496.18</v>
      </c>
    </row>
    <row r="422" spans="1:44" x14ac:dyDescent="0.35">
      <c r="A422" s="16" t="str">
        <f t="shared" si="34"/>
        <v>10</v>
      </c>
      <c r="B422" s="19">
        <v>62257</v>
      </c>
      <c r="C422" s="16" t="str">
        <f t="shared" si="33"/>
        <v>0000000</v>
      </c>
      <c r="D422" s="17" t="s">
        <v>3663</v>
      </c>
      <c r="E422" s="16" t="s">
        <v>442</v>
      </c>
      <c r="F422" s="16" t="s">
        <v>387</v>
      </c>
      <c r="G422" s="35" t="s">
        <v>443</v>
      </c>
      <c r="H422" s="39">
        <v>1127.0899999999999</v>
      </c>
      <c r="I422" s="39">
        <v>1151.71</v>
      </c>
      <c r="J422" s="39">
        <v>1150.3499999999999</v>
      </c>
      <c r="K422" s="39">
        <v>0</v>
      </c>
      <c r="L422" s="39">
        <v>0</v>
      </c>
      <c r="M422" s="39">
        <v>0</v>
      </c>
      <c r="N422" s="39">
        <v>0</v>
      </c>
      <c r="O422" s="39">
        <v>0</v>
      </c>
      <c r="P422" s="39">
        <v>0</v>
      </c>
      <c r="Q422" s="39">
        <v>0</v>
      </c>
      <c r="R422" s="39">
        <v>0</v>
      </c>
      <c r="S422" s="39">
        <v>0</v>
      </c>
      <c r="T422" s="39">
        <v>0</v>
      </c>
      <c r="U422" s="39">
        <v>0</v>
      </c>
      <c r="V422" s="39">
        <v>0</v>
      </c>
      <c r="W422" s="39">
        <v>0</v>
      </c>
      <c r="X422" s="39">
        <v>0</v>
      </c>
      <c r="Y422" s="39">
        <v>0</v>
      </c>
      <c r="Z422" s="39">
        <v>0</v>
      </c>
      <c r="AA422" s="39">
        <v>0</v>
      </c>
      <c r="AB422" s="39">
        <v>0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0</v>
      </c>
      <c r="AI422" s="39">
        <v>1127.0899999999999</v>
      </c>
      <c r="AJ422" s="39">
        <v>1151.71</v>
      </c>
      <c r="AK422" s="39">
        <v>1150.3499999999999</v>
      </c>
      <c r="AL422" s="39">
        <v>0</v>
      </c>
      <c r="AM422" s="39">
        <v>0</v>
      </c>
      <c r="AN422" s="39">
        <v>0</v>
      </c>
      <c r="AO422" s="39">
        <v>1127.0899999999999</v>
      </c>
      <c r="AP422" s="39">
        <v>1151.71</v>
      </c>
      <c r="AQ422" s="39">
        <v>1150.3499999999999</v>
      </c>
      <c r="AR422" s="39">
        <v>1151.71</v>
      </c>
    </row>
    <row r="423" spans="1:44" x14ac:dyDescent="0.35">
      <c r="A423" s="16" t="str">
        <f t="shared" si="34"/>
        <v>10</v>
      </c>
      <c r="B423" s="19">
        <v>62125</v>
      </c>
      <c r="C423" s="16" t="str">
        <f t="shared" si="33"/>
        <v>0000000</v>
      </c>
      <c r="D423" s="17" t="s">
        <v>3663</v>
      </c>
      <c r="E423" s="16" t="s">
        <v>417</v>
      </c>
      <c r="F423" s="16" t="s">
        <v>387</v>
      </c>
      <c r="G423" s="35" t="s">
        <v>418</v>
      </c>
      <c r="H423" s="39">
        <v>4048.57</v>
      </c>
      <c r="I423" s="39">
        <v>3996.02</v>
      </c>
      <c r="J423" s="39">
        <v>4053.18</v>
      </c>
      <c r="K423" s="39">
        <v>0</v>
      </c>
      <c r="L423" s="39">
        <v>0</v>
      </c>
      <c r="M423" s="39">
        <v>0</v>
      </c>
      <c r="N423" s="39">
        <v>0</v>
      </c>
      <c r="O423" s="39">
        <v>0</v>
      </c>
      <c r="P423" s="39">
        <v>0</v>
      </c>
      <c r="Q423" s="39">
        <v>0</v>
      </c>
      <c r="R423" s="39">
        <v>0</v>
      </c>
      <c r="S423" s="39">
        <v>0</v>
      </c>
      <c r="T423" s="39">
        <v>0</v>
      </c>
      <c r="U423" s="39">
        <v>0</v>
      </c>
      <c r="V423" s="39">
        <v>0</v>
      </c>
      <c r="W423" s="39">
        <v>0</v>
      </c>
      <c r="X423" s="39">
        <v>0</v>
      </c>
      <c r="Y423" s="39">
        <v>0</v>
      </c>
      <c r="Z423" s="39">
        <v>0</v>
      </c>
      <c r="AA423" s="39">
        <v>0</v>
      </c>
      <c r="AB423" s="39">
        <v>0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0</v>
      </c>
      <c r="AI423" s="39">
        <v>4048.57</v>
      </c>
      <c r="AJ423" s="39">
        <v>3996.02</v>
      </c>
      <c r="AK423" s="39">
        <v>4053.18</v>
      </c>
      <c r="AL423" s="39">
        <v>0</v>
      </c>
      <c r="AM423" s="39">
        <v>0</v>
      </c>
      <c r="AN423" s="39">
        <v>0</v>
      </c>
      <c r="AO423" s="39">
        <v>4048.57</v>
      </c>
      <c r="AP423" s="39">
        <v>3996.02</v>
      </c>
      <c r="AQ423" s="39">
        <v>4053.18</v>
      </c>
      <c r="AR423" s="39">
        <v>4053.18</v>
      </c>
    </row>
    <row r="424" spans="1:44" x14ac:dyDescent="0.35">
      <c r="A424" s="16" t="str">
        <f t="shared" si="34"/>
        <v>10</v>
      </c>
      <c r="B424" s="19">
        <v>62265</v>
      </c>
      <c r="C424" s="16" t="str">
        <f t="shared" si="33"/>
        <v>0000000</v>
      </c>
      <c r="D424" s="17" t="s">
        <v>3663</v>
      </c>
      <c r="E424" s="16" t="s">
        <v>444</v>
      </c>
      <c r="F424" s="16" t="s">
        <v>387</v>
      </c>
      <c r="G424" s="35" t="s">
        <v>445</v>
      </c>
      <c r="H424" s="39">
        <v>8904.02</v>
      </c>
      <c r="I424" s="39">
        <v>8839.1299999999992</v>
      </c>
      <c r="J424" s="39">
        <v>8736.8799999999992</v>
      </c>
      <c r="K424" s="39">
        <v>0</v>
      </c>
      <c r="L424" s="39">
        <v>0</v>
      </c>
      <c r="M424" s="39">
        <v>0</v>
      </c>
      <c r="N424" s="39">
        <v>0</v>
      </c>
      <c r="O424" s="39">
        <v>0</v>
      </c>
      <c r="P424" s="39">
        <v>0</v>
      </c>
      <c r="Q424" s="39">
        <v>0</v>
      </c>
      <c r="R424" s="39">
        <v>0</v>
      </c>
      <c r="S424" s="39">
        <v>0</v>
      </c>
      <c r="T424" s="39">
        <v>0</v>
      </c>
      <c r="U424" s="39">
        <v>0</v>
      </c>
      <c r="V424" s="39">
        <v>0</v>
      </c>
      <c r="W424" s="39">
        <v>0</v>
      </c>
      <c r="X424" s="39">
        <v>0</v>
      </c>
      <c r="Y424" s="39">
        <v>0</v>
      </c>
      <c r="Z424" s="39">
        <v>0</v>
      </c>
      <c r="AA424" s="39">
        <v>0</v>
      </c>
      <c r="AB424" s="39">
        <v>0</v>
      </c>
      <c r="AC424" s="39">
        <v>348.57</v>
      </c>
      <c r="AD424" s="39">
        <v>345.7</v>
      </c>
      <c r="AE424" s="39">
        <v>367.02</v>
      </c>
      <c r="AF424" s="39">
        <v>0</v>
      </c>
      <c r="AG424" s="39">
        <v>0</v>
      </c>
      <c r="AH424" s="39">
        <v>0</v>
      </c>
      <c r="AI424" s="39">
        <v>9252.59</v>
      </c>
      <c r="AJ424" s="39">
        <v>9184.83</v>
      </c>
      <c r="AK424" s="39">
        <v>9103.9</v>
      </c>
      <c r="AL424" s="39">
        <v>0</v>
      </c>
      <c r="AM424" s="39">
        <v>0</v>
      </c>
      <c r="AN424" s="39">
        <v>0</v>
      </c>
      <c r="AO424" s="39">
        <v>9252.59</v>
      </c>
      <c r="AP424" s="39">
        <v>9184.83</v>
      </c>
      <c r="AQ424" s="39">
        <v>9103.9</v>
      </c>
      <c r="AR424" s="39">
        <v>9252.59</v>
      </c>
    </row>
    <row r="425" spans="1:44" x14ac:dyDescent="0.35">
      <c r="A425" s="16" t="str">
        <f t="shared" si="34"/>
        <v>10</v>
      </c>
      <c r="B425" s="19">
        <v>62281</v>
      </c>
      <c r="C425" s="16" t="str">
        <f t="shared" si="33"/>
        <v>0000000</v>
      </c>
      <c r="D425" s="17" t="s">
        <v>3663</v>
      </c>
      <c r="E425" s="16" t="s">
        <v>446</v>
      </c>
      <c r="F425" s="16" t="s">
        <v>387</v>
      </c>
      <c r="G425" s="35" t="s">
        <v>447</v>
      </c>
      <c r="H425" s="39">
        <v>565.29999999999995</v>
      </c>
      <c r="I425" s="39">
        <v>564.80999999999995</v>
      </c>
      <c r="J425" s="39">
        <v>578.29999999999995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565.29999999999995</v>
      </c>
      <c r="AJ425" s="39">
        <v>564.80999999999995</v>
      </c>
      <c r="AK425" s="39">
        <v>578.29999999999995</v>
      </c>
      <c r="AL425" s="39">
        <v>0</v>
      </c>
      <c r="AM425" s="39">
        <v>0</v>
      </c>
      <c r="AN425" s="39">
        <v>0</v>
      </c>
      <c r="AO425" s="39">
        <v>565.29999999999995</v>
      </c>
      <c r="AP425" s="39">
        <v>564.80999999999995</v>
      </c>
      <c r="AQ425" s="39">
        <v>578.29999999999995</v>
      </c>
      <c r="AR425" s="39">
        <v>578.29999999999995</v>
      </c>
    </row>
    <row r="426" spans="1:44" x14ac:dyDescent="0.35">
      <c r="A426" s="16" t="str">
        <f t="shared" si="34"/>
        <v>10</v>
      </c>
      <c r="B426" s="19">
        <v>62364</v>
      </c>
      <c r="C426" s="16" t="str">
        <f t="shared" si="33"/>
        <v>0000000</v>
      </c>
      <c r="D426" s="17" t="s">
        <v>3663</v>
      </c>
      <c r="E426" s="16" t="s">
        <v>456</v>
      </c>
      <c r="F426" s="16" t="s">
        <v>387</v>
      </c>
      <c r="G426" s="35" t="s">
        <v>457</v>
      </c>
      <c r="H426" s="39">
        <v>2976.69</v>
      </c>
      <c r="I426" s="39">
        <v>3004.45</v>
      </c>
      <c r="J426" s="39">
        <v>3057.27</v>
      </c>
      <c r="K426" s="39">
        <v>0</v>
      </c>
      <c r="L426" s="39">
        <v>0</v>
      </c>
      <c r="M426" s="39">
        <v>0</v>
      </c>
      <c r="N426" s="39">
        <v>0</v>
      </c>
      <c r="O426" s="39">
        <v>0</v>
      </c>
      <c r="P426" s="39">
        <v>0</v>
      </c>
      <c r="Q426" s="39">
        <v>0</v>
      </c>
      <c r="R426" s="39">
        <v>0</v>
      </c>
      <c r="S426" s="39">
        <v>0</v>
      </c>
      <c r="T426" s="39">
        <v>0</v>
      </c>
      <c r="U426" s="39">
        <v>0</v>
      </c>
      <c r="V426" s="39">
        <v>0</v>
      </c>
      <c r="W426" s="39">
        <v>0</v>
      </c>
      <c r="X426" s="39">
        <v>0</v>
      </c>
      <c r="Y426" s="39">
        <v>0</v>
      </c>
      <c r="Z426" s="39">
        <v>0</v>
      </c>
      <c r="AA426" s="39">
        <v>0</v>
      </c>
      <c r="AB426" s="39">
        <v>0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0</v>
      </c>
      <c r="AI426" s="39">
        <v>2976.69</v>
      </c>
      <c r="AJ426" s="39">
        <v>3004.45</v>
      </c>
      <c r="AK426" s="39">
        <v>3057.27</v>
      </c>
      <c r="AL426" s="39">
        <v>0</v>
      </c>
      <c r="AM426" s="39">
        <v>0</v>
      </c>
      <c r="AN426" s="39">
        <v>0</v>
      </c>
      <c r="AO426" s="39">
        <v>2976.69</v>
      </c>
      <c r="AP426" s="39">
        <v>3004.45</v>
      </c>
      <c r="AQ426" s="39">
        <v>3057.27</v>
      </c>
      <c r="AR426" s="39">
        <v>3057.27</v>
      </c>
    </row>
    <row r="427" spans="1:44" x14ac:dyDescent="0.35">
      <c r="A427" s="16" t="str">
        <f t="shared" si="34"/>
        <v>10</v>
      </c>
      <c r="B427" s="19">
        <v>62414</v>
      </c>
      <c r="C427" s="16" t="str">
        <f t="shared" si="33"/>
        <v>0000000</v>
      </c>
      <c r="D427" s="17" t="s">
        <v>3663</v>
      </c>
      <c r="E427" s="16" t="s">
        <v>464</v>
      </c>
      <c r="F427" s="16" t="s">
        <v>387</v>
      </c>
      <c r="G427" s="35" t="s">
        <v>465</v>
      </c>
      <c r="H427" s="39">
        <v>11379.76</v>
      </c>
      <c r="I427" s="39">
        <v>11390.6</v>
      </c>
      <c r="J427" s="39">
        <v>11212.64</v>
      </c>
      <c r="K427" s="39">
        <v>0</v>
      </c>
      <c r="L427" s="39">
        <v>0</v>
      </c>
      <c r="M427" s="39">
        <v>0</v>
      </c>
      <c r="N427" s="39">
        <v>0</v>
      </c>
      <c r="O427" s="39">
        <v>0</v>
      </c>
      <c r="P427" s="39">
        <v>0</v>
      </c>
      <c r="Q427" s="39">
        <v>0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39">
        <v>0</v>
      </c>
      <c r="X427" s="39">
        <v>0</v>
      </c>
      <c r="Y427" s="39">
        <v>0</v>
      </c>
      <c r="Z427" s="39">
        <v>0</v>
      </c>
      <c r="AA427" s="39">
        <v>0</v>
      </c>
      <c r="AB427" s="39">
        <v>0</v>
      </c>
      <c r="AC427" s="39">
        <v>1152.73</v>
      </c>
      <c r="AD427" s="39">
        <v>1162.17</v>
      </c>
      <c r="AE427" s="39">
        <v>1174.31</v>
      </c>
      <c r="AF427" s="39">
        <v>0</v>
      </c>
      <c r="AG427" s="39">
        <v>0</v>
      </c>
      <c r="AH427" s="39">
        <v>0</v>
      </c>
      <c r="AI427" s="39">
        <v>12532.49</v>
      </c>
      <c r="AJ427" s="39">
        <v>12552.77</v>
      </c>
      <c r="AK427" s="39">
        <v>12386.95</v>
      </c>
      <c r="AL427" s="39">
        <v>0</v>
      </c>
      <c r="AM427" s="39">
        <v>0</v>
      </c>
      <c r="AN427" s="39">
        <v>0</v>
      </c>
      <c r="AO427" s="39">
        <v>12532.49</v>
      </c>
      <c r="AP427" s="39">
        <v>12552.77</v>
      </c>
      <c r="AQ427" s="39">
        <v>12386.95</v>
      </c>
      <c r="AR427" s="39">
        <v>12552.77</v>
      </c>
    </row>
    <row r="428" spans="1:44" x14ac:dyDescent="0.35">
      <c r="A428" s="16" t="str">
        <f t="shared" si="34"/>
        <v>10</v>
      </c>
      <c r="B428" s="19">
        <v>62430</v>
      </c>
      <c r="C428" s="16" t="str">
        <f t="shared" si="33"/>
        <v>0000000</v>
      </c>
      <c r="D428" s="17" t="s">
        <v>3663</v>
      </c>
      <c r="E428" s="16" t="s">
        <v>466</v>
      </c>
      <c r="F428" s="16" t="s">
        <v>387</v>
      </c>
      <c r="G428" s="35" t="s">
        <v>467</v>
      </c>
      <c r="H428" s="39">
        <v>5490.34</v>
      </c>
      <c r="I428" s="39">
        <v>5582.75</v>
      </c>
      <c r="J428" s="39">
        <v>5553.36</v>
      </c>
      <c r="K428" s="39">
        <v>0</v>
      </c>
      <c r="L428" s="39">
        <v>0</v>
      </c>
      <c r="M428" s="39">
        <v>0</v>
      </c>
      <c r="N428" s="39">
        <v>0</v>
      </c>
      <c r="O428" s="39">
        <v>0</v>
      </c>
      <c r="P428" s="39">
        <v>0</v>
      </c>
      <c r="Q428" s="39">
        <v>0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39">
        <v>0</v>
      </c>
      <c r="X428" s="39">
        <v>0</v>
      </c>
      <c r="Y428" s="39">
        <v>0</v>
      </c>
      <c r="Z428" s="39">
        <v>0</v>
      </c>
      <c r="AA428" s="39">
        <v>0</v>
      </c>
      <c r="AB428" s="39">
        <v>0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0</v>
      </c>
      <c r="AI428" s="39">
        <v>5490.34</v>
      </c>
      <c r="AJ428" s="39">
        <v>5582.75</v>
      </c>
      <c r="AK428" s="39">
        <v>5553.36</v>
      </c>
      <c r="AL428" s="39">
        <v>0</v>
      </c>
      <c r="AM428" s="39">
        <v>0</v>
      </c>
      <c r="AN428" s="39">
        <v>0</v>
      </c>
      <c r="AO428" s="39">
        <v>5490.34</v>
      </c>
      <c r="AP428" s="39">
        <v>5582.75</v>
      </c>
      <c r="AQ428" s="39">
        <v>5553.36</v>
      </c>
      <c r="AR428" s="39">
        <v>5582.75</v>
      </c>
    </row>
    <row r="429" spans="1:44" x14ac:dyDescent="0.35">
      <c r="A429" s="16" t="str">
        <f t="shared" si="34"/>
        <v>10</v>
      </c>
      <c r="B429" s="19">
        <v>73809</v>
      </c>
      <c r="C429" s="16" t="str">
        <f t="shared" si="33"/>
        <v>0000000</v>
      </c>
      <c r="D429" s="17" t="s">
        <v>3663</v>
      </c>
      <c r="E429" s="16" t="s">
        <v>478</v>
      </c>
      <c r="F429" s="16" t="s">
        <v>387</v>
      </c>
      <c r="G429" s="35" t="s">
        <v>479</v>
      </c>
      <c r="H429" s="39">
        <v>2077.02</v>
      </c>
      <c r="I429" s="39">
        <v>2062.27</v>
      </c>
      <c r="J429" s="39">
        <v>2034.41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0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0</v>
      </c>
      <c r="Y429" s="39">
        <v>0</v>
      </c>
      <c r="Z429" s="39">
        <v>0</v>
      </c>
      <c r="AA429" s="39">
        <v>0</v>
      </c>
      <c r="AB429" s="39">
        <v>0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0</v>
      </c>
      <c r="AI429" s="39">
        <v>2077.02</v>
      </c>
      <c r="AJ429" s="39">
        <v>2062.27</v>
      </c>
      <c r="AK429" s="39">
        <v>2034.41</v>
      </c>
      <c r="AL429" s="39">
        <v>0</v>
      </c>
      <c r="AM429" s="39">
        <v>0</v>
      </c>
      <c r="AN429" s="39">
        <v>0</v>
      </c>
      <c r="AO429" s="39">
        <v>2077.02</v>
      </c>
      <c r="AP429" s="39">
        <v>2062.27</v>
      </c>
      <c r="AQ429" s="39">
        <v>2034.41</v>
      </c>
      <c r="AR429" s="39">
        <v>2077.02</v>
      </c>
    </row>
    <row r="430" spans="1:44" x14ac:dyDescent="0.35">
      <c r="A430" s="16" t="str">
        <f t="shared" si="34"/>
        <v>10</v>
      </c>
      <c r="B430" s="19">
        <v>62547</v>
      </c>
      <c r="C430" s="16" t="str">
        <f t="shared" si="33"/>
        <v>0000000</v>
      </c>
      <c r="D430" s="17" t="s">
        <v>3663</v>
      </c>
      <c r="E430" s="16" t="s">
        <v>472</v>
      </c>
      <c r="F430" s="16" t="s">
        <v>387</v>
      </c>
      <c r="G430" s="35" t="s">
        <v>473</v>
      </c>
      <c r="H430" s="39">
        <v>124.54</v>
      </c>
      <c r="I430" s="39">
        <v>116.5</v>
      </c>
      <c r="J430" s="39">
        <v>123.95</v>
      </c>
      <c r="K430" s="39">
        <v>0</v>
      </c>
      <c r="L430" s="39">
        <v>0</v>
      </c>
      <c r="M430" s="39">
        <v>0</v>
      </c>
      <c r="N430" s="39">
        <v>0</v>
      </c>
      <c r="O430" s="39">
        <v>0</v>
      </c>
      <c r="P430" s="39">
        <v>0</v>
      </c>
      <c r="Q430" s="39">
        <v>0</v>
      </c>
      <c r="R430" s="39">
        <v>0</v>
      </c>
      <c r="S430" s="39">
        <v>0</v>
      </c>
      <c r="T430" s="39">
        <v>0</v>
      </c>
      <c r="U430" s="39">
        <v>0</v>
      </c>
      <c r="V430" s="39">
        <v>0</v>
      </c>
      <c r="W430" s="39">
        <v>0</v>
      </c>
      <c r="X430" s="39">
        <v>0</v>
      </c>
      <c r="Y430" s="39">
        <v>0</v>
      </c>
      <c r="Z430" s="39">
        <v>0</v>
      </c>
      <c r="AA430" s="39">
        <v>0</v>
      </c>
      <c r="AB430" s="39">
        <v>0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0</v>
      </c>
      <c r="AI430" s="39">
        <v>124.54</v>
      </c>
      <c r="AJ430" s="39">
        <v>116.5</v>
      </c>
      <c r="AK430" s="39">
        <v>123.95</v>
      </c>
      <c r="AL430" s="39">
        <v>0</v>
      </c>
      <c r="AM430" s="39">
        <v>0</v>
      </c>
      <c r="AN430" s="39">
        <v>0</v>
      </c>
      <c r="AO430" s="39">
        <v>124.54</v>
      </c>
      <c r="AP430" s="39">
        <v>116.5</v>
      </c>
      <c r="AQ430" s="39">
        <v>123.95</v>
      </c>
      <c r="AR430" s="39">
        <v>124.54</v>
      </c>
    </row>
    <row r="431" spans="1:44" x14ac:dyDescent="0.35">
      <c r="A431" s="16" t="str">
        <f t="shared" si="34"/>
        <v>10</v>
      </c>
      <c r="B431" s="19">
        <v>62158</v>
      </c>
      <c r="C431" s="16" t="str">
        <f t="shared" si="33"/>
        <v>0000000</v>
      </c>
      <c r="D431" s="17" t="s">
        <v>3663</v>
      </c>
      <c r="E431" s="16" t="s">
        <v>419</v>
      </c>
      <c r="F431" s="16" t="s">
        <v>387</v>
      </c>
      <c r="G431" s="35" t="s">
        <v>420</v>
      </c>
      <c r="H431" s="39">
        <v>2414.5700000000002</v>
      </c>
      <c r="I431" s="39">
        <v>2377.6999999999998</v>
      </c>
      <c r="J431" s="39">
        <v>2372.5700000000002</v>
      </c>
      <c r="K431" s="39">
        <v>0</v>
      </c>
      <c r="L431" s="39">
        <v>0</v>
      </c>
      <c r="M431" s="39">
        <v>0</v>
      </c>
      <c r="N431" s="39">
        <v>0</v>
      </c>
      <c r="O431" s="39">
        <v>0</v>
      </c>
      <c r="P431" s="39">
        <v>0</v>
      </c>
      <c r="Q431" s="39">
        <v>0</v>
      </c>
      <c r="R431" s="39">
        <v>0</v>
      </c>
      <c r="S431" s="39">
        <v>0</v>
      </c>
      <c r="T431" s="39">
        <v>0</v>
      </c>
      <c r="U431" s="39">
        <v>0</v>
      </c>
      <c r="V431" s="39">
        <v>0</v>
      </c>
      <c r="W431" s="39">
        <v>0</v>
      </c>
      <c r="X431" s="39">
        <v>0</v>
      </c>
      <c r="Y431" s="39">
        <v>0</v>
      </c>
      <c r="Z431" s="39">
        <v>0</v>
      </c>
      <c r="AA431" s="39">
        <v>0</v>
      </c>
      <c r="AB431" s="39">
        <v>0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0</v>
      </c>
      <c r="AI431" s="39">
        <v>2414.5700000000002</v>
      </c>
      <c r="AJ431" s="39">
        <v>2377.6999999999998</v>
      </c>
      <c r="AK431" s="39">
        <v>2372.5700000000002</v>
      </c>
      <c r="AL431" s="39">
        <v>0</v>
      </c>
      <c r="AM431" s="39">
        <v>0</v>
      </c>
      <c r="AN431" s="39">
        <v>0</v>
      </c>
      <c r="AO431" s="39">
        <v>2414.5700000000002</v>
      </c>
      <c r="AP431" s="39">
        <v>2377.6999999999998</v>
      </c>
      <c r="AQ431" s="39">
        <v>2372.5700000000002</v>
      </c>
      <c r="AR431" s="39">
        <v>2414.5700000000002</v>
      </c>
    </row>
    <row r="432" spans="1:44" x14ac:dyDescent="0.35">
      <c r="A432" s="16" t="str">
        <f t="shared" si="34"/>
        <v>10</v>
      </c>
      <c r="B432" s="19">
        <v>73965</v>
      </c>
      <c r="C432" s="16" t="str">
        <f t="shared" si="33"/>
        <v>0000000</v>
      </c>
      <c r="D432" s="17" t="s">
        <v>3663</v>
      </c>
      <c r="E432" s="16" t="s">
        <v>480</v>
      </c>
      <c r="F432" s="16" t="s">
        <v>387</v>
      </c>
      <c r="G432" s="35" t="s">
        <v>481</v>
      </c>
      <c r="H432" s="39">
        <v>14721.03</v>
      </c>
      <c r="I432" s="39">
        <v>14712.49</v>
      </c>
      <c r="J432" s="39">
        <v>14265.38</v>
      </c>
      <c r="K432" s="39">
        <v>0</v>
      </c>
      <c r="L432" s="39">
        <v>0</v>
      </c>
      <c r="M432" s="39">
        <v>0</v>
      </c>
      <c r="N432" s="39">
        <v>0</v>
      </c>
      <c r="O432" s="39">
        <v>0</v>
      </c>
      <c r="P432" s="39">
        <v>0</v>
      </c>
      <c r="Q432" s="39">
        <v>0</v>
      </c>
      <c r="R432" s="39">
        <v>0</v>
      </c>
      <c r="S432" s="39">
        <v>0</v>
      </c>
      <c r="T432" s="39">
        <v>0</v>
      </c>
      <c r="U432" s="39">
        <v>0</v>
      </c>
      <c r="V432" s="39">
        <v>0</v>
      </c>
      <c r="W432" s="39">
        <v>0</v>
      </c>
      <c r="X432" s="39">
        <v>0</v>
      </c>
      <c r="Y432" s="39">
        <v>0</v>
      </c>
      <c r="Z432" s="39">
        <v>0</v>
      </c>
      <c r="AA432" s="39">
        <v>0</v>
      </c>
      <c r="AB432" s="39">
        <v>0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0</v>
      </c>
      <c r="AI432" s="39">
        <v>14721.03</v>
      </c>
      <c r="AJ432" s="39">
        <v>14712.49</v>
      </c>
      <c r="AK432" s="39">
        <v>14265.38</v>
      </c>
      <c r="AL432" s="39">
        <v>0</v>
      </c>
      <c r="AM432" s="39">
        <v>0</v>
      </c>
      <c r="AN432" s="39">
        <v>0</v>
      </c>
      <c r="AO432" s="39">
        <v>14721.03</v>
      </c>
      <c r="AP432" s="39">
        <v>14712.49</v>
      </c>
      <c r="AQ432" s="39">
        <v>14265.38</v>
      </c>
      <c r="AR432" s="39">
        <v>14721.03</v>
      </c>
    </row>
    <row r="433" spans="1:44" x14ac:dyDescent="0.35">
      <c r="A433" s="16" t="str">
        <f t="shared" si="34"/>
        <v>10</v>
      </c>
      <c r="B433" s="19">
        <v>73999</v>
      </c>
      <c r="C433" s="16" t="str">
        <f t="shared" si="33"/>
        <v>0000000</v>
      </c>
      <c r="D433" s="17" t="s">
        <v>3663</v>
      </c>
      <c r="E433" s="16" t="s">
        <v>482</v>
      </c>
      <c r="F433" s="16" t="s">
        <v>387</v>
      </c>
      <c r="G433" s="35" t="s">
        <v>483</v>
      </c>
      <c r="H433" s="39">
        <v>4934.91</v>
      </c>
      <c r="I433" s="39">
        <v>4906.3500000000004</v>
      </c>
      <c r="J433" s="39">
        <v>4884.88</v>
      </c>
      <c r="K433" s="39">
        <v>0</v>
      </c>
      <c r="L433" s="39">
        <v>0</v>
      </c>
      <c r="M433" s="39">
        <v>0</v>
      </c>
      <c r="N433" s="39">
        <v>0</v>
      </c>
      <c r="O433" s="39">
        <v>0</v>
      </c>
      <c r="P433" s="39">
        <v>0</v>
      </c>
      <c r="Q433" s="39">
        <v>0</v>
      </c>
      <c r="R433" s="39">
        <v>0</v>
      </c>
      <c r="S433" s="39">
        <v>0</v>
      </c>
      <c r="T433" s="39">
        <v>0</v>
      </c>
      <c r="U433" s="39">
        <v>0</v>
      </c>
      <c r="V433" s="39">
        <v>0</v>
      </c>
      <c r="W433" s="39">
        <v>0</v>
      </c>
      <c r="X433" s="39">
        <v>0</v>
      </c>
      <c r="Y433" s="39">
        <v>0</v>
      </c>
      <c r="Z433" s="39">
        <v>0</v>
      </c>
      <c r="AA433" s="39">
        <v>0</v>
      </c>
      <c r="AB433" s="39">
        <v>0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0</v>
      </c>
      <c r="AI433" s="39">
        <v>4934.91</v>
      </c>
      <c r="AJ433" s="39">
        <v>4906.3500000000004</v>
      </c>
      <c r="AK433" s="39">
        <v>4884.88</v>
      </c>
      <c r="AL433" s="39">
        <v>0</v>
      </c>
      <c r="AM433" s="39">
        <v>0</v>
      </c>
      <c r="AN433" s="39">
        <v>0</v>
      </c>
      <c r="AO433" s="39">
        <v>4934.91</v>
      </c>
      <c r="AP433" s="39">
        <v>4906.3500000000004</v>
      </c>
      <c r="AQ433" s="39">
        <v>4884.88</v>
      </c>
      <c r="AR433" s="39">
        <v>4934.91</v>
      </c>
    </row>
    <row r="434" spans="1:44" x14ac:dyDescent="0.35">
      <c r="A434" s="16" t="str">
        <f t="shared" si="34"/>
        <v>10</v>
      </c>
      <c r="B434" s="19">
        <v>75234</v>
      </c>
      <c r="C434" s="16" t="str">
        <f t="shared" si="33"/>
        <v>0000000</v>
      </c>
      <c r="D434" s="17" t="s">
        <v>3663</v>
      </c>
      <c r="E434" s="16" t="s">
        <v>486</v>
      </c>
      <c r="F434" s="16" t="s">
        <v>387</v>
      </c>
      <c r="G434" s="35" t="s">
        <v>487</v>
      </c>
      <c r="H434" s="39">
        <v>1243</v>
      </c>
      <c r="I434" s="39">
        <v>1271.21</v>
      </c>
      <c r="J434" s="39">
        <v>1253.5899999999999</v>
      </c>
      <c r="K434" s="39">
        <v>0</v>
      </c>
      <c r="L434" s="39">
        <v>0</v>
      </c>
      <c r="M434" s="39">
        <v>0</v>
      </c>
      <c r="N434" s="39">
        <v>0</v>
      </c>
      <c r="O434" s="39">
        <v>0</v>
      </c>
      <c r="P434" s="39">
        <v>0</v>
      </c>
      <c r="Q434" s="39">
        <v>0</v>
      </c>
      <c r="R434" s="39">
        <v>0</v>
      </c>
      <c r="S434" s="39">
        <v>0</v>
      </c>
      <c r="T434" s="39">
        <v>0</v>
      </c>
      <c r="U434" s="39">
        <v>0</v>
      </c>
      <c r="V434" s="39">
        <v>0</v>
      </c>
      <c r="W434" s="39">
        <v>0</v>
      </c>
      <c r="X434" s="39">
        <v>0</v>
      </c>
      <c r="Y434" s="39">
        <v>0</v>
      </c>
      <c r="Z434" s="39">
        <v>0</v>
      </c>
      <c r="AA434" s="39">
        <v>0</v>
      </c>
      <c r="AB434" s="39">
        <v>0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0</v>
      </c>
      <c r="AI434" s="39">
        <v>1243</v>
      </c>
      <c r="AJ434" s="39">
        <v>1271.21</v>
      </c>
      <c r="AK434" s="39">
        <v>1253.5899999999999</v>
      </c>
      <c r="AL434" s="39">
        <v>0</v>
      </c>
      <c r="AM434" s="39">
        <v>0</v>
      </c>
      <c r="AN434" s="39">
        <v>0</v>
      </c>
      <c r="AO434" s="39">
        <v>1243</v>
      </c>
      <c r="AP434" s="39">
        <v>1271.21</v>
      </c>
      <c r="AQ434" s="39">
        <v>1253.5899999999999</v>
      </c>
      <c r="AR434" s="39">
        <v>1271.21</v>
      </c>
    </row>
    <row r="435" spans="1:44" x14ac:dyDescent="0.35">
      <c r="A435" s="16" t="str">
        <f t="shared" si="34"/>
        <v>10</v>
      </c>
      <c r="B435" s="19">
        <v>62026</v>
      </c>
      <c r="C435" s="16" t="str">
        <f t="shared" si="33"/>
        <v>0000000</v>
      </c>
      <c r="D435" s="17" t="s">
        <v>3663</v>
      </c>
      <c r="E435" s="16" t="s">
        <v>409</v>
      </c>
      <c r="F435" s="16" t="s">
        <v>387</v>
      </c>
      <c r="G435" s="35" t="s">
        <v>410</v>
      </c>
      <c r="H435" s="39">
        <v>19.8</v>
      </c>
      <c r="I435" s="39">
        <v>23.62</v>
      </c>
      <c r="J435" s="39">
        <v>24.61</v>
      </c>
      <c r="K435" s="39">
        <v>0</v>
      </c>
      <c r="L435" s="39">
        <v>0</v>
      </c>
      <c r="M435" s="39">
        <v>0</v>
      </c>
      <c r="N435" s="39">
        <v>0</v>
      </c>
      <c r="O435" s="39">
        <v>2.67</v>
      </c>
      <c r="P435" s="39">
        <v>2.35</v>
      </c>
      <c r="Q435" s="39">
        <v>0</v>
      </c>
      <c r="R435" s="39">
        <v>0</v>
      </c>
      <c r="S435" s="39">
        <v>0</v>
      </c>
      <c r="T435" s="39">
        <v>0</v>
      </c>
      <c r="U435" s="39">
        <v>0</v>
      </c>
      <c r="V435" s="39">
        <v>0</v>
      </c>
      <c r="W435" s="39">
        <v>0</v>
      </c>
      <c r="X435" s="39">
        <v>0</v>
      </c>
      <c r="Y435" s="39">
        <v>0</v>
      </c>
      <c r="Z435" s="39">
        <v>0</v>
      </c>
      <c r="AA435" s="39">
        <v>0</v>
      </c>
      <c r="AB435" s="39">
        <v>0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0</v>
      </c>
      <c r="AI435" s="39">
        <v>19.8</v>
      </c>
      <c r="AJ435" s="39">
        <v>26.29</v>
      </c>
      <c r="AK435" s="39">
        <v>26.96</v>
      </c>
      <c r="AL435" s="39">
        <v>0</v>
      </c>
      <c r="AM435" s="39">
        <v>0</v>
      </c>
      <c r="AN435" s="39">
        <v>0</v>
      </c>
      <c r="AO435" s="39">
        <v>19.8</v>
      </c>
      <c r="AP435" s="39">
        <v>26.29</v>
      </c>
      <c r="AQ435" s="39">
        <v>26.96</v>
      </c>
      <c r="AR435" s="39">
        <v>26.96</v>
      </c>
    </row>
    <row r="436" spans="1:44" x14ac:dyDescent="0.35">
      <c r="A436" s="16" t="str">
        <f t="shared" si="34"/>
        <v>10</v>
      </c>
      <c r="B436" s="19">
        <v>75275</v>
      </c>
      <c r="C436" s="16" t="str">
        <f t="shared" ref="C436:C467" si="35">TEXT(,"0000000")</f>
        <v>0000000</v>
      </c>
      <c r="D436" s="17" t="s">
        <v>3663</v>
      </c>
      <c r="E436" s="16" t="s">
        <v>488</v>
      </c>
      <c r="F436" s="16" t="s">
        <v>387</v>
      </c>
      <c r="G436" s="35" t="s">
        <v>489</v>
      </c>
      <c r="H436" s="39">
        <v>1142.29</v>
      </c>
      <c r="I436" s="39">
        <v>1177.69</v>
      </c>
      <c r="J436" s="39">
        <v>1205.76</v>
      </c>
      <c r="K436" s="39">
        <v>0</v>
      </c>
      <c r="L436" s="39">
        <v>0</v>
      </c>
      <c r="M436" s="39">
        <v>0</v>
      </c>
      <c r="N436" s="39">
        <v>0</v>
      </c>
      <c r="O436" s="39">
        <v>0</v>
      </c>
      <c r="P436" s="39">
        <v>0</v>
      </c>
      <c r="Q436" s="39">
        <v>0</v>
      </c>
      <c r="R436" s="39">
        <v>0</v>
      </c>
      <c r="S436" s="39">
        <v>0</v>
      </c>
      <c r="T436" s="39">
        <v>0</v>
      </c>
      <c r="U436" s="39">
        <v>0</v>
      </c>
      <c r="V436" s="39">
        <v>0</v>
      </c>
      <c r="W436" s="39">
        <v>0</v>
      </c>
      <c r="X436" s="39">
        <v>0</v>
      </c>
      <c r="Y436" s="39">
        <v>0</v>
      </c>
      <c r="Z436" s="39">
        <v>0</v>
      </c>
      <c r="AA436" s="39">
        <v>0</v>
      </c>
      <c r="AB436" s="39">
        <v>0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0</v>
      </c>
      <c r="AI436" s="39">
        <v>1142.29</v>
      </c>
      <c r="AJ436" s="39">
        <v>1177.69</v>
      </c>
      <c r="AK436" s="39">
        <v>1205.76</v>
      </c>
      <c r="AL436" s="39">
        <v>0</v>
      </c>
      <c r="AM436" s="39">
        <v>0</v>
      </c>
      <c r="AN436" s="39">
        <v>0</v>
      </c>
      <c r="AO436" s="39">
        <v>1142.29</v>
      </c>
      <c r="AP436" s="39">
        <v>1177.69</v>
      </c>
      <c r="AQ436" s="39">
        <v>1205.76</v>
      </c>
      <c r="AR436" s="39">
        <v>1205.76</v>
      </c>
    </row>
    <row r="437" spans="1:44" x14ac:dyDescent="0.35">
      <c r="A437" s="16" t="str">
        <f t="shared" si="34"/>
        <v>10</v>
      </c>
      <c r="B437" s="19">
        <v>75408</v>
      </c>
      <c r="C437" s="16" t="str">
        <f t="shared" si="35"/>
        <v>0000000</v>
      </c>
      <c r="D437" s="17" t="s">
        <v>3663</v>
      </c>
      <c r="E437" s="16" t="s">
        <v>490</v>
      </c>
      <c r="F437" s="16" t="s">
        <v>387</v>
      </c>
      <c r="G437" s="35" t="s">
        <v>491</v>
      </c>
      <c r="H437" s="39">
        <v>1348.22</v>
      </c>
      <c r="I437" s="39">
        <v>1371.42</v>
      </c>
      <c r="J437" s="39">
        <v>1374.38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1348.22</v>
      </c>
      <c r="AJ437" s="39">
        <v>1371.42</v>
      </c>
      <c r="AK437" s="39">
        <v>1374.38</v>
      </c>
      <c r="AL437" s="39">
        <v>0</v>
      </c>
      <c r="AM437" s="39">
        <v>0</v>
      </c>
      <c r="AN437" s="39">
        <v>0</v>
      </c>
      <c r="AO437" s="39">
        <v>1348.22</v>
      </c>
      <c r="AP437" s="39">
        <v>1371.42</v>
      </c>
      <c r="AQ437" s="39">
        <v>1374.38</v>
      </c>
      <c r="AR437" s="39">
        <v>1374.38</v>
      </c>
    </row>
    <row r="438" spans="1:44" x14ac:dyDescent="0.35">
      <c r="A438" s="16" t="str">
        <f t="shared" si="34"/>
        <v>10</v>
      </c>
      <c r="B438" s="19">
        <v>75598</v>
      </c>
      <c r="C438" s="16" t="str">
        <f t="shared" si="35"/>
        <v>0000000</v>
      </c>
      <c r="D438" s="17" t="s">
        <v>3663</v>
      </c>
      <c r="E438" s="16" t="s">
        <v>492</v>
      </c>
      <c r="F438" s="16" t="s">
        <v>387</v>
      </c>
      <c r="G438" s="35" t="s">
        <v>493</v>
      </c>
      <c r="H438" s="39">
        <v>1604.15</v>
      </c>
      <c r="I438" s="39">
        <v>1592.75</v>
      </c>
      <c r="J438" s="39">
        <v>1614.66</v>
      </c>
      <c r="K438" s="39">
        <v>0</v>
      </c>
      <c r="L438" s="39">
        <v>0</v>
      </c>
      <c r="M438" s="39">
        <v>0</v>
      </c>
      <c r="N438" s="39">
        <v>0</v>
      </c>
      <c r="O438" s="39">
        <v>0</v>
      </c>
      <c r="P438" s="39">
        <v>0</v>
      </c>
      <c r="Q438" s="39">
        <v>0</v>
      </c>
      <c r="R438" s="39">
        <v>0</v>
      </c>
      <c r="S438" s="39">
        <v>0</v>
      </c>
      <c r="T438" s="39">
        <v>0</v>
      </c>
      <c r="U438" s="39">
        <v>0</v>
      </c>
      <c r="V438" s="39">
        <v>0</v>
      </c>
      <c r="W438" s="39">
        <v>0</v>
      </c>
      <c r="X438" s="39">
        <v>0</v>
      </c>
      <c r="Y438" s="39">
        <v>0</v>
      </c>
      <c r="Z438" s="39">
        <v>0</v>
      </c>
      <c r="AA438" s="39">
        <v>0</v>
      </c>
      <c r="AB438" s="39">
        <v>0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0</v>
      </c>
      <c r="AI438" s="39">
        <v>1604.15</v>
      </c>
      <c r="AJ438" s="39">
        <v>1592.75</v>
      </c>
      <c r="AK438" s="39">
        <v>1614.66</v>
      </c>
      <c r="AL438" s="39">
        <v>0</v>
      </c>
      <c r="AM438" s="39">
        <v>0</v>
      </c>
      <c r="AN438" s="39">
        <v>0</v>
      </c>
      <c r="AO438" s="39">
        <v>1604.15</v>
      </c>
      <c r="AP438" s="39">
        <v>1592.75</v>
      </c>
      <c r="AQ438" s="39">
        <v>1614.66</v>
      </c>
      <c r="AR438" s="39">
        <v>1614.66</v>
      </c>
    </row>
    <row r="439" spans="1:44" x14ac:dyDescent="0.35">
      <c r="A439" s="16" t="str">
        <f t="shared" si="34"/>
        <v>10</v>
      </c>
      <c r="B439" s="19">
        <v>61994</v>
      </c>
      <c r="C439" s="16" t="str">
        <f t="shared" si="35"/>
        <v>0000000</v>
      </c>
      <c r="D439" s="17" t="s">
        <v>3663</v>
      </c>
      <c r="E439" s="16" t="s">
        <v>407</v>
      </c>
      <c r="F439" s="16" t="s">
        <v>387</v>
      </c>
      <c r="G439" s="35" t="s">
        <v>408</v>
      </c>
      <c r="H439" s="39">
        <v>0</v>
      </c>
      <c r="I439" s="39">
        <v>0</v>
      </c>
      <c r="J439" s="39">
        <v>0</v>
      </c>
      <c r="K439" s="39">
        <v>0</v>
      </c>
      <c r="L439" s="39">
        <v>0</v>
      </c>
      <c r="M439" s="39">
        <v>0</v>
      </c>
      <c r="N439" s="39">
        <v>0</v>
      </c>
      <c r="O439" s="39">
        <v>0</v>
      </c>
      <c r="P439" s="39">
        <v>0</v>
      </c>
      <c r="Q439" s="39">
        <v>0</v>
      </c>
      <c r="R439" s="39">
        <v>0</v>
      </c>
      <c r="S439" s="39">
        <v>0</v>
      </c>
      <c r="T439" s="39">
        <v>0</v>
      </c>
      <c r="U439" s="39">
        <v>0</v>
      </c>
      <c r="V439" s="39">
        <v>0</v>
      </c>
      <c r="W439" s="39">
        <v>0</v>
      </c>
      <c r="X439" s="39">
        <v>0</v>
      </c>
      <c r="Y439" s="39">
        <v>0</v>
      </c>
      <c r="Z439" s="39">
        <v>0</v>
      </c>
      <c r="AA439" s="39">
        <v>0</v>
      </c>
      <c r="AB439" s="39">
        <v>0</v>
      </c>
      <c r="AC439" s="39">
        <v>162.38</v>
      </c>
      <c r="AD439" s="39">
        <v>169.47</v>
      </c>
      <c r="AE439" s="39">
        <v>168.95</v>
      </c>
      <c r="AF439" s="39">
        <v>0</v>
      </c>
      <c r="AG439" s="39">
        <v>0</v>
      </c>
      <c r="AH439" s="39">
        <v>0</v>
      </c>
      <c r="AI439" s="39">
        <v>162.38</v>
      </c>
      <c r="AJ439" s="39">
        <v>169.47</v>
      </c>
      <c r="AK439" s="39">
        <v>168.95</v>
      </c>
      <c r="AL439" s="39">
        <v>0</v>
      </c>
      <c r="AM439" s="39">
        <v>0</v>
      </c>
      <c r="AN439" s="39">
        <v>0</v>
      </c>
      <c r="AO439" s="39">
        <v>162.38</v>
      </c>
      <c r="AP439" s="39">
        <v>169.47</v>
      </c>
      <c r="AQ439" s="39">
        <v>168.95</v>
      </c>
      <c r="AR439" s="39">
        <v>169.47</v>
      </c>
    </row>
    <row r="440" spans="1:44" x14ac:dyDescent="0.35">
      <c r="A440" s="16" t="str">
        <f t="shared" si="34"/>
        <v>10</v>
      </c>
      <c r="B440" s="19">
        <v>62042</v>
      </c>
      <c r="C440" s="16" t="str">
        <f t="shared" si="35"/>
        <v>0000000</v>
      </c>
      <c r="D440" s="17" t="s">
        <v>3663</v>
      </c>
      <c r="E440" s="16" t="s">
        <v>411</v>
      </c>
      <c r="F440" s="16" t="s">
        <v>387</v>
      </c>
      <c r="G440" s="35" t="s">
        <v>412</v>
      </c>
      <c r="H440" s="39">
        <v>89.48</v>
      </c>
      <c r="I440" s="39">
        <v>94.87</v>
      </c>
      <c r="J440" s="39">
        <v>116.91</v>
      </c>
      <c r="K440" s="39">
        <v>0</v>
      </c>
      <c r="L440" s="39">
        <v>0</v>
      </c>
      <c r="M440" s="39">
        <v>0</v>
      </c>
      <c r="N440" s="39">
        <v>0</v>
      </c>
      <c r="O440" s="39">
        <v>0</v>
      </c>
      <c r="P440" s="39">
        <v>0</v>
      </c>
      <c r="Q440" s="39">
        <v>0</v>
      </c>
      <c r="R440" s="39">
        <v>0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0</v>
      </c>
      <c r="AI440" s="39">
        <v>89.48</v>
      </c>
      <c r="AJ440" s="39">
        <v>94.87</v>
      </c>
      <c r="AK440" s="39">
        <v>116.91</v>
      </c>
      <c r="AL440" s="39">
        <v>0</v>
      </c>
      <c r="AM440" s="39">
        <v>0</v>
      </c>
      <c r="AN440" s="39">
        <v>0</v>
      </c>
      <c r="AO440" s="39">
        <v>89.48</v>
      </c>
      <c r="AP440" s="39">
        <v>94.87</v>
      </c>
      <c r="AQ440" s="39">
        <v>116.91</v>
      </c>
      <c r="AR440" s="39">
        <v>116.91</v>
      </c>
    </row>
    <row r="441" spans="1:44" x14ac:dyDescent="0.35">
      <c r="A441" s="16" t="str">
        <f t="shared" si="34"/>
        <v>10</v>
      </c>
      <c r="B441" s="19">
        <v>62109</v>
      </c>
      <c r="C441" s="16" t="str">
        <f t="shared" si="35"/>
        <v>0000000</v>
      </c>
      <c r="D441" s="17" t="s">
        <v>3663</v>
      </c>
      <c r="E441" s="16" t="s">
        <v>413</v>
      </c>
      <c r="F441" s="16" t="s">
        <v>387</v>
      </c>
      <c r="G441" s="35" t="s">
        <v>414</v>
      </c>
      <c r="H441" s="39">
        <v>239.13</v>
      </c>
      <c r="I441" s="39">
        <v>234.59</v>
      </c>
      <c r="J441" s="39">
        <v>234.05</v>
      </c>
      <c r="K441" s="39">
        <v>0</v>
      </c>
      <c r="L441" s="39">
        <v>0</v>
      </c>
      <c r="M441" s="39">
        <v>0</v>
      </c>
      <c r="N441" s="39">
        <v>0</v>
      </c>
      <c r="O441" s="39">
        <v>0</v>
      </c>
      <c r="P441" s="39">
        <v>0</v>
      </c>
      <c r="Q441" s="39">
        <v>0</v>
      </c>
      <c r="R441" s="39">
        <v>0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0</v>
      </c>
      <c r="AI441" s="39">
        <v>239.13</v>
      </c>
      <c r="AJ441" s="39">
        <v>234.59</v>
      </c>
      <c r="AK441" s="39">
        <v>234.05</v>
      </c>
      <c r="AL441" s="39">
        <v>0</v>
      </c>
      <c r="AM441" s="39">
        <v>0</v>
      </c>
      <c r="AN441" s="39">
        <v>0</v>
      </c>
      <c r="AO441" s="39">
        <v>239.13</v>
      </c>
      <c r="AP441" s="39">
        <v>234.59</v>
      </c>
      <c r="AQ441" s="39">
        <v>234.05</v>
      </c>
      <c r="AR441" s="39">
        <v>239.13</v>
      </c>
    </row>
    <row r="442" spans="1:44" x14ac:dyDescent="0.35">
      <c r="A442" s="16" t="str">
        <f t="shared" si="34"/>
        <v>10</v>
      </c>
      <c r="B442" s="19">
        <v>62372</v>
      </c>
      <c r="C442" s="16" t="str">
        <f t="shared" si="35"/>
        <v>0000000</v>
      </c>
      <c r="D442" s="17" t="s">
        <v>3663</v>
      </c>
      <c r="E442" s="16" t="s">
        <v>458</v>
      </c>
      <c r="F442" s="16" t="s">
        <v>387</v>
      </c>
      <c r="G442" s="35" t="s">
        <v>459</v>
      </c>
      <c r="H442" s="39">
        <v>30.66</v>
      </c>
      <c r="I442" s="39">
        <v>38.380000000000003</v>
      </c>
      <c r="J442" s="39">
        <v>40.53</v>
      </c>
      <c r="K442" s="39">
        <v>0</v>
      </c>
      <c r="L442" s="39">
        <v>0</v>
      </c>
      <c r="M442" s="39">
        <v>0</v>
      </c>
      <c r="N442" s="39">
        <v>30.24</v>
      </c>
      <c r="O442" s="39">
        <v>25.62</v>
      </c>
      <c r="P442" s="39">
        <v>22.02</v>
      </c>
      <c r="Q442" s="39">
        <v>0</v>
      </c>
      <c r="R442" s="39">
        <v>0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0</v>
      </c>
      <c r="AI442" s="39">
        <v>60.9</v>
      </c>
      <c r="AJ442" s="39">
        <v>64</v>
      </c>
      <c r="AK442" s="39">
        <v>62.55</v>
      </c>
      <c r="AL442" s="39">
        <v>0</v>
      </c>
      <c r="AM442" s="39">
        <v>0</v>
      </c>
      <c r="AN442" s="39">
        <v>0</v>
      </c>
      <c r="AO442" s="39">
        <v>60.9</v>
      </c>
      <c r="AP442" s="39">
        <v>64</v>
      </c>
      <c r="AQ442" s="39">
        <v>62.55</v>
      </c>
      <c r="AR442" s="39">
        <v>64</v>
      </c>
    </row>
    <row r="443" spans="1:44" x14ac:dyDescent="0.35">
      <c r="A443" s="16" t="str">
        <f t="shared" si="34"/>
        <v>10</v>
      </c>
      <c r="B443" s="19">
        <v>62513</v>
      </c>
      <c r="C443" s="16" t="str">
        <f t="shared" si="35"/>
        <v>0000000</v>
      </c>
      <c r="D443" s="17" t="s">
        <v>3663</v>
      </c>
      <c r="E443" s="16" t="s">
        <v>468</v>
      </c>
      <c r="F443" s="16" t="s">
        <v>387</v>
      </c>
      <c r="G443" s="35" t="s">
        <v>469</v>
      </c>
      <c r="H443" s="39">
        <v>389.69</v>
      </c>
      <c r="I443" s="39">
        <v>403.3</v>
      </c>
      <c r="J443" s="39">
        <v>418.45</v>
      </c>
      <c r="K443" s="39">
        <v>0</v>
      </c>
      <c r="L443" s="39">
        <v>0</v>
      </c>
      <c r="M443" s="39">
        <v>0</v>
      </c>
      <c r="N443" s="39">
        <v>0</v>
      </c>
      <c r="O443" s="39">
        <v>0</v>
      </c>
      <c r="P443" s="39">
        <v>0</v>
      </c>
      <c r="Q443" s="39">
        <v>0</v>
      </c>
      <c r="R443" s="39">
        <v>0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0</v>
      </c>
      <c r="AI443" s="39">
        <v>389.69</v>
      </c>
      <c r="AJ443" s="39">
        <v>403.3</v>
      </c>
      <c r="AK443" s="39">
        <v>418.45</v>
      </c>
      <c r="AL443" s="39">
        <v>0</v>
      </c>
      <c r="AM443" s="39">
        <v>0</v>
      </c>
      <c r="AN443" s="39">
        <v>0</v>
      </c>
      <c r="AO443" s="39">
        <v>389.69</v>
      </c>
      <c r="AP443" s="39">
        <v>403.3</v>
      </c>
      <c r="AQ443" s="39">
        <v>418.45</v>
      </c>
      <c r="AR443" s="39">
        <v>418.45</v>
      </c>
    </row>
    <row r="444" spans="1:44" x14ac:dyDescent="0.35">
      <c r="A444" s="16" t="str">
        <f t="shared" si="34"/>
        <v>10</v>
      </c>
      <c r="B444" s="19">
        <v>76778</v>
      </c>
      <c r="C444" s="16" t="str">
        <f t="shared" si="35"/>
        <v>0000000</v>
      </c>
      <c r="D444" s="17" t="s">
        <v>3663</v>
      </c>
      <c r="E444" s="16" t="s">
        <v>494</v>
      </c>
      <c r="F444" s="16" t="s">
        <v>387</v>
      </c>
      <c r="G444" s="35" t="s">
        <v>495</v>
      </c>
      <c r="H444" s="39">
        <v>2134.5700000000002</v>
      </c>
      <c r="I444" s="39">
        <v>2238.52</v>
      </c>
      <c r="J444" s="39">
        <v>2333.9699999999998</v>
      </c>
      <c r="K444" s="39">
        <v>0</v>
      </c>
      <c r="L444" s="39">
        <v>0</v>
      </c>
      <c r="M444" s="39">
        <v>0</v>
      </c>
      <c r="N444" s="39">
        <v>0</v>
      </c>
      <c r="O444" s="39">
        <v>0</v>
      </c>
      <c r="P444" s="39">
        <v>0</v>
      </c>
      <c r="Q444" s="39">
        <v>0</v>
      </c>
      <c r="R444" s="39">
        <v>0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288.57</v>
      </c>
      <c r="AD444" s="39">
        <v>286.92</v>
      </c>
      <c r="AE444" s="39">
        <v>302.06</v>
      </c>
      <c r="AF444" s="39">
        <v>0</v>
      </c>
      <c r="AG444" s="39">
        <v>0</v>
      </c>
      <c r="AH444" s="39">
        <v>0</v>
      </c>
      <c r="AI444" s="39">
        <v>2423.14</v>
      </c>
      <c r="AJ444" s="39">
        <v>2525.44</v>
      </c>
      <c r="AK444" s="39">
        <v>2636.03</v>
      </c>
      <c r="AL444" s="39">
        <v>0</v>
      </c>
      <c r="AM444" s="39">
        <v>0</v>
      </c>
      <c r="AN444" s="39">
        <v>0</v>
      </c>
      <c r="AO444" s="39">
        <v>2423.14</v>
      </c>
      <c r="AP444" s="39">
        <v>2525.44</v>
      </c>
      <c r="AQ444" s="39">
        <v>2636.03</v>
      </c>
      <c r="AR444" s="39">
        <v>2636.03</v>
      </c>
    </row>
    <row r="445" spans="1:44" x14ac:dyDescent="0.35">
      <c r="A445" s="16" t="str">
        <f t="shared" ref="A445:A451" si="36">TEXT(14,"00")</f>
        <v>14</v>
      </c>
      <c r="B445" s="19">
        <v>10140</v>
      </c>
      <c r="C445" s="16" t="str">
        <f t="shared" si="35"/>
        <v>0000000</v>
      </c>
      <c r="D445" s="17" t="s">
        <v>3663</v>
      </c>
      <c r="E445" s="16" t="s">
        <v>625</v>
      </c>
      <c r="F445" s="16" t="s">
        <v>626</v>
      </c>
      <c r="G445" s="35" t="s">
        <v>626</v>
      </c>
      <c r="H445" s="39">
        <v>0</v>
      </c>
      <c r="I445" s="39">
        <v>0</v>
      </c>
      <c r="J445" s="39">
        <v>0</v>
      </c>
      <c r="K445" s="39">
        <v>0</v>
      </c>
      <c r="L445" s="39">
        <v>0</v>
      </c>
      <c r="M445" s="39">
        <v>0</v>
      </c>
      <c r="N445" s="39">
        <v>0</v>
      </c>
      <c r="O445" s="39">
        <v>0</v>
      </c>
      <c r="P445" s="39">
        <v>0</v>
      </c>
      <c r="Q445" s="39">
        <v>0</v>
      </c>
      <c r="R445" s="39">
        <v>0</v>
      </c>
      <c r="S445" s="39">
        <v>0</v>
      </c>
      <c r="T445" s="39">
        <v>3.07</v>
      </c>
      <c r="U445" s="39">
        <v>3.65</v>
      </c>
      <c r="V445" s="39">
        <v>3.55</v>
      </c>
      <c r="W445" s="39">
        <v>1.45</v>
      </c>
      <c r="X445" s="39">
        <v>1.03</v>
      </c>
      <c r="Y445" s="39">
        <v>0.14000000000000001</v>
      </c>
      <c r="Z445" s="39">
        <v>1055.45</v>
      </c>
      <c r="AA445" s="39">
        <v>1039.79</v>
      </c>
      <c r="AB445" s="39">
        <v>831.78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0</v>
      </c>
      <c r="AI445" s="39">
        <v>1059.97</v>
      </c>
      <c r="AJ445" s="39">
        <v>1044.47</v>
      </c>
      <c r="AK445" s="39">
        <v>835.47</v>
      </c>
      <c r="AL445" s="39">
        <v>0</v>
      </c>
      <c r="AM445" s="39">
        <v>0</v>
      </c>
      <c r="AN445" s="39">
        <v>0</v>
      </c>
      <c r="AO445" s="39">
        <v>1059.97</v>
      </c>
      <c r="AP445" s="39">
        <v>1044.47</v>
      </c>
      <c r="AQ445" s="39">
        <v>835.47</v>
      </c>
      <c r="AR445" s="39">
        <v>1059.97</v>
      </c>
    </row>
    <row r="446" spans="1:44" x14ac:dyDescent="0.35">
      <c r="A446" s="16" t="str">
        <f t="shared" si="36"/>
        <v>14</v>
      </c>
      <c r="B446" s="19">
        <v>63271</v>
      </c>
      <c r="C446" s="16" t="str">
        <f t="shared" si="35"/>
        <v>0000000</v>
      </c>
      <c r="D446" s="17" t="s">
        <v>3663</v>
      </c>
      <c r="E446" s="16" t="s">
        <v>629</v>
      </c>
      <c r="F446" s="16" t="s">
        <v>626</v>
      </c>
      <c r="G446" s="35" t="s">
        <v>630</v>
      </c>
      <c r="H446" s="39">
        <v>20.64</v>
      </c>
      <c r="I446" s="39">
        <v>15.61</v>
      </c>
      <c r="J446" s="39">
        <v>19.14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0</v>
      </c>
      <c r="Q446" s="39">
        <v>0</v>
      </c>
      <c r="R446" s="39">
        <v>0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0</v>
      </c>
      <c r="AI446" s="39">
        <v>20.64</v>
      </c>
      <c r="AJ446" s="39">
        <v>15.61</v>
      </c>
      <c r="AK446" s="39">
        <v>19.14</v>
      </c>
      <c r="AL446" s="39">
        <v>0</v>
      </c>
      <c r="AM446" s="39">
        <v>0</v>
      </c>
      <c r="AN446" s="39">
        <v>0</v>
      </c>
      <c r="AO446" s="39">
        <v>20.64</v>
      </c>
      <c r="AP446" s="39">
        <v>15.61</v>
      </c>
      <c r="AQ446" s="39">
        <v>19.14</v>
      </c>
      <c r="AR446" s="39">
        <v>20.64</v>
      </c>
    </row>
    <row r="447" spans="1:44" x14ac:dyDescent="0.35">
      <c r="A447" s="16" t="str">
        <f t="shared" si="36"/>
        <v>14</v>
      </c>
      <c r="B447" s="19">
        <v>63289</v>
      </c>
      <c r="C447" s="16" t="str">
        <f t="shared" si="35"/>
        <v>0000000</v>
      </c>
      <c r="D447" s="17" t="s">
        <v>3663</v>
      </c>
      <c r="E447" s="16" t="s">
        <v>631</v>
      </c>
      <c r="F447" s="16" t="s">
        <v>626</v>
      </c>
      <c r="G447" s="35" t="s">
        <v>632</v>
      </c>
      <c r="H447" s="39">
        <v>261.58999999999997</v>
      </c>
      <c r="I447" s="39">
        <v>271.7</v>
      </c>
      <c r="J447" s="39">
        <v>292.82</v>
      </c>
      <c r="K447" s="39">
        <v>0</v>
      </c>
      <c r="L447" s="39">
        <v>0</v>
      </c>
      <c r="M447" s="39">
        <v>0</v>
      </c>
      <c r="N447" s="39">
        <v>0</v>
      </c>
      <c r="O447" s="39">
        <v>0</v>
      </c>
      <c r="P447" s="39">
        <v>0</v>
      </c>
      <c r="Q447" s="39">
        <v>0</v>
      </c>
      <c r="R447" s="39">
        <v>0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0</v>
      </c>
      <c r="AI447" s="39">
        <v>261.58999999999997</v>
      </c>
      <c r="AJ447" s="39">
        <v>271.7</v>
      </c>
      <c r="AK447" s="39">
        <v>292.82</v>
      </c>
      <c r="AL447" s="39">
        <v>0</v>
      </c>
      <c r="AM447" s="39">
        <v>0</v>
      </c>
      <c r="AN447" s="39">
        <v>0</v>
      </c>
      <c r="AO447" s="39">
        <v>261.58999999999997</v>
      </c>
      <c r="AP447" s="39">
        <v>271.7</v>
      </c>
      <c r="AQ447" s="39">
        <v>292.82</v>
      </c>
      <c r="AR447" s="39">
        <v>292.82</v>
      </c>
    </row>
    <row r="448" spans="1:44" x14ac:dyDescent="0.35">
      <c r="A448" s="16" t="str">
        <f t="shared" si="36"/>
        <v>14</v>
      </c>
      <c r="B448" s="19">
        <v>63297</v>
      </c>
      <c r="C448" s="16" t="str">
        <f t="shared" si="35"/>
        <v>0000000</v>
      </c>
      <c r="D448" s="17" t="s">
        <v>3663</v>
      </c>
      <c r="E448" s="16" t="s">
        <v>633</v>
      </c>
      <c r="F448" s="16" t="s">
        <v>626</v>
      </c>
      <c r="G448" s="35" t="s">
        <v>634</v>
      </c>
      <c r="H448" s="39">
        <v>96.57</v>
      </c>
      <c r="I448" s="39">
        <v>96.29</v>
      </c>
      <c r="J448" s="39">
        <v>83.93</v>
      </c>
      <c r="K448" s="39">
        <v>0</v>
      </c>
      <c r="L448" s="39">
        <v>0</v>
      </c>
      <c r="M448" s="39">
        <v>0</v>
      </c>
      <c r="N448" s="39">
        <v>0</v>
      </c>
      <c r="O448" s="39">
        <v>0</v>
      </c>
      <c r="P448" s="39">
        <v>0</v>
      </c>
      <c r="Q448" s="39">
        <v>0</v>
      </c>
      <c r="R448" s="39">
        <v>0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0</v>
      </c>
      <c r="AI448" s="39">
        <v>96.57</v>
      </c>
      <c r="AJ448" s="39">
        <v>96.29</v>
      </c>
      <c r="AK448" s="39">
        <v>83.93</v>
      </c>
      <c r="AL448" s="39">
        <v>0</v>
      </c>
      <c r="AM448" s="39">
        <v>0</v>
      </c>
      <c r="AN448" s="39">
        <v>0</v>
      </c>
      <c r="AO448" s="39">
        <v>96.57</v>
      </c>
      <c r="AP448" s="39">
        <v>96.29</v>
      </c>
      <c r="AQ448" s="39">
        <v>83.93</v>
      </c>
      <c r="AR448" s="39">
        <v>96.57</v>
      </c>
    </row>
    <row r="449" spans="1:44" x14ac:dyDescent="0.35">
      <c r="A449" s="16" t="str">
        <f t="shared" si="36"/>
        <v>14</v>
      </c>
      <c r="B449" s="19">
        <v>63248</v>
      </c>
      <c r="C449" s="16" t="str">
        <f t="shared" si="35"/>
        <v>0000000</v>
      </c>
      <c r="D449" s="17" t="s">
        <v>3663</v>
      </c>
      <c r="E449" s="16" t="s">
        <v>627</v>
      </c>
      <c r="F449" s="16" t="s">
        <v>626</v>
      </c>
      <c r="G449" s="35" t="s">
        <v>628</v>
      </c>
      <c r="H449" s="39">
        <v>135.97</v>
      </c>
      <c r="I449" s="39">
        <v>131.63999999999999</v>
      </c>
      <c r="J449" s="39">
        <v>139.01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135.97</v>
      </c>
      <c r="AJ449" s="39">
        <v>131.63999999999999</v>
      </c>
      <c r="AK449" s="39">
        <v>139.01</v>
      </c>
      <c r="AL449" s="39">
        <v>0</v>
      </c>
      <c r="AM449" s="39">
        <v>0</v>
      </c>
      <c r="AN449" s="39">
        <v>0</v>
      </c>
      <c r="AO449" s="39">
        <v>135.97</v>
      </c>
      <c r="AP449" s="39">
        <v>131.63999999999999</v>
      </c>
      <c r="AQ449" s="39">
        <v>139.01</v>
      </c>
      <c r="AR449" s="39">
        <v>139.01</v>
      </c>
    </row>
    <row r="450" spans="1:44" x14ac:dyDescent="0.35">
      <c r="A450" s="16" t="str">
        <f t="shared" si="36"/>
        <v>14</v>
      </c>
      <c r="B450" s="19">
        <v>63305</v>
      </c>
      <c r="C450" s="16" t="str">
        <f t="shared" si="35"/>
        <v>0000000</v>
      </c>
      <c r="D450" s="17" t="s">
        <v>3663</v>
      </c>
      <c r="E450" s="16" t="s">
        <v>635</v>
      </c>
      <c r="F450" s="16" t="s">
        <v>626</v>
      </c>
      <c r="G450" s="35" t="s">
        <v>636</v>
      </c>
      <c r="H450" s="39">
        <v>34.549999999999997</v>
      </c>
      <c r="I450" s="39">
        <v>38.630000000000003</v>
      </c>
      <c r="J450" s="39">
        <v>37.71</v>
      </c>
      <c r="K450" s="39">
        <v>0</v>
      </c>
      <c r="L450" s="39">
        <v>0</v>
      </c>
      <c r="M450" s="39">
        <v>0</v>
      </c>
      <c r="N450" s="39">
        <v>29.11</v>
      </c>
      <c r="O450" s="39">
        <v>23.38</v>
      </c>
      <c r="P450" s="39">
        <v>20.7</v>
      </c>
      <c r="Q450" s="39">
        <v>0</v>
      </c>
      <c r="R450" s="39">
        <v>0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0</v>
      </c>
      <c r="AI450" s="39">
        <v>63.66</v>
      </c>
      <c r="AJ450" s="39">
        <v>62.01</v>
      </c>
      <c r="AK450" s="39">
        <v>58.41</v>
      </c>
      <c r="AL450" s="39">
        <v>0</v>
      </c>
      <c r="AM450" s="39">
        <v>0</v>
      </c>
      <c r="AN450" s="39">
        <v>0</v>
      </c>
      <c r="AO450" s="39">
        <v>63.66</v>
      </c>
      <c r="AP450" s="39">
        <v>62.01</v>
      </c>
      <c r="AQ450" s="39">
        <v>58.41</v>
      </c>
      <c r="AR450" s="39">
        <v>63.66</v>
      </c>
    </row>
    <row r="451" spans="1:44" x14ac:dyDescent="0.35">
      <c r="A451" s="16" t="str">
        <f t="shared" si="36"/>
        <v>14</v>
      </c>
      <c r="B451" s="19">
        <v>76687</v>
      </c>
      <c r="C451" s="16" t="str">
        <f t="shared" si="35"/>
        <v>0000000</v>
      </c>
      <c r="D451" s="17" t="s">
        <v>3663</v>
      </c>
      <c r="E451" s="16" t="s">
        <v>637</v>
      </c>
      <c r="F451" s="16" t="s">
        <v>626</v>
      </c>
      <c r="G451" s="35" t="s">
        <v>638</v>
      </c>
      <c r="H451" s="39">
        <v>1739.92</v>
      </c>
      <c r="I451" s="39">
        <v>1787.53</v>
      </c>
      <c r="J451" s="39">
        <v>1766.41</v>
      </c>
      <c r="K451" s="39">
        <v>0</v>
      </c>
      <c r="L451" s="39">
        <v>0</v>
      </c>
      <c r="M451" s="39">
        <v>0</v>
      </c>
      <c r="N451" s="39">
        <v>0</v>
      </c>
      <c r="O451" s="39">
        <v>0</v>
      </c>
      <c r="P451" s="39">
        <v>0</v>
      </c>
      <c r="Q451" s="39">
        <v>0</v>
      </c>
      <c r="R451" s="39">
        <v>0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0</v>
      </c>
      <c r="AI451" s="39">
        <v>1739.92</v>
      </c>
      <c r="AJ451" s="39">
        <v>1787.53</v>
      </c>
      <c r="AK451" s="39">
        <v>1766.41</v>
      </c>
      <c r="AL451" s="39">
        <v>0</v>
      </c>
      <c r="AM451" s="39">
        <v>0</v>
      </c>
      <c r="AN451" s="39">
        <v>0</v>
      </c>
      <c r="AO451" s="39">
        <v>1739.92</v>
      </c>
      <c r="AP451" s="39">
        <v>1787.53</v>
      </c>
      <c r="AQ451" s="39">
        <v>1766.41</v>
      </c>
      <c r="AR451" s="39">
        <v>1787.53</v>
      </c>
    </row>
    <row r="452" spans="1:44" x14ac:dyDescent="0.35">
      <c r="A452" s="16" t="str">
        <f t="shared" ref="A452:A457" si="37">TEXT(57,"00")</f>
        <v>57</v>
      </c>
      <c r="B452" s="19">
        <v>10579</v>
      </c>
      <c r="C452" s="16" t="str">
        <f t="shared" si="35"/>
        <v>0000000</v>
      </c>
      <c r="D452" s="17" t="s">
        <v>3663</v>
      </c>
      <c r="E452" s="16" t="s">
        <v>3476</v>
      </c>
      <c r="F452" s="16" t="s">
        <v>3477</v>
      </c>
      <c r="G452" s="35" t="s">
        <v>3477</v>
      </c>
      <c r="H452" s="39">
        <v>0</v>
      </c>
      <c r="I452" s="39">
        <v>0</v>
      </c>
      <c r="J452" s="39">
        <v>0</v>
      </c>
      <c r="K452" s="39">
        <v>0</v>
      </c>
      <c r="L452" s="39">
        <v>0</v>
      </c>
      <c r="M452" s="39">
        <v>0</v>
      </c>
      <c r="N452" s="39">
        <v>0</v>
      </c>
      <c r="O452" s="39">
        <v>0</v>
      </c>
      <c r="P452" s="39">
        <v>0</v>
      </c>
      <c r="Q452" s="39">
        <v>0</v>
      </c>
      <c r="R452" s="39">
        <v>0</v>
      </c>
      <c r="S452" s="39">
        <v>0</v>
      </c>
      <c r="T452" s="39">
        <v>46.51</v>
      </c>
      <c r="U452" s="39">
        <v>48.05</v>
      </c>
      <c r="V452" s="39">
        <v>32.14</v>
      </c>
      <c r="W452" s="39">
        <v>143.05000000000001</v>
      </c>
      <c r="X452" s="39">
        <v>135.04</v>
      </c>
      <c r="Y452" s="39">
        <v>135.41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0</v>
      </c>
      <c r="AI452" s="39">
        <v>189.56</v>
      </c>
      <c r="AJ452" s="39">
        <v>183.09</v>
      </c>
      <c r="AK452" s="39">
        <v>167.55</v>
      </c>
      <c r="AL452" s="39">
        <v>0</v>
      </c>
      <c r="AM452" s="39">
        <v>0</v>
      </c>
      <c r="AN452" s="39">
        <v>0</v>
      </c>
      <c r="AO452" s="39">
        <v>189.56</v>
      </c>
      <c r="AP452" s="39">
        <v>183.09</v>
      </c>
      <c r="AQ452" s="39">
        <v>167.55</v>
      </c>
      <c r="AR452" s="39">
        <v>189.56</v>
      </c>
    </row>
    <row r="453" spans="1:44" x14ac:dyDescent="0.35">
      <c r="A453" s="16" t="str">
        <f t="shared" si="37"/>
        <v>57</v>
      </c>
      <c r="B453" s="19">
        <v>72678</v>
      </c>
      <c r="C453" s="16" t="str">
        <f t="shared" si="35"/>
        <v>0000000</v>
      </c>
      <c r="D453" s="17" t="s">
        <v>3663</v>
      </c>
      <c r="E453" s="16" t="s">
        <v>3480</v>
      </c>
      <c r="F453" s="16" t="s">
        <v>3477</v>
      </c>
      <c r="G453" s="35" t="s">
        <v>3481</v>
      </c>
      <c r="H453" s="39">
        <v>7220.4</v>
      </c>
      <c r="I453" s="39">
        <v>7296.87</v>
      </c>
      <c r="J453" s="39">
        <v>7210.91</v>
      </c>
      <c r="K453" s="39">
        <v>0</v>
      </c>
      <c r="L453" s="39">
        <v>0</v>
      </c>
      <c r="M453" s="39">
        <v>0</v>
      </c>
      <c r="N453" s="39">
        <v>0</v>
      </c>
      <c r="O453" s="39">
        <v>0</v>
      </c>
      <c r="P453" s="39">
        <v>0</v>
      </c>
      <c r="Q453" s="39">
        <v>0</v>
      </c>
      <c r="R453" s="39">
        <v>0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522.92999999999995</v>
      </c>
      <c r="AD453" s="39">
        <v>540.99</v>
      </c>
      <c r="AE453" s="39">
        <v>561.30999999999995</v>
      </c>
      <c r="AF453" s="39">
        <v>0</v>
      </c>
      <c r="AG453" s="39">
        <v>0</v>
      </c>
      <c r="AH453" s="39">
        <v>0</v>
      </c>
      <c r="AI453" s="39">
        <v>7743.33</v>
      </c>
      <c r="AJ453" s="39">
        <v>7837.86</v>
      </c>
      <c r="AK453" s="39">
        <v>7772.22</v>
      </c>
      <c r="AL453" s="39">
        <v>0</v>
      </c>
      <c r="AM453" s="39">
        <v>0</v>
      </c>
      <c r="AN453" s="39">
        <v>0</v>
      </c>
      <c r="AO453" s="39">
        <v>7743.33</v>
      </c>
      <c r="AP453" s="39">
        <v>7837.86</v>
      </c>
      <c r="AQ453" s="39">
        <v>7772.22</v>
      </c>
      <c r="AR453" s="39">
        <v>7837.86</v>
      </c>
    </row>
    <row r="454" spans="1:44" x14ac:dyDescent="0.35">
      <c r="A454" s="16" t="str">
        <f t="shared" si="37"/>
        <v>57</v>
      </c>
      <c r="B454" s="19">
        <v>72686</v>
      </c>
      <c r="C454" s="16" t="str">
        <f t="shared" si="35"/>
        <v>0000000</v>
      </c>
      <c r="D454" s="17" t="s">
        <v>3663</v>
      </c>
      <c r="E454" s="16" t="s">
        <v>3482</v>
      </c>
      <c r="F454" s="16" t="s">
        <v>3477</v>
      </c>
      <c r="G454" s="35" t="s">
        <v>3483</v>
      </c>
      <c r="H454" s="39">
        <v>868.96</v>
      </c>
      <c r="I454" s="39">
        <v>890.04</v>
      </c>
      <c r="J454" s="39">
        <v>836.82</v>
      </c>
      <c r="K454" s="39">
        <v>0</v>
      </c>
      <c r="L454" s="39">
        <v>0</v>
      </c>
      <c r="M454" s="39">
        <v>0</v>
      </c>
      <c r="N454" s="39">
        <v>0</v>
      </c>
      <c r="O454" s="39">
        <v>0</v>
      </c>
      <c r="P454" s="39">
        <v>0</v>
      </c>
      <c r="Q454" s="39">
        <v>0</v>
      </c>
      <c r="R454" s="39">
        <v>0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0</v>
      </c>
      <c r="AI454" s="39">
        <v>868.96</v>
      </c>
      <c r="AJ454" s="39">
        <v>890.04</v>
      </c>
      <c r="AK454" s="39">
        <v>836.82</v>
      </c>
      <c r="AL454" s="39">
        <v>0</v>
      </c>
      <c r="AM454" s="39">
        <v>0</v>
      </c>
      <c r="AN454" s="39">
        <v>0</v>
      </c>
      <c r="AO454" s="39">
        <v>868.96</v>
      </c>
      <c r="AP454" s="39">
        <v>890.04</v>
      </c>
      <c r="AQ454" s="39">
        <v>836.82</v>
      </c>
      <c r="AR454" s="39">
        <v>890.04</v>
      </c>
    </row>
    <row r="455" spans="1:44" x14ac:dyDescent="0.35">
      <c r="A455" s="16" t="str">
        <f t="shared" si="37"/>
        <v>57</v>
      </c>
      <c r="B455" s="19">
        <v>72694</v>
      </c>
      <c r="C455" s="16" t="str">
        <f t="shared" si="35"/>
        <v>0000000</v>
      </c>
      <c r="D455" s="17" t="s">
        <v>3663</v>
      </c>
      <c r="E455" s="16" t="s">
        <v>3484</v>
      </c>
      <c r="F455" s="16" t="s">
        <v>3477</v>
      </c>
      <c r="G455" s="35" t="s">
        <v>495</v>
      </c>
      <c r="H455" s="39">
        <v>6766.39</v>
      </c>
      <c r="I455" s="39">
        <v>6871.16</v>
      </c>
      <c r="J455" s="39">
        <v>6710</v>
      </c>
      <c r="K455" s="39">
        <v>0</v>
      </c>
      <c r="L455" s="39">
        <v>0</v>
      </c>
      <c r="M455" s="39">
        <v>0</v>
      </c>
      <c r="N455" s="39">
        <v>0</v>
      </c>
      <c r="O455" s="39">
        <v>0</v>
      </c>
      <c r="P455" s="39">
        <v>0</v>
      </c>
      <c r="Q455" s="39">
        <v>0</v>
      </c>
      <c r="R455" s="39">
        <v>0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161.86000000000001</v>
      </c>
      <c r="AD455" s="39">
        <v>141.91</v>
      </c>
      <c r="AE455" s="39">
        <v>130.26</v>
      </c>
      <c r="AF455" s="39">
        <v>0</v>
      </c>
      <c r="AG455" s="39">
        <v>0</v>
      </c>
      <c r="AH455" s="39">
        <v>0</v>
      </c>
      <c r="AI455" s="39">
        <v>6928.25</v>
      </c>
      <c r="AJ455" s="39">
        <v>7013.07</v>
      </c>
      <c r="AK455" s="39">
        <v>6840.26</v>
      </c>
      <c r="AL455" s="39">
        <v>0</v>
      </c>
      <c r="AM455" s="39">
        <v>0</v>
      </c>
      <c r="AN455" s="39">
        <v>0</v>
      </c>
      <c r="AO455" s="39">
        <v>6928.25</v>
      </c>
      <c r="AP455" s="39">
        <v>7013.07</v>
      </c>
      <c r="AQ455" s="39">
        <v>6840.26</v>
      </c>
      <c r="AR455" s="39">
        <v>7013.07</v>
      </c>
    </row>
    <row r="456" spans="1:44" x14ac:dyDescent="0.35">
      <c r="A456" s="16" t="str">
        <f t="shared" si="37"/>
        <v>57</v>
      </c>
      <c r="B456" s="19">
        <v>72702</v>
      </c>
      <c r="C456" s="16" t="str">
        <f t="shared" si="35"/>
        <v>0000000</v>
      </c>
      <c r="D456" s="17" t="s">
        <v>3663</v>
      </c>
      <c r="E456" s="16" t="s">
        <v>3489</v>
      </c>
      <c r="F456" s="16" t="s">
        <v>3477</v>
      </c>
      <c r="G456" s="35" t="s">
        <v>3490</v>
      </c>
      <c r="H456" s="39">
        <v>1523.26</v>
      </c>
      <c r="I456" s="39">
        <v>1466.83</v>
      </c>
      <c r="J456" s="39">
        <v>1445.56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</v>
      </c>
      <c r="R456" s="39">
        <v>0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0</v>
      </c>
      <c r="AI456" s="39">
        <v>1523.26</v>
      </c>
      <c r="AJ456" s="39">
        <v>1466.83</v>
      </c>
      <c r="AK456" s="39">
        <v>1445.56</v>
      </c>
      <c r="AL456" s="39">
        <v>0</v>
      </c>
      <c r="AM456" s="39">
        <v>0</v>
      </c>
      <c r="AN456" s="39">
        <v>0</v>
      </c>
      <c r="AO456" s="39">
        <v>1523.26</v>
      </c>
      <c r="AP456" s="39">
        <v>1466.83</v>
      </c>
      <c r="AQ456" s="39">
        <v>1445.56</v>
      </c>
      <c r="AR456" s="39">
        <v>1523.26</v>
      </c>
    </row>
    <row r="457" spans="1:44" x14ac:dyDescent="0.35">
      <c r="A457" s="16" t="str">
        <f t="shared" si="37"/>
        <v>57</v>
      </c>
      <c r="B457" s="19">
        <v>72710</v>
      </c>
      <c r="C457" s="16" t="str">
        <f t="shared" si="35"/>
        <v>0000000</v>
      </c>
      <c r="D457" s="17" t="s">
        <v>3663</v>
      </c>
      <c r="E457" s="16" t="s">
        <v>3493</v>
      </c>
      <c r="F457" s="16" t="s">
        <v>3477</v>
      </c>
      <c r="G457" s="35" t="s">
        <v>3494</v>
      </c>
      <c r="H457" s="39">
        <v>7910.05</v>
      </c>
      <c r="I457" s="39">
        <v>8183.23</v>
      </c>
      <c r="J457" s="39">
        <v>8453.73</v>
      </c>
      <c r="K457" s="39">
        <v>0</v>
      </c>
      <c r="L457" s="39">
        <v>0</v>
      </c>
      <c r="M457" s="39">
        <v>0</v>
      </c>
      <c r="N457" s="39">
        <v>0</v>
      </c>
      <c r="O457" s="39">
        <v>0</v>
      </c>
      <c r="P457" s="39">
        <v>0</v>
      </c>
      <c r="Q457" s="39">
        <v>0</v>
      </c>
      <c r="R457" s="39">
        <v>0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210.44</v>
      </c>
      <c r="AD457" s="39">
        <v>208.82</v>
      </c>
      <c r="AE457" s="39">
        <v>191.45</v>
      </c>
      <c r="AF457" s="39">
        <v>0</v>
      </c>
      <c r="AG457" s="39">
        <v>0</v>
      </c>
      <c r="AH457" s="39">
        <v>0</v>
      </c>
      <c r="AI457" s="39">
        <v>8120.49</v>
      </c>
      <c r="AJ457" s="39">
        <v>8392.0499999999993</v>
      </c>
      <c r="AK457" s="39">
        <v>8645.18</v>
      </c>
      <c r="AL457" s="39">
        <v>0</v>
      </c>
      <c r="AM457" s="39">
        <v>0</v>
      </c>
      <c r="AN457" s="39">
        <v>0</v>
      </c>
      <c r="AO457" s="39">
        <v>8120.49</v>
      </c>
      <c r="AP457" s="39">
        <v>8392.0499999999993</v>
      </c>
      <c r="AQ457" s="39">
        <v>8645.18</v>
      </c>
      <c r="AR457" s="39">
        <v>8645.18</v>
      </c>
    </row>
    <row r="458" spans="1:44" x14ac:dyDescent="0.35">
      <c r="A458" s="16" t="str">
        <f>TEXT(30,"00")</f>
        <v>30</v>
      </c>
      <c r="B458" s="19">
        <v>66647</v>
      </c>
      <c r="C458" s="16" t="str">
        <f t="shared" si="35"/>
        <v>0000000</v>
      </c>
      <c r="D458" s="17" t="s">
        <v>3663</v>
      </c>
      <c r="E458" s="16" t="s">
        <v>1541</v>
      </c>
      <c r="F458" s="16" t="s">
        <v>1542</v>
      </c>
      <c r="G458" s="35" t="s">
        <v>1542</v>
      </c>
      <c r="H458" s="39">
        <v>20766.18</v>
      </c>
      <c r="I458" s="39">
        <v>21542.48</v>
      </c>
      <c r="J458" s="39">
        <v>21539.35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702.18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21468.36</v>
      </c>
      <c r="AJ458" s="39">
        <v>21542.48</v>
      </c>
      <c r="AK458" s="39">
        <v>21539.35</v>
      </c>
      <c r="AL458" s="39">
        <v>0</v>
      </c>
      <c r="AM458" s="39">
        <v>0</v>
      </c>
      <c r="AN458" s="39">
        <v>0</v>
      </c>
      <c r="AO458" s="39">
        <v>21468.36</v>
      </c>
      <c r="AP458" s="39">
        <v>21542.48</v>
      </c>
      <c r="AQ458" s="39">
        <v>21539.35</v>
      </c>
      <c r="AR458" s="39">
        <v>21542.48</v>
      </c>
    </row>
    <row r="459" spans="1:44" x14ac:dyDescent="0.35">
      <c r="A459" s="16" t="str">
        <f>TEXT(30,"00")</f>
        <v>30</v>
      </c>
      <c r="B459" s="19">
        <v>66449</v>
      </c>
      <c r="C459" s="16" t="str">
        <f t="shared" si="35"/>
        <v>0000000</v>
      </c>
      <c r="D459" s="17" t="s">
        <v>3663</v>
      </c>
      <c r="E459" s="16" t="s">
        <v>1543</v>
      </c>
      <c r="F459" s="16" t="s">
        <v>1542</v>
      </c>
      <c r="G459" s="35" t="s">
        <v>1544</v>
      </c>
      <c r="H459" s="39">
        <v>5579.22</v>
      </c>
      <c r="I459" s="39">
        <v>5740.31</v>
      </c>
      <c r="J459" s="39">
        <v>5560.81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5579.22</v>
      </c>
      <c r="AJ459" s="39">
        <v>5740.31</v>
      </c>
      <c r="AK459" s="39">
        <v>5560.81</v>
      </c>
      <c r="AL459" s="39">
        <v>0</v>
      </c>
      <c r="AM459" s="39">
        <v>0</v>
      </c>
      <c r="AN459" s="39">
        <v>0</v>
      </c>
      <c r="AO459" s="39">
        <v>5579.22</v>
      </c>
      <c r="AP459" s="39">
        <v>5740.31</v>
      </c>
      <c r="AQ459" s="39">
        <v>5560.81</v>
      </c>
      <c r="AR459" s="39">
        <v>5740.31</v>
      </c>
    </row>
    <row r="460" spans="1:44" x14ac:dyDescent="0.35">
      <c r="A460" s="16" t="str">
        <f t="shared" ref="A460:A468" si="38">TEXT(34,"00")</f>
        <v>34</v>
      </c>
      <c r="B460" s="19">
        <v>10348</v>
      </c>
      <c r="C460" s="16" t="str">
        <f t="shared" si="35"/>
        <v>0000000</v>
      </c>
      <c r="D460" s="17" t="s">
        <v>3663</v>
      </c>
      <c r="E460" s="16" t="s">
        <v>1785</v>
      </c>
      <c r="F460" s="16" t="s">
        <v>1786</v>
      </c>
      <c r="G460" s="35" t="s">
        <v>1786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121.25</v>
      </c>
      <c r="U460" s="39">
        <v>146.21</v>
      </c>
      <c r="V460" s="39">
        <v>147.47999999999999</v>
      </c>
      <c r="W460" s="39">
        <v>633.28</v>
      </c>
      <c r="X460" s="39">
        <v>689.57</v>
      </c>
      <c r="Y460" s="39">
        <v>703.02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754.53</v>
      </c>
      <c r="AJ460" s="39">
        <v>835.78</v>
      </c>
      <c r="AK460" s="39">
        <v>850.5</v>
      </c>
      <c r="AL460" s="39">
        <v>0</v>
      </c>
      <c r="AM460" s="39">
        <v>0</v>
      </c>
      <c r="AN460" s="39">
        <v>0</v>
      </c>
      <c r="AO460" s="39">
        <v>754.53</v>
      </c>
      <c r="AP460" s="39">
        <v>835.78</v>
      </c>
      <c r="AQ460" s="39">
        <v>850.5</v>
      </c>
      <c r="AR460" s="39">
        <v>850.5</v>
      </c>
    </row>
    <row r="461" spans="1:44" x14ac:dyDescent="0.35">
      <c r="A461" s="16" t="str">
        <f t="shared" si="38"/>
        <v>34</v>
      </c>
      <c r="B461" s="19">
        <v>67355</v>
      </c>
      <c r="C461" s="16" t="str">
        <f t="shared" si="35"/>
        <v>0000000</v>
      </c>
      <c r="D461" s="17" t="s">
        <v>3663</v>
      </c>
      <c r="E461" s="16" t="s">
        <v>1806</v>
      </c>
      <c r="F461" s="16" t="s">
        <v>1786</v>
      </c>
      <c r="G461" s="35" t="s">
        <v>1807</v>
      </c>
      <c r="H461" s="39">
        <v>1805.96</v>
      </c>
      <c r="I461" s="39">
        <v>1827.4</v>
      </c>
      <c r="J461" s="39">
        <v>1893.8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1805.96</v>
      </c>
      <c r="AJ461" s="39">
        <v>1827.4</v>
      </c>
      <c r="AK461" s="39">
        <v>1893.8</v>
      </c>
      <c r="AL461" s="39">
        <v>0</v>
      </c>
      <c r="AM461" s="39">
        <v>0</v>
      </c>
      <c r="AN461" s="39">
        <v>0</v>
      </c>
      <c r="AO461" s="39">
        <v>1805.96</v>
      </c>
      <c r="AP461" s="39">
        <v>1827.4</v>
      </c>
      <c r="AQ461" s="39">
        <v>1893.8</v>
      </c>
      <c r="AR461" s="39">
        <v>1893.8</v>
      </c>
    </row>
    <row r="462" spans="1:44" x14ac:dyDescent="0.35">
      <c r="A462" s="16" t="str">
        <f t="shared" si="38"/>
        <v>34</v>
      </c>
      <c r="B462" s="19">
        <v>67413</v>
      </c>
      <c r="C462" s="16" t="str">
        <f t="shared" si="35"/>
        <v>0000000</v>
      </c>
      <c r="D462" s="17" t="s">
        <v>3663</v>
      </c>
      <c r="E462" s="16" t="s">
        <v>1808</v>
      </c>
      <c r="F462" s="16" t="s">
        <v>1786</v>
      </c>
      <c r="G462" s="35" t="s">
        <v>1809</v>
      </c>
      <c r="H462" s="39">
        <v>1585.54</v>
      </c>
      <c r="I462" s="39">
        <v>1593.46</v>
      </c>
      <c r="J462" s="39">
        <v>1607.67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1585.54</v>
      </c>
      <c r="AJ462" s="39">
        <v>1593.46</v>
      </c>
      <c r="AK462" s="39">
        <v>1607.67</v>
      </c>
      <c r="AL462" s="39">
        <v>0</v>
      </c>
      <c r="AM462" s="39">
        <v>0</v>
      </c>
      <c r="AN462" s="39">
        <v>0</v>
      </c>
      <c r="AO462" s="39">
        <v>1585.54</v>
      </c>
      <c r="AP462" s="39">
        <v>1593.46</v>
      </c>
      <c r="AQ462" s="39">
        <v>1607.67</v>
      </c>
      <c r="AR462" s="39">
        <v>1607.67</v>
      </c>
    </row>
    <row r="463" spans="1:44" x14ac:dyDescent="0.35">
      <c r="A463" s="16" t="str">
        <f t="shared" si="38"/>
        <v>34</v>
      </c>
      <c r="B463" s="19">
        <v>73973</v>
      </c>
      <c r="C463" s="16" t="str">
        <f t="shared" si="35"/>
        <v>0000000</v>
      </c>
      <c r="D463" s="17" t="s">
        <v>3663</v>
      </c>
      <c r="E463" s="16" t="s">
        <v>1855</v>
      </c>
      <c r="F463" s="16" t="s">
        <v>1786</v>
      </c>
      <c r="G463" s="35" t="s">
        <v>1856</v>
      </c>
      <c r="H463" s="39">
        <v>4254.57</v>
      </c>
      <c r="I463" s="39">
        <v>4146.25</v>
      </c>
      <c r="J463" s="39">
        <v>3832.86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4254.57</v>
      </c>
      <c r="AJ463" s="39">
        <v>4146.25</v>
      </c>
      <c r="AK463" s="39">
        <v>3832.86</v>
      </c>
      <c r="AL463" s="39">
        <v>0</v>
      </c>
      <c r="AM463" s="39">
        <v>0</v>
      </c>
      <c r="AN463" s="39">
        <v>0</v>
      </c>
      <c r="AO463" s="39">
        <v>4254.57</v>
      </c>
      <c r="AP463" s="39">
        <v>4146.25</v>
      </c>
      <c r="AQ463" s="39">
        <v>3832.86</v>
      </c>
      <c r="AR463" s="39">
        <v>4254.57</v>
      </c>
    </row>
    <row r="464" spans="1:44" x14ac:dyDescent="0.35">
      <c r="A464" s="16" t="str">
        <f t="shared" si="38"/>
        <v>34</v>
      </c>
      <c r="B464" s="19">
        <v>67421</v>
      </c>
      <c r="C464" s="16" t="str">
        <f t="shared" si="35"/>
        <v>0000000</v>
      </c>
      <c r="D464" s="17" t="s">
        <v>3663</v>
      </c>
      <c r="E464" s="16" t="s">
        <v>1813</v>
      </c>
      <c r="F464" s="16" t="s">
        <v>1786</v>
      </c>
      <c r="G464" s="35" t="s">
        <v>1814</v>
      </c>
      <c r="H464" s="39">
        <v>1776.09</v>
      </c>
      <c r="I464" s="39">
        <v>1801.89</v>
      </c>
      <c r="J464" s="39">
        <v>1746.88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146.88</v>
      </c>
      <c r="AD464" s="39">
        <v>160.05000000000001</v>
      </c>
      <c r="AE464" s="39">
        <v>197.6</v>
      </c>
      <c r="AF464" s="39">
        <v>0</v>
      </c>
      <c r="AG464" s="39">
        <v>0</v>
      </c>
      <c r="AH464" s="39">
        <v>0</v>
      </c>
      <c r="AI464" s="39">
        <v>1922.97</v>
      </c>
      <c r="AJ464" s="39">
        <v>1961.94</v>
      </c>
      <c r="AK464" s="39">
        <v>1944.48</v>
      </c>
      <c r="AL464" s="39">
        <v>0</v>
      </c>
      <c r="AM464" s="39">
        <v>0</v>
      </c>
      <c r="AN464" s="39">
        <v>0</v>
      </c>
      <c r="AO464" s="39">
        <v>1922.97</v>
      </c>
      <c r="AP464" s="39">
        <v>1961.94</v>
      </c>
      <c r="AQ464" s="39">
        <v>1944.48</v>
      </c>
      <c r="AR464" s="39">
        <v>1961.94</v>
      </c>
    </row>
    <row r="465" spans="1:44" x14ac:dyDescent="0.35">
      <c r="A465" s="16" t="str">
        <f t="shared" si="38"/>
        <v>34</v>
      </c>
      <c r="B465" s="19">
        <v>67348</v>
      </c>
      <c r="C465" s="16" t="str">
        <f t="shared" si="35"/>
        <v>0000000</v>
      </c>
      <c r="D465" s="17" t="s">
        <v>3663</v>
      </c>
      <c r="E465" s="16" t="s">
        <v>1804</v>
      </c>
      <c r="F465" s="16" t="s">
        <v>1786</v>
      </c>
      <c r="G465" s="35" t="s">
        <v>1805</v>
      </c>
      <c r="H465" s="39">
        <v>3241.49</v>
      </c>
      <c r="I465" s="39">
        <v>3202.06</v>
      </c>
      <c r="J465" s="39">
        <v>3088.02</v>
      </c>
      <c r="K465" s="39">
        <v>0</v>
      </c>
      <c r="L465" s="39">
        <v>0</v>
      </c>
      <c r="M465" s="39">
        <v>0</v>
      </c>
      <c r="N465" s="39">
        <v>0</v>
      </c>
      <c r="O465" s="39">
        <v>0</v>
      </c>
      <c r="P465" s="39">
        <v>0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0</v>
      </c>
      <c r="AI465" s="39">
        <v>3241.49</v>
      </c>
      <c r="AJ465" s="39">
        <v>3202.06</v>
      </c>
      <c r="AK465" s="39">
        <v>3088.02</v>
      </c>
      <c r="AL465" s="39">
        <v>0</v>
      </c>
      <c r="AM465" s="39">
        <v>0</v>
      </c>
      <c r="AN465" s="39">
        <v>0</v>
      </c>
      <c r="AO465" s="39">
        <v>3241.49</v>
      </c>
      <c r="AP465" s="39">
        <v>3202.06</v>
      </c>
      <c r="AQ465" s="39">
        <v>3088.02</v>
      </c>
      <c r="AR465" s="39">
        <v>3241.49</v>
      </c>
    </row>
    <row r="466" spans="1:44" x14ac:dyDescent="0.35">
      <c r="A466" s="16" t="str">
        <f t="shared" si="38"/>
        <v>34</v>
      </c>
      <c r="B466" s="19">
        <v>67280</v>
      </c>
      <c r="C466" s="16" t="str">
        <f t="shared" si="35"/>
        <v>0000000</v>
      </c>
      <c r="D466" s="17" t="s">
        <v>3663</v>
      </c>
      <c r="E466" s="16" t="s">
        <v>1791</v>
      </c>
      <c r="F466" s="16" t="s">
        <v>1786</v>
      </c>
      <c r="G466" s="35" t="s">
        <v>1792</v>
      </c>
      <c r="H466" s="39">
        <v>524.04999999999995</v>
      </c>
      <c r="I466" s="39">
        <v>501.1</v>
      </c>
      <c r="J466" s="39">
        <v>451.65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0</v>
      </c>
      <c r="AI466" s="39">
        <v>524.04999999999995</v>
      </c>
      <c r="AJ466" s="39">
        <v>501.1</v>
      </c>
      <c r="AK466" s="39">
        <v>451.65</v>
      </c>
      <c r="AL466" s="39">
        <v>0</v>
      </c>
      <c r="AM466" s="39">
        <v>0</v>
      </c>
      <c r="AN466" s="39">
        <v>0</v>
      </c>
      <c r="AO466" s="39">
        <v>524.04999999999995</v>
      </c>
      <c r="AP466" s="39">
        <v>501.1</v>
      </c>
      <c r="AQ466" s="39">
        <v>451.65</v>
      </c>
      <c r="AR466" s="39">
        <v>524.04999999999995</v>
      </c>
    </row>
    <row r="467" spans="1:44" x14ac:dyDescent="0.35">
      <c r="A467" s="16" t="str">
        <f t="shared" si="38"/>
        <v>34</v>
      </c>
      <c r="B467" s="19">
        <v>67322</v>
      </c>
      <c r="C467" s="16" t="str">
        <f t="shared" si="35"/>
        <v>0000000</v>
      </c>
      <c r="D467" s="17" t="s">
        <v>3663</v>
      </c>
      <c r="E467" s="16" t="s">
        <v>1800</v>
      </c>
      <c r="F467" s="16" t="s">
        <v>1786</v>
      </c>
      <c r="G467" s="35" t="s">
        <v>1801</v>
      </c>
      <c r="H467" s="39">
        <v>206.71</v>
      </c>
      <c r="I467" s="39">
        <v>206.08</v>
      </c>
      <c r="J467" s="39">
        <v>196.21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0</v>
      </c>
      <c r="AI467" s="39">
        <v>206.71</v>
      </c>
      <c r="AJ467" s="39">
        <v>206.08</v>
      </c>
      <c r="AK467" s="39">
        <v>196.21</v>
      </c>
      <c r="AL467" s="39">
        <v>0</v>
      </c>
      <c r="AM467" s="39">
        <v>0</v>
      </c>
      <c r="AN467" s="39">
        <v>0</v>
      </c>
      <c r="AO467" s="39">
        <v>206.71</v>
      </c>
      <c r="AP467" s="39">
        <v>206.08</v>
      </c>
      <c r="AQ467" s="39">
        <v>196.21</v>
      </c>
      <c r="AR467" s="39">
        <v>206.71</v>
      </c>
    </row>
    <row r="468" spans="1:44" x14ac:dyDescent="0.35">
      <c r="A468" s="16" t="str">
        <f t="shared" si="38"/>
        <v>34</v>
      </c>
      <c r="B468" s="19">
        <v>75283</v>
      </c>
      <c r="C468" s="16" t="str">
        <f>TEXT(3430659,"0000000")</f>
        <v>3430659</v>
      </c>
      <c r="D468" s="17" t="s">
        <v>1864</v>
      </c>
      <c r="E468" s="16" t="s">
        <v>1862</v>
      </c>
      <c r="F468" s="16" t="s">
        <v>1786</v>
      </c>
      <c r="G468" s="35" t="s">
        <v>1863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1784.43</v>
      </c>
      <c r="AD468" s="39">
        <v>1799.29</v>
      </c>
      <c r="AE468" s="39">
        <v>1787.17</v>
      </c>
      <c r="AF468" s="39">
        <v>0</v>
      </c>
      <c r="AG468" s="39">
        <v>0</v>
      </c>
      <c r="AH468" s="39">
        <v>0</v>
      </c>
      <c r="AI468" s="39">
        <v>1784.43</v>
      </c>
      <c r="AJ468" s="39">
        <v>1799.29</v>
      </c>
      <c r="AK468" s="39">
        <v>1787.17</v>
      </c>
      <c r="AL468" s="39">
        <v>0</v>
      </c>
      <c r="AM468" s="39">
        <v>0</v>
      </c>
      <c r="AN468" s="39">
        <v>0</v>
      </c>
      <c r="AO468" s="39">
        <v>1784.43</v>
      </c>
      <c r="AP468" s="39">
        <v>1799.29</v>
      </c>
      <c r="AQ468" s="39">
        <v>1787.17</v>
      </c>
      <c r="AR468" s="39">
        <v>1799.29</v>
      </c>
    </row>
    <row r="469" spans="1:44" x14ac:dyDescent="0.35">
      <c r="A469" s="16" t="str">
        <f t="shared" ref="A469:A478" si="39">TEXT(30,"00")</f>
        <v>30</v>
      </c>
      <c r="B469" s="19">
        <v>66548</v>
      </c>
      <c r="C469" s="16" t="str">
        <f t="shared" ref="C469:C515" si="40">TEXT(,"0000000")</f>
        <v>0000000</v>
      </c>
      <c r="D469" s="17" t="s">
        <v>3663</v>
      </c>
      <c r="E469" s="16" t="s">
        <v>1565</v>
      </c>
      <c r="F469" s="16" t="s">
        <v>1566</v>
      </c>
      <c r="G469" s="35" t="s">
        <v>1566</v>
      </c>
      <c r="H469" s="39">
        <v>13126.07</v>
      </c>
      <c r="I469" s="39">
        <v>13275.47</v>
      </c>
      <c r="J469" s="39">
        <v>13562.28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0</v>
      </c>
      <c r="AI469" s="39">
        <v>13126.07</v>
      </c>
      <c r="AJ469" s="39">
        <v>13275.47</v>
      </c>
      <c r="AK469" s="39">
        <v>13562.28</v>
      </c>
      <c r="AL469" s="39">
        <v>0</v>
      </c>
      <c r="AM469" s="39">
        <v>0</v>
      </c>
      <c r="AN469" s="39">
        <v>0</v>
      </c>
      <c r="AO469" s="39">
        <v>13126.07</v>
      </c>
      <c r="AP469" s="39">
        <v>13275.47</v>
      </c>
      <c r="AQ469" s="39">
        <v>13562.28</v>
      </c>
      <c r="AR469" s="39">
        <v>13562.28</v>
      </c>
    </row>
    <row r="470" spans="1:44" x14ac:dyDescent="0.35">
      <c r="A470" s="16" t="str">
        <f t="shared" si="39"/>
        <v>30</v>
      </c>
      <c r="B470" s="19">
        <v>66498</v>
      </c>
      <c r="C470" s="16" t="str">
        <f t="shared" si="40"/>
        <v>0000000</v>
      </c>
      <c r="D470" s="17" t="s">
        <v>3663</v>
      </c>
      <c r="E470" s="16" t="s">
        <v>1567</v>
      </c>
      <c r="F470" s="16" t="s">
        <v>1566</v>
      </c>
      <c r="G470" s="35" t="s">
        <v>1568</v>
      </c>
      <c r="H470" s="39">
        <v>5783.36</v>
      </c>
      <c r="I470" s="39">
        <v>5774.8</v>
      </c>
      <c r="J470" s="39">
        <v>5654.16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5783.36</v>
      </c>
      <c r="AJ470" s="39">
        <v>5774.8</v>
      </c>
      <c r="AK470" s="39">
        <v>5654.16</v>
      </c>
      <c r="AL470" s="39">
        <v>0</v>
      </c>
      <c r="AM470" s="39">
        <v>0</v>
      </c>
      <c r="AN470" s="39">
        <v>0</v>
      </c>
      <c r="AO470" s="39">
        <v>5783.36</v>
      </c>
      <c r="AP470" s="39">
        <v>5774.8</v>
      </c>
      <c r="AQ470" s="39">
        <v>5654.16</v>
      </c>
      <c r="AR470" s="39">
        <v>5783.36</v>
      </c>
    </row>
    <row r="471" spans="1:44" x14ac:dyDescent="0.35">
      <c r="A471" s="16" t="str">
        <f t="shared" si="39"/>
        <v>30</v>
      </c>
      <c r="B471" s="19">
        <v>66530</v>
      </c>
      <c r="C471" s="16" t="str">
        <f t="shared" si="40"/>
        <v>0000000</v>
      </c>
      <c r="D471" s="17" t="s">
        <v>3663</v>
      </c>
      <c r="E471" s="16" t="s">
        <v>1575</v>
      </c>
      <c r="F471" s="16" t="s">
        <v>1566</v>
      </c>
      <c r="G471" s="35" t="s">
        <v>1576</v>
      </c>
      <c r="H471" s="39">
        <v>4353.9799999999996</v>
      </c>
      <c r="I471" s="39">
        <v>4416.4399999999996</v>
      </c>
      <c r="J471" s="39">
        <v>4420.3999999999996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4353.9799999999996</v>
      </c>
      <c r="AJ471" s="39">
        <v>4416.4399999999996</v>
      </c>
      <c r="AK471" s="39">
        <v>4420.3999999999996</v>
      </c>
      <c r="AL471" s="39">
        <v>0</v>
      </c>
      <c r="AM471" s="39">
        <v>0</v>
      </c>
      <c r="AN471" s="39">
        <v>0</v>
      </c>
      <c r="AO471" s="39">
        <v>4353.9799999999996</v>
      </c>
      <c r="AP471" s="39">
        <v>4416.4399999999996</v>
      </c>
      <c r="AQ471" s="39">
        <v>4420.3999999999996</v>
      </c>
      <c r="AR471" s="39">
        <v>4420.3999999999996</v>
      </c>
    </row>
    <row r="472" spans="1:44" x14ac:dyDescent="0.35">
      <c r="A472" s="16" t="str">
        <f t="shared" si="39"/>
        <v>30</v>
      </c>
      <c r="B472" s="19">
        <v>66613</v>
      </c>
      <c r="C472" s="16" t="str">
        <f t="shared" si="40"/>
        <v>0000000</v>
      </c>
      <c r="D472" s="17" t="s">
        <v>3663</v>
      </c>
      <c r="E472" s="16" t="s">
        <v>1589</v>
      </c>
      <c r="F472" s="16" t="s">
        <v>1566</v>
      </c>
      <c r="G472" s="35" t="s">
        <v>1590</v>
      </c>
      <c r="H472" s="39">
        <v>6228.73</v>
      </c>
      <c r="I472" s="39">
        <v>6319.72</v>
      </c>
      <c r="J472" s="39">
        <v>6387.05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6228.73</v>
      </c>
      <c r="AJ472" s="39">
        <v>6319.72</v>
      </c>
      <c r="AK472" s="39">
        <v>6387.05</v>
      </c>
      <c r="AL472" s="39">
        <v>0</v>
      </c>
      <c r="AM472" s="39">
        <v>0</v>
      </c>
      <c r="AN472" s="39">
        <v>0</v>
      </c>
      <c r="AO472" s="39">
        <v>6228.73</v>
      </c>
      <c r="AP472" s="39">
        <v>6319.72</v>
      </c>
      <c r="AQ472" s="39">
        <v>6387.05</v>
      </c>
      <c r="AR472" s="39">
        <v>6387.05</v>
      </c>
    </row>
    <row r="473" spans="1:44" x14ac:dyDescent="0.35">
      <c r="A473" s="16" t="str">
        <f t="shared" si="39"/>
        <v>30</v>
      </c>
      <c r="B473" s="19">
        <v>66746</v>
      </c>
      <c r="C473" s="16" t="str">
        <f t="shared" si="40"/>
        <v>0000000</v>
      </c>
      <c r="D473" s="17" t="s">
        <v>3663</v>
      </c>
      <c r="E473" s="16" t="s">
        <v>1615</v>
      </c>
      <c r="F473" s="16" t="s">
        <v>1566</v>
      </c>
      <c r="G473" s="35" t="s">
        <v>1616</v>
      </c>
      <c r="H473" s="39">
        <v>7441.91</v>
      </c>
      <c r="I473" s="39">
        <v>7487.38</v>
      </c>
      <c r="J473" s="39">
        <v>7521.37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7441.91</v>
      </c>
      <c r="AJ473" s="39">
        <v>7487.38</v>
      </c>
      <c r="AK473" s="39">
        <v>7521.37</v>
      </c>
      <c r="AL473" s="39">
        <v>0</v>
      </c>
      <c r="AM473" s="39">
        <v>0</v>
      </c>
      <c r="AN473" s="39">
        <v>0</v>
      </c>
      <c r="AO473" s="39">
        <v>7441.91</v>
      </c>
      <c r="AP473" s="39">
        <v>7487.38</v>
      </c>
      <c r="AQ473" s="39">
        <v>7521.37</v>
      </c>
      <c r="AR473" s="39">
        <v>7521.37</v>
      </c>
    </row>
    <row r="474" spans="1:44" x14ac:dyDescent="0.35">
      <c r="A474" s="16" t="str">
        <f t="shared" si="39"/>
        <v>30</v>
      </c>
      <c r="B474" s="19">
        <v>66597</v>
      </c>
      <c r="C474" s="16" t="str">
        <f t="shared" si="40"/>
        <v>0000000</v>
      </c>
      <c r="D474" s="17" t="s">
        <v>3663</v>
      </c>
      <c r="E474" s="16" t="s">
        <v>1587</v>
      </c>
      <c r="F474" s="16" t="s">
        <v>1588</v>
      </c>
      <c r="G474" s="35" t="s">
        <v>1588</v>
      </c>
      <c r="H474" s="39">
        <v>16524.34</v>
      </c>
      <c r="I474" s="39">
        <v>16625.53</v>
      </c>
      <c r="J474" s="39">
        <v>16531.939999999999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16524.34</v>
      </c>
      <c r="AJ474" s="39">
        <v>16625.53</v>
      </c>
      <c r="AK474" s="39">
        <v>16531.939999999999</v>
      </c>
      <c r="AL474" s="39">
        <v>0</v>
      </c>
      <c r="AM474" s="39">
        <v>0</v>
      </c>
      <c r="AN474" s="39">
        <v>0</v>
      </c>
      <c r="AO474" s="39">
        <v>16524.34</v>
      </c>
      <c r="AP474" s="39">
        <v>16625.53</v>
      </c>
      <c r="AQ474" s="39">
        <v>16531.939999999999</v>
      </c>
      <c r="AR474" s="39">
        <v>16625.53</v>
      </c>
    </row>
    <row r="475" spans="1:44" x14ac:dyDescent="0.35">
      <c r="A475" s="16" t="str">
        <f t="shared" si="39"/>
        <v>30</v>
      </c>
      <c r="B475" s="19">
        <v>66621</v>
      </c>
      <c r="C475" s="16" t="str">
        <f t="shared" si="40"/>
        <v>0000000</v>
      </c>
      <c r="D475" s="17" t="s">
        <v>3663</v>
      </c>
      <c r="E475" s="16" t="s">
        <v>1591</v>
      </c>
      <c r="F475" s="16" t="s">
        <v>1592</v>
      </c>
      <c r="G475" s="35" t="s">
        <v>1592</v>
      </c>
      <c r="H475" s="39">
        <v>21399.68</v>
      </c>
      <c r="I475" s="39">
        <v>21832.5</v>
      </c>
      <c r="J475" s="39">
        <v>21942.240000000002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21399.68</v>
      </c>
      <c r="AJ475" s="39">
        <v>21832.5</v>
      </c>
      <c r="AK475" s="39">
        <v>21942.240000000002</v>
      </c>
      <c r="AL475" s="39">
        <v>0</v>
      </c>
      <c r="AM475" s="39">
        <v>0</v>
      </c>
      <c r="AN475" s="39">
        <v>0</v>
      </c>
      <c r="AO475" s="39">
        <v>21399.68</v>
      </c>
      <c r="AP475" s="39">
        <v>21832.5</v>
      </c>
      <c r="AQ475" s="39">
        <v>21942.240000000002</v>
      </c>
      <c r="AR475" s="39">
        <v>21942.240000000002</v>
      </c>
    </row>
    <row r="476" spans="1:44" x14ac:dyDescent="0.35">
      <c r="A476" s="16" t="str">
        <f t="shared" si="39"/>
        <v>30</v>
      </c>
      <c r="B476" s="19">
        <v>66670</v>
      </c>
      <c r="C476" s="16" t="str">
        <f t="shared" si="40"/>
        <v>0000000</v>
      </c>
      <c r="D476" s="17" t="s">
        <v>3663</v>
      </c>
      <c r="E476" s="16" t="s">
        <v>1599</v>
      </c>
      <c r="F476" s="16" t="s">
        <v>1600</v>
      </c>
      <c r="G476" s="35" t="s">
        <v>1600</v>
      </c>
      <c r="H476" s="39">
        <v>33343.629999999997</v>
      </c>
      <c r="I476" s="39">
        <v>35291.51</v>
      </c>
      <c r="J476" s="39">
        <v>36639.519999999997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337.62</v>
      </c>
      <c r="AD476" s="39">
        <v>332.1</v>
      </c>
      <c r="AE476" s="39">
        <v>302.55</v>
      </c>
      <c r="AF476" s="39">
        <v>0</v>
      </c>
      <c r="AG476" s="39">
        <v>0</v>
      </c>
      <c r="AH476" s="39">
        <v>0</v>
      </c>
      <c r="AI476" s="39">
        <v>33681.25</v>
      </c>
      <c r="AJ476" s="39">
        <v>35623.61</v>
      </c>
      <c r="AK476" s="39">
        <v>36942.07</v>
      </c>
      <c r="AL476" s="39">
        <v>0</v>
      </c>
      <c r="AM476" s="39">
        <v>0</v>
      </c>
      <c r="AN476" s="39">
        <v>0</v>
      </c>
      <c r="AO476" s="39">
        <v>33681.25</v>
      </c>
      <c r="AP476" s="39">
        <v>35623.61</v>
      </c>
      <c r="AQ476" s="39">
        <v>36942.07</v>
      </c>
      <c r="AR476" s="39">
        <v>36942.07</v>
      </c>
    </row>
    <row r="477" spans="1:44" x14ac:dyDescent="0.35">
      <c r="A477" s="16" t="str">
        <f t="shared" si="39"/>
        <v>30</v>
      </c>
      <c r="B477" s="19">
        <v>66522</v>
      </c>
      <c r="C477" s="16" t="str">
        <f t="shared" si="40"/>
        <v>0000000</v>
      </c>
      <c r="D477" s="17" t="s">
        <v>3663</v>
      </c>
      <c r="E477" s="16" t="s">
        <v>1573</v>
      </c>
      <c r="F477" s="16" t="s">
        <v>1574</v>
      </c>
      <c r="G477" s="35" t="s">
        <v>1574</v>
      </c>
      <c r="H477" s="39">
        <v>34883.769999999997</v>
      </c>
      <c r="I477" s="39">
        <v>35304.39</v>
      </c>
      <c r="J477" s="39">
        <v>35500.82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34883.769999999997</v>
      </c>
      <c r="AJ477" s="39">
        <v>35304.39</v>
      </c>
      <c r="AK477" s="39">
        <v>35500.82</v>
      </c>
      <c r="AL477" s="39">
        <v>0</v>
      </c>
      <c r="AM477" s="39">
        <v>0</v>
      </c>
      <c r="AN477" s="39">
        <v>0</v>
      </c>
      <c r="AO477" s="39">
        <v>34883.769999999997</v>
      </c>
      <c r="AP477" s="39">
        <v>35304.39</v>
      </c>
      <c r="AQ477" s="39">
        <v>35500.82</v>
      </c>
      <c r="AR477" s="39">
        <v>35500.82</v>
      </c>
    </row>
    <row r="478" spans="1:44" x14ac:dyDescent="0.35">
      <c r="A478" s="16" t="str">
        <f t="shared" si="39"/>
        <v>30</v>
      </c>
      <c r="B478" s="19">
        <v>73650</v>
      </c>
      <c r="C478" s="16" t="str">
        <f t="shared" si="40"/>
        <v>0000000</v>
      </c>
      <c r="D478" s="17" t="s">
        <v>3663</v>
      </c>
      <c r="E478" s="16" t="s">
        <v>1619</v>
      </c>
      <c r="F478" s="16" t="s">
        <v>1620</v>
      </c>
      <c r="G478" s="35" t="s">
        <v>1620</v>
      </c>
      <c r="H478" s="39">
        <v>36511.83</v>
      </c>
      <c r="I478" s="39">
        <v>36245.75</v>
      </c>
      <c r="J478" s="39">
        <v>34960.5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219.64</v>
      </c>
      <c r="AE478" s="39">
        <v>0</v>
      </c>
      <c r="AF478" s="39">
        <v>0</v>
      </c>
      <c r="AG478" s="39">
        <v>0</v>
      </c>
      <c r="AH478" s="39">
        <v>0</v>
      </c>
      <c r="AI478" s="39">
        <v>36511.83</v>
      </c>
      <c r="AJ478" s="39">
        <v>36465.39</v>
      </c>
      <c r="AK478" s="39">
        <v>34960.5</v>
      </c>
      <c r="AL478" s="39">
        <v>0</v>
      </c>
      <c r="AM478" s="39">
        <v>-219.64</v>
      </c>
      <c r="AN478" s="39">
        <v>0</v>
      </c>
      <c r="AO478" s="39">
        <v>36511.83</v>
      </c>
      <c r="AP478" s="39">
        <v>36245.75</v>
      </c>
      <c r="AQ478" s="39">
        <v>34960.5</v>
      </c>
      <c r="AR478" s="39">
        <v>36511.83</v>
      </c>
    </row>
    <row r="479" spans="1:44" x14ac:dyDescent="0.35">
      <c r="A479" s="16" t="str">
        <f>TEXT(10,"00")</f>
        <v>10</v>
      </c>
      <c r="B479" s="19">
        <v>62166</v>
      </c>
      <c r="C479" s="16" t="str">
        <f t="shared" si="40"/>
        <v>0000000</v>
      </c>
      <c r="D479" s="17" t="s">
        <v>3663</v>
      </c>
      <c r="E479" s="16" t="s">
        <v>421</v>
      </c>
      <c r="F479" s="16" t="s">
        <v>422</v>
      </c>
      <c r="G479" s="35" t="s">
        <v>422</v>
      </c>
      <c r="H479" s="39">
        <v>61809.51</v>
      </c>
      <c r="I479" s="39">
        <v>62221.03</v>
      </c>
      <c r="J479" s="39">
        <v>62403.72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792.63</v>
      </c>
      <c r="AD479" s="39">
        <v>828.7</v>
      </c>
      <c r="AE479" s="39">
        <v>807.65</v>
      </c>
      <c r="AF479" s="39">
        <v>0</v>
      </c>
      <c r="AG479" s="39">
        <v>0</v>
      </c>
      <c r="AH479" s="39">
        <v>0</v>
      </c>
      <c r="AI479" s="39">
        <v>62602.14</v>
      </c>
      <c r="AJ479" s="39">
        <v>63049.73</v>
      </c>
      <c r="AK479" s="39">
        <v>63211.37</v>
      </c>
      <c r="AL479" s="39">
        <v>0</v>
      </c>
      <c r="AM479" s="39">
        <v>0</v>
      </c>
      <c r="AN479" s="39">
        <v>0</v>
      </c>
      <c r="AO479" s="39">
        <v>62602.14</v>
      </c>
      <c r="AP479" s="39">
        <v>63049.73</v>
      </c>
      <c r="AQ479" s="39">
        <v>63211.37</v>
      </c>
      <c r="AR479" s="39">
        <v>63211.37</v>
      </c>
    </row>
    <row r="480" spans="1:44" x14ac:dyDescent="0.35">
      <c r="A480" s="16" t="str">
        <f>TEXT(39,"00")</f>
        <v>39</v>
      </c>
      <c r="B480" s="19">
        <v>68676</v>
      </c>
      <c r="C480" s="16" t="str">
        <f t="shared" si="40"/>
        <v>0000000</v>
      </c>
      <c r="D480" s="17" t="s">
        <v>3663</v>
      </c>
      <c r="E480" s="16" t="s">
        <v>2467</v>
      </c>
      <c r="F480" s="16" t="s">
        <v>3544</v>
      </c>
      <c r="G480" s="35" t="s">
        <v>3544</v>
      </c>
      <c r="H480" s="39">
        <v>28444.19</v>
      </c>
      <c r="I480" s="39">
        <v>29097.99</v>
      </c>
      <c r="J480" s="39">
        <v>29701.72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1937.61</v>
      </c>
      <c r="AD480" s="39">
        <v>1965.54</v>
      </c>
      <c r="AE480" s="39">
        <v>1961.09</v>
      </c>
      <c r="AF480" s="39">
        <v>0</v>
      </c>
      <c r="AG480" s="39">
        <v>0</v>
      </c>
      <c r="AH480" s="39">
        <v>0</v>
      </c>
      <c r="AI480" s="39">
        <v>30381.8</v>
      </c>
      <c r="AJ480" s="39">
        <v>31063.53</v>
      </c>
      <c r="AK480" s="39">
        <v>31662.81</v>
      </c>
      <c r="AL480" s="39">
        <v>0</v>
      </c>
      <c r="AM480" s="39">
        <v>0</v>
      </c>
      <c r="AN480" s="39">
        <v>0</v>
      </c>
      <c r="AO480" s="39">
        <v>30381.8</v>
      </c>
      <c r="AP480" s="39">
        <v>31063.53</v>
      </c>
      <c r="AQ480" s="39">
        <v>31662.81</v>
      </c>
      <c r="AR480" s="39">
        <v>31662.81</v>
      </c>
    </row>
    <row r="481" spans="1:44" x14ac:dyDescent="0.35">
      <c r="A481" s="16" t="str">
        <f>TEXT(34,"00")</f>
        <v>34</v>
      </c>
      <c r="B481" s="19">
        <v>67439</v>
      </c>
      <c r="C481" s="16" t="str">
        <f t="shared" si="40"/>
        <v>0000000</v>
      </c>
      <c r="D481" s="17" t="s">
        <v>3663</v>
      </c>
      <c r="E481" s="16" t="s">
        <v>1819</v>
      </c>
      <c r="F481" s="16" t="s">
        <v>1820</v>
      </c>
      <c r="G481" s="35" t="s">
        <v>1820</v>
      </c>
      <c r="H481" s="39">
        <v>33406.129999999997</v>
      </c>
      <c r="I481" s="39">
        <v>33679.14</v>
      </c>
      <c r="J481" s="39">
        <v>33726.9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1651.75</v>
      </c>
      <c r="AD481" s="39">
        <v>1684.74</v>
      </c>
      <c r="AE481" s="39">
        <v>1737.72</v>
      </c>
      <c r="AF481" s="39">
        <v>0</v>
      </c>
      <c r="AG481" s="39">
        <v>0</v>
      </c>
      <c r="AH481" s="39">
        <v>0</v>
      </c>
      <c r="AI481" s="39">
        <v>35057.879999999997</v>
      </c>
      <c r="AJ481" s="39">
        <v>35363.879999999997</v>
      </c>
      <c r="AK481" s="39">
        <v>35464.620000000003</v>
      </c>
      <c r="AL481" s="39">
        <v>0</v>
      </c>
      <c r="AM481" s="39">
        <v>0</v>
      </c>
      <c r="AN481" s="39">
        <v>0</v>
      </c>
      <c r="AO481" s="39">
        <v>35057.879999999997</v>
      </c>
      <c r="AP481" s="39">
        <v>35363.879999999997</v>
      </c>
      <c r="AQ481" s="39">
        <v>35464.620000000003</v>
      </c>
      <c r="AR481" s="39">
        <v>35464.620000000003</v>
      </c>
    </row>
    <row r="482" spans="1:44" x14ac:dyDescent="0.35">
      <c r="A482" s="16" t="str">
        <f t="shared" ref="A482:A487" si="41">TEXT(48,"00")</f>
        <v>48</v>
      </c>
      <c r="B482" s="19">
        <v>10488</v>
      </c>
      <c r="C482" s="16" t="str">
        <f t="shared" si="40"/>
        <v>0000000</v>
      </c>
      <c r="D482" s="17" t="s">
        <v>3663</v>
      </c>
      <c r="E482" s="16" t="s">
        <v>3019</v>
      </c>
      <c r="F482" s="16" t="s">
        <v>3020</v>
      </c>
      <c r="G482" s="35" t="s">
        <v>3020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65.27</v>
      </c>
      <c r="U482" s="39">
        <v>70.430000000000007</v>
      </c>
      <c r="V482" s="39">
        <v>55.8</v>
      </c>
      <c r="W482" s="39">
        <v>342.15</v>
      </c>
      <c r="X482" s="39">
        <v>318.97000000000003</v>
      </c>
      <c r="Y482" s="39">
        <v>268.29000000000002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407.42</v>
      </c>
      <c r="AJ482" s="39">
        <v>389.4</v>
      </c>
      <c r="AK482" s="39">
        <v>324.08999999999997</v>
      </c>
      <c r="AL482" s="39">
        <v>0</v>
      </c>
      <c r="AM482" s="39">
        <v>0</v>
      </c>
      <c r="AN482" s="39">
        <v>0</v>
      </c>
      <c r="AO482" s="39">
        <v>407.42</v>
      </c>
      <c r="AP482" s="39">
        <v>389.4</v>
      </c>
      <c r="AQ482" s="39">
        <v>324.08999999999997</v>
      </c>
      <c r="AR482" s="39">
        <v>407.42</v>
      </c>
    </row>
    <row r="483" spans="1:44" x14ac:dyDescent="0.35">
      <c r="A483" s="16" t="str">
        <f t="shared" si="41"/>
        <v>48</v>
      </c>
      <c r="B483" s="19">
        <v>70524</v>
      </c>
      <c r="C483" s="16" t="str">
        <f t="shared" si="40"/>
        <v>0000000</v>
      </c>
      <c r="D483" s="17" t="s">
        <v>3663</v>
      </c>
      <c r="E483" s="16" t="s">
        <v>3023</v>
      </c>
      <c r="F483" s="16" t="s">
        <v>3020</v>
      </c>
      <c r="G483" s="35" t="s">
        <v>3024</v>
      </c>
      <c r="H483" s="39">
        <v>4114.13</v>
      </c>
      <c r="I483" s="39">
        <v>4111.1400000000003</v>
      </c>
      <c r="J483" s="39">
        <v>4041.44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4114.13</v>
      </c>
      <c r="AJ483" s="39">
        <v>4111.1400000000003</v>
      </c>
      <c r="AK483" s="39">
        <v>4041.44</v>
      </c>
      <c r="AL483" s="39">
        <v>0</v>
      </c>
      <c r="AM483" s="39">
        <v>0</v>
      </c>
      <c r="AN483" s="39">
        <v>0</v>
      </c>
      <c r="AO483" s="39">
        <v>4114.13</v>
      </c>
      <c r="AP483" s="39">
        <v>4111.1400000000003</v>
      </c>
      <c r="AQ483" s="39">
        <v>4041.44</v>
      </c>
      <c r="AR483" s="39">
        <v>4114.13</v>
      </c>
    </row>
    <row r="484" spans="1:44" x14ac:dyDescent="0.35">
      <c r="A484" s="16" t="str">
        <f t="shared" si="41"/>
        <v>48</v>
      </c>
      <c r="B484" s="19">
        <v>70532</v>
      </c>
      <c r="C484" s="16" t="str">
        <f t="shared" si="40"/>
        <v>0000000</v>
      </c>
      <c r="D484" s="17" t="s">
        <v>3663</v>
      </c>
      <c r="E484" s="16" t="s">
        <v>3025</v>
      </c>
      <c r="F484" s="16" t="s">
        <v>3020</v>
      </c>
      <c r="G484" s="35" t="s">
        <v>3026</v>
      </c>
      <c r="H484" s="39">
        <v>2740.4</v>
      </c>
      <c r="I484" s="39">
        <v>2786.63</v>
      </c>
      <c r="J484" s="39">
        <v>2756.39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2740.4</v>
      </c>
      <c r="AJ484" s="39">
        <v>2786.63</v>
      </c>
      <c r="AK484" s="39">
        <v>2756.39</v>
      </c>
      <c r="AL484" s="39">
        <v>0</v>
      </c>
      <c r="AM484" s="39">
        <v>0</v>
      </c>
      <c r="AN484" s="39">
        <v>0</v>
      </c>
      <c r="AO484" s="39">
        <v>2740.4</v>
      </c>
      <c r="AP484" s="39">
        <v>2786.63</v>
      </c>
      <c r="AQ484" s="39">
        <v>2756.39</v>
      </c>
      <c r="AR484" s="39">
        <v>2786.63</v>
      </c>
    </row>
    <row r="485" spans="1:44" x14ac:dyDescent="0.35">
      <c r="A485" s="16" t="str">
        <f t="shared" si="41"/>
        <v>48</v>
      </c>
      <c r="B485" s="19">
        <v>70540</v>
      </c>
      <c r="C485" s="16" t="str">
        <f t="shared" si="40"/>
        <v>0000000</v>
      </c>
      <c r="D485" s="17" t="s">
        <v>3663</v>
      </c>
      <c r="E485" s="16" t="s">
        <v>3029</v>
      </c>
      <c r="F485" s="16" t="s">
        <v>3020</v>
      </c>
      <c r="G485" s="35" t="s">
        <v>3030</v>
      </c>
      <c r="H485" s="39">
        <v>18810.82</v>
      </c>
      <c r="I485" s="39">
        <v>18843.55</v>
      </c>
      <c r="J485" s="39">
        <v>18725.55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18810.82</v>
      </c>
      <c r="AJ485" s="39">
        <v>18843.55</v>
      </c>
      <c r="AK485" s="39">
        <v>18725.55</v>
      </c>
      <c r="AL485" s="39">
        <v>0</v>
      </c>
      <c r="AM485" s="39">
        <v>0</v>
      </c>
      <c r="AN485" s="39">
        <v>0</v>
      </c>
      <c r="AO485" s="39">
        <v>18810.82</v>
      </c>
      <c r="AP485" s="39">
        <v>18843.55</v>
      </c>
      <c r="AQ485" s="39">
        <v>18725.55</v>
      </c>
      <c r="AR485" s="39">
        <v>18843.55</v>
      </c>
    </row>
    <row r="486" spans="1:44" x14ac:dyDescent="0.35">
      <c r="A486" s="16" t="str">
        <f t="shared" si="41"/>
        <v>48</v>
      </c>
      <c r="B486" s="19">
        <v>70565</v>
      </c>
      <c r="C486" s="16" t="str">
        <f t="shared" si="40"/>
        <v>0000000</v>
      </c>
      <c r="D486" s="17" t="s">
        <v>3663</v>
      </c>
      <c r="E486" s="16" t="s">
        <v>3031</v>
      </c>
      <c r="F486" s="16" t="s">
        <v>3020</v>
      </c>
      <c r="G486" s="35" t="s">
        <v>3032</v>
      </c>
      <c r="H486" s="39">
        <v>5134.1000000000004</v>
      </c>
      <c r="I486" s="39">
        <v>5177.6400000000003</v>
      </c>
      <c r="J486" s="39">
        <v>5018.2299999999996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5134.1000000000004</v>
      </c>
      <c r="AJ486" s="39">
        <v>5177.6400000000003</v>
      </c>
      <c r="AK486" s="39">
        <v>5018.2299999999996</v>
      </c>
      <c r="AL486" s="39">
        <v>0</v>
      </c>
      <c r="AM486" s="39">
        <v>0</v>
      </c>
      <c r="AN486" s="39">
        <v>0</v>
      </c>
      <c r="AO486" s="39">
        <v>5134.1000000000004</v>
      </c>
      <c r="AP486" s="39">
        <v>5177.6400000000003</v>
      </c>
      <c r="AQ486" s="39">
        <v>5018.2299999999996</v>
      </c>
      <c r="AR486" s="39">
        <v>5177.6400000000003</v>
      </c>
    </row>
    <row r="487" spans="1:44" x14ac:dyDescent="0.35">
      <c r="A487" s="16" t="str">
        <f t="shared" si="41"/>
        <v>48</v>
      </c>
      <c r="B487" s="19">
        <v>70573</v>
      </c>
      <c r="C487" s="16" t="str">
        <f t="shared" si="40"/>
        <v>0000000</v>
      </c>
      <c r="D487" s="17" t="s">
        <v>3663</v>
      </c>
      <c r="E487" s="16" t="s">
        <v>3033</v>
      </c>
      <c r="F487" s="16" t="s">
        <v>3020</v>
      </c>
      <c r="G487" s="35" t="s">
        <v>3034</v>
      </c>
      <c r="H487" s="39">
        <v>10847.77</v>
      </c>
      <c r="I487" s="39">
        <v>10625.52</v>
      </c>
      <c r="J487" s="39">
        <v>10447.16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1141.98</v>
      </c>
      <c r="AD487" s="39">
        <v>1262.77</v>
      </c>
      <c r="AE487" s="39">
        <v>1266.19</v>
      </c>
      <c r="AF487" s="39">
        <v>0</v>
      </c>
      <c r="AG487" s="39">
        <v>0</v>
      </c>
      <c r="AH487" s="39">
        <v>0</v>
      </c>
      <c r="AI487" s="39">
        <v>11989.75</v>
      </c>
      <c r="AJ487" s="39">
        <v>11888.29</v>
      </c>
      <c r="AK487" s="39">
        <v>11713.35</v>
      </c>
      <c r="AL487" s="39">
        <v>0</v>
      </c>
      <c r="AM487" s="39">
        <v>0</v>
      </c>
      <c r="AN487" s="39">
        <v>0</v>
      </c>
      <c r="AO487" s="39">
        <v>11989.75</v>
      </c>
      <c r="AP487" s="39">
        <v>11888.29</v>
      </c>
      <c r="AQ487" s="39">
        <v>11713.35</v>
      </c>
      <c r="AR487" s="39">
        <v>11989.75</v>
      </c>
    </row>
    <row r="488" spans="1:44" x14ac:dyDescent="0.35">
      <c r="A488" s="16" t="str">
        <f t="shared" ref="A488:A502" si="42">TEXT(9,"00")</f>
        <v>09</v>
      </c>
      <c r="B488" s="19">
        <v>10090</v>
      </c>
      <c r="C488" s="16" t="str">
        <f t="shared" si="40"/>
        <v>0000000</v>
      </c>
      <c r="D488" s="17" t="s">
        <v>3663</v>
      </c>
      <c r="E488" s="16" t="s">
        <v>344</v>
      </c>
      <c r="F488" s="16" t="s">
        <v>345</v>
      </c>
      <c r="G488" s="35" t="s">
        <v>345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395.56</v>
      </c>
      <c r="U488" s="39">
        <v>352.48</v>
      </c>
      <c r="V488" s="39">
        <v>321.72000000000003</v>
      </c>
      <c r="W488" s="39">
        <v>484.02</v>
      </c>
      <c r="X488" s="39">
        <v>458.34</v>
      </c>
      <c r="Y488" s="39">
        <v>471.96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879.58</v>
      </c>
      <c r="AJ488" s="39">
        <v>810.82</v>
      </c>
      <c r="AK488" s="39">
        <v>793.68</v>
      </c>
      <c r="AL488" s="39">
        <v>0</v>
      </c>
      <c r="AM488" s="39">
        <v>0</v>
      </c>
      <c r="AN488" s="39">
        <v>0</v>
      </c>
      <c r="AO488" s="39">
        <v>879.58</v>
      </c>
      <c r="AP488" s="39">
        <v>810.82</v>
      </c>
      <c r="AQ488" s="39">
        <v>793.68</v>
      </c>
      <c r="AR488" s="39">
        <v>879.58</v>
      </c>
    </row>
    <row r="489" spans="1:44" x14ac:dyDescent="0.35">
      <c r="A489" s="16" t="str">
        <f t="shared" si="42"/>
        <v>09</v>
      </c>
      <c r="B489" s="19">
        <v>61838</v>
      </c>
      <c r="C489" s="16" t="str">
        <f t="shared" si="40"/>
        <v>0000000</v>
      </c>
      <c r="D489" s="17" t="s">
        <v>3663</v>
      </c>
      <c r="E489" s="16" t="s">
        <v>348</v>
      </c>
      <c r="F489" s="16" t="s">
        <v>345</v>
      </c>
      <c r="G489" s="35" t="s">
        <v>349</v>
      </c>
      <c r="H489" s="39">
        <v>3152.39</v>
      </c>
      <c r="I489" s="39">
        <v>3276.06</v>
      </c>
      <c r="J489" s="39">
        <v>3353.92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841.27</v>
      </c>
      <c r="AD489" s="39">
        <v>800.78</v>
      </c>
      <c r="AE489" s="39">
        <v>792.9</v>
      </c>
      <c r="AF489" s="39">
        <v>0</v>
      </c>
      <c r="AG489" s="39">
        <v>0</v>
      </c>
      <c r="AH489" s="39">
        <v>0</v>
      </c>
      <c r="AI489" s="39">
        <v>3993.66</v>
      </c>
      <c r="AJ489" s="39">
        <v>4076.84</v>
      </c>
      <c r="AK489" s="39">
        <v>4146.82</v>
      </c>
      <c r="AL489" s="39">
        <v>0</v>
      </c>
      <c r="AM489" s="39">
        <v>0</v>
      </c>
      <c r="AN489" s="39">
        <v>0</v>
      </c>
      <c r="AO489" s="39">
        <v>3993.66</v>
      </c>
      <c r="AP489" s="39">
        <v>4076.84</v>
      </c>
      <c r="AQ489" s="39">
        <v>4146.82</v>
      </c>
      <c r="AR489" s="39">
        <v>4146.82</v>
      </c>
    </row>
    <row r="490" spans="1:44" x14ac:dyDescent="0.35">
      <c r="A490" s="16" t="str">
        <f t="shared" si="42"/>
        <v>09</v>
      </c>
      <c r="B490" s="19">
        <v>61846</v>
      </c>
      <c r="C490" s="16" t="str">
        <f t="shared" si="40"/>
        <v>0000000</v>
      </c>
      <c r="D490" s="17" t="s">
        <v>3663</v>
      </c>
      <c r="E490" s="16" t="s">
        <v>361</v>
      </c>
      <c r="F490" s="16" t="s">
        <v>345</v>
      </c>
      <c r="G490" s="35" t="s">
        <v>362</v>
      </c>
      <c r="H490" s="39">
        <v>352.07</v>
      </c>
      <c r="I490" s="39">
        <v>381.56</v>
      </c>
      <c r="J490" s="39">
        <v>373.02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31.84</v>
      </c>
      <c r="AD490" s="39">
        <v>25.53</v>
      </c>
      <c r="AE490" s="39">
        <v>17.86</v>
      </c>
      <c r="AF490" s="39">
        <v>0</v>
      </c>
      <c r="AG490" s="39">
        <v>0</v>
      </c>
      <c r="AH490" s="39">
        <v>0</v>
      </c>
      <c r="AI490" s="39">
        <v>383.91</v>
      </c>
      <c r="AJ490" s="39">
        <v>407.09</v>
      </c>
      <c r="AK490" s="39">
        <v>390.88</v>
      </c>
      <c r="AL490" s="39">
        <v>0</v>
      </c>
      <c r="AM490" s="39">
        <v>0</v>
      </c>
      <c r="AN490" s="39">
        <v>0</v>
      </c>
      <c r="AO490" s="39">
        <v>383.91</v>
      </c>
      <c r="AP490" s="39">
        <v>407.09</v>
      </c>
      <c r="AQ490" s="39">
        <v>390.88</v>
      </c>
      <c r="AR490" s="39">
        <v>407.09</v>
      </c>
    </row>
    <row r="491" spans="1:44" x14ac:dyDescent="0.35">
      <c r="A491" s="16" t="str">
        <f t="shared" si="42"/>
        <v>09</v>
      </c>
      <c r="B491" s="19">
        <v>61879</v>
      </c>
      <c r="C491" s="16" t="str">
        <f t="shared" si="40"/>
        <v>0000000</v>
      </c>
      <c r="D491" s="17" t="s">
        <v>3663</v>
      </c>
      <c r="E491" s="16" t="s">
        <v>365</v>
      </c>
      <c r="F491" s="16" t="s">
        <v>345</v>
      </c>
      <c r="G491" s="35" t="s">
        <v>366</v>
      </c>
      <c r="H491" s="39">
        <v>354.58</v>
      </c>
      <c r="I491" s="39">
        <v>402.71</v>
      </c>
      <c r="J491" s="39">
        <v>414.5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354.58</v>
      </c>
      <c r="AJ491" s="39">
        <v>402.71</v>
      </c>
      <c r="AK491" s="39">
        <v>414.5</v>
      </c>
      <c r="AL491" s="39">
        <v>0</v>
      </c>
      <c r="AM491" s="39">
        <v>0</v>
      </c>
      <c r="AN491" s="39">
        <v>0</v>
      </c>
      <c r="AO491" s="39">
        <v>354.58</v>
      </c>
      <c r="AP491" s="39">
        <v>402.71</v>
      </c>
      <c r="AQ491" s="39">
        <v>414.5</v>
      </c>
      <c r="AR491" s="39">
        <v>414.5</v>
      </c>
    </row>
    <row r="492" spans="1:44" x14ac:dyDescent="0.35">
      <c r="A492" s="16" t="str">
        <f t="shared" si="42"/>
        <v>09</v>
      </c>
      <c r="B492" s="19">
        <v>61887</v>
      </c>
      <c r="C492" s="16" t="str">
        <f t="shared" si="40"/>
        <v>0000000</v>
      </c>
      <c r="D492" s="17" t="s">
        <v>3663</v>
      </c>
      <c r="E492" s="16" t="s">
        <v>367</v>
      </c>
      <c r="F492" s="16" t="s">
        <v>345</v>
      </c>
      <c r="G492" s="35" t="s">
        <v>368</v>
      </c>
      <c r="H492" s="39">
        <v>448.35</v>
      </c>
      <c r="I492" s="39">
        <v>464.85</v>
      </c>
      <c r="J492" s="39">
        <v>477.8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448.35</v>
      </c>
      <c r="AJ492" s="39">
        <v>464.85</v>
      </c>
      <c r="AK492" s="39">
        <v>477.8</v>
      </c>
      <c r="AL492" s="39">
        <v>0</v>
      </c>
      <c r="AM492" s="39">
        <v>0</v>
      </c>
      <c r="AN492" s="39">
        <v>0</v>
      </c>
      <c r="AO492" s="39">
        <v>448.35</v>
      </c>
      <c r="AP492" s="39">
        <v>464.85</v>
      </c>
      <c r="AQ492" s="39">
        <v>477.8</v>
      </c>
      <c r="AR492" s="39">
        <v>477.8</v>
      </c>
    </row>
    <row r="493" spans="1:44" x14ac:dyDescent="0.35">
      <c r="A493" s="16" t="str">
        <f t="shared" si="42"/>
        <v>09</v>
      </c>
      <c r="B493" s="19">
        <v>61929</v>
      </c>
      <c r="C493" s="16" t="str">
        <f t="shared" si="40"/>
        <v>0000000</v>
      </c>
      <c r="D493" s="17" t="s">
        <v>3663</v>
      </c>
      <c r="E493" s="16" t="s">
        <v>373</v>
      </c>
      <c r="F493" s="16" t="s">
        <v>345</v>
      </c>
      <c r="G493" s="35" t="s">
        <v>374</v>
      </c>
      <c r="H493" s="39">
        <v>791.3</v>
      </c>
      <c r="I493" s="39">
        <v>807.65</v>
      </c>
      <c r="J493" s="39">
        <v>788.8</v>
      </c>
      <c r="K493" s="39">
        <v>0</v>
      </c>
      <c r="L493" s="39">
        <v>0</v>
      </c>
      <c r="M493" s="39">
        <v>0</v>
      </c>
      <c r="N493" s="39">
        <v>0</v>
      </c>
      <c r="O493" s="39">
        <v>0</v>
      </c>
      <c r="P493" s="39">
        <v>0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0</v>
      </c>
      <c r="AI493" s="39">
        <v>791.3</v>
      </c>
      <c r="AJ493" s="39">
        <v>807.65</v>
      </c>
      <c r="AK493" s="39">
        <v>788.8</v>
      </c>
      <c r="AL493" s="39">
        <v>0</v>
      </c>
      <c r="AM493" s="39">
        <v>0</v>
      </c>
      <c r="AN493" s="39">
        <v>0</v>
      </c>
      <c r="AO493" s="39">
        <v>791.3</v>
      </c>
      <c r="AP493" s="39">
        <v>807.65</v>
      </c>
      <c r="AQ493" s="39">
        <v>788.8</v>
      </c>
      <c r="AR493" s="39">
        <v>807.65</v>
      </c>
    </row>
    <row r="494" spans="1:44" x14ac:dyDescent="0.35">
      <c r="A494" s="16" t="str">
        <f t="shared" si="42"/>
        <v>09</v>
      </c>
      <c r="B494" s="19">
        <v>61945</v>
      </c>
      <c r="C494" s="16" t="str">
        <f t="shared" si="40"/>
        <v>0000000</v>
      </c>
      <c r="D494" s="17" t="s">
        <v>3663</v>
      </c>
      <c r="E494" s="16" t="s">
        <v>375</v>
      </c>
      <c r="F494" s="16" t="s">
        <v>345</v>
      </c>
      <c r="G494" s="35" t="s">
        <v>229</v>
      </c>
      <c r="H494" s="39">
        <v>269.3</v>
      </c>
      <c r="I494" s="39">
        <v>255.32</v>
      </c>
      <c r="J494" s="39">
        <v>243.35</v>
      </c>
      <c r="K494" s="39">
        <v>0</v>
      </c>
      <c r="L494" s="39">
        <v>0</v>
      </c>
      <c r="M494" s="39">
        <v>0</v>
      </c>
      <c r="N494" s="39">
        <v>0</v>
      </c>
      <c r="O494" s="39">
        <v>0</v>
      </c>
      <c r="P494" s="39">
        <v>0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0</v>
      </c>
      <c r="AI494" s="39">
        <v>269.3</v>
      </c>
      <c r="AJ494" s="39">
        <v>255.32</v>
      </c>
      <c r="AK494" s="39">
        <v>243.35</v>
      </c>
      <c r="AL494" s="39">
        <v>0</v>
      </c>
      <c r="AM494" s="39">
        <v>0</v>
      </c>
      <c r="AN494" s="39">
        <v>0</v>
      </c>
      <c r="AO494" s="39">
        <v>269.3</v>
      </c>
      <c r="AP494" s="39">
        <v>255.32</v>
      </c>
      <c r="AQ494" s="39">
        <v>243.35</v>
      </c>
      <c r="AR494" s="39">
        <v>269.3</v>
      </c>
    </row>
    <row r="495" spans="1:44" x14ac:dyDescent="0.35">
      <c r="A495" s="16" t="str">
        <f t="shared" si="42"/>
        <v>09</v>
      </c>
      <c r="B495" s="19">
        <v>61952</v>
      </c>
      <c r="C495" s="16" t="str">
        <f t="shared" si="40"/>
        <v>0000000</v>
      </c>
      <c r="D495" s="17" t="s">
        <v>3663</v>
      </c>
      <c r="E495" s="16" t="s">
        <v>376</v>
      </c>
      <c r="F495" s="16" t="s">
        <v>345</v>
      </c>
      <c r="G495" s="35" t="s">
        <v>377</v>
      </c>
      <c r="H495" s="39">
        <v>1128.7</v>
      </c>
      <c r="I495" s="39">
        <v>1136.1500000000001</v>
      </c>
      <c r="J495" s="39">
        <v>1080.3900000000001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1128.7</v>
      </c>
      <c r="AJ495" s="39">
        <v>1136.1500000000001</v>
      </c>
      <c r="AK495" s="39">
        <v>1080.3900000000001</v>
      </c>
      <c r="AL495" s="39">
        <v>0</v>
      </c>
      <c r="AM495" s="39">
        <v>0</v>
      </c>
      <c r="AN495" s="39">
        <v>0</v>
      </c>
      <c r="AO495" s="39">
        <v>1128.7</v>
      </c>
      <c r="AP495" s="39">
        <v>1136.1500000000001</v>
      </c>
      <c r="AQ495" s="39">
        <v>1080.3900000000001</v>
      </c>
      <c r="AR495" s="39">
        <v>1136.1500000000001</v>
      </c>
    </row>
    <row r="496" spans="1:44" x14ac:dyDescent="0.35">
      <c r="A496" s="16" t="str">
        <f t="shared" si="42"/>
        <v>09</v>
      </c>
      <c r="B496" s="19">
        <v>61960</v>
      </c>
      <c r="C496" s="16" t="str">
        <f t="shared" si="40"/>
        <v>0000000</v>
      </c>
      <c r="D496" s="17" t="s">
        <v>3663</v>
      </c>
      <c r="E496" s="16" t="s">
        <v>378</v>
      </c>
      <c r="F496" s="16" t="s">
        <v>345</v>
      </c>
      <c r="G496" s="35" t="s">
        <v>379</v>
      </c>
      <c r="H496" s="39">
        <v>542.46</v>
      </c>
      <c r="I496" s="39">
        <v>531.30999999999995</v>
      </c>
      <c r="J496" s="39">
        <v>536.4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542.46</v>
      </c>
      <c r="AJ496" s="39">
        <v>531.30999999999995</v>
      </c>
      <c r="AK496" s="39">
        <v>536.4</v>
      </c>
      <c r="AL496" s="39">
        <v>0</v>
      </c>
      <c r="AM496" s="39">
        <v>0</v>
      </c>
      <c r="AN496" s="39">
        <v>0</v>
      </c>
      <c r="AO496" s="39">
        <v>542.46</v>
      </c>
      <c r="AP496" s="39">
        <v>531.30999999999995</v>
      </c>
      <c r="AQ496" s="39">
        <v>536.4</v>
      </c>
      <c r="AR496" s="39">
        <v>542.46</v>
      </c>
    </row>
    <row r="497" spans="1:44" x14ac:dyDescent="0.35">
      <c r="A497" s="16" t="str">
        <f t="shared" si="42"/>
        <v>09</v>
      </c>
      <c r="B497" s="19">
        <v>61978</v>
      </c>
      <c r="C497" s="16" t="str">
        <f t="shared" si="40"/>
        <v>0000000</v>
      </c>
      <c r="D497" s="17" t="s">
        <v>3663</v>
      </c>
      <c r="E497" s="16" t="s">
        <v>380</v>
      </c>
      <c r="F497" s="16" t="s">
        <v>345</v>
      </c>
      <c r="G497" s="35" t="s">
        <v>381</v>
      </c>
      <c r="H497" s="39">
        <v>3398.95</v>
      </c>
      <c r="I497" s="39">
        <v>3357.69</v>
      </c>
      <c r="J497" s="39">
        <v>3338.84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3398.95</v>
      </c>
      <c r="AJ497" s="39">
        <v>3357.69</v>
      </c>
      <c r="AK497" s="39">
        <v>3338.84</v>
      </c>
      <c r="AL497" s="39">
        <v>0</v>
      </c>
      <c r="AM497" s="39">
        <v>0</v>
      </c>
      <c r="AN497" s="39">
        <v>0</v>
      </c>
      <c r="AO497" s="39">
        <v>3398.95</v>
      </c>
      <c r="AP497" s="39">
        <v>3357.69</v>
      </c>
      <c r="AQ497" s="39">
        <v>3338.84</v>
      </c>
      <c r="AR497" s="39">
        <v>3398.95</v>
      </c>
    </row>
    <row r="498" spans="1:44" x14ac:dyDescent="0.35">
      <c r="A498" s="16" t="str">
        <f t="shared" si="42"/>
        <v>09</v>
      </c>
      <c r="B498" s="19">
        <v>61853</v>
      </c>
      <c r="C498" s="16" t="str">
        <f t="shared" si="40"/>
        <v>0000000</v>
      </c>
      <c r="D498" s="17" t="s">
        <v>3663</v>
      </c>
      <c r="E498" s="16" t="s">
        <v>363</v>
      </c>
      <c r="F498" s="16" t="s">
        <v>345</v>
      </c>
      <c r="G498" s="35" t="s">
        <v>364</v>
      </c>
      <c r="H498" s="39">
        <v>5925.73</v>
      </c>
      <c r="I498" s="39">
        <v>6038.63</v>
      </c>
      <c r="J498" s="39">
        <v>6168.59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113.48</v>
      </c>
      <c r="AD498" s="39">
        <v>97.92</v>
      </c>
      <c r="AE498" s="39">
        <v>96.55</v>
      </c>
      <c r="AF498" s="39">
        <v>0</v>
      </c>
      <c r="AG498" s="39">
        <v>0</v>
      </c>
      <c r="AH498" s="39">
        <v>0</v>
      </c>
      <c r="AI498" s="39">
        <v>6039.21</v>
      </c>
      <c r="AJ498" s="39">
        <v>6136.55</v>
      </c>
      <c r="AK498" s="39">
        <v>6265.14</v>
      </c>
      <c r="AL498" s="39">
        <v>0</v>
      </c>
      <c r="AM498" s="39">
        <v>0</v>
      </c>
      <c r="AN498" s="39">
        <v>0</v>
      </c>
      <c r="AO498" s="39">
        <v>6039.21</v>
      </c>
      <c r="AP498" s="39">
        <v>6136.55</v>
      </c>
      <c r="AQ498" s="39">
        <v>6265.14</v>
      </c>
      <c r="AR498" s="39">
        <v>6265.14</v>
      </c>
    </row>
    <row r="499" spans="1:44" x14ac:dyDescent="0.35">
      <c r="A499" s="16" t="str">
        <f t="shared" si="42"/>
        <v>09</v>
      </c>
      <c r="B499" s="19">
        <v>73783</v>
      </c>
      <c r="C499" s="16" t="str">
        <f t="shared" si="40"/>
        <v>0000000</v>
      </c>
      <c r="D499" s="17" t="s">
        <v>3663</v>
      </c>
      <c r="E499" s="16" t="s">
        <v>384</v>
      </c>
      <c r="F499" s="16" t="s">
        <v>345</v>
      </c>
      <c r="G499" s="35" t="s">
        <v>385</v>
      </c>
      <c r="H499" s="39">
        <v>901.36</v>
      </c>
      <c r="I499" s="39">
        <v>928.88</v>
      </c>
      <c r="J499" s="39">
        <v>928.07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255.02</v>
      </c>
      <c r="AD499" s="39">
        <v>240.2</v>
      </c>
      <c r="AE499" s="39">
        <v>228.56</v>
      </c>
      <c r="AF499" s="39">
        <v>0</v>
      </c>
      <c r="AG499" s="39">
        <v>0</v>
      </c>
      <c r="AH499" s="39">
        <v>0</v>
      </c>
      <c r="AI499" s="39">
        <v>1156.3800000000001</v>
      </c>
      <c r="AJ499" s="39">
        <v>1169.08</v>
      </c>
      <c r="AK499" s="39">
        <v>1156.6300000000001</v>
      </c>
      <c r="AL499" s="39">
        <v>0</v>
      </c>
      <c r="AM499" s="39">
        <v>0</v>
      </c>
      <c r="AN499" s="39">
        <v>0</v>
      </c>
      <c r="AO499" s="39">
        <v>1156.3800000000001</v>
      </c>
      <c r="AP499" s="39">
        <v>1169.08</v>
      </c>
      <c r="AQ499" s="39">
        <v>1156.6300000000001</v>
      </c>
      <c r="AR499" s="39">
        <v>1169.08</v>
      </c>
    </row>
    <row r="500" spans="1:44" x14ac:dyDescent="0.35">
      <c r="A500" s="16" t="str">
        <f t="shared" si="42"/>
        <v>09</v>
      </c>
      <c r="B500" s="19">
        <v>61895</v>
      </c>
      <c r="C500" s="16" t="str">
        <f t="shared" si="40"/>
        <v>0000000</v>
      </c>
      <c r="D500" s="17" t="s">
        <v>3663</v>
      </c>
      <c r="E500" s="16" t="s">
        <v>369</v>
      </c>
      <c r="F500" s="16" t="s">
        <v>345</v>
      </c>
      <c r="G500" s="35" t="s">
        <v>370</v>
      </c>
      <c r="H500" s="39">
        <v>11.51</v>
      </c>
      <c r="I500" s="39">
        <v>8.42</v>
      </c>
      <c r="J500" s="39">
        <v>10.31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11.51</v>
      </c>
      <c r="AJ500" s="39">
        <v>8.42</v>
      </c>
      <c r="AK500" s="39">
        <v>10.31</v>
      </c>
      <c r="AL500" s="39">
        <v>0</v>
      </c>
      <c r="AM500" s="39">
        <v>0</v>
      </c>
      <c r="AN500" s="39">
        <v>0</v>
      </c>
      <c r="AO500" s="39">
        <v>11.51</v>
      </c>
      <c r="AP500" s="39">
        <v>8.42</v>
      </c>
      <c r="AQ500" s="39">
        <v>10.31</v>
      </c>
      <c r="AR500" s="39">
        <v>11.51</v>
      </c>
    </row>
    <row r="501" spans="1:44" x14ac:dyDescent="0.35">
      <c r="A501" s="16" t="str">
        <f t="shared" si="42"/>
        <v>09</v>
      </c>
      <c r="B501" s="19">
        <v>61911</v>
      </c>
      <c r="C501" s="16" t="str">
        <f t="shared" si="40"/>
        <v>0000000</v>
      </c>
      <c r="D501" s="17" t="s">
        <v>3663</v>
      </c>
      <c r="E501" s="16" t="s">
        <v>371</v>
      </c>
      <c r="F501" s="16" t="s">
        <v>345</v>
      </c>
      <c r="G501" s="35" t="s">
        <v>372</v>
      </c>
      <c r="H501" s="39">
        <v>127.1</v>
      </c>
      <c r="I501" s="39">
        <v>160.97999999999999</v>
      </c>
      <c r="J501" s="39">
        <v>152.57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127.1</v>
      </c>
      <c r="AJ501" s="39">
        <v>160.97999999999999</v>
      </c>
      <c r="AK501" s="39">
        <v>152.57</v>
      </c>
      <c r="AL501" s="39">
        <v>0</v>
      </c>
      <c r="AM501" s="39">
        <v>0</v>
      </c>
      <c r="AN501" s="39">
        <v>0</v>
      </c>
      <c r="AO501" s="39">
        <v>127.1</v>
      </c>
      <c r="AP501" s="39">
        <v>160.97999999999999</v>
      </c>
      <c r="AQ501" s="39">
        <v>152.57</v>
      </c>
      <c r="AR501" s="39">
        <v>160.97999999999999</v>
      </c>
    </row>
    <row r="502" spans="1:44" x14ac:dyDescent="0.35">
      <c r="A502" s="16" t="str">
        <f t="shared" si="42"/>
        <v>09</v>
      </c>
      <c r="B502" s="19">
        <v>61986</v>
      </c>
      <c r="C502" s="16" t="str">
        <f t="shared" si="40"/>
        <v>0000000</v>
      </c>
      <c r="D502" s="17" t="s">
        <v>3663</v>
      </c>
      <c r="E502" s="16" t="s">
        <v>382</v>
      </c>
      <c r="F502" s="16" t="s">
        <v>345</v>
      </c>
      <c r="G502" s="35" t="s">
        <v>383</v>
      </c>
      <c r="H502" s="39">
        <v>10.28</v>
      </c>
      <c r="I502" s="39">
        <v>14.34</v>
      </c>
      <c r="J502" s="39">
        <v>12.28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10.28</v>
      </c>
      <c r="AJ502" s="39">
        <v>14.34</v>
      </c>
      <c r="AK502" s="39">
        <v>12.28</v>
      </c>
      <c r="AL502" s="39">
        <v>0</v>
      </c>
      <c r="AM502" s="39">
        <v>0</v>
      </c>
      <c r="AN502" s="39">
        <v>0</v>
      </c>
      <c r="AO502" s="39">
        <v>10.28</v>
      </c>
      <c r="AP502" s="39">
        <v>14.34</v>
      </c>
      <c r="AQ502" s="39">
        <v>12.28</v>
      </c>
      <c r="AR502" s="39">
        <v>14.34</v>
      </c>
    </row>
    <row r="503" spans="1:44" x14ac:dyDescent="0.35">
      <c r="A503" s="16" t="str">
        <f t="shared" ref="A503:A517" si="43">TEXT(51,"00")</f>
        <v>51</v>
      </c>
      <c r="B503" s="19">
        <v>10512</v>
      </c>
      <c r="C503" s="16" t="str">
        <f t="shared" si="40"/>
        <v>0000000</v>
      </c>
      <c r="D503" s="17" t="s">
        <v>3663</v>
      </c>
      <c r="E503" s="16" t="s">
        <v>3221</v>
      </c>
      <c r="F503" s="16" t="s">
        <v>3222</v>
      </c>
      <c r="G503" s="35" t="s">
        <v>3222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18.93</v>
      </c>
      <c r="U503" s="39">
        <v>18.22</v>
      </c>
      <c r="V503" s="39">
        <v>39.799999999999997</v>
      </c>
      <c r="W503" s="39">
        <v>326.77</v>
      </c>
      <c r="X503" s="39">
        <v>308.81</v>
      </c>
      <c r="Y503" s="39">
        <v>290.17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345.7</v>
      </c>
      <c r="AJ503" s="39">
        <v>327.02999999999997</v>
      </c>
      <c r="AK503" s="39">
        <v>329.97</v>
      </c>
      <c r="AL503" s="39">
        <v>0</v>
      </c>
      <c r="AM503" s="39">
        <v>0</v>
      </c>
      <c r="AN503" s="39">
        <v>0</v>
      </c>
      <c r="AO503" s="39">
        <v>345.7</v>
      </c>
      <c r="AP503" s="39">
        <v>327.02999999999997</v>
      </c>
      <c r="AQ503" s="39">
        <v>329.97</v>
      </c>
      <c r="AR503" s="39">
        <v>345.7</v>
      </c>
    </row>
    <row r="504" spans="1:44" x14ac:dyDescent="0.35">
      <c r="A504" s="16" t="str">
        <f t="shared" si="43"/>
        <v>51</v>
      </c>
      <c r="B504" s="19">
        <v>71399</v>
      </c>
      <c r="C504" s="16" t="str">
        <f t="shared" si="40"/>
        <v>0000000</v>
      </c>
      <c r="D504" s="17" t="s">
        <v>3663</v>
      </c>
      <c r="E504" s="16" t="s">
        <v>3233</v>
      </c>
      <c r="F504" s="16" t="s">
        <v>3222</v>
      </c>
      <c r="G504" s="35" t="s">
        <v>3234</v>
      </c>
      <c r="H504" s="39">
        <v>1948.41</v>
      </c>
      <c r="I504" s="39">
        <v>1913.64</v>
      </c>
      <c r="J504" s="39">
        <v>1845.75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1948.41</v>
      </c>
      <c r="AJ504" s="39">
        <v>1913.64</v>
      </c>
      <c r="AK504" s="39">
        <v>1845.75</v>
      </c>
      <c r="AL504" s="39">
        <v>0</v>
      </c>
      <c r="AM504" s="39">
        <v>0</v>
      </c>
      <c r="AN504" s="39">
        <v>0</v>
      </c>
      <c r="AO504" s="39">
        <v>1948.41</v>
      </c>
      <c r="AP504" s="39">
        <v>1913.64</v>
      </c>
      <c r="AQ504" s="39">
        <v>1845.75</v>
      </c>
      <c r="AR504" s="39">
        <v>1948.41</v>
      </c>
    </row>
    <row r="505" spans="1:44" x14ac:dyDescent="0.35">
      <c r="A505" s="16" t="str">
        <f t="shared" si="43"/>
        <v>51</v>
      </c>
      <c r="B505" s="19">
        <v>71449</v>
      </c>
      <c r="C505" s="16" t="str">
        <f t="shared" si="40"/>
        <v>0000000</v>
      </c>
      <c r="D505" s="17" t="s">
        <v>3663</v>
      </c>
      <c r="E505" s="16" t="s">
        <v>3248</v>
      </c>
      <c r="F505" s="16" t="s">
        <v>3222</v>
      </c>
      <c r="G505" s="35" t="s">
        <v>3249</v>
      </c>
      <c r="H505" s="39">
        <v>706.42</v>
      </c>
      <c r="I505" s="39">
        <v>738.11</v>
      </c>
      <c r="J505" s="39">
        <v>745.78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>
        <v>0</v>
      </c>
      <c r="Q505" s="39">
        <v>0</v>
      </c>
      <c r="R505" s="39">
        <v>0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0</v>
      </c>
      <c r="AI505" s="39">
        <v>706.42</v>
      </c>
      <c r="AJ505" s="39">
        <v>738.11</v>
      </c>
      <c r="AK505" s="39">
        <v>745.78</v>
      </c>
      <c r="AL505" s="39">
        <v>0</v>
      </c>
      <c r="AM505" s="39">
        <v>0</v>
      </c>
      <c r="AN505" s="39">
        <v>0</v>
      </c>
      <c r="AO505" s="39">
        <v>706.42</v>
      </c>
      <c r="AP505" s="39">
        <v>738.11</v>
      </c>
      <c r="AQ505" s="39">
        <v>745.78</v>
      </c>
      <c r="AR505" s="39">
        <v>745.78</v>
      </c>
    </row>
    <row r="506" spans="1:44" x14ac:dyDescent="0.35">
      <c r="A506" s="16" t="str">
        <f t="shared" si="43"/>
        <v>51</v>
      </c>
      <c r="B506" s="19">
        <v>71464</v>
      </c>
      <c r="C506" s="16" t="str">
        <f t="shared" si="40"/>
        <v>0000000</v>
      </c>
      <c r="D506" s="17" t="s">
        <v>3663</v>
      </c>
      <c r="E506" s="16" t="s">
        <v>3254</v>
      </c>
      <c r="F506" s="16" t="s">
        <v>3222</v>
      </c>
      <c r="G506" s="35" t="s">
        <v>3255</v>
      </c>
      <c r="H506" s="39">
        <v>10521.23</v>
      </c>
      <c r="I506" s="39">
        <v>10556.71</v>
      </c>
      <c r="J506" s="39">
        <v>10690.18</v>
      </c>
      <c r="K506" s="39">
        <v>0</v>
      </c>
      <c r="L506" s="39">
        <v>0</v>
      </c>
      <c r="M506" s="39">
        <v>0</v>
      </c>
      <c r="N506" s="39">
        <v>0</v>
      </c>
      <c r="O506" s="39">
        <v>0</v>
      </c>
      <c r="P506" s="39">
        <v>0</v>
      </c>
      <c r="Q506" s="39">
        <v>0</v>
      </c>
      <c r="R506" s="39">
        <v>0</v>
      </c>
      <c r="S506" s="39">
        <v>0</v>
      </c>
      <c r="T506" s="39">
        <v>0</v>
      </c>
      <c r="U506" s="39">
        <v>0</v>
      </c>
      <c r="V506" s="39">
        <v>0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0</v>
      </c>
      <c r="AI506" s="39">
        <v>10521.23</v>
      </c>
      <c r="AJ506" s="39">
        <v>10556.71</v>
      </c>
      <c r="AK506" s="39">
        <v>10690.18</v>
      </c>
      <c r="AL506" s="39">
        <v>0</v>
      </c>
      <c r="AM506" s="39">
        <v>0</v>
      </c>
      <c r="AN506" s="39">
        <v>0</v>
      </c>
      <c r="AO506" s="39">
        <v>10521.23</v>
      </c>
      <c r="AP506" s="39">
        <v>10556.71</v>
      </c>
      <c r="AQ506" s="39">
        <v>10690.18</v>
      </c>
      <c r="AR506" s="39">
        <v>10690.18</v>
      </c>
    </row>
    <row r="507" spans="1:44" x14ac:dyDescent="0.35">
      <c r="A507" s="16" t="str">
        <f t="shared" si="43"/>
        <v>51</v>
      </c>
      <c r="B507" s="19">
        <v>71357</v>
      </c>
      <c r="C507" s="16" t="str">
        <f t="shared" si="40"/>
        <v>0000000</v>
      </c>
      <c r="D507" s="17" t="s">
        <v>3663</v>
      </c>
      <c r="E507" s="16" t="s">
        <v>3225</v>
      </c>
      <c r="F507" s="16" t="s">
        <v>3222</v>
      </c>
      <c r="G507" s="35" t="s">
        <v>3226</v>
      </c>
      <c r="H507" s="39">
        <v>498.61</v>
      </c>
      <c r="I507" s="39">
        <v>463.44</v>
      </c>
      <c r="J507" s="39">
        <v>430.15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498.61</v>
      </c>
      <c r="AJ507" s="39">
        <v>463.44</v>
      </c>
      <c r="AK507" s="39">
        <v>430.15</v>
      </c>
      <c r="AL507" s="39">
        <v>0</v>
      </c>
      <c r="AM507" s="39">
        <v>0</v>
      </c>
      <c r="AN507" s="39">
        <v>0</v>
      </c>
      <c r="AO507" s="39">
        <v>498.61</v>
      </c>
      <c r="AP507" s="39">
        <v>463.44</v>
      </c>
      <c r="AQ507" s="39">
        <v>430.15</v>
      </c>
      <c r="AR507" s="39">
        <v>498.61</v>
      </c>
    </row>
    <row r="508" spans="1:44" x14ac:dyDescent="0.35">
      <c r="A508" s="16" t="str">
        <f t="shared" si="43"/>
        <v>51</v>
      </c>
      <c r="B508" s="19">
        <v>71365</v>
      </c>
      <c r="C508" s="16" t="str">
        <f t="shared" si="40"/>
        <v>0000000</v>
      </c>
      <c r="D508" s="17" t="s">
        <v>3663</v>
      </c>
      <c r="E508" s="16" t="s">
        <v>3227</v>
      </c>
      <c r="F508" s="16" t="s">
        <v>3222</v>
      </c>
      <c r="G508" s="35" t="s">
        <v>3228</v>
      </c>
      <c r="H508" s="39">
        <v>144.38</v>
      </c>
      <c r="I508" s="39">
        <v>130.36000000000001</v>
      </c>
      <c r="J508" s="39">
        <v>115.63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144.38</v>
      </c>
      <c r="AJ508" s="39">
        <v>130.36000000000001</v>
      </c>
      <c r="AK508" s="39">
        <v>115.63</v>
      </c>
      <c r="AL508" s="39">
        <v>0</v>
      </c>
      <c r="AM508" s="39">
        <v>0</v>
      </c>
      <c r="AN508" s="39">
        <v>0</v>
      </c>
      <c r="AO508" s="39">
        <v>144.38</v>
      </c>
      <c r="AP508" s="39">
        <v>130.36000000000001</v>
      </c>
      <c r="AQ508" s="39">
        <v>115.63</v>
      </c>
      <c r="AR508" s="39">
        <v>144.38</v>
      </c>
    </row>
    <row r="509" spans="1:44" x14ac:dyDescent="0.35">
      <c r="A509" s="16" t="str">
        <f t="shared" si="43"/>
        <v>51</v>
      </c>
      <c r="B509" s="19">
        <v>71373</v>
      </c>
      <c r="C509" s="16" t="str">
        <f t="shared" si="40"/>
        <v>0000000</v>
      </c>
      <c r="D509" s="17" t="s">
        <v>3663</v>
      </c>
      <c r="E509" s="16" t="s">
        <v>3229</v>
      </c>
      <c r="F509" s="16" t="s">
        <v>3222</v>
      </c>
      <c r="G509" s="35" t="s">
        <v>3230</v>
      </c>
      <c r="H509" s="39">
        <v>287.07</v>
      </c>
      <c r="I509" s="39">
        <v>278.05</v>
      </c>
      <c r="J509" s="39">
        <v>289.3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287.07</v>
      </c>
      <c r="AJ509" s="39">
        <v>278.05</v>
      </c>
      <c r="AK509" s="39">
        <v>289.3</v>
      </c>
      <c r="AL509" s="39">
        <v>0</v>
      </c>
      <c r="AM509" s="39">
        <v>0</v>
      </c>
      <c r="AN509" s="39">
        <v>0</v>
      </c>
      <c r="AO509" s="39">
        <v>287.07</v>
      </c>
      <c r="AP509" s="39">
        <v>278.05</v>
      </c>
      <c r="AQ509" s="39">
        <v>289.3</v>
      </c>
      <c r="AR509" s="39">
        <v>289.3</v>
      </c>
    </row>
    <row r="510" spans="1:44" x14ac:dyDescent="0.35">
      <c r="A510" s="16" t="str">
        <f t="shared" si="43"/>
        <v>51</v>
      </c>
      <c r="B510" s="19">
        <v>71381</v>
      </c>
      <c r="C510" s="16" t="str">
        <f t="shared" si="40"/>
        <v>0000000</v>
      </c>
      <c r="D510" s="17" t="s">
        <v>3663</v>
      </c>
      <c r="E510" s="16" t="s">
        <v>3231</v>
      </c>
      <c r="F510" s="16" t="s">
        <v>3222</v>
      </c>
      <c r="G510" s="35" t="s">
        <v>3232</v>
      </c>
      <c r="H510" s="39">
        <v>482.45</v>
      </c>
      <c r="I510" s="39">
        <v>482.12</v>
      </c>
      <c r="J510" s="39">
        <v>461.41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482.45</v>
      </c>
      <c r="AJ510" s="39">
        <v>482.12</v>
      </c>
      <c r="AK510" s="39">
        <v>461.41</v>
      </c>
      <c r="AL510" s="39">
        <v>0</v>
      </c>
      <c r="AM510" s="39">
        <v>0</v>
      </c>
      <c r="AN510" s="39">
        <v>0</v>
      </c>
      <c r="AO510" s="39">
        <v>482.45</v>
      </c>
      <c r="AP510" s="39">
        <v>482.12</v>
      </c>
      <c r="AQ510" s="39">
        <v>461.41</v>
      </c>
      <c r="AR510" s="39">
        <v>482.45</v>
      </c>
    </row>
    <row r="511" spans="1:44" x14ac:dyDescent="0.35">
      <c r="A511" s="16" t="str">
        <f t="shared" si="43"/>
        <v>51</v>
      </c>
      <c r="B511" s="19">
        <v>71407</v>
      </c>
      <c r="C511" s="16" t="str">
        <f t="shared" si="40"/>
        <v>0000000</v>
      </c>
      <c r="D511" s="17" t="s">
        <v>3663</v>
      </c>
      <c r="E511" s="16" t="s">
        <v>3235</v>
      </c>
      <c r="F511" s="16" t="s">
        <v>3222</v>
      </c>
      <c r="G511" s="35" t="s">
        <v>3236</v>
      </c>
      <c r="H511" s="39">
        <v>170.53</v>
      </c>
      <c r="I511" s="39">
        <v>173.67</v>
      </c>
      <c r="J511" s="39">
        <v>182.52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170.53</v>
      </c>
      <c r="AJ511" s="39">
        <v>173.67</v>
      </c>
      <c r="AK511" s="39">
        <v>182.52</v>
      </c>
      <c r="AL511" s="39">
        <v>0</v>
      </c>
      <c r="AM511" s="39">
        <v>0</v>
      </c>
      <c r="AN511" s="39">
        <v>0</v>
      </c>
      <c r="AO511" s="39">
        <v>170.53</v>
      </c>
      <c r="AP511" s="39">
        <v>173.67</v>
      </c>
      <c r="AQ511" s="39">
        <v>182.52</v>
      </c>
      <c r="AR511" s="39">
        <v>182.52</v>
      </c>
    </row>
    <row r="512" spans="1:44" x14ac:dyDescent="0.35">
      <c r="A512" s="16" t="str">
        <f t="shared" si="43"/>
        <v>51</v>
      </c>
      <c r="B512" s="19">
        <v>71415</v>
      </c>
      <c r="C512" s="16" t="str">
        <f t="shared" si="40"/>
        <v>0000000</v>
      </c>
      <c r="D512" s="17" t="s">
        <v>3663</v>
      </c>
      <c r="E512" s="16" t="s">
        <v>3240</v>
      </c>
      <c r="F512" s="16" t="s">
        <v>3222</v>
      </c>
      <c r="G512" s="35" t="s">
        <v>3241</v>
      </c>
      <c r="H512" s="39">
        <v>78.22</v>
      </c>
      <c r="I512" s="39">
        <v>63.42</v>
      </c>
      <c r="J512" s="39">
        <v>67.989999999999995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1384.47</v>
      </c>
      <c r="AF512" s="39">
        <v>0</v>
      </c>
      <c r="AG512" s="39">
        <v>0</v>
      </c>
      <c r="AH512" s="39">
        <v>0</v>
      </c>
      <c r="AI512" s="39">
        <v>78.22</v>
      </c>
      <c r="AJ512" s="39">
        <v>63.42</v>
      </c>
      <c r="AK512" s="39">
        <v>1452.46</v>
      </c>
      <c r="AL512" s="39">
        <v>0</v>
      </c>
      <c r="AM512" s="39">
        <v>0</v>
      </c>
      <c r="AN512" s="39">
        <v>-1384.47</v>
      </c>
      <c r="AO512" s="39">
        <v>78.22</v>
      </c>
      <c r="AP512" s="39">
        <v>63.42</v>
      </c>
      <c r="AQ512" s="39">
        <v>67.989999999999995</v>
      </c>
      <c r="AR512" s="39">
        <v>78.22</v>
      </c>
    </row>
    <row r="513" spans="1:44" x14ac:dyDescent="0.35">
      <c r="A513" s="16" t="str">
        <f t="shared" si="43"/>
        <v>51</v>
      </c>
      <c r="B513" s="19">
        <v>71423</v>
      </c>
      <c r="C513" s="16" t="str">
        <f t="shared" si="40"/>
        <v>0000000</v>
      </c>
      <c r="D513" s="17" t="s">
        <v>3663</v>
      </c>
      <c r="E513" s="16" t="s">
        <v>3242</v>
      </c>
      <c r="F513" s="16" t="s">
        <v>3222</v>
      </c>
      <c r="G513" s="35" t="s">
        <v>3243</v>
      </c>
      <c r="H513" s="39">
        <v>167.3</v>
      </c>
      <c r="I513" s="39">
        <v>157.41</v>
      </c>
      <c r="J513" s="39">
        <v>172.93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167.3</v>
      </c>
      <c r="AJ513" s="39">
        <v>157.41</v>
      </c>
      <c r="AK513" s="39">
        <v>172.93</v>
      </c>
      <c r="AL513" s="39">
        <v>0</v>
      </c>
      <c r="AM513" s="39">
        <v>0</v>
      </c>
      <c r="AN513" s="39">
        <v>0</v>
      </c>
      <c r="AO513" s="39">
        <v>167.3</v>
      </c>
      <c r="AP513" s="39">
        <v>157.41</v>
      </c>
      <c r="AQ513" s="39">
        <v>172.93</v>
      </c>
      <c r="AR513" s="39">
        <v>172.93</v>
      </c>
    </row>
    <row r="514" spans="1:44" x14ac:dyDescent="0.35">
      <c r="A514" s="16" t="str">
        <f t="shared" si="43"/>
        <v>51</v>
      </c>
      <c r="B514" s="19">
        <v>71431</v>
      </c>
      <c r="C514" s="16" t="str">
        <f t="shared" si="40"/>
        <v>0000000</v>
      </c>
      <c r="D514" s="17" t="s">
        <v>3663</v>
      </c>
      <c r="E514" s="16" t="s">
        <v>3246</v>
      </c>
      <c r="F514" s="16" t="s">
        <v>3222</v>
      </c>
      <c r="G514" s="35" t="s">
        <v>3247</v>
      </c>
      <c r="H514" s="39">
        <v>152.19</v>
      </c>
      <c r="I514" s="39">
        <v>148.9</v>
      </c>
      <c r="J514" s="39">
        <v>137.61000000000001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152.19</v>
      </c>
      <c r="AJ514" s="39">
        <v>148.9</v>
      </c>
      <c r="AK514" s="39">
        <v>137.61000000000001</v>
      </c>
      <c r="AL514" s="39">
        <v>0</v>
      </c>
      <c r="AM514" s="39">
        <v>0</v>
      </c>
      <c r="AN514" s="39">
        <v>0</v>
      </c>
      <c r="AO514" s="39">
        <v>152.19</v>
      </c>
      <c r="AP514" s="39">
        <v>148.9</v>
      </c>
      <c r="AQ514" s="39">
        <v>137.61000000000001</v>
      </c>
      <c r="AR514" s="39">
        <v>152.19</v>
      </c>
    </row>
    <row r="515" spans="1:44" x14ac:dyDescent="0.35">
      <c r="A515" s="16" t="str">
        <f t="shared" si="43"/>
        <v>51</v>
      </c>
      <c r="B515" s="19">
        <v>71456</v>
      </c>
      <c r="C515" s="16" t="str">
        <f t="shared" si="40"/>
        <v>0000000</v>
      </c>
      <c r="D515" s="17" t="s">
        <v>3663</v>
      </c>
      <c r="E515" s="16" t="s">
        <v>3250</v>
      </c>
      <c r="F515" s="16" t="s">
        <v>3222</v>
      </c>
      <c r="G515" s="35" t="s">
        <v>3251</v>
      </c>
      <c r="H515" s="39">
        <v>104.97</v>
      </c>
      <c r="I515" s="39">
        <v>93.59</v>
      </c>
      <c r="J515" s="39">
        <v>97.98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104.97</v>
      </c>
      <c r="AJ515" s="39">
        <v>93.59</v>
      </c>
      <c r="AK515" s="39">
        <v>97.98</v>
      </c>
      <c r="AL515" s="39">
        <v>0</v>
      </c>
      <c r="AM515" s="39">
        <v>0</v>
      </c>
      <c r="AN515" s="39">
        <v>0</v>
      </c>
      <c r="AO515" s="39">
        <v>104.97</v>
      </c>
      <c r="AP515" s="39">
        <v>93.59</v>
      </c>
      <c r="AQ515" s="39">
        <v>97.98</v>
      </c>
      <c r="AR515" s="39">
        <v>104.97</v>
      </c>
    </row>
    <row r="516" spans="1:44" x14ac:dyDescent="0.35">
      <c r="A516" s="16" t="str">
        <f t="shared" si="43"/>
        <v>51</v>
      </c>
      <c r="B516" s="19">
        <v>71464</v>
      </c>
      <c r="C516" s="16" t="str">
        <f>TEXT(107318,"0000000")</f>
        <v>0107318</v>
      </c>
      <c r="D516" s="17" t="s">
        <v>3258</v>
      </c>
      <c r="E516" s="16" t="s">
        <v>3256</v>
      </c>
      <c r="F516" s="16" t="s">
        <v>3222</v>
      </c>
      <c r="G516" s="35" t="s">
        <v>3257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498.29</v>
      </c>
      <c r="AD516" s="39">
        <v>481.78</v>
      </c>
      <c r="AE516" s="39">
        <v>456.75</v>
      </c>
      <c r="AF516" s="39">
        <v>0</v>
      </c>
      <c r="AG516" s="39">
        <v>0</v>
      </c>
      <c r="AH516" s="39">
        <v>0</v>
      </c>
      <c r="AI516" s="39">
        <v>498.29</v>
      </c>
      <c r="AJ516" s="39">
        <v>481.78</v>
      </c>
      <c r="AK516" s="39">
        <v>456.75</v>
      </c>
      <c r="AL516" s="39">
        <v>0</v>
      </c>
      <c r="AM516" s="39">
        <v>0</v>
      </c>
      <c r="AN516" s="39">
        <v>0</v>
      </c>
      <c r="AO516" s="39">
        <v>498.29</v>
      </c>
      <c r="AP516" s="39">
        <v>481.78</v>
      </c>
      <c r="AQ516" s="39">
        <v>456.75</v>
      </c>
      <c r="AR516" s="39">
        <v>498.29</v>
      </c>
    </row>
    <row r="517" spans="1:44" x14ac:dyDescent="0.35">
      <c r="A517" s="16" t="str">
        <f t="shared" si="43"/>
        <v>51</v>
      </c>
      <c r="B517" s="19">
        <v>10512</v>
      </c>
      <c r="C517" s="16" t="str">
        <f>TEXT(138040,"0000000")</f>
        <v>0138040</v>
      </c>
      <c r="D517" s="19">
        <v>2000</v>
      </c>
      <c r="E517" s="16" t="s">
        <v>3223</v>
      </c>
      <c r="F517" s="16" t="s">
        <v>3222</v>
      </c>
      <c r="G517" s="35" t="s">
        <v>3224</v>
      </c>
      <c r="H517" s="39">
        <v>0</v>
      </c>
      <c r="I517" s="39">
        <v>0</v>
      </c>
      <c r="J517" s="39">
        <v>0</v>
      </c>
      <c r="K517" s="39">
        <v>0</v>
      </c>
      <c r="L517" s="39">
        <v>0</v>
      </c>
      <c r="M517" s="39">
        <v>0</v>
      </c>
      <c r="N517" s="39">
        <v>0</v>
      </c>
      <c r="O517" s="39">
        <v>0</v>
      </c>
      <c r="P517" s="39">
        <v>0</v>
      </c>
      <c r="Q517" s="39">
        <v>0</v>
      </c>
      <c r="R517" s="39">
        <v>0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108.34</v>
      </c>
      <c r="AD517" s="39">
        <v>95.43</v>
      </c>
      <c r="AE517" s="39">
        <v>116.72</v>
      </c>
      <c r="AF517" s="39">
        <v>0</v>
      </c>
      <c r="AG517" s="39">
        <v>0</v>
      </c>
      <c r="AH517" s="39">
        <v>0</v>
      </c>
      <c r="AI517" s="39">
        <v>108.34</v>
      </c>
      <c r="AJ517" s="39">
        <v>95.43</v>
      </c>
      <c r="AK517" s="39">
        <v>116.72</v>
      </c>
      <c r="AL517" s="39">
        <v>0</v>
      </c>
      <c r="AM517" s="39">
        <v>0</v>
      </c>
      <c r="AN517" s="39">
        <v>0</v>
      </c>
      <c r="AO517" s="39">
        <v>108.34</v>
      </c>
      <c r="AP517" s="39">
        <v>95.43</v>
      </c>
      <c r="AQ517" s="39">
        <v>116.72</v>
      </c>
      <c r="AR517" s="39">
        <v>116.72</v>
      </c>
    </row>
    <row r="518" spans="1:44" x14ac:dyDescent="0.35">
      <c r="A518" s="16" t="str">
        <f>TEXT(37,"00")</f>
        <v>37</v>
      </c>
      <c r="B518" s="19">
        <v>68338</v>
      </c>
      <c r="C518" s="16" t="str">
        <f t="shared" ref="C518:C549" si="44">TEXT(,"0000000")</f>
        <v>0000000</v>
      </c>
      <c r="D518" s="17" t="s">
        <v>3663</v>
      </c>
      <c r="E518" s="16" t="s">
        <v>2175</v>
      </c>
      <c r="F518" s="16" t="s">
        <v>2176</v>
      </c>
      <c r="G518" s="35" t="s">
        <v>2176</v>
      </c>
      <c r="H518" s="39">
        <v>88309.06</v>
      </c>
      <c r="I518" s="39">
        <v>87550.47</v>
      </c>
      <c r="J518" s="39">
        <v>86408.56</v>
      </c>
      <c r="K518" s="39">
        <v>0</v>
      </c>
      <c r="L518" s="39">
        <v>0</v>
      </c>
      <c r="M518" s="39">
        <v>0</v>
      </c>
      <c r="N518" s="39">
        <v>0</v>
      </c>
      <c r="O518" s="39">
        <v>0</v>
      </c>
      <c r="P518" s="39">
        <v>0</v>
      </c>
      <c r="Q518" s="39">
        <v>0</v>
      </c>
      <c r="R518" s="39">
        <v>0</v>
      </c>
      <c r="S518" s="39">
        <v>0</v>
      </c>
      <c r="T518" s="39">
        <v>0</v>
      </c>
      <c r="U518" s="39">
        <v>0</v>
      </c>
      <c r="V518" s="39">
        <v>0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0</v>
      </c>
      <c r="AI518" s="39">
        <v>88309.06</v>
      </c>
      <c r="AJ518" s="39">
        <v>87550.47</v>
      </c>
      <c r="AK518" s="39">
        <v>86408.56</v>
      </c>
      <c r="AL518" s="39">
        <v>0</v>
      </c>
      <c r="AM518" s="39">
        <v>0</v>
      </c>
      <c r="AN518" s="39">
        <v>0</v>
      </c>
      <c r="AO518" s="39">
        <v>88309.06</v>
      </c>
      <c r="AP518" s="39">
        <v>87550.47</v>
      </c>
      <c r="AQ518" s="39">
        <v>86408.56</v>
      </c>
      <c r="AR518" s="39">
        <v>88309.06</v>
      </c>
    </row>
    <row r="519" spans="1:44" x14ac:dyDescent="0.35">
      <c r="A519" s="16" t="str">
        <f t="shared" ref="A519:A528" si="45">TEXT(19,"00")</f>
        <v>19</v>
      </c>
      <c r="B519" s="19">
        <v>64444</v>
      </c>
      <c r="C519" s="16" t="str">
        <f t="shared" si="44"/>
        <v>0000000</v>
      </c>
      <c r="D519" s="17" t="s">
        <v>3663</v>
      </c>
      <c r="E519" s="16" t="s">
        <v>918</v>
      </c>
      <c r="F519" s="16" t="s">
        <v>919</v>
      </c>
      <c r="G519" s="35" t="s">
        <v>919</v>
      </c>
      <c r="H519" s="39">
        <v>6236.9</v>
      </c>
      <c r="I519" s="39">
        <v>6365.84</v>
      </c>
      <c r="J519" s="39">
        <v>6418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8.49</v>
      </c>
      <c r="U519" s="39">
        <v>8.4700000000000006</v>
      </c>
      <c r="V519" s="39">
        <v>7.9</v>
      </c>
      <c r="W519" s="39">
        <v>20.05</v>
      </c>
      <c r="X519" s="39">
        <v>16.04</v>
      </c>
      <c r="Y519" s="39">
        <v>16.59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6265.44</v>
      </c>
      <c r="AJ519" s="39">
        <v>6390.35</v>
      </c>
      <c r="AK519" s="39">
        <v>6442.49</v>
      </c>
      <c r="AL519" s="39">
        <v>0</v>
      </c>
      <c r="AM519" s="39">
        <v>0</v>
      </c>
      <c r="AN519" s="39">
        <v>0</v>
      </c>
      <c r="AO519" s="39">
        <v>6265.44</v>
      </c>
      <c r="AP519" s="39">
        <v>6390.35</v>
      </c>
      <c r="AQ519" s="39">
        <v>6442.49</v>
      </c>
      <c r="AR519" s="39">
        <v>6442.49</v>
      </c>
    </row>
    <row r="520" spans="1:44" x14ac:dyDescent="0.35">
      <c r="A520" s="16" t="str">
        <f t="shared" si="45"/>
        <v>19</v>
      </c>
      <c r="B520" s="19">
        <v>64311</v>
      </c>
      <c r="C520" s="16" t="str">
        <f t="shared" si="44"/>
        <v>0000000</v>
      </c>
      <c r="D520" s="17" t="s">
        <v>3663</v>
      </c>
      <c r="E520" s="16" t="s">
        <v>920</v>
      </c>
      <c r="F520" s="16" t="s">
        <v>919</v>
      </c>
      <c r="G520" s="35" t="s">
        <v>921</v>
      </c>
      <c r="H520" s="39">
        <v>2925.19</v>
      </c>
      <c r="I520" s="39">
        <v>2911.77</v>
      </c>
      <c r="J520" s="39">
        <v>2940.51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2925.19</v>
      </c>
      <c r="AJ520" s="39">
        <v>2911.77</v>
      </c>
      <c r="AK520" s="39">
        <v>2940.51</v>
      </c>
      <c r="AL520" s="39">
        <v>0</v>
      </c>
      <c r="AM520" s="39">
        <v>0</v>
      </c>
      <c r="AN520" s="39">
        <v>0</v>
      </c>
      <c r="AO520" s="39">
        <v>2925.19</v>
      </c>
      <c r="AP520" s="39">
        <v>2911.77</v>
      </c>
      <c r="AQ520" s="39">
        <v>2940.51</v>
      </c>
      <c r="AR520" s="39">
        <v>2940.51</v>
      </c>
    </row>
    <row r="521" spans="1:44" x14ac:dyDescent="0.35">
      <c r="A521" s="16" t="str">
        <f t="shared" si="45"/>
        <v>19</v>
      </c>
      <c r="B521" s="19">
        <v>64980</v>
      </c>
      <c r="C521" s="16" t="str">
        <f t="shared" si="44"/>
        <v>0000000</v>
      </c>
      <c r="D521" s="17" t="s">
        <v>3663</v>
      </c>
      <c r="E521" s="16" t="s">
        <v>1102</v>
      </c>
      <c r="F521" s="16" t="s">
        <v>919</v>
      </c>
      <c r="G521" s="35" t="s">
        <v>1103</v>
      </c>
      <c r="H521" s="39">
        <v>8050.34</v>
      </c>
      <c r="I521" s="39">
        <v>8119.36</v>
      </c>
      <c r="J521" s="39">
        <v>8232.18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8050.34</v>
      </c>
      <c r="AJ521" s="39">
        <v>8119.36</v>
      </c>
      <c r="AK521" s="39">
        <v>8232.18</v>
      </c>
      <c r="AL521" s="39">
        <v>0</v>
      </c>
      <c r="AM521" s="39">
        <v>0</v>
      </c>
      <c r="AN521" s="39">
        <v>0</v>
      </c>
      <c r="AO521" s="39">
        <v>8050.34</v>
      </c>
      <c r="AP521" s="39">
        <v>8119.36</v>
      </c>
      <c r="AQ521" s="39">
        <v>8232.18</v>
      </c>
      <c r="AR521" s="39">
        <v>8232.18</v>
      </c>
    </row>
    <row r="522" spans="1:44" x14ac:dyDescent="0.35">
      <c r="A522" s="16" t="str">
        <f t="shared" si="45"/>
        <v>19</v>
      </c>
      <c r="B522" s="19">
        <v>65128</v>
      </c>
      <c r="C522" s="16" t="str">
        <f t="shared" si="44"/>
        <v>0000000</v>
      </c>
      <c r="D522" s="17" t="s">
        <v>3663</v>
      </c>
      <c r="E522" s="16" t="s">
        <v>954</v>
      </c>
      <c r="F522" s="16" t="s">
        <v>955</v>
      </c>
      <c r="G522" s="35" t="s">
        <v>955</v>
      </c>
      <c r="H522" s="39">
        <v>9191.6200000000008</v>
      </c>
      <c r="I522" s="39">
        <v>9557.73</v>
      </c>
      <c r="J522" s="39">
        <v>9848.1299999999992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16.920000000000002</v>
      </c>
      <c r="U522" s="39">
        <v>17.11</v>
      </c>
      <c r="V522" s="39">
        <v>15.93</v>
      </c>
      <c r="W522" s="39">
        <v>25.21</v>
      </c>
      <c r="X522" s="39">
        <v>26.69</v>
      </c>
      <c r="Y522" s="39">
        <v>25.57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9233.75</v>
      </c>
      <c r="AJ522" s="39">
        <v>9601.5300000000007</v>
      </c>
      <c r="AK522" s="39">
        <v>9889.6299999999992</v>
      </c>
      <c r="AL522" s="39">
        <v>0</v>
      </c>
      <c r="AM522" s="39">
        <v>0</v>
      </c>
      <c r="AN522" s="39">
        <v>0</v>
      </c>
      <c r="AO522" s="39">
        <v>9233.75</v>
      </c>
      <c r="AP522" s="39">
        <v>9601.5300000000007</v>
      </c>
      <c r="AQ522" s="39">
        <v>9889.6299999999992</v>
      </c>
      <c r="AR522" s="39">
        <v>9889.6299999999992</v>
      </c>
    </row>
    <row r="523" spans="1:44" x14ac:dyDescent="0.35">
      <c r="A523" s="16" t="str">
        <f t="shared" si="45"/>
        <v>19</v>
      </c>
      <c r="B523" s="19">
        <v>64527</v>
      </c>
      <c r="C523" s="16" t="str">
        <f t="shared" si="44"/>
        <v>0000000</v>
      </c>
      <c r="D523" s="17" t="s">
        <v>3663</v>
      </c>
      <c r="E523" s="16" t="s">
        <v>962</v>
      </c>
      <c r="F523" s="16" t="s">
        <v>955</v>
      </c>
      <c r="G523" s="35" t="s">
        <v>963</v>
      </c>
      <c r="H523" s="39">
        <v>6408.06</v>
      </c>
      <c r="I523" s="39">
        <v>6613.16</v>
      </c>
      <c r="J523" s="39">
        <v>6695.56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6408.06</v>
      </c>
      <c r="AJ523" s="39">
        <v>6613.16</v>
      </c>
      <c r="AK523" s="39">
        <v>6695.56</v>
      </c>
      <c r="AL523" s="39">
        <v>0</v>
      </c>
      <c r="AM523" s="39">
        <v>0</v>
      </c>
      <c r="AN523" s="39">
        <v>0</v>
      </c>
      <c r="AO523" s="39">
        <v>6408.06</v>
      </c>
      <c r="AP523" s="39">
        <v>6613.16</v>
      </c>
      <c r="AQ523" s="39">
        <v>6695.56</v>
      </c>
      <c r="AR523" s="39">
        <v>6695.56</v>
      </c>
    </row>
    <row r="524" spans="1:44" x14ac:dyDescent="0.35">
      <c r="A524" s="16" t="str">
        <f t="shared" si="45"/>
        <v>19</v>
      </c>
      <c r="B524" s="19">
        <v>64717</v>
      </c>
      <c r="C524" s="16" t="str">
        <f t="shared" si="44"/>
        <v>0000000</v>
      </c>
      <c r="D524" s="17" t="s">
        <v>3663</v>
      </c>
      <c r="E524" s="16" t="s">
        <v>1024</v>
      </c>
      <c r="F524" s="16" t="s">
        <v>955</v>
      </c>
      <c r="G524" s="35" t="s">
        <v>1025</v>
      </c>
      <c r="H524" s="39">
        <v>3305.27</v>
      </c>
      <c r="I524" s="39">
        <v>3411.27</v>
      </c>
      <c r="J524" s="39">
        <v>3463.56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3305.27</v>
      </c>
      <c r="AJ524" s="39">
        <v>3411.27</v>
      </c>
      <c r="AK524" s="39">
        <v>3463.56</v>
      </c>
      <c r="AL524" s="39">
        <v>0</v>
      </c>
      <c r="AM524" s="39">
        <v>0</v>
      </c>
      <c r="AN524" s="39">
        <v>0</v>
      </c>
      <c r="AO524" s="39">
        <v>3305.27</v>
      </c>
      <c r="AP524" s="39">
        <v>3411.27</v>
      </c>
      <c r="AQ524" s="39">
        <v>3463.56</v>
      </c>
      <c r="AR524" s="39">
        <v>3463.56</v>
      </c>
    </row>
    <row r="525" spans="1:44" x14ac:dyDescent="0.35">
      <c r="A525" s="16" t="str">
        <f t="shared" si="45"/>
        <v>19</v>
      </c>
      <c r="B525" s="19">
        <v>64758</v>
      </c>
      <c r="C525" s="16" t="str">
        <f t="shared" si="44"/>
        <v>0000000</v>
      </c>
      <c r="D525" s="17" t="s">
        <v>3663</v>
      </c>
      <c r="E525" s="16" t="s">
        <v>1057</v>
      </c>
      <c r="F525" s="16" t="s">
        <v>955</v>
      </c>
      <c r="G525" s="35" t="s">
        <v>1058</v>
      </c>
      <c r="H525" s="39">
        <v>1142.49</v>
      </c>
      <c r="I525" s="39">
        <v>1152.82</v>
      </c>
      <c r="J525" s="39">
        <v>1140.1400000000001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1142.49</v>
      </c>
      <c r="AJ525" s="39">
        <v>1152.82</v>
      </c>
      <c r="AK525" s="39">
        <v>1140.1400000000001</v>
      </c>
      <c r="AL525" s="39">
        <v>0</v>
      </c>
      <c r="AM525" s="39">
        <v>0</v>
      </c>
      <c r="AN525" s="39">
        <v>0</v>
      </c>
      <c r="AO525" s="39">
        <v>1142.49</v>
      </c>
      <c r="AP525" s="39">
        <v>1152.82</v>
      </c>
      <c r="AQ525" s="39">
        <v>1140.1400000000001</v>
      </c>
      <c r="AR525" s="39">
        <v>1152.82</v>
      </c>
    </row>
    <row r="526" spans="1:44" x14ac:dyDescent="0.35">
      <c r="A526" s="16" t="str">
        <f t="shared" si="45"/>
        <v>19</v>
      </c>
      <c r="B526" s="19">
        <v>65037</v>
      </c>
      <c r="C526" s="16" t="str">
        <f t="shared" si="44"/>
        <v>0000000</v>
      </c>
      <c r="D526" s="17" t="s">
        <v>3663</v>
      </c>
      <c r="E526" s="16" t="s">
        <v>1108</v>
      </c>
      <c r="F526" s="16" t="s">
        <v>955</v>
      </c>
      <c r="G526" s="35" t="s">
        <v>1109</v>
      </c>
      <c r="H526" s="39">
        <v>2122.42</v>
      </c>
      <c r="I526" s="39">
        <v>2103.9699999999998</v>
      </c>
      <c r="J526" s="39">
        <v>2117.0300000000002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2122.42</v>
      </c>
      <c r="AJ526" s="39">
        <v>2103.9699999999998</v>
      </c>
      <c r="AK526" s="39">
        <v>2117.0300000000002</v>
      </c>
      <c r="AL526" s="39">
        <v>0</v>
      </c>
      <c r="AM526" s="39">
        <v>0</v>
      </c>
      <c r="AN526" s="39">
        <v>0</v>
      </c>
      <c r="AO526" s="39">
        <v>2122.42</v>
      </c>
      <c r="AP526" s="39">
        <v>2103.9699999999998</v>
      </c>
      <c r="AQ526" s="39">
        <v>2117.0300000000002</v>
      </c>
      <c r="AR526" s="39">
        <v>2122.42</v>
      </c>
    </row>
    <row r="527" spans="1:44" x14ac:dyDescent="0.35">
      <c r="A527" s="16" t="str">
        <f t="shared" si="45"/>
        <v>19</v>
      </c>
      <c r="B527" s="19">
        <v>65110</v>
      </c>
      <c r="C527" s="16" t="str">
        <f t="shared" si="44"/>
        <v>0000000</v>
      </c>
      <c r="D527" s="17" t="s">
        <v>3663</v>
      </c>
      <c r="E527" s="16" t="s">
        <v>1128</v>
      </c>
      <c r="F527" s="16" t="s">
        <v>955</v>
      </c>
      <c r="G527" s="35" t="s">
        <v>1129</v>
      </c>
      <c r="H527" s="39">
        <v>4955.29</v>
      </c>
      <c r="I527" s="39">
        <v>4981.53</v>
      </c>
      <c r="J527" s="39">
        <v>5041.82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4955.29</v>
      </c>
      <c r="AJ527" s="39">
        <v>4981.53</v>
      </c>
      <c r="AK527" s="39">
        <v>5041.82</v>
      </c>
      <c r="AL527" s="39">
        <v>0</v>
      </c>
      <c r="AM527" s="39">
        <v>0</v>
      </c>
      <c r="AN527" s="39">
        <v>0</v>
      </c>
      <c r="AO527" s="39">
        <v>4955.29</v>
      </c>
      <c r="AP527" s="39">
        <v>4981.53</v>
      </c>
      <c r="AQ527" s="39">
        <v>5041.82</v>
      </c>
      <c r="AR527" s="39">
        <v>5041.82</v>
      </c>
    </row>
    <row r="528" spans="1:44" x14ac:dyDescent="0.35">
      <c r="A528" s="16" t="str">
        <f t="shared" si="45"/>
        <v>19</v>
      </c>
      <c r="B528" s="19">
        <v>64485</v>
      </c>
      <c r="C528" s="16" t="str">
        <f t="shared" si="44"/>
        <v>0000000</v>
      </c>
      <c r="D528" s="17" t="s">
        <v>3663</v>
      </c>
      <c r="E528" s="16" t="s">
        <v>956</v>
      </c>
      <c r="F528" s="16" t="s">
        <v>955</v>
      </c>
      <c r="G528" s="35" t="s">
        <v>957</v>
      </c>
      <c r="H528" s="39">
        <v>7159.78</v>
      </c>
      <c r="I528" s="39">
        <v>7326.98</v>
      </c>
      <c r="J528" s="39">
        <v>7182.4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7159.78</v>
      </c>
      <c r="AJ528" s="39">
        <v>7326.98</v>
      </c>
      <c r="AK528" s="39">
        <v>7182.4</v>
      </c>
      <c r="AL528" s="39">
        <v>0</v>
      </c>
      <c r="AM528" s="39">
        <v>0</v>
      </c>
      <c r="AN528" s="39">
        <v>0</v>
      </c>
      <c r="AO528" s="39">
        <v>7159.78</v>
      </c>
      <c r="AP528" s="39">
        <v>7326.98</v>
      </c>
      <c r="AQ528" s="39">
        <v>7182.4</v>
      </c>
      <c r="AR528" s="39">
        <v>7326.98</v>
      </c>
    </row>
    <row r="529" spans="1:44" x14ac:dyDescent="0.35">
      <c r="A529" s="16" t="str">
        <f t="shared" ref="A529:A545" si="46">TEXT(13,"00")</f>
        <v>13</v>
      </c>
      <c r="B529" s="19">
        <v>10132</v>
      </c>
      <c r="C529" s="16" t="str">
        <f t="shared" si="44"/>
        <v>0000000</v>
      </c>
      <c r="D529" s="17" t="s">
        <v>3663</v>
      </c>
      <c r="E529" s="16" t="s">
        <v>587</v>
      </c>
      <c r="F529" s="16" t="s">
        <v>588</v>
      </c>
      <c r="G529" s="35" t="s">
        <v>588</v>
      </c>
      <c r="H529" s="39">
        <v>0</v>
      </c>
      <c r="I529" s="39">
        <v>0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>
        <v>0</v>
      </c>
      <c r="Q529" s="39">
        <v>0</v>
      </c>
      <c r="R529" s="39">
        <v>0</v>
      </c>
      <c r="S529" s="39">
        <v>0</v>
      </c>
      <c r="T529" s="39">
        <v>185.1</v>
      </c>
      <c r="U529" s="39">
        <v>178.52</v>
      </c>
      <c r="V529" s="39">
        <v>153.36000000000001</v>
      </c>
      <c r="W529" s="39">
        <v>334.88</v>
      </c>
      <c r="X529" s="39">
        <v>690.97</v>
      </c>
      <c r="Y529" s="39">
        <v>637.97</v>
      </c>
      <c r="Z529" s="39">
        <v>0</v>
      </c>
      <c r="AA529" s="39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0</v>
      </c>
      <c r="AI529" s="39">
        <v>519.98</v>
      </c>
      <c r="AJ529" s="39">
        <v>869.49</v>
      </c>
      <c r="AK529" s="39">
        <v>791.33</v>
      </c>
      <c r="AL529" s="39">
        <v>0</v>
      </c>
      <c r="AM529" s="39">
        <v>0</v>
      </c>
      <c r="AN529" s="39">
        <v>0</v>
      </c>
      <c r="AO529" s="39">
        <v>519.98</v>
      </c>
      <c r="AP529" s="39">
        <v>869.49</v>
      </c>
      <c r="AQ529" s="39">
        <v>791.33</v>
      </c>
      <c r="AR529" s="39">
        <v>869.49</v>
      </c>
    </row>
    <row r="530" spans="1:44" x14ac:dyDescent="0.35">
      <c r="A530" s="16" t="str">
        <f t="shared" si="46"/>
        <v>13</v>
      </c>
      <c r="B530" s="19">
        <v>63073</v>
      </c>
      <c r="C530" s="16" t="str">
        <f t="shared" si="44"/>
        <v>0000000</v>
      </c>
      <c r="D530" s="17" t="s">
        <v>3663</v>
      </c>
      <c r="E530" s="16" t="s">
        <v>589</v>
      </c>
      <c r="F530" s="16" t="s">
        <v>588</v>
      </c>
      <c r="G530" s="35" t="s">
        <v>590</v>
      </c>
      <c r="H530" s="39">
        <v>3593.03</v>
      </c>
      <c r="I530" s="39">
        <v>3568.14</v>
      </c>
      <c r="J530" s="39">
        <v>3500.74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>
        <v>0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0</v>
      </c>
      <c r="AA530" s="39">
        <v>0</v>
      </c>
      <c r="AB530" s="39">
        <v>0</v>
      </c>
      <c r="AC530" s="39">
        <v>0</v>
      </c>
      <c r="AD530" s="39">
        <v>0</v>
      </c>
      <c r="AE530" s="39">
        <v>0</v>
      </c>
      <c r="AF530" s="39">
        <v>0</v>
      </c>
      <c r="AG530" s="39">
        <v>0</v>
      </c>
      <c r="AH530" s="39">
        <v>0</v>
      </c>
      <c r="AI530" s="39">
        <v>3593.03</v>
      </c>
      <c r="AJ530" s="39">
        <v>3568.14</v>
      </c>
      <c r="AK530" s="39">
        <v>3500.74</v>
      </c>
      <c r="AL530" s="39">
        <v>0</v>
      </c>
      <c r="AM530" s="39">
        <v>0</v>
      </c>
      <c r="AN530" s="39">
        <v>0</v>
      </c>
      <c r="AO530" s="39">
        <v>3593.03</v>
      </c>
      <c r="AP530" s="39">
        <v>3568.14</v>
      </c>
      <c r="AQ530" s="39">
        <v>3500.74</v>
      </c>
      <c r="AR530" s="39">
        <v>3593.03</v>
      </c>
    </row>
    <row r="531" spans="1:44" x14ac:dyDescent="0.35">
      <c r="A531" s="16" t="str">
        <f t="shared" si="46"/>
        <v>13</v>
      </c>
      <c r="B531" s="19">
        <v>63081</v>
      </c>
      <c r="C531" s="16" t="str">
        <f t="shared" si="44"/>
        <v>0000000</v>
      </c>
      <c r="D531" s="17" t="s">
        <v>3663</v>
      </c>
      <c r="E531" s="16" t="s">
        <v>591</v>
      </c>
      <c r="F531" s="16" t="s">
        <v>588</v>
      </c>
      <c r="G531" s="35" t="s">
        <v>592</v>
      </c>
      <c r="H531" s="39">
        <v>1885.6</v>
      </c>
      <c r="I531" s="39">
        <v>1884.57</v>
      </c>
      <c r="J531" s="39">
        <v>1873.64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1885.6</v>
      </c>
      <c r="AJ531" s="39">
        <v>1884.57</v>
      </c>
      <c r="AK531" s="39">
        <v>1873.64</v>
      </c>
      <c r="AL531" s="39">
        <v>0</v>
      </c>
      <c r="AM531" s="39">
        <v>0</v>
      </c>
      <c r="AN531" s="39">
        <v>0</v>
      </c>
      <c r="AO531" s="39">
        <v>1885.6</v>
      </c>
      <c r="AP531" s="39">
        <v>1884.57</v>
      </c>
      <c r="AQ531" s="39">
        <v>1873.64</v>
      </c>
      <c r="AR531" s="39">
        <v>1885.6</v>
      </c>
    </row>
    <row r="532" spans="1:44" x14ac:dyDescent="0.35">
      <c r="A532" s="16" t="str">
        <f t="shared" si="46"/>
        <v>13</v>
      </c>
      <c r="B532" s="19">
        <v>63099</v>
      </c>
      <c r="C532" s="16" t="str">
        <f t="shared" si="44"/>
        <v>0000000</v>
      </c>
      <c r="D532" s="17" t="s">
        <v>3663</v>
      </c>
      <c r="E532" s="16" t="s">
        <v>593</v>
      </c>
      <c r="F532" s="16" t="s">
        <v>588</v>
      </c>
      <c r="G532" s="35" t="s">
        <v>594</v>
      </c>
      <c r="H532" s="39">
        <v>7416.73</v>
      </c>
      <c r="I532" s="39">
        <v>7556.18</v>
      </c>
      <c r="J532" s="39">
        <v>7617.65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7416.73</v>
      </c>
      <c r="AJ532" s="39">
        <v>7556.18</v>
      </c>
      <c r="AK532" s="39">
        <v>7617.65</v>
      </c>
      <c r="AL532" s="39">
        <v>0</v>
      </c>
      <c r="AM532" s="39">
        <v>0</v>
      </c>
      <c r="AN532" s="39">
        <v>0</v>
      </c>
      <c r="AO532" s="39">
        <v>7416.73</v>
      </c>
      <c r="AP532" s="39">
        <v>7556.18</v>
      </c>
      <c r="AQ532" s="39">
        <v>7617.65</v>
      </c>
      <c r="AR532" s="39">
        <v>7617.65</v>
      </c>
    </row>
    <row r="533" spans="1:44" x14ac:dyDescent="0.35">
      <c r="A533" s="16" t="str">
        <f t="shared" si="46"/>
        <v>13</v>
      </c>
      <c r="B533" s="19">
        <v>63107</v>
      </c>
      <c r="C533" s="16" t="str">
        <f t="shared" si="44"/>
        <v>0000000</v>
      </c>
      <c r="D533" s="17" t="s">
        <v>3663</v>
      </c>
      <c r="E533" s="16" t="s">
        <v>595</v>
      </c>
      <c r="F533" s="16" t="s">
        <v>588</v>
      </c>
      <c r="G533" s="35" t="s">
        <v>596</v>
      </c>
      <c r="H533" s="39">
        <v>1011.84</v>
      </c>
      <c r="I533" s="39">
        <v>1002.56</v>
      </c>
      <c r="J533" s="39">
        <v>1049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1011.84</v>
      </c>
      <c r="AJ533" s="39">
        <v>1002.56</v>
      </c>
      <c r="AK533" s="39">
        <v>1049</v>
      </c>
      <c r="AL533" s="39">
        <v>0</v>
      </c>
      <c r="AM533" s="39">
        <v>0</v>
      </c>
      <c r="AN533" s="39">
        <v>0</v>
      </c>
      <c r="AO533" s="39">
        <v>1011.84</v>
      </c>
      <c r="AP533" s="39">
        <v>1002.56</v>
      </c>
      <c r="AQ533" s="39">
        <v>1049</v>
      </c>
      <c r="AR533" s="39">
        <v>1049</v>
      </c>
    </row>
    <row r="534" spans="1:44" x14ac:dyDescent="0.35">
      <c r="A534" s="16" t="str">
        <f t="shared" si="46"/>
        <v>13</v>
      </c>
      <c r="B534" s="19">
        <v>63115</v>
      </c>
      <c r="C534" s="16" t="str">
        <f t="shared" si="44"/>
        <v>0000000</v>
      </c>
      <c r="D534" s="17" t="s">
        <v>3663</v>
      </c>
      <c r="E534" s="16" t="s">
        <v>597</v>
      </c>
      <c r="F534" s="16" t="s">
        <v>588</v>
      </c>
      <c r="G534" s="35" t="s">
        <v>598</v>
      </c>
      <c r="H534" s="39">
        <v>3849.83</v>
      </c>
      <c r="I534" s="39">
        <v>3829.89</v>
      </c>
      <c r="J534" s="39">
        <v>3836.88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3849.83</v>
      </c>
      <c r="AJ534" s="39">
        <v>3829.89</v>
      </c>
      <c r="AK534" s="39">
        <v>3836.88</v>
      </c>
      <c r="AL534" s="39">
        <v>0</v>
      </c>
      <c r="AM534" s="39">
        <v>0</v>
      </c>
      <c r="AN534" s="39">
        <v>0</v>
      </c>
      <c r="AO534" s="39">
        <v>3849.83</v>
      </c>
      <c r="AP534" s="39">
        <v>3829.89</v>
      </c>
      <c r="AQ534" s="39">
        <v>3836.88</v>
      </c>
      <c r="AR534" s="39">
        <v>3849.83</v>
      </c>
    </row>
    <row r="535" spans="1:44" x14ac:dyDescent="0.35">
      <c r="A535" s="16" t="str">
        <f t="shared" si="46"/>
        <v>13</v>
      </c>
      <c r="B535" s="19">
        <v>63123</v>
      </c>
      <c r="C535" s="16" t="str">
        <f t="shared" si="44"/>
        <v>0000000</v>
      </c>
      <c r="D535" s="17" t="s">
        <v>3663</v>
      </c>
      <c r="E535" s="16" t="s">
        <v>599</v>
      </c>
      <c r="F535" s="16" t="s">
        <v>588</v>
      </c>
      <c r="G535" s="35" t="s">
        <v>600</v>
      </c>
      <c r="H535" s="39">
        <v>4751.88</v>
      </c>
      <c r="I535" s="39">
        <v>4778.97</v>
      </c>
      <c r="J535" s="39">
        <v>4735.1000000000004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131.88</v>
      </c>
      <c r="AD535" s="39">
        <v>136.38999999999999</v>
      </c>
      <c r="AE535" s="39">
        <v>140.63999999999999</v>
      </c>
      <c r="AF535" s="39">
        <v>0</v>
      </c>
      <c r="AG535" s="39">
        <v>0</v>
      </c>
      <c r="AH535" s="39">
        <v>0</v>
      </c>
      <c r="AI535" s="39">
        <v>4883.76</v>
      </c>
      <c r="AJ535" s="39">
        <v>4915.3599999999997</v>
      </c>
      <c r="AK535" s="39">
        <v>4875.74</v>
      </c>
      <c r="AL535" s="39">
        <v>0</v>
      </c>
      <c r="AM535" s="39">
        <v>0</v>
      </c>
      <c r="AN535" s="39">
        <v>0</v>
      </c>
      <c r="AO535" s="39">
        <v>4883.76</v>
      </c>
      <c r="AP535" s="39">
        <v>4915.3599999999997</v>
      </c>
      <c r="AQ535" s="39">
        <v>4875.74</v>
      </c>
      <c r="AR535" s="39">
        <v>4915.3599999999997</v>
      </c>
    </row>
    <row r="536" spans="1:44" x14ac:dyDescent="0.35">
      <c r="A536" s="16" t="str">
        <f t="shared" si="46"/>
        <v>13</v>
      </c>
      <c r="B536" s="19">
        <v>63131</v>
      </c>
      <c r="C536" s="16" t="str">
        <f t="shared" si="44"/>
        <v>0000000</v>
      </c>
      <c r="D536" s="17" t="s">
        <v>3663</v>
      </c>
      <c r="E536" s="16" t="s">
        <v>605</v>
      </c>
      <c r="F536" s="16" t="s">
        <v>588</v>
      </c>
      <c r="G536" s="35" t="s">
        <v>606</v>
      </c>
      <c r="H536" s="39">
        <v>1082.8800000000001</v>
      </c>
      <c r="I536" s="39">
        <v>1102.21</v>
      </c>
      <c r="J536" s="39">
        <v>1094.44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1082.8800000000001</v>
      </c>
      <c r="AJ536" s="39">
        <v>1102.21</v>
      </c>
      <c r="AK536" s="39">
        <v>1094.44</v>
      </c>
      <c r="AL536" s="39">
        <v>0</v>
      </c>
      <c r="AM536" s="39">
        <v>0</v>
      </c>
      <c r="AN536" s="39">
        <v>0</v>
      </c>
      <c r="AO536" s="39">
        <v>1082.8800000000001</v>
      </c>
      <c r="AP536" s="39">
        <v>1102.21</v>
      </c>
      <c r="AQ536" s="39">
        <v>1094.44</v>
      </c>
      <c r="AR536" s="39">
        <v>1102.21</v>
      </c>
    </row>
    <row r="537" spans="1:44" x14ac:dyDescent="0.35">
      <c r="A537" s="16" t="str">
        <f t="shared" si="46"/>
        <v>13</v>
      </c>
      <c r="B537" s="19">
        <v>63149</v>
      </c>
      <c r="C537" s="16" t="str">
        <f t="shared" si="44"/>
        <v>0000000</v>
      </c>
      <c r="D537" s="17" t="s">
        <v>3663</v>
      </c>
      <c r="E537" s="16" t="s">
        <v>607</v>
      </c>
      <c r="F537" s="16" t="s">
        <v>588</v>
      </c>
      <c r="G537" s="35" t="s">
        <v>608</v>
      </c>
      <c r="H537" s="39">
        <v>1486.95</v>
      </c>
      <c r="I537" s="39">
        <v>1507.96</v>
      </c>
      <c r="J537" s="39">
        <v>1485.84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1486.95</v>
      </c>
      <c r="AJ537" s="39">
        <v>1507.96</v>
      </c>
      <c r="AK537" s="39">
        <v>1485.84</v>
      </c>
      <c r="AL537" s="39">
        <v>0</v>
      </c>
      <c r="AM537" s="39">
        <v>0</v>
      </c>
      <c r="AN537" s="39">
        <v>0</v>
      </c>
      <c r="AO537" s="39">
        <v>1486.95</v>
      </c>
      <c r="AP537" s="39">
        <v>1507.96</v>
      </c>
      <c r="AQ537" s="39">
        <v>1485.84</v>
      </c>
      <c r="AR537" s="39">
        <v>1507.96</v>
      </c>
    </row>
    <row r="538" spans="1:44" x14ac:dyDescent="0.35">
      <c r="A538" s="16" t="str">
        <f t="shared" si="46"/>
        <v>13</v>
      </c>
      <c r="B538" s="19">
        <v>63164</v>
      </c>
      <c r="C538" s="16" t="str">
        <f t="shared" si="44"/>
        <v>0000000</v>
      </c>
      <c r="D538" s="17" t="s">
        <v>3663</v>
      </c>
      <c r="E538" s="16" t="s">
        <v>609</v>
      </c>
      <c r="F538" s="16" t="s">
        <v>588</v>
      </c>
      <c r="G538" s="35" t="s">
        <v>610</v>
      </c>
      <c r="H538" s="39">
        <v>4550.84</v>
      </c>
      <c r="I538" s="39">
        <v>4430.82</v>
      </c>
      <c r="J538" s="39">
        <v>4262.93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4550.84</v>
      </c>
      <c r="AJ538" s="39">
        <v>4430.82</v>
      </c>
      <c r="AK538" s="39">
        <v>4262.93</v>
      </c>
      <c r="AL538" s="39">
        <v>0</v>
      </c>
      <c r="AM538" s="39">
        <v>0</v>
      </c>
      <c r="AN538" s="39">
        <v>0</v>
      </c>
      <c r="AO538" s="39">
        <v>4550.84</v>
      </c>
      <c r="AP538" s="39">
        <v>4430.82</v>
      </c>
      <c r="AQ538" s="39">
        <v>4262.93</v>
      </c>
      <c r="AR538" s="39">
        <v>4550.84</v>
      </c>
    </row>
    <row r="539" spans="1:44" x14ac:dyDescent="0.35">
      <c r="A539" s="16" t="str">
        <f t="shared" si="46"/>
        <v>13</v>
      </c>
      <c r="B539" s="19">
        <v>63180</v>
      </c>
      <c r="C539" s="16" t="str">
        <f t="shared" si="44"/>
        <v>0000000</v>
      </c>
      <c r="D539" s="17" t="s">
        <v>3663</v>
      </c>
      <c r="E539" s="16" t="s">
        <v>613</v>
      </c>
      <c r="F539" s="16" t="s">
        <v>588</v>
      </c>
      <c r="G539" s="35" t="s">
        <v>614</v>
      </c>
      <c r="H539" s="39">
        <v>1047.1099999999999</v>
      </c>
      <c r="I539" s="39">
        <v>1109.67</v>
      </c>
      <c r="J539" s="39">
        <v>1140.01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1047.1099999999999</v>
      </c>
      <c r="AJ539" s="39">
        <v>1109.67</v>
      </c>
      <c r="AK539" s="39">
        <v>1140.01</v>
      </c>
      <c r="AL539" s="39">
        <v>0</v>
      </c>
      <c r="AM539" s="39">
        <v>0</v>
      </c>
      <c r="AN539" s="39">
        <v>0</v>
      </c>
      <c r="AO539" s="39">
        <v>1047.1099999999999</v>
      </c>
      <c r="AP539" s="39">
        <v>1109.67</v>
      </c>
      <c r="AQ539" s="39">
        <v>1140.01</v>
      </c>
      <c r="AR539" s="39">
        <v>1140.01</v>
      </c>
    </row>
    <row r="540" spans="1:44" x14ac:dyDescent="0.35">
      <c r="A540" s="16" t="str">
        <f t="shared" si="46"/>
        <v>13</v>
      </c>
      <c r="B540" s="19">
        <v>63198</v>
      </c>
      <c r="C540" s="16" t="str">
        <f t="shared" si="44"/>
        <v>0000000</v>
      </c>
      <c r="D540" s="17" t="s">
        <v>3663</v>
      </c>
      <c r="E540" s="16" t="s">
        <v>615</v>
      </c>
      <c r="F540" s="16" t="s">
        <v>588</v>
      </c>
      <c r="G540" s="35" t="s">
        <v>616</v>
      </c>
      <c r="H540" s="39">
        <v>333.79</v>
      </c>
      <c r="I540" s="39">
        <v>342.17</v>
      </c>
      <c r="J540" s="39">
        <v>355.53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333.79</v>
      </c>
      <c r="AJ540" s="39">
        <v>342.17</v>
      </c>
      <c r="AK540" s="39">
        <v>355.53</v>
      </c>
      <c r="AL540" s="39">
        <v>0</v>
      </c>
      <c r="AM540" s="39">
        <v>0</v>
      </c>
      <c r="AN540" s="39">
        <v>0</v>
      </c>
      <c r="AO540" s="39">
        <v>333.79</v>
      </c>
      <c r="AP540" s="39">
        <v>342.17</v>
      </c>
      <c r="AQ540" s="39">
        <v>355.53</v>
      </c>
      <c r="AR540" s="39">
        <v>355.53</v>
      </c>
    </row>
    <row r="541" spans="1:44" x14ac:dyDescent="0.35">
      <c r="A541" s="16" t="str">
        <f t="shared" si="46"/>
        <v>13</v>
      </c>
      <c r="B541" s="19">
        <v>63214</v>
      </c>
      <c r="C541" s="16" t="str">
        <f t="shared" si="44"/>
        <v>0000000</v>
      </c>
      <c r="D541" s="17" t="s">
        <v>3663</v>
      </c>
      <c r="E541" s="16" t="s">
        <v>619</v>
      </c>
      <c r="F541" s="16" t="s">
        <v>588</v>
      </c>
      <c r="G541" s="35" t="s">
        <v>620</v>
      </c>
      <c r="H541" s="39">
        <v>519.58000000000004</v>
      </c>
      <c r="I541" s="39">
        <v>533.5</v>
      </c>
      <c r="J541" s="39">
        <v>521.16999999999996</v>
      </c>
      <c r="K541" s="39">
        <v>0</v>
      </c>
      <c r="L541" s="39">
        <v>0</v>
      </c>
      <c r="M541" s="39">
        <v>0</v>
      </c>
      <c r="N541" s="39">
        <v>0</v>
      </c>
      <c r="O541" s="39">
        <v>0</v>
      </c>
      <c r="P541" s="39">
        <v>0</v>
      </c>
      <c r="Q541" s="39">
        <v>0</v>
      </c>
      <c r="R541" s="39">
        <v>0</v>
      </c>
      <c r="S541" s="39">
        <v>0</v>
      </c>
      <c r="T541" s="39">
        <v>0</v>
      </c>
      <c r="U541" s="39">
        <v>0</v>
      </c>
      <c r="V541" s="39">
        <v>0</v>
      </c>
      <c r="W541" s="39">
        <v>0</v>
      </c>
      <c r="X541" s="39">
        <v>0</v>
      </c>
      <c r="Y541" s="39">
        <v>0</v>
      </c>
      <c r="Z541" s="39">
        <v>0</v>
      </c>
      <c r="AA541" s="39">
        <v>0</v>
      </c>
      <c r="AB541" s="39">
        <v>0</v>
      </c>
      <c r="AC541" s="39">
        <v>0</v>
      </c>
      <c r="AD541" s="39">
        <v>0</v>
      </c>
      <c r="AE541" s="39">
        <v>0</v>
      </c>
      <c r="AF541" s="39">
        <v>0</v>
      </c>
      <c r="AG541" s="39">
        <v>0</v>
      </c>
      <c r="AH541" s="39">
        <v>0</v>
      </c>
      <c r="AI541" s="39">
        <v>519.58000000000004</v>
      </c>
      <c r="AJ541" s="39">
        <v>533.5</v>
      </c>
      <c r="AK541" s="39">
        <v>521.16999999999996</v>
      </c>
      <c r="AL541" s="39">
        <v>0</v>
      </c>
      <c r="AM541" s="39">
        <v>0</v>
      </c>
      <c r="AN541" s="39">
        <v>0</v>
      </c>
      <c r="AO541" s="39">
        <v>519.58000000000004</v>
      </c>
      <c r="AP541" s="39">
        <v>533.5</v>
      </c>
      <c r="AQ541" s="39">
        <v>521.16999999999996</v>
      </c>
      <c r="AR541" s="39">
        <v>533.5</v>
      </c>
    </row>
    <row r="542" spans="1:44" x14ac:dyDescent="0.35">
      <c r="A542" s="16" t="str">
        <f t="shared" si="46"/>
        <v>13</v>
      </c>
      <c r="B542" s="19">
        <v>63222</v>
      </c>
      <c r="C542" s="16" t="str">
        <f t="shared" si="44"/>
        <v>0000000</v>
      </c>
      <c r="D542" s="17" t="s">
        <v>3663</v>
      </c>
      <c r="E542" s="16" t="s">
        <v>621</v>
      </c>
      <c r="F542" s="16" t="s">
        <v>588</v>
      </c>
      <c r="G542" s="35" t="s">
        <v>622</v>
      </c>
      <c r="H542" s="39">
        <v>302.76</v>
      </c>
      <c r="I542" s="39">
        <v>309.55</v>
      </c>
      <c r="J542" s="39">
        <v>321.7</v>
      </c>
      <c r="K542" s="39">
        <v>0</v>
      </c>
      <c r="L542" s="39">
        <v>0</v>
      </c>
      <c r="M542" s="39">
        <v>0</v>
      </c>
      <c r="N542" s="39">
        <v>0</v>
      </c>
      <c r="O542" s="39">
        <v>0</v>
      </c>
      <c r="P542" s="39">
        <v>0</v>
      </c>
      <c r="Q542" s="39">
        <v>0</v>
      </c>
      <c r="R542" s="39">
        <v>0</v>
      </c>
      <c r="S542" s="39">
        <v>0</v>
      </c>
      <c r="T542" s="39">
        <v>0</v>
      </c>
      <c r="U542" s="39">
        <v>0</v>
      </c>
      <c r="V542" s="39">
        <v>0</v>
      </c>
      <c r="W542" s="39">
        <v>0</v>
      </c>
      <c r="X542" s="39">
        <v>0</v>
      </c>
      <c r="Y542" s="39">
        <v>0</v>
      </c>
      <c r="Z542" s="39">
        <v>0</v>
      </c>
      <c r="AA542" s="39">
        <v>0</v>
      </c>
      <c r="AB542" s="39">
        <v>0</v>
      </c>
      <c r="AC542" s="39">
        <v>0</v>
      </c>
      <c r="AD542" s="39">
        <v>0</v>
      </c>
      <c r="AE542" s="39">
        <v>0</v>
      </c>
      <c r="AF542" s="39">
        <v>0</v>
      </c>
      <c r="AG542" s="39">
        <v>0</v>
      </c>
      <c r="AH542" s="39">
        <v>0</v>
      </c>
      <c r="AI542" s="39">
        <v>302.76</v>
      </c>
      <c r="AJ542" s="39">
        <v>309.55</v>
      </c>
      <c r="AK542" s="39">
        <v>321.7</v>
      </c>
      <c r="AL542" s="39">
        <v>0</v>
      </c>
      <c r="AM542" s="39">
        <v>0</v>
      </c>
      <c r="AN542" s="39">
        <v>0</v>
      </c>
      <c r="AO542" s="39">
        <v>302.76</v>
      </c>
      <c r="AP542" s="39">
        <v>309.55</v>
      </c>
      <c r="AQ542" s="39">
        <v>321.7</v>
      </c>
      <c r="AR542" s="39">
        <v>321.7</v>
      </c>
    </row>
    <row r="543" spans="1:44" x14ac:dyDescent="0.35">
      <c r="A543" s="16" t="str">
        <f t="shared" si="46"/>
        <v>13</v>
      </c>
      <c r="B543" s="19">
        <v>63230</v>
      </c>
      <c r="C543" s="16" t="str">
        <f t="shared" si="44"/>
        <v>0000000</v>
      </c>
      <c r="D543" s="17" t="s">
        <v>3663</v>
      </c>
      <c r="E543" s="16" t="s">
        <v>623</v>
      </c>
      <c r="F543" s="16" t="s">
        <v>588</v>
      </c>
      <c r="G543" s="35" t="s">
        <v>624</v>
      </c>
      <c r="H543" s="39">
        <v>284.91000000000003</v>
      </c>
      <c r="I543" s="39">
        <v>292.83999999999997</v>
      </c>
      <c r="J543" s="39">
        <v>301.67</v>
      </c>
      <c r="K543" s="39">
        <v>0</v>
      </c>
      <c r="L543" s="39">
        <v>0</v>
      </c>
      <c r="M543" s="39">
        <v>0</v>
      </c>
      <c r="N543" s="39">
        <v>0</v>
      </c>
      <c r="O543" s="39">
        <v>0</v>
      </c>
      <c r="P543" s="39">
        <v>0</v>
      </c>
      <c r="Q543" s="39">
        <v>0</v>
      </c>
      <c r="R543" s="39">
        <v>0</v>
      </c>
      <c r="S543" s="39">
        <v>0</v>
      </c>
      <c r="T543" s="39">
        <v>0</v>
      </c>
      <c r="U543" s="39">
        <v>0</v>
      </c>
      <c r="V543" s="39">
        <v>0</v>
      </c>
      <c r="W543" s="39">
        <v>0</v>
      </c>
      <c r="X543" s="39">
        <v>0</v>
      </c>
      <c r="Y543" s="39">
        <v>0</v>
      </c>
      <c r="Z543" s="39">
        <v>0</v>
      </c>
      <c r="AA543" s="39">
        <v>0</v>
      </c>
      <c r="AB543" s="39">
        <v>0</v>
      </c>
      <c r="AC543" s="39">
        <v>0</v>
      </c>
      <c r="AD543" s="39">
        <v>0</v>
      </c>
      <c r="AE543" s="39">
        <v>0</v>
      </c>
      <c r="AF543" s="39">
        <v>0</v>
      </c>
      <c r="AG543" s="39">
        <v>0</v>
      </c>
      <c r="AH543" s="39">
        <v>0</v>
      </c>
      <c r="AI543" s="39">
        <v>284.91000000000003</v>
      </c>
      <c r="AJ543" s="39">
        <v>292.83999999999997</v>
      </c>
      <c r="AK543" s="39">
        <v>301.67</v>
      </c>
      <c r="AL543" s="39">
        <v>0</v>
      </c>
      <c r="AM543" s="39">
        <v>0</v>
      </c>
      <c r="AN543" s="39">
        <v>0</v>
      </c>
      <c r="AO543" s="39">
        <v>284.91000000000003</v>
      </c>
      <c r="AP543" s="39">
        <v>292.83999999999997</v>
      </c>
      <c r="AQ543" s="39">
        <v>301.67</v>
      </c>
      <c r="AR543" s="39">
        <v>301.67</v>
      </c>
    </row>
    <row r="544" spans="1:44" x14ac:dyDescent="0.35">
      <c r="A544" s="16" t="str">
        <f t="shared" si="46"/>
        <v>13</v>
      </c>
      <c r="B544" s="19">
        <v>63172</v>
      </c>
      <c r="C544" s="16" t="str">
        <f t="shared" si="44"/>
        <v>0000000</v>
      </c>
      <c r="D544" s="17" t="s">
        <v>3663</v>
      </c>
      <c r="E544" s="16" t="s">
        <v>611</v>
      </c>
      <c r="F544" s="16" t="s">
        <v>588</v>
      </c>
      <c r="G544" s="35" t="s">
        <v>612</v>
      </c>
      <c r="H544" s="39">
        <v>123.52</v>
      </c>
      <c r="I544" s="39">
        <v>109.45</v>
      </c>
      <c r="J544" s="39">
        <v>119.78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39">
        <v>0</v>
      </c>
      <c r="Q544" s="39">
        <v>0</v>
      </c>
      <c r="R544" s="39">
        <v>0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>
        <v>0</v>
      </c>
      <c r="Y544" s="39">
        <v>0</v>
      </c>
      <c r="Z544" s="39">
        <v>0</v>
      </c>
      <c r="AA544" s="39">
        <v>0</v>
      </c>
      <c r="AB544" s="39">
        <v>0</v>
      </c>
      <c r="AC544" s="39">
        <v>0</v>
      </c>
      <c r="AD544" s="39">
        <v>0</v>
      </c>
      <c r="AE544" s="39">
        <v>0</v>
      </c>
      <c r="AF544" s="39">
        <v>0</v>
      </c>
      <c r="AG544" s="39">
        <v>0</v>
      </c>
      <c r="AH544" s="39">
        <v>0</v>
      </c>
      <c r="AI544" s="39">
        <v>123.52</v>
      </c>
      <c r="AJ544" s="39">
        <v>109.45</v>
      </c>
      <c r="AK544" s="39">
        <v>119.78</v>
      </c>
      <c r="AL544" s="39">
        <v>0</v>
      </c>
      <c r="AM544" s="39">
        <v>0</v>
      </c>
      <c r="AN544" s="39">
        <v>0</v>
      </c>
      <c r="AO544" s="39">
        <v>123.52</v>
      </c>
      <c r="AP544" s="39">
        <v>109.45</v>
      </c>
      <c r="AQ544" s="39">
        <v>119.78</v>
      </c>
      <c r="AR544" s="39">
        <v>123.52</v>
      </c>
    </row>
    <row r="545" spans="1:44" x14ac:dyDescent="0.35">
      <c r="A545" s="16" t="str">
        <f t="shared" si="46"/>
        <v>13</v>
      </c>
      <c r="B545" s="19">
        <v>63206</v>
      </c>
      <c r="C545" s="16" t="str">
        <f t="shared" si="44"/>
        <v>0000000</v>
      </c>
      <c r="D545" s="17" t="s">
        <v>3663</v>
      </c>
      <c r="E545" s="16" t="s">
        <v>617</v>
      </c>
      <c r="F545" s="16" t="s">
        <v>588</v>
      </c>
      <c r="G545" s="35" t="s">
        <v>618</v>
      </c>
      <c r="H545" s="39">
        <v>59.88</v>
      </c>
      <c r="I545" s="39">
        <v>63.2</v>
      </c>
      <c r="J545" s="39">
        <v>61.27</v>
      </c>
      <c r="K545" s="39">
        <v>0</v>
      </c>
      <c r="L545" s="39">
        <v>0</v>
      </c>
      <c r="M545" s="39">
        <v>0</v>
      </c>
      <c r="N545" s="39">
        <v>0</v>
      </c>
      <c r="O545" s="39">
        <v>0</v>
      </c>
      <c r="P545" s="39">
        <v>0</v>
      </c>
      <c r="Q545" s="39">
        <v>0</v>
      </c>
      <c r="R545" s="39">
        <v>0</v>
      </c>
      <c r="S545" s="39">
        <v>0</v>
      </c>
      <c r="T545" s="39">
        <v>0</v>
      </c>
      <c r="U545" s="39">
        <v>0</v>
      </c>
      <c r="V545" s="39">
        <v>0</v>
      </c>
      <c r="W545" s="39">
        <v>0</v>
      </c>
      <c r="X545" s="39">
        <v>0</v>
      </c>
      <c r="Y545" s="39">
        <v>0</v>
      </c>
      <c r="Z545" s="39">
        <v>0</v>
      </c>
      <c r="AA545" s="39">
        <v>0</v>
      </c>
      <c r="AB545" s="39">
        <v>0</v>
      </c>
      <c r="AC545" s="39">
        <v>0</v>
      </c>
      <c r="AD545" s="39">
        <v>0</v>
      </c>
      <c r="AE545" s="39">
        <v>0</v>
      </c>
      <c r="AF545" s="39">
        <v>0</v>
      </c>
      <c r="AG545" s="39">
        <v>0</v>
      </c>
      <c r="AH545" s="39">
        <v>0</v>
      </c>
      <c r="AI545" s="39">
        <v>59.88</v>
      </c>
      <c r="AJ545" s="39">
        <v>63.2</v>
      </c>
      <c r="AK545" s="39">
        <v>61.27</v>
      </c>
      <c r="AL545" s="39">
        <v>0</v>
      </c>
      <c r="AM545" s="39">
        <v>0</v>
      </c>
      <c r="AN545" s="39">
        <v>0</v>
      </c>
      <c r="AO545" s="39">
        <v>59.88</v>
      </c>
      <c r="AP545" s="39">
        <v>63.2</v>
      </c>
      <c r="AQ545" s="39">
        <v>61.27</v>
      </c>
      <c r="AR545" s="39">
        <v>63.2</v>
      </c>
    </row>
    <row r="546" spans="1:44" x14ac:dyDescent="0.35">
      <c r="A546" s="16" t="str">
        <f t="shared" ref="A546:A578" si="47">TEXT(41,"00")</f>
        <v>41</v>
      </c>
      <c r="B546" s="19">
        <v>10413</v>
      </c>
      <c r="C546" s="16" t="str">
        <f t="shared" si="44"/>
        <v>0000000</v>
      </c>
      <c r="D546" s="17" t="s">
        <v>3663</v>
      </c>
      <c r="E546" s="16" t="s">
        <v>2538</v>
      </c>
      <c r="F546" s="16" t="s">
        <v>2539</v>
      </c>
      <c r="G546" s="35" t="s">
        <v>2539</v>
      </c>
      <c r="H546" s="39">
        <v>0</v>
      </c>
      <c r="I546" s="39">
        <v>0</v>
      </c>
      <c r="J546" s="39">
        <v>0</v>
      </c>
      <c r="K546" s="39">
        <v>0</v>
      </c>
      <c r="L546" s="39">
        <v>0</v>
      </c>
      <c r="M546" s="39">
        <v>0</v>
      </c>
      <c r="N546" s="39">
        <v>0</v>
      </c>
      <c r="O546" s="39">
        <v>0</v>
      </c>
      <c r="P546" s="39">
        <v>0</v>
      </c>
      <c r="Q546" s="39">
        <v>0</v>
      </c>
      <c r="R546" s="39">
        <v>0</v>
      </c>
      <c r="S546" s="39">
        <v>0</v>
      </c>
      <c r="T546" s="39">
        <v>23.49</v>
      </c>
      <c r="U546" s="39">
        <v>20.87</v>
      </c>
      <c r="V546" s="39">
        <v>26.99</v>
      </c>
      <c r="W546" s="39">
        <v>56.96</v>
      </c>
      <c r="X546" s="39">
        <v>61.61</v>
      </c>
      <c r="Y546" s="39">
        <v>67</v>
      </c>
      <c r="Z546" s="39">
        <v>0</v>
      </c>
      <c r="AA546" s="39">
        <v>0</v>
      </c>
      <c r="AB546" s="39">
        <v>0</v>
      </c>
      <c r="AC546" s="39">
        <v>0</v>
      </c>
      <c r="AD546" s="39">
        <v>0</v>
      </c>
      <c r="AE546" s="39">
        <v>0</v>
      </c>
      <c r="AF546" s="39">
        <v>0</v>
      </c>
      <c r="AG546" s="39">
        <v>0</v>
      </c>
      <c r="AH546" s="39">
        <v>0</v>
      </c>
      <c r="AI546" s="39">
        <v>80.45</v>
      </c>
      <c r="AJ546" s="39">
        <v>82.48</v>
      </c>
      <c r="AK546" s="39">
        <v>93.99</v>
      </c>
      <c r="AL546" s="39">
        <v>0</v>
      </c>
      <c r="AM546" s="39">
        <v>0</v>
      </c>
      <c r="AN546" s="39">
        <v>0</v>
      </c>
      <c r="AO546" s="39">
        <v>80.45</v>
      </c>
      <c r="AP546" s="39">
        <v>82.48</v>
      </c>
      <c r="AQ546" s="39">
        <v>93.99</v>
      </c>
      <c r="AR546" s="39">
        <v>93.99</v>
      </c>
    </row>
    <row r="547" spans="1:44" x14ac:dyDescent="0.35">
      <c r="A547" s="16" t="str">
        <f t="shared" si="47"/>
        <v>41</v>
      </c>
      <c r="B547" s="19">
        <v>68858</v>
      </c>
      <c r="C547" s="16" t="str">
        <f t="shared" si="44"/>
        <v>0000000</v>
      </c>
      <c r="D547" s="17" t="s">
        <v>3663</v>
      </c>
      <c r="E547" s="16" t="s">
        <v>2542</v>
      </c>
      <c r="F547" s="16" t="s">
        <v>2539</v>
      </c>
      <c r="G547" s="35" t="s">
        <v>2543</v>
      </c>
      <c r="H547" s="39">
        <v>325.51</v>
      </c>
      <c r="I547" s="39">
        <v>319.54000000000002</v>
      </c>
      <c r="J547" s="39">
        <v>314.07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325.51</v>
      </c>
      <c r="AJ547" s="39">
        <v>319.54000000000002</v>
      </c>
      <c r="AK547" s="39">
        <v>314.07</v>
      </c>
      <c r="AL547" s="39">
        <v>0</v>
      </c>
      <c r="AM547" s="39">
        <v>0</v>
      </c>
      <c r="AN547" s="39">
        <v>0</v>
      </c>
      <c r="AO547" s="39">
        <v>325.51</v>
      </c>
      <c r="AP547" s="39">
        <v>319.54000000000002</v>
      </c>
      <c r="AQ547" s="39">
        <v>314.07</v>
      </c>
      <c r="AR547" s="39">
        <v>325.51</v>
      </c>
    </row>
    <row r="548" spans="1:44" x14ac:dyDescent="0.35">
      <c r="A548" s="16" t="str">
        <f t="shared" si="47"/>
        <v>41</v>
      </c>
      <c r="B548" s="19">
        <v>68866</v>
      </c>
      <c r="C548" s="16" t="str">
        <f t="shared" si="44"/>
        <v>0000000</v>
      </c>
      <c r="D548" s="17" t="s">
        <v>3663</v>
      </c>
      <c r="E548" s="16" t="s">
        <v>2544</v>
      </c>
      <c r="F548" s="16" t="s">
        <v>2539</v>
      </c>
      <c r="G548" s="35" t="s">
        <v>2545</v>
      </c>
      <c r="H548" s="39">
        <v>3770.11</v>
      </c>
      <c r="I548" s="39">
        <v>3842.36</v>
      </c>
      <c r="J548" s="39">
        <v>3797.76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3770.11</v>
      </c>
      <c r="AJ548" s="39">
        <v>3842.36</v>
      </c>
      <c r="AK548" s="39">
        <v>3797.76</v>
      </c>
      <c r="AL548" s="39">
        <v>0</v>
      </c>
      <c r="AM548" s="39">
        <v>0</v>
      </c>
      <c r="AN548" s="39">
        <v>0</v>
      </c>
      <c r="AO548" s="39">
        <v>3770.11</v>
      </c>
      <c r="AP548" s="39">
        <v>3842.36</v>
      </c>
      <c r="AQ548" s="39">
        <v>3797.76</v>
      </c>
      <c r="AR548" s="39">
        <v>3842.36</v>
      </c>
    </row>
    <row r="549" spans="1:44" x14ac:dyDescent="0.35">
      <c r="A549" s="16" t="str">
        <f t="shared" si="47"/>
        <v>41</v>
      </c>
      <c r="B549" s="19">
        <v>68874</v>
      </c>
      <c r="C549" s="16" t="str">
        <f t="shared" si="44"/>
        <v>0000000</v>
      </c>
      <c r="D549" s="17" t="s">
        <v>3663</v>
      </c>
      <c r="E549" s="16" t="s">
        <v>2546</v>
      </c>
      <c r="F549" s="16" t="s">
        <v>2539</v>
      </c>
      <c r="G549" s="35" t="s">
        <v>2547</v>
      </c>
      <c r="H549" s="39">
        <v>454.77</v>
      </c>
      <c r="I549" s="39">
        <v>452.16</v>
      </c>
      <c r="J549" s="39">
        <v>430.16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454.77</v>
      </c>
      <c r="AJ549" s="39">
        <v>452.16</v>
      </c>
      <c r="AK549" s="39">
        <v>430.16</v>
      </c>
      <c r="AL549" s="39">
        <v>0</v>
      </c>
      <c r="AM549" s="39">
        <v>0</v>
      </c>
      <c r="AN549" s="39">
        <v>0</v>
      </c>
      <c r="AO549" s="39">
        <v>454.77</v>
      </c>
      <c r="AP549" s="39">
        <v>452.16</v>
      </c>
      <c r="AQ549" s="39">
        <v>430.16</v>
      </c>
      <c r="AR549" s="39">
        <v>454.77</v>
      </c>
    </row>
    <row r="550" spans="1:44" x14ac:dyDescent="0.35">
      <c r="A550" s="16" t="str">
        <f t="shared" si="47"/>
        <v>41</v>
      </c>
      <c r="B550" s="19">
        <v>68882</v>
      </c>
      <c r="C550" s="16" t="str">
        <f t="shared" ref="C550:C569" si="48">TEXT(,"0000000")</f>
        <v>0000000</v>
      </c>
      <c r="D550" s="17" t="s">
        <v>3663</v>
      </c>
      <c r="E550" s="16" t="s">
        <v>2548</v>
      </c>
      <c r="F550" s="16" t="s">
        <v>2539</v>
      </c>
      <c r="G550" s="35" t="s">
        <v>2549</v>
      </c>
      <c r="H550" s="39">
        <v>3218.49</v>
      </c>
      <c r="I550" s="39">
        <v>3191.99</v>
      </c>
      <c r="J550" s="39">
        <v>3119.88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3218.49</v>
      </c>
      <c r="AJ550" s="39">
        <v>3191.99</v>
      </c>
      <c r="AK550" s="39">
        <v>3119.88</v>
      </c>
      <c r="AL550" s="39">
        <v>0</v>
      </c>
      <c r="AM550" s="39">
        <v>0</v>
      </c>
      <c r="AN550" s="39">
        <v>0</v>
      </c>
      <c r="AO550" s="39">
        <v>3218.49</v>
      </c>
      <c r="AP550" s="39">
        <v>3191.99</v>
      </c>
      <c r="AQ550" s="39">
        <v>3119.88</v>
      </c>
      <c r="AR550" s="39">
        <v>3218.49</v>
      </c>
    </row>
    <row r="551" spans="1:44" x14ac:dyDescent="0.35">
      <c r="A551" s="16" t="str">
        <f t="shared" si="47"/>
        <v>41</v>
      </c>
      <c r="B551" s="19">
        <v>68908</v>
      </c>
      <c r="C551" s="16" t="str">
        <f t="shared" si="48"/>
        <v>0000000</v>
      </c>
      <c r="D551" s="17" t="s">
        <v>3663</v>
      </c>
      <c r="E551" s="16" t="s">
        <v>2552</v>
      </c>
      <c r="F551" s="16" t="s">
        <v>2539</v>
      </c>
      <c r="G551" s="35" t="s">
        <v>2553</v>
      </c>
      <c r="H551" s="39">
        <v>1188.69</v>
      </c>
      <c r="I551" s="39">
        <v>1213.1199999999999</v>
      </c>
      <c r="J551" s="39">
        <v>1235.03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1188.69</v>
      </c>
      <c r="AJ551" s="39">
        <v>1213.1199999999999</v>
      </c>
      <c r="AK551" s="39">
        <v>1235.03</v>
      </c>
      <c r="AL551" s="39">
        <v>0</v>
      </c>
      <c r="AM551" s="39">
        <v>0</v>
      </c>
      <c r="AN551" s="39">
        <v>0</v>
      </c>
      <c r="AO551" s="39">
        <v>1188.69</v>
      </c>
      <c r="AP551" s="39">
        <v>1213.1199999999999</v>
      </c>
      <c r="AQ551" s="39">
        <v>1235.03</v>
      </c>
      <c r="AR551" s="39">
        <v>1235.03</v>
      </c>
    </row>
    <row r="552" spans="1:44" x14ac:dyDescent="0.35">
      <c r="A552" s="16" t="str">
        <f t="shared" si="47"/>
        <v>41</v>
      </c>
      <c r="B552" s="19">
        <v>68916</v>
      </c>
      <c r="C552" s="16" t="str">
        <f t="shared" si="48"/>
        <v>0000000</v>
      </c>
      <c r="D552" s="17" t="s">
        <v>3663</v>
      </c>
      <c r="E552" s="16" t="s">
        <v>2554</v>
      </c>
      <c r="F552" s="16" t="s">
        <v>2539</v>
      </c>
      <c r="G552" s="35" t="s">
        <v>1893</v>
      </c>
      <c r="H552" s="39">
        <v>4681.99</v>
      </c>
      <c r="I552" s="39">
        <v>4683.5200000000004</v>
      </c>
      <c r="J552" s="39">
        <v>4620.08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4681.99</v>
      </c>
      <c r="AJ552" s="39">
        <v>4683.5200000000004</v>
      </c>
      <c r="AK552" s="39">
        <v>4620.08</v>
      </c>
      <c r="AL552" s="39">
        <v>0</v>
      </c>
      <c r="AM552" s="39">
        <v>0</v>
      </c>
      <c r="AN552" s="39">
        <v>0</v>
      </c>
      <c r="AO552" s="39">
        <v>4681.99</v>
      </c>
      <c r="AP552" s="39">
        <v>4683.5200000000004</v>
      </c>
      <c r="AQ552" s="39">
        <v>4620.08</v>
      </c>
      <c r="AR552" s="39">
        <v>4683.5200000000004</v>
      </c>
    </row>
    <row r="553" spans="1:44" x14ac:dyDescent="0.35">
      <c r="A553" s="16" t="str">
        <f t="shared" si="47"/>
        <v>41</v>
      </c>
      <c r="B553" s="19">
        <v>68932</v>
      </c>
      <c r="C553" s="16" t="str">
        <f t="shared" si="48"/>
        <v>0000000</v>
      </c>
      <c r="D553" s="17" t="s">
        <v>3663</v>
      </c>
      <c r="E553" s="16" t="s">
        <v>2562</v>
      </c>
      <c r="F553" s="16" t="s">
        <v>2539</v>
      </c>
      <c r="G553" s="35" t="s">
        <v>2563</v>
      </c>
      <c r="H553" s="39">
        <v>2485.1799999999998</v>
      </c>
      <c r="I553" s="39">
        <v>2558.13</v>
      </c>
      <c r="J553" s="39">
        <v>2564.9299999999998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>
        <v>0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0</v>
      </c>
      <c r="Z553" s="39">
        <v>0</v>
      </c>
      <c r="AA553" s="39">
        <v>0</v>
      </c>
      <c r="AB553" s="39">
        <v>0</v>
      </c>
      <c r="AC553" s="39">
        <v>0</v>
      </c>
      <c r="AD553" s="39">
        <v>0</v>
      </c>
      <c r="AE553" s="39">
        <v>0</v>
      </c>
      <c r="AF553" s="39">
        <v>0</v>
      </c>
      <c r="AG553" s="39">
        <v>0</v>
      </c>
      <c r="AH553" s="39">
        <v>0</v>
      </c>
      <c r="AI553" s="39">
        <v>2485.1799999999998</v>
      </c>
      <c r="AJ553" s="39">
        <v>2558.13</v>
      </c>
      <c r="AK553" s="39">
        <v>2564.9299999999998</v>
      </c>
      <c r="AL553" s="39">
        <v>0</v>
      </c>
      <c r="AM553" s="39">
        <v>0</v>
      </c>
      <c r="AN553" s="39">
        <v>0</v>
      </c>
      <c r="AO553" s="39">
        <v>2485.1799999999998</v>
      </c>
      <c r="AP553" s="39">
        <v>2558.13</v>
      </c>
      <c r="AQ553" s="39">
        <v>2564.9299999999998</v>
      </c>
      <c r="AR553" s="39">
        <v>2564.9299999999998</v>
      </c>
    </row>
    <row r="554" spans="1:44" x14ac:dyDescent="0.35">
      <c r="A554" s="16" t="str">
        <f t="shared" si="47"/>
        <v>41</v>
      </c>
      <c r="B554" s="19">
        <v>68957</v>
      </c>
      <c r="C554" s="16" t="str">
        <f t="shared" si="48"/>
        <v>0000000</v>
      </c>
      <c r="D554" s="17" t="s">
        <v>3663</v>
      </c>
      <c r="E554" s="16" t="s">
        <v>2566</v>
      </c>
      <c r="F554" s="16" t="s">
        <v>2539</v>
      </c>
      <c r="G554" s="35" t="s">
        <v>2567</v>
      </c>
      <c r="H554" s="39">
        <v>1016.01</v>
      </c>
      <c r="I554" s="39">
        <v>1036.4000000000001</v>
      </c>
      <c r="J554" s="39">
        <v>1029.49</v>
      </c>
      <c r="K554" s="39">
        <v>0</v>
      </c>
      <c r="L554" s="39">
        <v>0</v>
      </c>
      <c r="M554" s="39">
        <v>0</v>
      </c>
      <c r="N554" s="39">
        <v>79.38</v>
      </c>
      <c r="O554" s="39">
        <v>79.989999999999995</v>
      </c>
      <c r="P554" s="39">
        <v>76.36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0</v>
      </c>
      <c r="AA554" s="39">
        <v>0</v>
      </c>
      <c r="AB554" s="39">
        <v>0</v>
      </c>
      <c r="AC554" s="39">
        <v>0</v>
      </c>
      <c r="AD554" s="39">
        <v>0</v>
      </c>
      <c r="AE554" s="39">
        <v>0</v>
      </c>
      <c r="AF554" s="39">
        <v>0</v>
      </c>
      <c r="AG554" s="39">
        <v>0</v>
      </c>
      <c r="AH554" s="39">
        <v>0</v>
      </c>
      <c r="AI554" s="39">
        <v>1095.3900000000001</v>
      </c>
      <c r="AJ554" s="39">
        <v>1116.3900000000001</v>
      </c>
      <c r="AK554" s="39">
        <v>1105.8499999999999</v>
      </c>
      <c r="AL554" s="39">
        <v>0</v>
      </c>
      <c r="AM554" s="39">
        <v>0</v>
      </c>
      <c r="AN554" s="39">
        <v>0</v>
      </c>
      <c r="AO554" s="39">
        <v>1095.3900000000001</v>
      </c>
      <c r="AP554" s="39">
        <v>1116.3900000000001</v>
      </c>
      <c r="AQ554" s="39">
        <v>1105.8499999999999</v>
      </c>
      <c r="AR554" s="39">
        <v>1116.3900000000001</v>
      </c>
    </row>
    <row r="555" spans="1:44" x14ac:dyDescent="0.35">
      <c r="A555" s="16" t="str">
        <f t="shared" si="47"/>
        <v>41</v>
      </c>
      <c r="B555" s="19">
        <v>68965</v>
      </c>
      <c r="C555" s="16" t="str">
        <f t="shared" si="48"/>
        <v>0000000</v>
      </c>
      <c r="D555" s="17" t="s">
        <v>3663</v>
      </c>
      <c r="E555" s="16" t="s">
        <v>2568</v>
      </c>
      <c r="F555" s="16" t="s">
        <v>2539</v>
      </c>
      <c r="G555" s="35" t="s">
        <v>2569</v>
      </c>
      <c r="H555" s="39">
        <v>2410.79</v>
      </c>
      <c r="I555" s="39">
        <v>2454.23</v>
      </c>
      <c r="J555" s="39">
        <v>2394.9</v>
      </c>
      <c r="K555" s="39">
        <v>0</v>
      </c>
      <c r="L555" s="39">
        <v>0</v>
      </c>
      <c r="M555" s="39">
        <v>0</v>
      </c>
      <c r="N555" s="39">
        <v>169.66</v>
      </c>
      <c r="O555" s="39">
        <v>180.05</v>
      </c>
      <c r="P555" s="39">
        <v>175.62</v>
      </c>
      <c r="Q555" s="39">
        <v>0</v>
      </c>
      <c r="R555" s="39">
        <v>0</v>
      </c>
      <c r="S555" s="39">
        <v>0</v>
      </c>
      <c r="T555" s="39">
        <v>0</v>
      </c>
      <c r="U555" s="39">
        <v>0</v>
      </c>
      <c r="V555" s="39">
        <v>0</v>
      </c>
      <c r="W555" s="39">
        <v>0</v>
      </c>
      <c r="X555" s="39">
        <v>0</v>
      </c>
      <c r="Y555" s="39">
        <v>0</v>
      </c>
      <c r="Z555" s="39">
        <v>0</v>
      </c>
      <c r="AA555" s="39">
        <v>0</v>
      </c>
      <c r="AB555" s="39">
        <v>0</v>
      </c>
      <c r="AC555" s="39">
        <v>0</v>
      </c>
      <c r="AD555" s="39">
        <v>0</v>
      </c>
      <c r="AE555" s="39">
        <v>0</v>
      </c>
      <c r="AF555" s="39">
        <v>0</v>
      </c>
      <c r="AG555" s="39">
        <v>0</v>
      </c>
      <c r="AH555" s="39">
        <v>0</v>
      </c>
      <c r="AI555" s="39">
        <v>2580.4499999999998</v>
      </c>
      <c r="AJ555" s="39">
        <v>2634.28</v>
      </c>
      <c r="AK555" s="39">
        <v>2570.52</v>
      </c>
      <c r="AL555" s="39">
        <v>0</v>
      </c>
      <c r="AM555" s="39">
        <v>0</v>
      </c>
      <c r="AN555" s="39">
        <v>0</v>
      </c>
      <c r="AO555" s="39">
        <v>2580.4499999999998</v>
      </c>
      <c r="AP555" s="39">
        <v>2634.28</v>
      </c>
      <c r="AQ555" s="39">
        <v>2570.52</v>
      </c>
      <c r="AR555" s="39">
        <v>2634.28</v>
      </c>
    </row>
    <row r="556" spans="1:44" x14ac:dyDescent="0.35">
      <c r="A556" s="16" t="str">
        <f t="shared" si="47"/>
        <v>41</v>
      </c>
      <c r="B556" s="19">
        <v>68973</v>
      </c>
      <c r="C556" s="16" t="str">
        <f t="shared" si="48"/>
        <v>0000000</v>
      </c>
      <c r="D556" s="17" t="s">
        <v>3663</v>
      </c>
      <c r="E556" s="16" t="s">
        <v>2570</v>
      </c>
      <c r="F556" s="16" t="s">
        <v>2539</v>
      </c>
      <c r="G556" s="35" t="s">
        <v>2571</v>
      </c>
      <c r="H556" s="39">
        <v>2021.62</v>
      </c>
      <c r="I556" s="39">
        <v>1975.78</v>
      </c>
      <c r="J556" s="39">
        <v>1977.22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>
        <v>0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0</v>
      </c>
      <c r="AA556" s="39">
        <v>0</v>
      </c>
      <c r="AB556" s="39">
        <v>0</v>
      </c>
      <c r="AC556" s="39">
        <v>0</v>
      </c>
      <c r="AD556" s="39">
        <v>0</v>
      </c>
      <c r="AE556" s="39">
        <v>0</v>
      </c>
      <c r="AF556" s="39">
        <v>0</v>
      </c>
      <c r="AG556" s="39">
        <v>0</v>
      </c>
      <c r="AH556" s="39">
        <v>0</v>
      </c>
      <c r="AI556" s="39">
        <v>2021.62</v>
      </c>
      <c r="AJ556" s="39">
        <v>1975.78</v>
      </c>
      <c r="AK556" s="39">
        <v>1977.22</v>
      </c>
      <c r="AL556" s="39">
        <v>0</v>
      </c>
      <c r="AM556" s="39">
        <v>0</v>
      </c>
      <c r="AN556" s="39">
        <v>0</v>
      </c>
      <c r="AO556" s="39">
        <v>2021.62</v>
      </c>
      <c r="AP556" s="39">
        <v>1975.78</v>
      </c>
      <c r="AQ556" s="39">
        <v>1977.22</v>
      </c>
      <c r="AR556" s="39">
        <v>2021.62</v>
      </c>
    </row>
    <row r="557" spans="1:44" x14ac:dyDescent="0.35">
      <c r="A557" s="16" t="str">
        <f t="shared" si="47"/>
        <v>41</v>
      </c>
      <c r="B557" s="19">
        <v>68981</v>
      </c>
      <c r="C557" s="16" t="str">
        <f t="shared" si="48"/>
        <v>0000000</v>
      </c>
      <c r="D557" s="17" t="s">
        <v>3663</v>
      </c>
      <c r="E557" s="16" t="s">
        <v>2572</v>
      </c>
      <c r="F557" s="16" t="s">
        <v>2539</v>
      </c>
      <c r="G557" s="35" t="s">
        <v>2573</v>
      </c>
      <c r="H557" s="39">
        <v>430.61</v>
      </c>
      <c r="I557" s="39">
        <v>422.66</v>
      </c>
      <c r="J557" s="39">
        <v>429.36</v>
      </c>
      <c r="K557" s="39">
        <v>0</v>
      </c>
      <c r="L557" s="39">
        <v>0</v>
      </c>
      <c r="M557" s="39">
        <v>0</v>
      </c>
      <c r="N557" s="39">
        <v>45.23</v>
      </c>
      <c r="O557" s="39">
        <v>36.89</v>
      </c>
      <c r="P557" s="39">
        <v>39.22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0</v>
      </c>
      <c r="AA557" s="39">
        <v>0</v>
      </c>
      <c r="AB557" s="39">
        <v>0</v>
      </c>
      <c r="AC557" s="39">
        <v>0</v>
      </c>
      <c r="AD557" s="39">
        <v>0</v>
      </c>
      <c r="AE557" s="39">
        <v>0</v>
      </c>
      <c r="AF557" s="39">
        <v>0</v>
      </c>
      <c r="AG557" s="39">
        <v>0</v>
      </c>
      <c r="AH557" s="39">
        <v>0</v>
      </c>
      <c r="AI557" s="39">
        <v>475.84</v>
      </c>
      <c r="AJ557" s="39">
        <v>459.55</v>
      </c>
      <c r="AK557" s="39">
        <v>468.58</v>
      </c>
      <c r="AL557" s="39">
        <v>0</v>
      </c>
      <c r="AM557" s="39">
        <v>0</v>
      </c>
      <c r="AN557" s="39">
        <v>0</v>
      </c>
      <c r="AO557" s="39">
        <v>475.84</v>
      </c>
      <c r="AP557" s="39">
        <v>459.55</v>
      </c>
      <c r="AQ557" s="39">
        <v>468.58</v>
      </c>
      <c r="AR557" s="39">
        <v>475.84</v>
      </c>
    </row>
    <row r="558" spans="1:44" x14ac:dyDescent="0.35">
      <c r="A558" s="16" t="str">
        <f t="shared" si="47"/>
        <v>41</v>
      </c>
      <c r="B558" s="19">
        <v>68999</v>
      </c>
      <c r="C558" s="16" t="str">
        <f t="shared" si="48"/>
        <v>0000000</v>
      </c>
      <c r="D558" s="17" t="s">
        <v>3663</v>
      </c>
      <c r="E558" s="16" t="s">
        <v>2574</v>
      </c>
      <c r="F558" s="16" t="s">
        <v>2539</v>
      </c>
      <c r="G558" s="35" t="s">
        <v>2575</v>
      </c>
      <c r="H558" s="39">
        <v>1308.25</v>
      </c>
      <c r="I558" s="39">
        <v>1274.1500000000001</v>
      </c>
      <c r="J558" s="39">
        <v>1291.93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>
        <v>0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0</v>
      </c>
      <c r="AA558" s="39">
        <v>0</v>
      </c>
      <c r="AB558" s="39">
        <v>0</v>
      </c>
      <c r="AC558" s="39">
        <v>0</v>
      </c>
      <c r="AD558" s="39">
        <v>0</v>
      </c>
      <c r="AE558" s="39">
        <v>0</v>
      </c>
      <c r="AF558" s="39">
        <v>0</v>
      </c>
      <c r="AG558" s="39">
        <v>0</v>
      </c>
      <c r="AH558" s="39">
        <v>0</v>
      </c>
      <c r="AI558" s="39">
        <v>1308.25</v>
      </c>
      <c r="AJ558" s="39">
        <v>1274.1500000000001</v>
      </c>
      <c r="AK558" s="39">
        <v>1291.93</v>
      </c>
      <c r="AL558" s="39">
        <v>0</v>
      </c>
      <c r="AM558" s="39">
        <v>0</v>
      </c>
      <c r="AN558" s="39">
        <v>0</v>
      </c>
      <c r="AO558" s="39">
        <v>1308.25</v>
      </c>
      <c r="AP558" s="39">
        <v>1274.1500000000001</v>
      </c>
      <c r="AQ558" s="39">
        <v>1291.93</v>
      </c>
      <c r="AR558" s="39">
        <v>1308.25</v>
      </c>
    </row>
    <row r="559" spans="1:44" x14ac:dyDescent="0.35">
      <c r="A559" s="16" t="str">
        <f t="shared" si="47"/>
        <v>41</v>
      </c>
      <c r="B559" s="19">
        <v>69005</v>
      </c>
      <c r="C559" s="16" t="str">
        <f t="shared" si="48"/>
        <v>0000000</v>
      </c>
      <c r="D559" s="17" t="s">
        <v>3663</v>
      </c>
      <c r="E559" s="16" t="s">
        <v>2581</v>
      </c>
      <c r="F559" s="16" t="s">
        <v>2539</v>
      </c>
      <c r="G559" s="35" t="s">
        <v>2582</v>
      </c>
      <c r="H559" s="39">
        <v>6011.95</v>
      </c>
      <c r="I559" s="39">
        <v>5930.81</v>
      </c>
      <c r="J559" s="39">
        <v>5807.87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6011.95</v>
      </c>
      <c r="AJ559" s="39">
        <v>5930.81</v>
      </c>
      <c r="AK559" s="39">
        <v>5807.87</v>
      </c>
      <c r="AL559" s="39">
        <v>0</v>
      </c>
      <c r="AM559" s="39">
        <v>0</v>
      </c>
      <c r="AN559" s="39">
        <v>0</v>
      </c>
      <c r="AO559" s="39">
        <v>6011.95</v>
      </c>
      <c r="AP559" s="39">
        <v>5930.81</v>
      </c>
      <c r="AQ559" s="39">
        <v>5807.87</v>
      </c>
      <c r="AR559" s="39">
        <v>6011.95</v>
      </c>
    </row>
    <row r="560" spans="1:44" x14ac:dyDescent="0.35">
      <c r="A560" s="16" t="str">
        <f t="shared" si="47"/>
        <v>41</v>
      </c>
      <c r="B560" s="19">
        <v>69013</v>
      </c>
      <c r="C560" s="16" t="str">
        <f t="shared" si="48"/>
        <v>0000000</v>
      </c>
      <c r="D560" s="17" t="s">
        <v>3663</v>
      </c>
      <c r="E560" s="16" t="s">
        <v>2589</v>
      </c>
      <c r="F560" s="16" t="s">
        <v>2539</v>
      </c>
      <c r="G560" s="35" t="s">
        <v>2590</v>
      </c>
      <c r="H560" s="39">
        <v>1848.83</v>
      </c>
      <c r="I560" s="39">
        <v>1878.78</v>
      </c>
      <c r="J560" s="39">
        <v>1813.97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1848.83</v>
      </c>
      <c r="AJ560" s="39">
        <v>1878.78</v>
      </c>
      <c r="AK560" s="39">
        <v>1813.97</v>
      </c>
      <c r="AL560" s="39">
        <v>0</v>
      </c>
      <c r="AM560" s="39">
        <v>0</v>
      </c>
      <c r="AN560" s="39">
        <v>0</v>
      </c>
      <c r="AO560" s="39">
        <v>1848.83</v>
      </c>
      <c r="AP560" s="39">
        <v>1878.78</v>
      </c>
      <c r="AQ560" s="39">
        <v>1813.97</v>
      </c>
      <c r="AR560" s="39">
        <v>1878.78</v>
      </c>
    </row>
    <row r="561" spans="1:44" x14ac:dyDescent="0.35">
      <c r="A561" s="16" t="str">
        <f t="shared" si="47"/>
        <v>41</v>
      </c>
      <c r="B561" s="19">
        <v>69021</v>
      </c>
      <c r="C561" s="16" t="str">
        <f t="shared" si="48"/>
        <v>0000000</v>
      </c>
      <c r="D561" s="17" t="s">
        <v>3663</v>
      </c>
      <c r="E561" s="16" t="s">
        <v>2591</v>
      </c>
      <c r="F561" s="16" t="s">
        <v>2539</v>
      </c>
      <c r="G561" s="35" t="s">
        <v>2592</v>
      </c>
      <c r="H561" s="39">
        <v>2783.22</v>
      </c>
      <c r="I561" s="39">
        <v>2676.11</v>
      </c>
      <c r="J561" s="39">
        <v>2562.73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2783.22</v>
      </c>
      <c r="AJ561" s="39">
        <v>2676.11</v>
      </c>
      <c r="AK561" s="39">
        <v>2562.73</v>
      </c>
      <c r="AL561" s="39">
        <v>0</v>
      </c>
      <c r="AM561" s="39">
        <v>0</v>
      </c>
      <c r="AN561" s="39">
        <v>0</v>
      </c>
      <c r="AO561" s="39">
        <v>2783.22</v>
      </c>
      <c r="AP561" s="39">
        <v>2676.11</v>
      </c>
      <c r="AQ561" s="39">
        <v>2562.73</v>
      </c>
      <c r="AR561" s="39">
        <v>2783.22</v>
      </c>
    </row>
    <row r="562" spans="1:44" x14ac:dyDescent="0.35">
      <c r="A562" s="16" t="str">
        <f t="shared" si="47"/>
        <v>41</v>
      </c>
      <c r="B562" s="19">
        <v>69039</v>
      </c>
      <c r="C562" s="16" t="str">
        <f t="shared" si="48"/>
        <v>0000000</v>
      </c>
      <c r="D562" s="17" t="s">
        <v>3663</v>
      </c>
      <c r="E562" s="16" t="s">
        <v>2596</v>
      </c>
      <c r="F562" s="16" t="s">
        <v>2539</v>
      </c>
      <c r="G562" s="35" t="s">
        <v>2597</v>
      </c>
      <c r="H562" s="39">
        <v>9362.17</v>
      </c>
      <c r="I562" s="39">
        <v>9411.82</v>
      </c>
      <c r="J562" s="39">
        <v>9387.2800000000007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9362.17</v>
      </c>
      <c r="AJ562" s="39">
        <v>9411.82</v>
      </c>
      <c r="AK562" s="39">
        <v>9387.2800000000007</v>
      </c>
      <c r="AL562" s="39">
        <v>0</v>
      </c>
      <c r="AM562" s="39">
        <v>0</v>
      </c>
      <c r="AN562" s="39">
        <v>0</v>
      </c>
      <c r="AO562" s="39">
        <v>9362.17</v>
      </c>
      <c r="AP562" s="39">
        <v>9411.82</v>
      </c>
      <c r="AQ562" s="39">
        <v>9387.2800000000007</v>
      </c>
      <c r="AR562" s="39">
        <v>9411.82</v>
      </c>
    </row>
    <row r="563" spans="1:44" x14ac:dyDescent="0.35">
      <c r="A563" s="16" t="str">
        <f t="shared" si="47"/>
        <v>41</v>
      </c>
      <c r="B563" s="19">
        <v>69088</v>
      </c>
      <c r="C563" s="16" t="str">
        <f t="shared" si="48"/>
        <v>0000000</v>
      </c>
      <c r="D563" s="17" t="s">
        <v>3663</v>
      </c>
      <c r="E563" s="16" t="s">
        <v>2613</v>
      </c>
      <c r="F563" s="16" t="s">
        <v>2539</v>
      </c>
      <c r="G563" s="35" t="s">
        <v>2614</v>
      </c>
      <c r="H563" s="39">
        <v>332.36</v>
      </c>
      <c r="I563" s="39">
        <v>310.93</v>
      </c>
      <c r="J563" s="39">
        <v>299.06</v>
      </c>
      <c r="K563" s="39">
        <v>0</v>
      </c>
      <c r="L563" s="39">
        <v>0</v>
      </c>
      <c r="M563" s="39">
        <v>0</v>
      </c>
      <c r="N563" s="39">
        <v>34.549999999999997</v>
      </c>
      <c r="O563" s="39">
        <v>38.479999999999997</v>
      </c>
      <c r="P563" s="39">
        <v>36.18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366.91</v>
      </c>
      <c r="AJ563" s="39">
        <v>349.41</v>
      </c>
      <c r="AK563" s="39">
        <v>335.24</v>
      </c>
      <c r="AL563" s="39">
        <v>0</v>
      </c>
      <c r="AM563" s="39">
        <v>0</v>
      </c>
      <c r="AN563" s="39">
        <v>0</v>
      </c>
      <c r="AO563" s="39">
        <v>366.91</v>
      </c>
      <c r="AP563" s="39">
        <v>349.41</v>
      </c>
      <c r="AQ563" s="39">
        <v>335.24</v>
      </c>
      <c r="AR563" s="39">
        <v>366.91</v>
      </c>
    </row>
    <row r="564" spans="1:44" x14ac:dyDescent="0.35">
      <c r="A564" s="16" t="str">
        <f t="shared" si="47"/>
        <v>41</v>
      </c>
      <c r="B564" s="19">
        <v>68924</v>
      </c>
      <c r="C564" s="16" t="str">
        <f t="shared" si="48"/>
        <v>0000000</v>
      </c>
      <c r="D564" s="17" t="s">
        <v>3663</v>
      </c>
      <c r="E564" s="16" t="s">
        <v>2558</v>
      </c>
      <c r="F564" s="16" t="s">
        <v>2539</v>
      </c>
      <c r="G564" s="35" t="s">
        <v>2559</v>
      </c>
      <c r="H564" s="39">
        <v>3417.29</v>
      </c>
      <c r="I564" s="39">
        <v>3444.46</v>
      </c>
      <c r="J564" s="39">
        <v>3580.6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3417.29</v>
      </c>
      <c r="AJ564" s="39">
        <v>3444.46</v>
      </c>
      <c r="AK564" s="39">
        <v>3580.6</v>
      </c>
      <c r="AL564" s="39">
        <v>0</v>
      </c>
      <c r="AM564" s="39">
        <v>0</v>
      </c>
      <c r="AN564" s="39">
        <v>0</v>
      </c>
      <c r="AO564" s="39">
        <v>3417.29</v>
      </c>
      <c r="AP564" s="39">
        <v>3444.46</v>
      </c>
      <c r="AQ564" s="39">
        <v>3580.6</v>
      </c>
      <c r="AR564" s="39">
        <v>3580.6</v>
      </c>
    </row>
    <row r="565" spans="1:44" x14ac:dyDescent="0.35">
      <c r="A565" s="16" t="str">
        <f t="shared" si="47"/>
        <v>41</v>
      </c>
      <c r="B565" s="19">
        <v>69047</v>
      </c>
      <c r="C565" s="16" t="str">
        <f t="shared" si="48"/>
        <v>0000000</v>
      </c>
      <c r="D565" s="17" t="s">
        <v>3663</v>
      </c>
      <c r="E565" s="16" t="s">
        <v>2598</v>
      </c>
      <c r="F565" s="16" t="s">
        <v>2539</v>
      </c>
      <c r="G565" s="35" t="s">
        <v>2599</v>
      </c>
      <c r="H565" s="39">
        <v>8231.07</v>
      </c>
      <c r="I565" s="39">
        <v>8332.98</v>
      </c>
      <c r="J565" s="39">
        <v>8343.69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>
        <v>0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0</v>
      </c>
      <c r="Y565" s="39">
        <v>0</v>
      </c>
      <c r="Z565" s="39">
        <v>0</v>
      </c>
      <c r="AA565" s="39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  <c r="AH565" s="39">
        <v>0</v>
      </c>
      <c r="AI565" s="39">
        <v>8231.07</v>
      </c>
      <c r="AJ565" s="39">
        <v>8332.98</v>
      </c>
      <c r="AK565" s="39">
        <v>8343.69</v>
      </c>
      <c r="AL565" s="39">
        <v>0</v>
      </c>
      <c r="AM565" s="39">
        <v>0</v>
      </c>
      <c r="AN565" s="39">
        <v>0</v>
      </c>
      <c r="AO565" s="39">
        <v>8231.07</v>
      </c>
      <c r="AP565" s="39">
        <v>8332.98</v>
      </c>
      <c r="AQ565" s="39">
        <v>8343.69</v>
      </c>
      <c r="AR565" s="39">
        <v>8343.69</v>
      </c>
    </row>
    <row r="566" spans="1:44" x14ac:dyDescent="0.35">
      <c r="A566" s="16" t="str">
        <f t="shared" si="47"/>
        <v>41</v>
      </c>
      <c r="B566" s="19">
        <v>69062</v>
      </c>
      <c r="C566" s="16" t="str">
        <f t="shared" si="48"/>
        <v>0000000</v>
      </c>
      <c r="D566" s="17" t="s">
        <v>3663</v>
      </c>
      <c r="E566" s="16" t="s">
        <v>2602</v>
      </c>
      <c r="F566" s="16" t="s">
        <v>2539</v>
      </c>
      <c r="G566" s="35" t="s">
        <v>2603</v>
      </c>
      <c r="H566" s="39">
        <v>7837.36</v>
      </c>
      <c r="I566" s="39">
        <v>7850.74</v>
      </c>
      <c r="J566" s="39">
        <v>7831.8</v>
      </c>
      <c r="K566" s="39">
        <v>0</v>
      </c>
      <c r="L566" s="39">
        <v>0</v>
      </c>
      <c r="M566" s="39">
        <v>0</v>
      </c>
      <c r="N566" s="39">
        <v>0</v>
      </c>
      <c r="O566" s="39">
        <v>0</v>
      </c>
      <c r="P566" s="39">
        <v>0</v>
      </c>
      <c r="Q566" s="39">
        <v>0</v>
      </c>
      <c r="R566" s="39">
        <v>0</v>
      </c>
      <c r="S566" s="39">
        <v>0</v>
      </c>
      <c r="T566" s="39">
        <v>0</v>
      </c>
      <c r="U566" s="39">
        <v>0</v>
      </c>
      <c r="V566" s="39">
        <v>0</v>
      </c>
      <c r="W566" s="39">
        <v>0</v>
      </c>
      <c r="X566" s="39">
        <v>0</v>
      </c>
      <c r="Y566" s="39">
        <v>0</v>
      </c>
      <c r="Z566" s="39">
        <v>0</v>
      </c>
      <c r="AA566" s="39">
        <v>0</v>
      </c>
      <c r="AB566" s="39">
        <v>0</v>
      </c>
      <c r="AC566" s="39">
        <v>244.49</v>
      </c>
      <c r="AD566" s="39">
        <v>255.58</v>
      </c>
      <c r="AE566" s="39">
        <v>254.54</v>
      </c>
      <c r="AF566" s="39">
        <v>0</v>
      </c>
      <c r="AG566" s="39">
        <v>0</v>
      </c>
      <c r="AH566" s="39">
        <v>0</v>
      </c>
      <c r="AI566" s="39">
        <v>8081.85</v>
      </c>
      <c r="AJ566" s="39">
        <v>8106.32</v>
      </c>
      <c r="AK566" s="39">
        <v>8086.34</v>
      </c>
      <c r="AL566" s="39">
        <v>0</v>
      </c>
      <c r="AM566" s="39">
        <v>0</v>
      </c>
      <c r="AN566" s="39">
        <v>0</v>
      </c>
      <c r="AO566" s="39">
        <v>8081.85</v>
      </c>
      <c r="AP566" s="39">
        <v>8106.32</v>
      </c>
      <c r="AQ566" s="39">
        <v>8086.34</v>
      </c>
      <c r="AR566" s="39">
        <v>8106.32</v>
      </c>
    </row>
    <row r="567" spans="1:44" x14ac:dyDescent="0.35">
      <c r="A567" s="16" t="str">
        <f t="shared" si="47"/>
        <v>41</v>
      </c>
      <c r="B567" s="19">
        <v>68890</v>
      </c>
      <c r="C567" s="16" t="str">
        <f t="shared" si="48"/>
        <v>0000000</v>
      </c>
      <c r="D567" s="17" t="s">
        <v>3663</v>
      </c>
      <c r="E567" s="16" t="s">
        <v>2550</v>
      </c>
      <c r="F567" s="16" t="s">
        <v>2539</v>
      </c>
      <c r="G567" s="35" t="s">
        <v>2551</v>
      </c>
      <c r="H567" s="39">
        <v>2358.86</v>
      </c>
      <c r="I567" s="39">
        <v>2451.15</v>
      </c>
      <c r="J567" s="39">
        <v>2519.1799999999998</v>
      </c>
      <c r="K567" s="39">
        <v>0</v>
      </c>
      <c r="L567" s="39">
        <v>0</v>
      </c>
      <c r="M567" s="39">
        <v>0</v>
      </c>
      <c r="N567" s="39">
        <v>0</v>
      </c>
      <c r="O567" s="39">
        <v>0</v>
      </c>
      <c r="P567" s="39">
        <v>0</v>
      </c>
      <c r="Q567" s="39">
        <v>0</v>
      </c>
      <c r="R567" s="39">
        <v>0</v>
      </c>
      <c r="S567" s="39">
        <v>0</v>
      </c>
      <c r="T567" s="39">
        <v>0</v>
      </c>
      <c r="U567" s="39">
        <v>0</v>
      </c>
      <c r="V567" s="39">
        <v>0</v>
      </c>
      <c r="W567" s="39">
        <v>0</v>
      </c>
      <c r="X567" s="39">
        <v>0</v>
      </c>
      <c r="Y567" s="39">
        <v>0</v>
      </c>
      <c r="Z567" s="39">
        <v>0</v>
      </c>
      <c r="AA567" s="39">
        <v>0</v>
      </c>
      <c r="AB567" s="39">
        <v>0</v>
      </c>
      <c r="AC567" s="39">
        <v>0</v>
      </c>
      <c r="AD567" s="39">
        <v>0</v>
      </c>
      <c r="AE567" s="39">
        <v>0</v>
      </c>
      <c r="AF567" s="39">
        <v>0</v>
      </c>
      <c r="AG567" s="39">
        <v>0</v>
      </c>
      <c r="AH567" s="39">
        <v>0</v>
      </c>
      <c r="AI567" s="39">
        <v>2358.86</v>
      </c>
      <c r="AJ567" s="39">
        <v>2451.15</v>
      </c>
      <c r="AK567" s="39">
        <v>2519.1799999999998</v>
      </c>
      <c r="AL567" s="39">
        <v>0</v>
      </c>
      <c r="AM567" s="39">
        <v>0</v>
      </c>
      <c r="AN567" s="39">
        <v>0</v>
      </c>
      <c r="AO567" s="39">
        <v>2358.86</v>
      </c>
      <c r="AP567" s="39">
        <v>2451.15</v>
      </c>
      <c r="AQ567" s="39">
        <v>2519.1799999999998</v>
      </c>
      <c r="AR567" s="39">
        <v>2519.1799999999998</v>
      </c>
    </row>
    <row r="568" spans="1:44" x14ac:dyDescent="0.35">
      <c r="A568" s="16" t="str">
        <f t="shared" si="47"/>
        <v>41</v>
      </c>
      <c r="B568" s="19">
        <v>68940</v>
      </c>
      <c r="C568" s="16" t="str">
        <f t="shared" si="48"/>
        <v>0000000</v>
      </c>
      <c r="D568" s="17" t="s">
        <v>3663</v>
      </c>
      <c r="E568" s="16" t="s">
        <v>2564</v>
      </c>
      <c r="F568" s="16" t="s">
        <v>2539</v>
      </c>
      <c r="G568" s="35" t="s">
        <v>2565</v>
      </c>
      <c r="H568" s="39">
        <v>250.04</v>
      </c>
      <c r="I568" s="39">
        <v>241.29</v>
      </c>
      <c r="J568" s="39">
        <v>231.15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>
        <v>0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0</v>
      </c>
      <c r="AA568" s="39">
        <v>0</v>
      </c>
      <c r="AB568" s="39">
        <v>0</v>
      </c>
      <c r="AC568" s="39">
        <v>0</v>
      </c>
      <c r="AD568" s="39">
        <v>0</v>
      </c>
      <c r="AE568" s="39">
        <v>0</v>
      </c>
      <c r="AF568" s="39">
        <v>0</v>
      </c>
      <c r="AG568" s="39">
        <v>0</v>
      </c>
      <c r="AH568" s="39">
        <v>0</v>
      </c>
      <c r="AI568" s="39">
        <v>250.04</v>
      </c>
      <c r="AJ568" s="39">
        <v>241.29</v>
      </c>
      <c r="AK568" s="39">
        <v>231.15</v>
      </c>
      <c r="AL568" s="39">
        <v>0</v>
      </c>
      <c r="AM568" s="39">
        <v>0</v>
      </c>
      <c r="AN568" s="39">
        <v>0</v>
      </c>
      <c r="AO568" s="39">
        <v>250.04</v>
      </c>
      <c r="AP568" s="39">
        <v>241.29</v>
      </c>
      <c r="AQ568" s="39">
        <v>231.15</v>
      </c>
      <c r="AR568" s="39">
        <v>250.04</v>
      </c>
    </row>
    <row r="569" spans="1:44" x14ac:dyDescent="0.35">
      <c r="A569" s="16" t="str">
        <f t="shared" si="47"/>
        <v>41</v>
      </c>
      <c r="B569" s="19">
        <v>69070</v>
      </c>
      <c r="C569" s="16" t="str">
        <f t="shared" si="48"/>
        <v>0000000</v>
      </c>
      <c r="D569" s="17" t="s">
        <v>3663</v>
      </c>
      <c r="E569" s="16" t="s">
        <v>2611</v>
      </c>
      <c r="F569" s="16" t="s">
        <v>2539</v>
      </c>
      <c r="G569" s="35" t="s">
        <v>2612</v>
      </c>
      <c r="H569" s="39">
        <v>7292.34</v>
      </c>
      <c r="I569" s="39">
        <v>7379.58</v>
      </c>
      <c r="J569" s="39">
        <v>7335.76</v>
      </c>
      <c r="K569" s="39">
        <v>0</v>
      </c>
      <c r="L569" s="39">
        <v>0</v>
      </c>
      <c r="M569" s="39">
        <v>0</v>
      </c>
      <c r="N569" s="39">
        <v>0</v>
      </c>
      <c r="O569" s="39">
        <v>0</v>
      </c>
      <c r="P569" s="39">
        <v>0</v>
      </c>
      <c r="Q569" s="39">
        <v>0</v>
      </c>
      <c r="R569" s="39">
        <v>0</v>
      </c>
      <c r="S569" s="39">
        <v>0</v>
      </c>
      <c r="T569" s="39">
        <v>0</v>
      </c>
      <c r="U569" s="39">
        <v>0</v>
      </c>
      <c r="V569" s="39">
        <v>0</v>
      </c>
      <c r="W569" s="39">
        <v>0</v>
      </c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7292.34</v>
      </c>
      <c r="AJ569" s="39">
        <v>7379.58</v>
      </c>
      <c r="AK569" s="39">
        <v>7335.76</v>
      </c>
      <c r="AL569" s="39">
        <v>0</v>
      </c>
      <c r="AM569" s="39">
        <v>0</v>
      </c>
      <c r="AN569" s="39">
        <v>0</v>
      </c>
      <c r="AO569" s="39">
        <v>7292.34</v>
      </c>
      <c r="AP569" s="39">
        <v>7379.58</v>
      </c>
      <c r="AQ569" s="39">
        <v>7335.76</v>
      </c>
      <c r="AR569" s="39">
        <v>7379.58</v>
      </c>
    </row>
    <row r="570" spans="1:44" x14ac:dyDescent="0.35">
      <c r="A570" s="16" t="str">
        <f t="shared" si="47"/>
        <v>41</v>
      </c>
      <c r="B570" s="19">
        <v>69062</v>
      </c>
      <c r="C570" s="16" t="str">
        <f>TEXT(119503,"0000000")</f>
        <v>0119503</v>
      </c>
      <c r="D570" s="19">
        <v>1070</v>
      </c>
      <c r="E570" s="16" t="s">
        <v>2607</v>
      </c>
      <c r="F570" s="16" t="s">
        <v>2539</v>
      </c>
      <c r="G570" s="35" t="s">
        <v>2608</v>
      </c>
      <c r="H570" s="39">
        <v>0</v>
      </c>
      <c r="I570" s="39">
        <v>0</v>
      </c>
      <c r="J570" s="39">
        <v>0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39">
        <v>0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0</v>
      </c>
      <c r="AA570" s="39">
        <v>0</v>
      </c>
      <c r="AB570" s="39">
        <v>0</v>
      </c>
      <c r="AC570" s="39">
        <v>195.3</v>
      </c>
      <c r="AD570" s="39">
        <v>244.65</v>
      </c>
      <c r="AE570" s="39">
        <v>255.62</v>
      </c>
      <c r="AF570" s="39">
        <v>0</v>
      </c>
      <c r="AG570" s="39">
        <v>0</v>
      </c>
      <c r="AH570" s="39">
        <v>0</v>
      </c>
      <c r="AI570" s="39">
        <v>195.3</v>
      </c>
      <c r="AJ570" s="39">
        <v>244.65</v>
      </c>
      <c r="AK570" s="39">
        <v>255.62</v>
      </c>
      <c r="AL570" s="39">
        <v>0</v>
      </c>
      <c r="AM570" s="39">
        <v>0</v>
      </c>
      <c r="AN570" s="39">
        <v>0</v>
      </c>
      <c r="AO570" s="39">
        <v>195.3</v>
      </c>
      <c r="AP570" s="39">
        <v>244.65</v>
      </c>
      <c r="AQ570" s="39">
        <v>255.62</v>
      </c>
      <c r="AR570" s="39">
        <v>255.62</v>
      </c>
    </row>
    <row r="571" spans="1:44" x14ac:dyDescent="0.35">
      <c r="A571" s="16" t="str">
        <f t="shared" si="47"/>
        <v>41</v>
      </c>
      <c r="B571" s="19">
        <v>69021</v>
      </c>
      <c r="C571" s="16" t="str">
        <f>TEXT(6112213,"0000000")</f>
        <v>6112213</v>
      </c>
      <c r="D571" s="17" t="s">
        <v>2595</v>
      </c>
      <c r="E571" s="16" t="s">
        <v>2593</v>
      </c>
      <c r="F571" s="16" t="s">
        <v>2539</v>
      </c>
      <c r="G571" s="35" t="s">
        <v>2594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360.91</v>
      </c>
      <c r="AD571" s="39">
        <v>351.93</v>
      </c>
      <c r="AE571" s="39">
        <v>336.06</v>
      </c>
      <c r="AF571" s="39">
        <v>0</v>
      </c>
      <c r="AG571" s="39">
        <v>0</v>
      </c>
      <c r="AH571" s="39">
        <v>0</v>
      </c>
      <c r="AI571" s="39">
        <v>360.91</v>
      </c>
      <c r="AJ571" s="39">
        <v>351.93</v>
      </c>
      <c r="AK571" s="39">
        <v>336.06</v>
      </c>
      <c r="AL571" s="39">
        <v>0</v>
      </c>
      <c r="AM571" s="39">
        <v>0</v>
      </c>
      <c r="AN571" s="39">
        <v>0</v>
      </c>
      <c r="AO571" s="39">
        <v>360.91</v>
      </c>
      <c r="AP571" s="39">
        <v>351.93</v>
      </c>
      <c r="AQ571" s="39">
        <v>336.06</v>
      </c>
      <c r="AR571" s="39">
        <v>360.91</v>
      </c>
    </row>
    <row r="572" spans="1:44" x14ac:dyDescent="0.35">
      <c r="A572" s="16" t="str">
        <f t="shared" si="47"/>
        <v>41</v>
      </c>
      <c r="B572" s="19">
        <v>69005</v>
      </c>
      <c r="C572" s="16" t="str">
        <f>TEXT(127282,"0000000")</f>
        <v>0127282</v>
      </c>
      <c r="D572" s="19">
        <v>1498</v>
      </c>
      <c r="E572" s="16" t="s">
        <v>2583</v>
      </c>
      <c r="F572" s="16" t="s">
        <v>2539</v>
      </c>
      <c r="G572" s="35" t="s">
        <v>2584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137.68</v>
      </c>
      <c r="AD572" s="39">
        <v>130.07</v>
      </c>
      <c r="AE572" s="39">
        <v>133.96</v>
      </c>
      <c r="AF572" s="39">
        <v>0</v>
      </c>
      <c r="AG572" s="39">
        <v>0</v>
      </c>
      <c r="AH572" s="39">
        <v>0</v>
      </c>
      <c r="AI572" s="39">
        <v>137.68</v>
      </c>
      <c r="AJ572" s="39">
        <v>130.07</v>
      </c>
      <c r="AK572" s="39">
        <v>133.96</v>
      </c>
      <c r="AL572" s="39">
        <v>0</v>
      </c>
      <c r="AM572" s="39">
        <v>0</v>
      </c>
      <c r="AN572" s="39">
        <v>0</v>
      </c>
      <c r="AO572" s="39">
        <v>137.68</v>
      </c>
      <c r="AP572" s="39">
        <v>130.07</v>
      </c>
      <c r="AQ572" s="39">
        <v>133.96</v>
      </c>
      <c r="AR572" s="39">
        <v>137.68</v>
      </c>
    </row>
    <row r="573" spans="1:44" x14ac:dyDescent="0.35">
      <c r="A573" s="16" t="str">
        <f t="shared" si="47"/>
        <v>41</v>
      </c>
      <c r="B573" s="19">
        <v>69062</v>
      </c>
      <c r="C573" s="16" t="str">
        <f>TEXT(139915,"0000000")</f>
        <v>0139915</v>
      </c>
      <c r="D573" s="19">
        <v>2085</v>
      </c>
      <c r="E573" s="16" t="s">
        <v>2609</v>
      </c>
      <c r="F573" s="16" t="s">
        <v>2539</v>
      </c>
      <c r="G573" s="35" t="s">
        <v>2610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172.03</v>
      </c>
      <c r="AD573" s="39">
        <v>218.64</v>
      </c>
      <c r="AE573" s="39">
        <v>204.3</v>
      </c>
      <c r="AF573" s="39">
        <v>0</v>
      </c>
      <c r="AG573" s="39">
        <v>0</v>
      </c>
      <c r="AH573" s="39">
        <v>0</v>
      </c>
      <c r="AI573" s="39">
        <v>172.03</v>
      </c>
      <c r="AJ573" s="39">
        <v>218.64</v>
      </c>
      <c r="AK573" s="39">
        <v>204.3</v>
      </c>
      <c r="AL573" s="39">
        <v>0</v>
      </c>
      <c r="AM573" s="39">
        <v>0</v>
      </c>
      <c r="AN573" s="39">
        <v>0</v>
      </c>
      <c r="AO573" s="39">
        <v>172.03</v>
      </c>
      <c r="AP573" s="39">
        <v>218.64</v>
      </c>
      <c r="AQ573" s="39">
        <v>204.3</v>
      </c>
      <c r="AR573" s="39">
        <v>218.64</v>
      </c>
    </row>
    <row r="574" spans="1:44" x14ac:dyDescent="0.35">
      <c r="A574" s="16" t="str">
        <f t="shared" si="47"/>
        <v>41</v>
      </c>
      <c r="B574" s="19">
        <v>10413</v>
      </c>
      <c r="C574" s="16" t="str">
        <f>TEXT(135269,"0000000")</f>
        <v>0135269</v>
      </c>
      <c r="D574" s="19">
        <v>1845</v>
      </c>
      <c r="E574" s="16" t="s">
        <v>2540</v>
      </c>
      <c r="F574" s="16" t="s">
        <v>2539</v>
      </c>
      <c r="G574" s="35" t="s">
        <v>2541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101.57</v>
      </c>
      <c r="AD574" s="39">
        <v>104.79</v>
      </c>
      <c r="AE574" s="39">
        <v>88.41</v>
      </c>
      <c r="AF574" s="39">
        <v>0</v>
      </c>
      <c r="AG574" s="39">
        <v>0</v>
      </c>
      <c r="AH574" s="39">
        <v>0</v>
      </c>
      <c r="AI574" s="39">
        <v>101.57</v>
      </c>
      <c r="AJ574" s="39">
        <v>104.79</v>
      </c>
      <c r="AK574" s="39">
        <v>88.41</v>
      </c>
      <c r="AL574" s="39">
        <v>0</v>
      </c>
      <c r="AM574" s="39">
        <v>0</v>
      </c>
      <c r="AN574" s="39">
        <v>0</v>
      </c>
      <c r="AO574" s="39">
        <v>101.57</v>
      </c>
      <c r="AP574" s="39">
        <v>104.79</v>
      </c>
      <c r="AQ574" s="39">
        <v>88.41</v>
      </c>
      <c r="AR574" s="39">
        <v>104.79</v>
      </c>
    </row>
    <row r="575" spans="1:44" x14ac:dyDescent="0.35">
      <c r="A575" s="16" t="str">
        <f t="shared" si="47"/>
        <v>41</v>
      </c>
      <c r="B575" s="19">
        <v>69005</v>
      </c>
      <c r="C575" s="16" t="str">
        <f>TEXT(132068,"0000000")</f>
        <v>0132068</v>
      </c>
      <c r="D575" s="19">
        <v>1735</v>
      </c>
      <c r="E575" s="16" t="s">
        <v>2585</v>
      </c>
      <c r="F575" s="16" t="s">
        <v>2539</v>
      </c>
      <c r="G575" s="35" t="s">
        <v>2586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657.54</v>
      </c>
      <c r="AD575" s="39">
        <v>647.01</v>
      </c>
      <c r="AE575" s="39">
        <v>644.04999999999995</v>
      </c>
      <c r="AF575" s="39">
        <v>0</v>
      </c>
      <c r="AG575" s="39">
        <v>0</v>
      </c>
      <c r="AH575" s="39">
        <v>0</v>
      </c>
      <c r="AI575" s="39">
        <v>657.54</v>
      </c>
      <c r="AJ575" s="39">
        <v>647.01</v>
      </c>
      <c r="AK575" s="39">
        <v>644.04999999999995</v>
      </c>
      <c r="AL575" s="39">
        <v>0</v>
      </c>
      <c r="AM575" s="39">
        <v>0</v>
      </c>
      <c r="AN575" s="39">
        <v>0</v>
      </c>
      <c r="AO575" s="39">
        <v>657.54</v>
      </c>
      <c r="AP575" s="39">
        <v>647.01</v>
      </c>
      <c r="AQ575" s="39">
        <v>644.04999999999995</v>
      </c>
      <c r="AR575" s="39">
        <v>657.54</v>
      </c>
    </row>
    <row r="576" spans="1:44" x14ac:dyDescent="0.35">
      <c r="A576" s="16" t="str">
        <f t="shared" si="47"/>
        <v>41</v>
      </c>
      <c r="B576" s="19">
        <v>68999</v>
      </c>
      <c r="C576" s="16" t="str">
        <f>TEXT(135608,"0000000")</f>
        <v>0135608</v>
      </c>
      <c r="D576" s="19">
        <v>1868</v>
      </c>
      <c r="E576" s="16" t="s">
        <v>2579</v>
      </c>
      <c r="F576" s="16" t="s">
        <v>2539</v>
      </c>
      <c r="G576" s="35" t="s">
        <v>2580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533.01</v>
      </c>
      <c r="AD576" s="39">
        <v>536.05999999999995</v>
      </c>
      <c r="AE576" s="39">
        <v>557.29999999999995</v>
      </c>
      <c r="AF576" s="39">
        <v>0</v>
      </c>
      <c r="AG576" s="39">
        <v>0</v>
      </c>
      <c r="AH576" s="39">
        <v>0</v>
      </c>
      <c r="AI576" s="39">
        <v>533.01</v>
      </c>
      <c r="AJ576" s="39">
        <v>536.05999999999995</v>
      </c>
      <c r="AK576" s="39">
        <v>557.29999999999995</v>
      </c>
      <c r="AL576" s="39">
        <v>0</v>
      </c>
      <c r="AM576" s="39">
        <v>0</v>
      </c>
      <c r="AN576" s="39">
        <v>0</v>
      </c>
      <c r="AO576" s="39">
        <v>533.01</v>
      </c>
      <c r="AP576" s="39">
        <v>536.05999999999995</v>
      </c>
      <c r="AQ576" s="39">
        <v>557.29999999999995</v>
      </c>
      <c r="AR576" s="39">
        <v>557.29999999999995</v>
      </c>
    </row>
    <row r="577" spans="1:44" x14ac:dyDescent="0.35">
      <c r="A577" s="16" t="str">
        <f t="shared" si="47"/>
        <v>41</v>
      </c>
      <c r="B577" s="19">
        <v>69047</v>
      </c>
      <c r="C577" s="16" t="str">
        <f>TEXT(129759,"0000000")</f>
        <v>0129759</v>
      </c>
      <c r="D577" s="19">
        <v>1647</v>
      </c>
      <c r="E577" s="16" t="s">
        <v>2600</v>
      </c>
      <c r="F577" s="16" t="s">
        <v>2539</v>
      </c>
      <c r="G577" s="35" t="s">
        <v>2601</v>
      </c>
      <c r="H577" s="39">
        <v>0</v>
      </c>
      <c r="I577" s="39">
        <v>0</v>
      </c>
      <c r="J577" s="39">
        <v>0</v>
      </c>
      <c r="K577" s="39">
        <v>0</v>
      </c>
      <c r="L577" s="39">
        <v>0</v>
      </c>
      <c r="M577" s="39">
        <v>0</v>
      </c>
      <c r="N577" s="39">
        <v>0</v>
      </c>
      <c r="O577" s="39">
        <v>0</v>
      </c>
      <c r="P577" s="39">
        <v>0</v>
      </c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0</v>
      </c>
      <c r="Y577" s="39">
        <v>0</v>
      </c>
      <c r="Z577" s="39">
        <v>0</v>
      </c>
      <c r="AA577" s="39">
        <v>0</v>
      </c>
      <c r="AB577" s="39">
        <v>0</v>
      </c>
      <c r="AC577" s="39">
        <v>534.46</v>
      </c>
      <c r="AD577" s="39">
        <v>499.99</v>
      </c>
      <c r="AE577" s="39">
        <v>509.05</v>
      </c>
      <c r="AF577" s="39">
        <v>0</v>
      </c>
      <c r="AG577" s="39">
        <v>0</v>
      </c>
      <c r="AH577" s="39">
        <v>0</v>
      </c>
      <c r="AI577" s="39">
        <v>534.46</v>
      </c>
      <c r="AJ577" s="39">
        <v>499.99</v>
      </c>
      <c r="AK577" s="39">
        <v>509.05</v>
      </c>
      <c r="AL577" s="39">
        <v>0</v>
      </c>
      <c r="AM577" s="39">
        <v>0</v>
      </c>
      <c r="AN577" s="39">
        <v>0</v>
      </c>
      <c r="AO577" s="39">
        <v>534.46</v>
      </c>
      <c r="AP577" s="39">
        <v>499.99</v>
      </c>
      <c r="AQ577" s="39">
        <v>509.05</v>
      </c>
      <c r="AR577" s="39">
        <v>534.46</v>
      </c>
    </row>
    <row r="578" spans="1:44" x14ac:dyDescent="0.35">
      <c r="A578" s="16" t="str">
        <f t="shared" si="47"/>
        <v>41</v>
      </c>
      <c r="B578" s="19">
        <v>69062</v>
      </c>
      <c r="C578" s="16" t="str">
        <f>TEXT(112722,"0000000")</f>
        <v>0112722</v>
      </c>
      <c r="D578" s="17" t="s">
        <v>2606</v>
      </c>
      <c r="E578" s="16" t="s">
        <v>2604</v>
      </c>
      <c r="F578" s="16" t="s">
        <v>2539</v>
      </c>
      <c r="G578" s="35" t="s">
        <v>2605</v>
      </c>
      <c r="H578" s="39">
        <v>0</v>
      </c>
      <c r="I578" s="39">
        <v>0</v>
      </c>
      <c r="J578" s="39">
        <v>0</v>
      </c>
      <c r="K578" s="39">
        <v>0</v>
      </c>
      <c r="L578" s="39">
        <v>0</v>
      </c>
      <c r="M578" s="39">
        <v>0</v>
      </c>
      <c r="N578" s="39">
        <v>0</v>
      </c>
      <c r="O578" s="39">
        <v>0</v>
      </c>
      <c r="P578" s="39">
        <v>0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0</v>
      </c>
      <c r="Z578" s="39">
        <v>0</v>
      </c>
      <c r="AA578" s="39">
        <v>0</v>
      </c>
      <c r="AB578" s="39">
        <v>0</v>
      </c>
      <c r="AC578" s="39">
        <v>259.47000000000003</v>
      </c>
      <c r="AD578" s="39">
        <v>340.56</v>
      </c>
      <c r="AE578" s="39">
        <v>347.11</v>
      </c>
      <c r="AF578" s="39">
        <v>0</v>
      </c>
      <c r="AG578" s="39">
        <v>0</v>
      </c>
      <c r="AH578" s="39">
        <v>0</v>
      </c>
      <c r="AI578" s="39">
        <v>259.47000000000003</v>
      </c>
      <c r="AJ578" s="39">
        <v>340.56</v>
      </c>
      <c r="AK578" s="39">
        <v>347.11</v>
      </c>
      <c r="AL578" s="39">
        <v>0</v>
      </c>
      <c r="AM578" s="39">
        <v>0</v>
      </c>
      <c r="AN578" s="39">
        <v>0</v>
      </c>
      <c r="AO578" s="39">
        <v>259.47000000000003</v>
      </c>
      <c r="AP578" s="39">
        <v>340.56</v>
      </c>
      <c r="AQ578" s="39">
        <v>347.11</v>
      </c>
      <c r="AR578" s="39">
        <v>347.11</v>
      </c>
    </row>
    <row r="579" spans="1:44" x14ac:dyDescent="0.35">
      <c r="A579" s="16" t="str">
        <f>TEXT(26,"00")</f>
        <v>26</v>
      </c>
      <c r="B579" s="19">
        <v>10264</v>
      </c>
      <c r="C579" s="16" t="str">
        <f t="shared" ref="C579:C610" si="49">TEXT(,"0000000")</f>
        <v>0000000</v>
      </c>
      <c r="D579" s="17" t="s">
        <v>3663</v>
      </c>
      <c r="E579" s="16" t="s">
        <v>1373</v>
      </c>
      <c r="F579" s="16" t="s">
        <v>1374</v>
      </c>
      <c r="G579" s="35" t="s">
        <v>1374</v>
      </c>
      <c r="H579" s="39">
        <v>0</v>
      </c>
      <c r="I579" s="39">
        <v>0</v>
      </c>
      <c r="J579" s="39">
        <v>0</v>
      </c>
      <c r="K579" s="39">
        <v>0</v>
      </c>
      <c r="L579" s="39">
        <v>0</v>
      </c>
      <c r="M579" s="39">
        <v>0</v>
      </c>
      <c r="N579" s="39">
        <v>0</v>
      </c>
      <c r="O579" s="39">
        <v>0</v>
      </c>
      <c r="P579" s="39">
        <v>0</v>
      </c>
      <c r="Q579" s="39">
        <v>0</v>
      </c>
      <c r="R579" s="39">
        <v>0</v>
      </c>
      <c r="S579" s="39">
        <v>0</v>
      </c>
      <c r="T579" s="39">
        <v>1.96</v>
      </c>
      <c r="U579" s="39">
        <v>3.22</v>
      </c>
      <c r="V579" s="39">
        <v>0.59</v>
      </c>
      <c r="W579" s="39">
        <v>6.58</v>
      </c>
      <c r="X579" s="39">
        <v>6.72</v>
      </c>
      <c r="Y579" s="39">
        <v>13.63</v>
      </c>
      <c r="Z579" s="39">
        <v>175.83</v>
      </c>
      <c r="AA579" s="39">
        <v>189.57</v>
      </c>
      <c r="AB579" s="39">
        <v>156.94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184.37</v>
      </c>
      <c r="AJ579" s="39">
        <v>199.51</v>
      </c>
      <c r="AK579" s="39">
        <v>171.16</v>
      </c>
      <c r="AL579" s="39">
        <v>0</v>
      </c>
      <c r="AM579" s="39">
        <v>0</v>
      </c>
      <c r="AN579" s="39">
        <v>0</v>
      </c>
      <c r="AO579" s="39">
        <v>184.37</v>
      </c>
      <c r="AP579" s="39">
        <v>199.51</v>
      </c>
      <c r="AQ579" s="39">
        <v>171.16</v>
      </c>
      <c r="AR579" s="39">
        <v>199.51</v>
      </c>
    </row>
    <row r="580" spans="1:44" x14ac:dyDescent="0.35">
      <c r="A580" s="16" t="str">
        <f>TEXT(26,"00")</f>
        <v>26</v>
      </c>
      <c r="B580" s="19">
        <v>73668</v>
      </c>
      <c r="C580" s="16" t="str">
        <f t="shared" si="49"/>
        <v>0000000</v>
      </c>
      <c r="D580" s="17" t="s">
        <v>3663</v>
      </c>
      <c r="E580" s="16" t="s">
        <v>1375</v>
      </c>
      <c r="F580" s="16" t="s">
        <v>1374</v>
      </c>
      <c r="G580" s="35" t="s">
        <v>1376</v>
      </c>
      <c r="H580" s="39">
        <v>322.08</v>
      </c>
      <c r="I580" s="39">
        <v>353.21</v>
      </c>
      <c r="J580" s="39">
        <v>362.87</v>
      </c>
      <c r="K580" s="39">
        <v>0</v>
      </c>
      <c r="L580" s="39">
        <v>0</v>
      </c>
      <c r="M580" s="39">
        <v>0</v>
      </c>
      <c r="N580" s="39">
        <v>0</v>
      </c>
      <c r="O580" s="39">
        <v>0</v>
      </c>
      <c r="P580" s="39">
        <v>0</v>
      </c>
      <c r="Q580" s="39">
        <v>0</v>
      </c>
      <c r="R580" s="39">
        <v>0</v>
      </c>
      <c r="S580" s="39">
        <v>0</v>
      </c>
      <c r="T580" s="39">
        <v>0</v>
      </c>
      <c r="U580" s="39">
        <v>0</v>
      </c>
      <c r="V580" s="39">
        <v>0</v>
      </c>
      <c r="W580" s="39">
        <v>0</v>
      </c>
      <c r="X580" s="39">
        <v>0</v>
      </c>
      <c r="Y580" s="39">
        <v>0</v>
      </c>
      <c r="Z580" s="39">
        <v>0</v>
      </c>
      <c r="AA580" s="39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322.08</v>
      </c>
      <c r="AJ580" s="39">
        <v>353.21</v>
      </c>
      <c r="AK580" s="39">
        <v>362.87</v>
      </c>
      <c r="AL580" s="39">
        <v>0</v>
      </c>
      <c r="AM580" s="39">
        <v>0</v>
      </c>
      <c r="AN580" s="39">
        <v>0</v>
      </c>
      <c r="AO580" s="39">
        <v>322.08</v>
      </c>
      <c r="AP580" s="39">
        <v>353.21</v>
      </c>
      <c r="AQ580" s="39">
        <v>362.87</v>
      </c>
      <c r="AR580" s="39">
        <v>362.87</v>
      </c>
    </row>
    <row r="581" spans="1:44" x14ac:dyDescent="0.35">
      <c r="A581" s="16" t="str">
        <f>TEXT(26,"00")</f>
        <v>26</v>
      </c>
      <c r="B581" s="19">
        <v>73692</v>
      </c>
      <c r="C581" s="16" t="str">
        <f t="shared" si="49"/>
        <v>0000000</v>
      </c>
      <c r="D581" s="17" t="s">
        <v>3663</v>
      </c>
      <c r="E581" s="16" t="s">
        <v>1377</v>
      </c>
      <c r="F581" s="16" t="s">
        <v>1374</v>
      </c>
      <c r="G581" s="35" t="s">
        <v>1378</v>
      </c>
      <c r="H581" s="39">
        <v>1069.05</v>
      </c>
      <c r="I581" s="39">
        <v>1049.9000000000001</v>
      </c>
      <c r="J581" s="39">
        <v>1034.92</v>
      </c>
      <c r="K581" s="39">
        <v>0</v>
      </c>
      <c r="L581" s="39">
        <v>0</v>
      </c>
      <c r="M581" s="39">
        <v>0</v>
      </c>
      <c r="N581" s="39">
        <v>0</v>
      </c>
      <c r="O581" s="39">
        <v>0</v>
      </c>
      <c r="P581" s="39">
        <v>0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39">
        <v>0</v>
      </c>
      <c r="Z581" s="39">
        <v>0</v>
      </c>
      <c r="AA581" s="39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1069.05</v>
      </c>
      <c r="AJ581" s="39">
        <v>1049.9000000000001</v>
      </c>
      <c r="AK581" s="39">
        <v>1034.92</v>
      </c>
      <c r="AL581" s="39">
        <v>0</v>
      </c>
      <c r="AM581" s="39">
        <v>0</v>
      </c>
      <c r="AN581" s="39">
        <v>0</v>
      </c>
      <c r="AO581" s="39">
        <v>1069.05</v>
      </c>
      <c r="AP581" s="39">
        <v>1049.9000000000001</v>
      </c>
      <c r="AQ581" s="39">
        <v>1034.92</v>
      </c>
      <c r="AR581" s="39">
        <v>1069.05</v>
      </c>
    </row>
    <row r="582" spans="1:44" x14ac:dyDescent="0.35">
      <c r="A582" s="16" t="str">
        <f t="shared" ref="A582:A588" si="50">TEXT(17,"00")</f>
        <v>17</v>
      </c>
      <c r="B582" s="19">
        <v>10173</v>
      </c>
      <c r="C582" s="16" t="str">
        <f t="shared" si="49"/>
        <v>0000000</v>
      </c>
      <c r="D582" s="17" t="s">
        <v>3663</v>
      </c>
      <c r="E582" s="16" t="s">
        <v>785</v>
      </c>
      <c r="F582" s="16" t="s">
        <v>786</v>
      </c>
      <c r="G582" s="35" t="s">
        <v>786</v>
      </c>
      <c r="H582" s="39">
        <v>0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>
        <v>0</v>
      </c>
      <c r="Q582" s="39">
        <v>0</v>
      </c>
      <c r="R582" s="39">
        <v>0</v>
      </c>
      <c r="S582" s="39">
        <v>0</v>
      </c>
      <c r="T582" s="39">
        <v>12.34</v>
      </c>
      <c r="U582" s="39">
        <v>11.27</v>
      </c>
      <c r="V582" s="39">
        <v>8.4700000000000006</v>
      </c>
      <c r="W582" s="39">
        <v>15.82</v>
      </c>
      <c r="X582" s="39">
        <v>19.190000000000001</v>
      </c>
      <c r="Y582" s="39">
        <v>19.29</v>
      </c>
      <c r="Z582" s="39">
        <v>0</v>
      </c>
      <c r="AA582" s="39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28.16</v>
      </c>
      <c r="AJ582" s="39">
        <v>30.46</v>
      </c>
      <c r="AK582" s="39">
        <v>27.76</v>
      </c>
      <c r="AL582" s="39">
        <v>0</v>
      </c>
      <c r="AM582" s="39">
        <v>0</v>
      </c>
      <c r="AN582" s="39">
        <v>0</v>
      </c>
      <c r="AO582" s="39">
        <v>28.16</v>
      </c>
      <c r="AP582" s="39">
        <v>30.46</v>
      </c>
      <c r="AQ582" s="39">
        <v>27.76</v>
      </c>
      <c r="AR582" s="39">
        <v>30.46</v>
      </c>
    </row>
    <row r="583" spans="1:44" x14ac:dyDescent="0.35">
      <c r="A583" s="16" t="str">
        <f t="shared" si="50"/>
        <v>17</v>
      </c>
      <c r="B583" s="19">
        <v>64048</v>
      </c>
      <c r="C583" s="16" t="str">
        <f t="shared" si="49"/>
        <v>0000000</v>
      </c>
      <c r="D583" s="17" t="s">
        <v>3663</v>
      </c>
      <c r="E583" s="16" t="s">
        <v>793</v>
      </c>
      <c r="F583" s="16" t="s">
        <v>786</v>
      </c>
      <c r="G583" s="35" t="s">
        <v>794</v>
      </c>
      <c r="H583" s="39">
        <v>255.14</v>
      </c>
      <c r="I583" s="39">
        <v>270.37</v>
      </c>
      <c r="J583" s="39">
        <v>261.77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255.14</v>
      </c>
      <c r="AJ583" s="39">
        <v>270.37</v>
      </c>
      <c r="AK583" s="39">
        <v>261.77</v>
      </c>
      <c r="AL583" s="39">
        <v>0</v>
      </c>
      <c r="AM583" s="39">
        <v>0</v>
      </c>
      <c r="AN583" s="39">
        <v>0</v>
      </c>
      <c r="AO583" s="39">
        <v>255.14</v>
      </c>
      <c r="AP583" s="39">
        <v>270.37</v>
      </c>
      <c r="AQ583" s="39">
        <v>261.77</v>
      </c>
      <c r="AR583" s="39">
        <v>270.37</v>
      </c>
    </row>
    <row r="584" spans="1:44" x14ac:dyDescent="0.35">
      <c r="A584" s="16" t="str">
        <f t="shared" si="50"/>
        <v>17</v>
      </c>
      <c r="B584" s="19">
        <v>64014</v>
      </c>
      <c r="C584" s="16" t="str">
        <f t="shared" si="49"/>
        <v>0000000</v>
      </c>
      <c r="D584" s="17" t="s">
        <v>3663</v>
      </c>
      <c r="E584" s="16" t="s">
        <v>787</v>
      </c>
      <c r="F584" s="16" t="s">
        <v>786</v>
      </c>
      <c r="G584" s="35" t="s">
        <v>788</v>
      </c>
      <c r="H584" s="39">
        <v>1677.86</v>
      </c>
      <c r="I584" s="39">
        <v>1713.85</v>
      </c>
      <c r="J584" s="39">
        <v>1678.68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1677.86</v>
      </c>
      <c r="AJ584" s="39">
        <v>1713.85</v>
      </c>
      <c r="AK584" s="39">
        <v>1678.68</v>
      </c>
      <c r="AL584" s="39">
        <v>0</v>
      </c>
      <c r="AM584" s="39">
        <v>0</v>
      </c>
      <c r="AN584" s="39">
        <v>0</v>
      </c>
      <c r="AO584" s="39">
        <v>1677.86</v>
      </c>
      <c r="AP584" s="39">
        <v>1713.85</v>
      </c>
      <c r="AQ584" s="39">
        <v>1678.68</v>
      </c>
      <c r="AR584" s="39">
        <v>1713.85</v>
      </c>
    </row>
    <row r="585" spans="1:44" x14ac:dyDescent="0.35">
      <c r="A585" s="16" t="str">
        <f t="shared" si="50"/>
        <v>17</v>
      </c>
      <c r="B585" s="19">
        <v>64022</v>
      </c>
      <c r="C585" s="16" t="str">
        <f t="shared" si="49"/>
        <v>0000000</v>
      </c>
      <c r="D585" s="17" t="s">
        <v>3663</v>
      </c>
      <c r="E585" s="16" t="s">
        <v>789</v>
      </c>
      <c r="F585" s="16" t="s">
        <v>786</v>
      </c>
      <c r="G585" s="35" t="s">
        <v>790</v>
      </c>
      <c r="H585" s="39">
        <v>3467.79</v>
      </c>
      <c r="I585" s="39">
        <v>3388.37</v>
      </c>
      <c r="J585" s="39">
        <v>3272.89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3467.79</v>
      </c>
      <c r="AJ585" s="39">
        <v>3388.37</v>
      </c>
      <c r="AK585" s="39">
        <v>3272.89</v>
      </c>
      <c r="AL585" s="39">
        <v>0</v>
      </c>
      <c r="AM585" s="39">
        <v>0</v>
      </c>
      <c r="AN585" s="39">
        <v>0</v>
      </c>
      <c r="AO585" s="39">
        <v>3467.79</v>
      </c>
      <c r="AP585" s="39">
        <v>3388.37</v>
      </c>
      <c r="AQ585" s="39">
        <v>3272.89</v>
      </c>
      <c r="AR585" s="39">
        <v>3467.79</v>
      </c>
    </row>
    <row r="586" spans="1:44" x14ac:dyDescent="0.35">
      <c r="A586" s="16" t="str">
        <f t="shared" si="50"/>
        <v>17</v>
      </c>
      <c r="B586" s="19">
        <v>64030</v>
      </c>
      <c r="C586" s="16" t="str">
        <f t="shared" si="49"/>
        <v>0000000</v>
      </c>
      <c r="D586" s="17" t="s">
        <v>3663</v>
      </c>
      <c r="E586" s="16" t="s">
        <v>791</v>
      </c>
      <c r="F586" s="16" t="s">
        <v>786</v>
      </c>
      <c r="G586" s="35" t="s">
        <v>792</v>
      </c>
      <c r="H586" s="39">
        <v>1230.56</v>
      </c>
      <c r="I586" s="39">
        <v>1221.94</v>
      </c>
      <c r="J586" s="39">
        <v>1204.32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1230.56</v>
      </c>
      <c r="AJ586" s="39">
        <v>1221.94</v>
      </c>
      <c r="AK586" s="39">
        <v>1204.32</v>
      </c>
      <c r="AL586" s="39">
        <v>0</v>
      </c>
      <c r="AM586" s="39">
        <v>0</v>
      </c>
      <c r="AN586" s="39">
        <v>0</v>
      </c>
      <c r="AO586" s="39">
        <v>1230.56</v>
      </c>
      <c r="AP586" s="39">
        <v>1221.94</v>
      </c>
      <c r="AQ586" s="39">
        <v>1204.32</v>
      </c>
      <c r="AR586" s="39">
        <v>1230.56</v>
      </c>
    </row>
    <row r="587" spans="1:44" x14ac:dyDescent="0.35">
      <c r="A587" s="16" t="str">
        <f t="shared" si="50"/>
        <v>17</v>
      </c>
      <c r="B587" s="19">
        <v>64055</v>
      </c>
      <c r="C587" s="16" t="str">
        <f t="shared" si="49"/>
        <v>0000000</v>
      </c>
      <c r="D587" s="17" t="s">
        <v>3663</v>
      </c>
      <c r="E587" s="16" t="s">
        <v>795</v>
      </c>
      <c r="F587" s="16" t="s">
        <v>786</v>
      </c>
      <c r="G587" s="35" t="s">
        <v>796</v>
      </c>
      <c r="H587" s="39">
        <v>1326.05</v>
      </c>
      <c r="I587" s="39">
        <v>1348.29</v>
      </c>
      <c r="J587" s="39">
        <v>1298.07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84.08</v>
      </c>
      <c r="AD587" s="39">
        <v>81.72</v>
      </c>
      <c r="AE587" s="39">
        <v>70.09</v>
      </c>
      <c r="AF587" s="39">
        <v>0</v>
      </c>
      <c r="AG587" s="39">
        <v>0</v>
      </c>
      <c r="AH587" s="39">
        <v>0</v>
      </c>
      <c r="AI587" s="39">
        <v>1410.13</v>
      </c>
      <c r="AJ587" s="39">
        <v>1430.01</v>
      </c>
      <c r="AK587" s="39">
        <v>1368.16</v>
      </c>
      <c r="AL587" s="39">
        <v>0</v>
      </c>
      <c r="AM587" s="39">
        <v>0</v>
      </c>
      <c r="AN587" s="39">
        <v>0</v>
      </c>
      <c r="AO587" s="39">
        <v>1410.13</v>
      </c>
      <c r="AP587" s="39">
        <v>1430.01</v>
      </c>
      <c r="AQ587" s="39">
        <v>1368.16</v>
      </c>
      <c r="AR587" s="39">
        <v>1430.01</v>
      </c>
    </row>
    <row r="588" spans="1:44" x14ac:dyDescent="0.35">
      <c r="A588" s="16" t="str">
        <f t="shared" si="50"/>
        <v>17</v>
      </c>
      <c r="B588" s="19">
        <v>76976</v>
      </c>
      <c r="C588" s="16" t="str">
        <f t="shared" si="49"/>
        <v>0000000</v>
      </c>
      <c r="D588" s="17" t="s">
        <v>3663</v>
      </c>
      <c r="E588" s="16" t="s">
        <v>799</v>
      </c>
      <c r="F588" s="16" t="s">
        <v>786</v>
      </c>
      <c r="G588" s="35" t="s">
        <v>800</v>
      </c>
      <c r="H588" s="39">
        <v>842.34</v>
      </c>
      <c r="I588" s="39">
        <v>870.22</v>
      </c>
      <c r="J588" s="39">
        <v>839.8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842.34</v>
      </c>
      <c r="AJ588" s="39">
        <v>870.22</v>
      </c>
      <c r="AK588" s="39">
        <v>839.8</v>
      </c>
      <c r="AL588" s="39">
        <v>0</v>
      </c>
      <c r="AM588" s="39">
        <v>0</v>
      </c>
      <c r="AN588" s="39">
        <v>0</v>
      </c>
      <c r="AO588" s="39">
        <v>842.34</v>
      </c>
      <c r="AP588" s="39">
        <v>870.22</v>
      </c>
      <c r="AQ588" s="39">
        <v>839.8</v>
      </c>
      <c r="AR588" s="39">
        <v>870.22</v>
      </c>
    </row>
    <row r="589" spans="1:44" x14ac:dyDescent="0.35">
      <c r="A589" s="16" t="str">
        <f>TEXT(48,"00")</f>
        <v>48</v>
      </c>
      <c r="B589" s="19">
        <v>70581</v>
      </c>
      <c r="C589" s="16" t="str">
        <f t="shared" si="49"/>
        <v>0000000</v>
      </c>
      <c r="D589" s="17" t="s">
        <v>3663</v>
      </c>
      <c r="E589" s="16" t="s">
        <v>3037</v>
      </c>
      <c r="F589" s="16" t="s">
        <v>3038</v>
      </c>
      <c r="G589" s="35" t="s">
        <v>3038</v>
      </c>
      <c r="H589" s="39">
        <v>8318.1200000000008</v>
      </c>
      <c r="I589" s="39">
        <v>8377.69</v>
      </c>
      <c r="J589" s="39">
        <v>8512.57</v>
      </c>
      <c r="K589" s="39">
        <v>0</v>
      </c>
      <c r="L589" s="39">
        <v>0</v>
      </c>
      <c r="M589" s="39">
        <v>0</v>
      </c>
      <c r="N589" s="39">
        <v>0</v>
      </c>
      <c r="O589" s="39">
        <v>0</v>
      </c>
      <c r="P589" s="39">
        <v>0</v>
      </c>
      <c r="Q589" s="39">
        <v>0</v>
      </c>
      <c r="R589" s="39">
        <v>0</v>
      </c>
      <c r="S589" s="39">
        <v>0</v>
      </c>
      <c r="T589" s="39">
        <v>0</v>
      </c>
      <c r="U589" s="39">
        <v>0</v>
      </c>
      <c r="V589" s="39">
        <v>0</v>
      </c>
      <c r="W589" s="39">
        <v>0</v>
      </c>
      <c r="X589" s="39">
        <v>0</v>
      </c>
      <c r="Y589" s="39">
        <v>0</v>
      </c>
      <c r="Z589" s="39">
        <v>0</v>
      </c>
      <c r="AA589" s="39">
        <v>0</v>
      </c>
      <c r="AB589" s="39">
        <v>0</v>
      </c>
      <c r="AC589" s="39">
        <v>322.38</v>
      </c>
      <c r="AD589" s="39">
        <v>370.26</v>
      </c>
      <c r="AE589" s="39">
        <v>371.69</v>
      </c>
      <c r="AF589" s="39">
        <v>0</v>
      </c>
      <c r="AG589" s="39">
        <v>0</v>
      </c>
      <c r="AH589" s="39">
        <v>0</v>
      </c>
      <c r="AI589" s="39">
        <v>8640.5</v>
      </c>
      <c r="AJ589" s="39">
        <v>8747.9500000000007</v>
      </c>
      <c r="AK589" s="39">
        <v>8884.26</v>
      </c>
      <c r="AL589" s="39">
        <v>0</v>
      </c>
      <c r="AM589" s="39">
        <v>0</v>
      </c>
      <c r="AN589" s="39">
        <v>0</v>
      </c>
      <c r="AO589" s="39">
        <v>8640.5</v>
      </c>
      <c r="AP589" s="39">
        <v>8747.9500000000007</v>
      </c>
      <c r="AQ589" s="39">
        <v>8884.26</v>
      </c>
      <c r="AR589" s="39">
        <v>8884.26</v>
      </c>
    </row>
    <row r="590" spans="1:44" x14ac:dyDescent="0.35">
      <c r="A590" s="16" t="str">
        <f t="shared" ref="A590:A603" si="51">TEXT(4,"00")</f>
        <v>04</v>
      </c>
      <c r="B590" s="19">
        <v>10041</v>
      </c>
      <c r="C590" s="16" t="str">
        <f t="shared" si="49"/>
        <v>0000000</v>
      </c>
      <c r="D590" s="17" t="s">
        <v>3663</v>
      </c>
      <c r="E590" s="16" t="s">
        <v>175</v>
      </c>
      <c r="F590" s="16" t="s">
        <v>176</v>
      </c>
      <c r="G590" s="35" t="s">
        <v>176</v>
      </c>
      <c r="H590" s="39">
        <v>0</v>
      </c>
      <c r="I590" s="39">
        <v>0</v>
      </c>
      <c r="J590" s="39">
        <v>0</v>
      </c>
      <c r="K590" s="39">
        <v>0</v>
      </c>
      <c r="L590" s="39">
        <v>0</v>
      </c>
      <c r="M590" s="39">
        <v>0</v>
      </c>
      <c r="N590" s="39">
        <v>0</v>
      </c>
      <c r="O590" s="39">
        <v>0</v>
      </c>
      <c r="P590" s="39">
        <v>0</v>
      </c>
      <c r="Q590" s="39">
        <v>0</v>
      </c>
      <c r="R590" s="39">
        <v>0</v>
      </c>
      <c r="S590" s="39">
        <v>0</v>
      </c>
      <c r="T590" s="39">
        <v>31.03</v>
      </c>
      <c r="U590" s="39">
        <v>38.409999999999997</v>
      </c>
      <c r="V590" s="39">
        <v>31.04</v>
      </c>
      <c r="W590" s="39">
        <v>229.68</v>
      </c>
      <c r="X590" s="39">
        <v>246.08</v>
      </c>
      <c r="Y590" s="39">
        <v>236.56</v>
      </c>
      <c r="Z590" s="39">
        <v>71.790000000000006</v>
      </c>
      <c r="AA590" s="39">
        <v>70.989999999999995</v>
      </c>
      <c r="AB590" s="39">
        <v>49.37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332.5</v>
      </c>
      <c r="AJ590" s="39">
        <v>355.48</v>
      </c>
      <c r="AK590" s="39">
        <v>316.97000000000003</v>
      </c>
      <c r="AL590" s="39">
        <v>0</v>
      </c>
      <c r="AM590" s="39">
        <v>0</v>
      </c>
      <c r="AN590" s="39">
        <v>0</v>
      </c>
      <c r="AO590" s="39">
        <v>332.5</v>
      </c>
      <c r="AP590" s="39">
        <v>355.48</v>
      </c>
      <c r="AQ590" s="39">
        <v>316.97000000000003</v>
      </c>
      <c r="AR590" s="39">
        <v>355.48</v>
      </c>
    </row>
    <row r="591" spans="1:44" x14ac:dyDescent="0.35">
      <c r="A591" s="16" t="str">
        <f t="shared" si="51"/>
        <v>04</v>
      </c>
      <c r="B591" s="19">
        <v>61382</v>
      </c>
      <c r="C591" s="16" t="str">
        <f t="shared" si="49"/>
        <v>0000000</v>
      </c>
      <c r="D591" s="17" t="s">
        <v>3663</v>
      </c>
      <c r="E591" s="16" t="s">
        <v>182</v>
      </c>
      <c r="F591" s="16" t="s">
        <v>176</v>
      </c>
      <c r="G591" s="35" t="s">
        <v>183</v>
      </c>
      <c r="H591" s="39">
        <v>82.79</v>
      </c>
      <c r="I591" s="39">
        <v>75.5</v>
      </c>
      <c r="J591" s="39">
        <v>64.62</v>
      </c>
      <c r="K591" s="39">
        <v>0</v>
      </c>
      <c r="L591" s="39">
        <v>0</v>
      </c>
      <c r="M591" s="39">
        <v>0</v>
      </c>
      <c r="N591" s="39">
        <v>0</v>
      </c>
      <c r="O591" s="39">
        <v>0</v>
      </c>
      <c r="P591" s="39">
        <v>0</v>
      </c>
      <c r="Q591" s="39">
        <v>0</v>
      </c>
      <c r="R591" s="39">
        <v>0</v>
      </c>
      <c r="S591" s="39">
        <v>0</v>
      </c>
      <c r="T591" s="39">
        <v>0</v>
      </c>
      <c r="U591" s="39">
        <v>0</v>
      </c>
      <c r="V591" s="39">
        <v>0</v>
      </c>
      <c r="W591" s="39">
        <v>0</v>
      </c>
      <c r="X591" s="39">
        <v>0</v>
      </c>
      <c r="Y591" s="39">
        <v>0</v>
      </c>
      <c r="Z591" s="39">
        <v>0</v>
      </c>
      <c r="AA591" s="39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82.79</v>
      </c>
      <c r="AJ591" s="39">
        <v>75.5</v>
      </c>
      <c r="AK591" s="39">
        <v>64.62</v>
      </c>
      <c r="AL591" s="39">
        <v>0</v>
      </c>
      <c r="AM591" s="39">
        <v>0</v>
      </c>
      <c r="AN591" s="39">
        <v>0</v>
      </c>
      <c r="AO591" s="39">
        <v>82.79</v>
      </c>
      <c r="AP591" s="39">
        <v>75.5</v>
      </c>
      <c r="AQ591" s="39">
        <v>64.62</v>
      </c>
      <c r="AR591" s="39">
        <v>82.79</v>
      </c>
    </row>
    <row r="592" spans="1:44" x14ac:dyDescent="0.35">
      <c r="A592" s="16" t="str">
        <f t="shared" si="51"/>
        <v>04</v>
      </c>
      <c r="B592" s="19">
        <v>61457</v>
      </c>
      <c r="C592" s="16" t="str">
        <f t="shared" si="49"/>
        <v>0000000</v>
      </c>
      <c r="D592" s="17" t="s">
        <v>3663</v>
      </c>
      <c r="E592" s="16" t="s">
        <v>209</v>
      </c>
      <c r="F592" s="16" t="s">
        <v>176</v>
      </c>
      <c r="G592" s="35" t="s">
        <v>210</v>
      </c>
      <c r="H592" s="39">
        <v>61.52</v>
      </c>
      <c r="I592" s="39">
        <v>68.14</v>
      </c>
      <c r="J592" s="39">
        <v>58.42</v>
      </c>
      <c r="K592" s="39">
        <v>0</v>
      </c>
      <c r="L592" s="39">
        <v>0</v>
      </c>
      <c r="M592" s="39">
        <v>0</v>
      </c>
      <c r="N592" s="39">
        <v>0</v>
      </c>
      <c r="O592" s="39">
        <v>0</v>
      </c>
      <c r="P592" s="39">
        <v>0</v>
      </c>
      <c r="Q592" s="39">
        <v>0</v>
      </c>
      <c r="R592" s="39">
        <v>0</v>
      </c>
      <c r="S592" s="39">
        <v>0</v>
      </c>
      <c r="T592" s="39">
        <v>0</v>
      </c>
      <c r="U592" s="39">
        <v>0</v>
      </c>
      <c r="V592" s="39">
        <v>0</v>
      </c>
      <c r="W592" s="39">
        <v>0</v>
      </c>
      <c r="X592" s="39">
        <v>0</v>
      </c>
      <c r="Y592" s="39">
        <v>0</v>
      </c>
      <c r="Z592" s="39">
        <v>0</v>
      </c>
      <c r="AA592" s="39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61.52</v>
      </c>
      <c r="AJ592" s="39">
        <v>68.14</v>
      </c>
      <c r="AK592" s="39">
        <v>58.42</v>
      </c>
      <c r="AL592" s="39">
        <v>0</v>
      </c>
      <c r="AM592" s="39">
        <v>0</v>
      </c>
      <c r="AN592" s="39">
        <v>0</v>
      </c>
      <c r="AO592" s="39">
        <v>61.52</v>
      </c>
      <c r="AP592" s="39">
        <v>68.14</v>
      </c>
      <c r="AQ592" s="39">
        <v>58.42</v>
      </c>
      <c r="AR592" s="39">
        <v>68.14</v>
      </c>
    </row>
    <row r="593" spans="1:44" x14ac:dyDescent="0.35">
      <c r="A593" s="16" t="str">
        <f t="shared" si="51"/>
        <v>04</v>
      </c>
      <c r="B593" s="19">
        <v>61499</v>
      </c>
      <c r="C593" s="16" t="str">
        <f t="shared" si="49"/>
        <v>0000000</v>
      </c>
      <c r="D593" s="17" t="s">
        <v>3663</v>
      </c>
      <c r="E593" s="16" t="s">
        <v>211</v>
      </c>
      <c r="F593" s="16" t="s">
        <v>176</v>
      </c>
      <c r="G593" s="35" t="s">
        <v>212</v>
      </c>
      <c r="H593" s="39">
        <v>289.95999999999998</v>
      </c>
      <c r="I593" s="39">
        <v>304.48</v>
      </c>
      <c r="J593" s="39">
        <v>299.89999999999998</v>
      </c>
      <c r="K593" s="39">
        <v>0</v>
      </c>
      <c r="L593" s="39">
        <v>0</v>
      </c>
      <c r="M593" s="39">
        <v>0</v>
      </c>
      <c r="N593" s="39">
        <v>0</v>
      </c>
      <c r="O593" s="39">
        <v>0</v>
      </c>
      <c r="P593" s="39">
        <v>0</v>
      </c>
      <c r="Q593" s="39">
        <v>0</v>
      </c>
      <c r="R593" s="39">
        <v>0</v>
      </c>
      <c r="S593" s="39">
        <v>0</v>
      </c>
      <c r="T593" s="39">
        <v>0</v>
      </c>
      <c r="U593" s="39">
        <v>0</v>
      </c>
      <c r="V593" s="39">
        <v>0</v>
      </c>
      <c r="W593" s="39">
        <v>0</v>
      </c>
      <c r="X593" s="39">
        <v>0</v>
      </c>
      <c r="Y593" s="39">
        <v>0</v>
      </c>
      <c r="Z593" s="39">
        <v>0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289.95999999999998</v>
      </c>
      <c r="AJ593" s="39">
        <v>304.48</v>
      </c>
      <c r="AK593" s="39">
        <v>299.89999999999998</v>
      </c>
      <c r="AL593" s="39">
        <v>0</v>
      </c>
      <c r="AM593" s="39">
        <v>0</v>
      </c>
      <c r="AN593" s="39">
        <v>0</v>
      </c>
      <c r="AO593" s="39">
        <v>289.95999999999998</v>
      </c>
      <c r="AP593" s="39">
        <v>304.48</v>
      </c>
      <c r="AQ593" s="39">
        <v>299.89999999999998</v>
      </c>
      <c r="AR593" s="39">
        <v>304.48</v>
      </c>
    </row>
    <row r="594" spans="1:44" x14ac:dyDescent="0.35">
      <c r="A594" s="16" t="str">
        <f t="shared" si="51"/>
        <v>04</v>
      </c>
      <c r="B594" s="19">
        <v>61507</v>
      </c>
      <c r="C594" s="16" t="str">
        <f t="shared" si="49"/>
        <v>0000000</v>
      </c>
      <c r="D594" s="17" t="s">
        <v>3663</v>
      </c>
      <c r="E594" s="16" t="s">
        <v>213</v>
      </c>
      <c r="F594" s="16" t="s">
        <v>176</v>
      </c>
      <c r="G594" s="35" t="s">
        <v>214</v>
      </c>
      <c r="H594" s="39">
        <v>1758.09</v>
      </c>
      <c r="I594" s="39">
        <v>1830.94</v>
      </c>
      <c r="J594" s="39">
        <v>1903.46</v>
      </c>
      <c r="K594" s="39">
        <v>0</v>
      </c>
      <c r="L594" s="39">
        <v>0</v>
      </c>
      <c r="M594" s="39">
        <v>0</v>
      </c>
      <c r="N594" s="39">
        <v>0</v>
      </c>
      <c r="O594" s="39">
        <v>0</v>
      </c>
      <c r="P594" s="39">
        <v>0</v>
      </c>
      <c r="Q594" s="39">
        <v>0</v>
      </c>
      <c r="R594" s="39">
        <v>0</v>
      </c>
      <c r="S594" s="39">
        <v>0</v>
      </c>
      <c r="T594" s="39">
        <v>0</v>
      </c>
      <c r="U594" s="39">
        <v>0</v>
      </c>
      <c r="V594" s="39">
        <v>0</v>
      </c>
      <c r="W594" s="39">
        <v>0</v>
      </c>
      <c r="X594" s="39">
        <v>0</v>
      </c>
      <c r="Y594" s="39">
        <v>0</v>
      </c>
      <c r="Z594" s="39">
        <v>0</v>
      </c>
      <c r="AA594" s="39">
        <v>0</v>
      </c>
      <c r="AB594" s="39">
        <v>0</v>
      </c>
      <c r="AC594" s="39">
        <v>56.53</v>
      </c>
      <c r="AD594" s="39">
        <v>53.11</v>
      </c>
      <c r="AE594" s="39">
        <v>55.72</v>
      </c>
      <c r="AF594" s="39">
        <v>0</v>
      </c>
      <c r="AG594" s="39">
        <v>0</v>
      </c>
      <c r="AH594" s="39">
        <v>0</v>
      </c>
      <c r="AI594" s="39">
        <v>1814.62</v>
      </c>
      <c r="AJ594" s="39">
        <v>1884.05</v>
      </c>
      <c r="AK594" s="39">
        <v>1959.18</v>
      </c>
      <c r="AL594" s="39">
        <v>0</v>
      </c>
      <c r="AM594" s="39">
        <v>0</v>
      </c>
      <c r="AN594" s="39">
        <v>0</v>
      </c>
      <c r="AO594" s="39">
        <v>1814.62</v>
      </c>
      <c r="AP594" s="39">
        <v>1884.05</v>
      </c>
      <c r="AQ594" s="39">
        <v>1959.18</v>
      </c>
      <c r="AR594" s="39">
        <v>1959.18</v>
      </c>
    </row>
    <row r="595" spans="1:44" x14ac:dyDescent="0.35">
      <c r="A595" s="16" t="str">
        <f t="shared" si="51"/>
        <v>04</v>
      </c>
      <c r="B595" s="19">
        <v>61523</v>
      </c>
      <c r="C595" s="16" t="str">
        <f t="shared" si="49"/>
        <v>0000000</v>
      </c>
      <c r="D595" s="17" t="s">
        <v>3663</v>
      </c>
      <c r="E595" s="16" t="s">
        <v>219</v>
      </c>
      <c r="F595" s="16" t="s">
        <v>176</v>
      </c>
      <c r="G595" s="35" t="s">
        <v>220</v>
      </c>
      <c r="H595" s="39">
        <v>1256.74</v>
      </c>
      <c r="I595" s="39">
        <v>1192.73</v>
      </c>
      <c r="J595" s="39">
        <v>1104.1300000000001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1256.74</v>
      </c>
      <c r="AJ595" s="39">
        <v>1192.73</v>
      </c>
      <c r="AK595" s="39">
        <v>1104.1300000000001</v>
      </c>
      <c r="AL595" s="39">
        <v>0</v>
      </c>
      <c r="AM595" s="39">
        <v>0</v>
      </c>
      <c r="AN595" s="39">
        <v>0</v>
      </c>
      <c r="AO595" s="39">
        <v>1256.74</v>
      </c>
      <c r="AP595" s="39">
        <v>1192.73</v>
      </c>
      <c r="AQ595" s="39">
        <v>1104.1300000000001</v>
      </c>
      <c r="AR595" s="39">
        <v>1256.74</v>
      </c>
    </row>
    <row r="596" spans="1:44" x14ac:dyDescent="0.35">
      <c r="A596" s="16" t="str">
        <f t="shared" si="51"/>
        <v>04</v>
      </c>
      <c r="B596" s="19">
        <v>61549</v>
      </c>
      <c r="C596" s="16" t="str">
        <f t="shared" si="49"/>
        <v>0000000</v>
      </c>
      <c r="D596" s="17" t="s">
        <v>3663</v>
      </c>
      <c r="E596" s="16" t="s">
        <v>226</v>
      </c>
      <c r="F596" s="16" t="s">
        <v>176</v>
      </c>
      <c r="G596" s="35" t="s">
        <v>227</v>
      </c>
      <c r="H596" s="39">
        <v>1434.67</v>
      </c>
      <c r="I596" s="39">
        <v>1428.89</v>
      </c>
      <c r="J596" s="39">
        <v>1435.92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1434.67</v>
      </c>
      <c r="AJ596" s="39">
        <v>1428.89</v>
      </c>
      <c r="AK596" s="39">
        <v>1435.92</v>
      </c>
      <c r="AL596" s="39">
        <v>0</v>
      </c>
      <c r="AM596" s="39">
        <v>0</v>
      </c>
      <c r="AN596" s="39">
        <v>0</v>
      </c>
      <c r="AO596" s="39">
        <v>1434.67</v>
      </c>
      <c r="AP596" s="39">
        <v>1428.89</v>
      </c>
      <c r="AQ596" s="39">
        <v>1435.92</v>
      </c>
      <c r="AR596" s="39">
        <v>1435.92</v>
      </c>
    </row>
    <row r="597" spans="1:44" x14ac:dyDescent="0.35">
      <c r="A597" s="16" t="str">
        <f t="shared" si="51"/>
        <v>04</v>
      </c>
      <c r="B597" s="19">
        <v>61515</v>
      </c>
      <c r="C597" s="16" t="str">
        <f t="shared" si="49"/>
        <v>0000000</v>
      </c>
      <c r="D597" s="17" t="s">
        <v>3663</v>
      </c>
      <c r="E597" s="16" t="s">
        <v>217</v>
      </c>
      <c r="F597" s="16" t="s">
        <v>176</v>
      </c>
      <c r="G597" s="35" t="s">
        <v>218</v>
      </c>
      <c r="H597" s="39">
        <v>1975.46</v>
      </c>
      <c r="I597" s="39">
        <v>2009.87</v>
      </c>
      <c r="J597" s="39">
        <v>2031.55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1975.46</v>
      </c>
      <c r="AJ597" s="39">
        <v>2009.87</v>
      </c>
      <c r="AK597" s="39">
        <v>2031.55</v>
      </c>
      <c r="AL597" s="39">
        <v>0</v>
      </c>
      <c r="AM597" s="39">
        <v>0</v>
      </c>
      <c r="AN597" s="39">
        <v>0</v>
      </c>
      <c r="AO597" s="39">
        <v>1975.46</v>
      </c>
      <c r="AP597" s="39">
        <v>2009.87</v>
      </c>
      <c r="AQ597" s="39">
        <v>2031.55</v>
      </c>
      <c r="AR597" s="39">
        <v>2031.55</v>
      </c>
    </row>
    <row r="598" spans="1:44" x14ac:dyDescent="0.35">
      <c r="A598" s="16" t="str">
        <f t="shared" si="51"/>
        <v>04</v>
      </c>
      <c r="B598" s="19">
        <v>61408</v>
      </c>
      <c r="C598" s="16" t="str">
        <f t="shared" si="49"/>
        <v>0000000</v>
      </c>
      <c r="D598" s="17" t="s">
        <v>3663</v>
      </c>
      <c r="E598" s="16" t="s">
        <v>184</v>
      </c>
      <c r="F598" s="16" t="s">
        <v>176</v>
      </c>
      <c r="G598" s="35" t="s">
        <v>185</v>
      </c>
      <c r="H598" s="39">
        <v>510.16</v>
      </c>
      <c r="I598" s="39">
        <v>512.63</v>
      </c>
      <c r="J598" s="39">
        <v>492.1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510.16</v>
      </c>
      <c r="AJ598" s="39">
        <v>512.63</v>
      </c>
      <c r="AK598" s="39">
        <v>492.1</v>
      </c>
      <c r="AL598" s="39">
        <v>0</v>
      </c>
      <c r="AM598" s="39">
        <v>0</v>
      </c>
      <c r="AN598" s="39">
        <v>0</v>
      </c>
      <c r="AO598" s="39">
        <v>510.16</v>
      </c>
      <c r="AP598" s="39">
        <v>512.63</v>
      </c>
      <c r="AQ598" s="39">
        <v>492.1</v>
      </c>
      <c r="AR598" s="39">
        <v>512.63</v>
      </c>
    </row>
    <row r="599" spans="1:44" x14ac:dyDescent="0.35">
      <c r="A599" s="16" t="str">
        <f t="shared" si="51"/>
        <v>04</v>
      </c>
      <c r="B599" s="19">
        <v>61424</v>
      </c>
      <c r="C599" s="16" t="str">
        <f t="shared" si="49"/>
        <v>0000000</v>
      </c>
      <c r="D599" s="17" t="s">
        <v>3663</v>
      </c>
      <c r="E599" s="16" t="s">
        <v>186</v>
      </c>
      <c r="F599" s="16" t="s">
        <v>176</v>
      </c>
      <c r="G599" s="35" t="s">
        <v>187</v>
      </c>
      <c r="H599" s="39">
        <v>11505.89</v>
      </c>
      <c r="I599" s="39">
        <v>11601.83</v>
      </c>
      <c r="J599" s="39">
        <v>11364.5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101.13</v>
      </c>
      <c r="AD599" s="39">
        <v>99.3</v>
      </c>
      <c r="AE599" s="39">
        <v>96.29</v>
      </c>
      <c r="AF599" s="39">
        <v>0</v>
      </c>
      <c r="AG599" s="39">
        <v>0</v>
      </c>
      <c r="AH599" s="39">
        <v>0</v>
      </c>
      <c r="AI599" s="39">
        <v>11607.02</v>
      </c>
      <c r="AJ599" s="39">
        <v>11701.13</v>
      </c>
      <c r="AK599" s="39">
        <v>11460.79</v>
      </c>
      <c r="AL599" s="39">
        <v>0</v>
      </c>
      <c r="AM599" s="39">
        <v>0</v>
      </c>
      <c r="AN599" s="39">
        <v>0</v>
      </c>
      <c r="AO599" s="39">
        <v>11607.02</v>
      </c>
      <c r="AP599" s="39">
        <v>11701.13</v>
      </c>
      <c r="AQ599" s="39">
        <v>11460.79</v>
      </c>
      <c r="AR599" s="39">
        <v>11701.13</v>
      </c>
    </row>
    <row r="600" spans="1:44" x14ac:dyDescent="0.35">
      <c r="A600" s="16" t="str">
        <f t="shared" si="51"/>
        <v>04</v>
      </c>
      <c r="B600" s="19">
        <v>61432</v>
      </c>
      <c r="C600" s="16" t="str">
        <f t="shared" si="49"/>
        <v>0000000</v>
      </c>
      <c r="D600" s="17" t="s">
        <v>3663</v>
      </c>
      <c r="E600" s="16" t="s">
        <v>207</v>
      </c>
      <c r="F600" s="16" t="s">
        <v>176</v>
      </c>
      <c r="G600" s="35" t="s">
        <v>208</v>
      </c>
      <c r="H600" s="39">
        <v>988.11</v>
      </c>
      <c r="I600" s="39">
        <v>972.31</v>
      </c>
      <c r="J600" s="39">
        <v>930.97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988.11</v>
      </c>
      <c r="AJ600" s="39">
        <v>972.31</v>
      </c>
      <c r="AK600" s="39">
        <v>930.97</v>
      </c>
      <c r="AL600" s="39">
        <v>0</v>
      </c>
      <c r="AM600" s="39">
        <v>0</v>
      </c>
      <c r="AN600" s="39">
        <v>0</v>
      </c>
      <c r="AO600" s="39">
        <v>988.11</v>
      </c>
      <c r="AP600" s="39">
        <v>972.31</v>
      </c>
      <c r="AQ600" s="39">
        <v>930.97</v>
      </c>
      <c r="AR600" s="39">
        <v>988.11</v>
      </c>
    </row>
    <row r="601" spans="1:44" x14ac:dyDescent="0.35">
      <c r="A601" s="16" t="str">
        <f t="shared" si="51"/>
        <v>04</v>
      </c>
      <c r="B601" s="19">
        <v>61531</v>
      </c>
      <c r="C601" s="16" t="str">
        <f t="shared" si="49"/>
        <v>0000000</v>
      </c>
      <c r="D601" s="17" t="s">
        <v>3663</v>
      </c>
      <c r="E601" s="16" t="s">
        <v>221</v>
      </c>
      <c r="F601" s="16" t="s">
        <v>176</v>
      </c>
      <c r="G601" s="35" t="s">
        <v>222</v>
      </c>
      <c r="H601" s="39">
        <v>1577.27</v>
      </c>
      <c r="I601" s="39">
        <v>1526.47</v>
      </c>
      <c r="J601" s="39">
        <v>1403.58</v>
      </c>
      <c r="K601" s="39">
        <v>0</v>
      </c>
      <c r="L601" s="39">
        <v>0</v>
      </c>
      <c r="M601" s="39">
        <v>0</v>
      </c>
      <c r="N601" s="39">
        <v>0</v>
      </c>
      <c r="O601" s="39">
        <v>0</v>
      </c>
      <c r="P601" s="39">
        <v>0</v>
      </c>
      <c r="Q601" s="39">
        <v>0</v>
      </c>
      <c r="R601" s="39">
        <v>0</v>
      </c>
      <c r="S601" s="39">
        <v>0</v>
      </c>
      <c r="T601" s="39">
        <v>0</v>
      </c>
      <c r="U601" s="39">
        <v>0</v>
      </c>
      <c r="V601" s="39">
        <v>0</v>
      </c>
      <c r="W601" s="39">
        <v>0</v>
      </c>
      <c r="X601" s="39">
        <v>0</v>
      </c>
      <c r="Y601" s="39">
        <v>0</v>
      </c>
      <c r="Z601" s="39">
        <v>0</v>
      </c>
      <c r="AA601" s="39">
        <v>0</v>
      </c>
      <c r="AB601" s="39">
        <v>0</v>
      </c>
      <c r="AC601" s="39">
        <v>330.91</v>
      </c>
      <c r="AD601" s="39">
        <v>449.65</v>
      </c>
      <c r="AE601" s="39">
        <v>389.52</v>
      </c>
      <c r="AF601" s="39">
        <v>0</v>
      </c>
      <c r="AG601" s="39">
        <v>0</v>
      </c>
      <c r="AH601" s="39">
        <v>0</v>
      </c>
      <c r="AI601" s="39">
        <v>1908.18</v>
      </c>
      <c r="AJ601" s="39">
        <v>1976.12</v>
      </c>
      <c r="AK601" s="39">
        <v>1793.1</v>
      </c>
      <c r="AL601" s="39">
        <v>0</v>
      </c>
      <c r="AM601" s="39">
        <v>-137.12</v>
      </c>
      <c r="AN601" s="39">
        <v>-133.88</v>
      </c>
      <c r="AO601" s="39">
        <v>1908.18</v>
      </c>
      <c r="AP601" s="39">
        <v>1839</v>
      </c>
      <c r="AQ601" s="39">
        <v>1659.22</v>
      </c>
      <c r="AR601" s="39">
        <v>1908.18</v>
      </c>
    </row>
    <row r="602" spans="1:44" x14ac:dyDescent="0.35">
      <c r="A602" s="16" t="str">
        <f t="shared" si="51"/>
        <v>04</v>
      </c>
      <c r="B602" s="19">
        <v>73379</v>
      </c>
      <c r="C602" s="16" t="str">
        <f t="shared" si="49"/>
        <v>0000000</v>
      </c>
      <c r="D602" s="17" t="s">
        <v>3663</v>
      </c>
      <c r="E602" s="16" t="s">
        <v>228</v>
      </c>
      <c r="F602" s="16" t="s">
        <v>176</v>
      </c>
      <c r="G602" s="35" t="s">
        <v>229</v>
      </c>
      <c r="H602" s="39">
        <v>37.270000000000003</v>
      </c>
      <c r="I602" s="39">
        <v>29</v>
      </c>
      <c r="J602" s="39">
        <v>26.54</v>
      </c>
      <c r="K602" s="39">
        <v>0</v>
      </c>
      <c r="L602" s="39">
        <v>0</v>
      </c>
      <c r="M602" s="39">
        <v>0</v>
      </c>
      <c r="N602" s="39">
        <v>0</v>
      </c>
      <c r="O602" s="39">
        <v>0</v>
      </c>
      <c r="P602" s="39">
        <v>0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0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0</v>
      </c>
      <c r="AG602" s="39">
        <v>0</v>
      </c>
      <c r="AH602" s="39">
        <v>0</v>
      </c>
      <c r="AI602" s="39">
        <v>37.270000000000003</v>
      </c>
      <c r="AJ602" s="39">
        <v>29</v>
      </c>
      <c r="AK602" s="39">
        <v>26.54</v>
      </c>
      <c r="AL602" s="39">
        <v>0</v>
      </c>
      <c r="AM602" s="39">
        <v>0</v>
      </c>
      <c r="AN602" s="39">
        <v>0</v>
      </c>
      <c r="AO602" s="39">
        <v>37.270000000000003</v>
      </c>
      <c r="AP602" s="39">
        <v>29</v>
      </c>
      <c r="AQ602" s="39">
        <v>26.54</v>
      </c>
      <c r="AR602" s="39">
        <v>37.270000000000003</v>
      </c>
    </row>
    <row r="603" spans="1:44" x14ac:dyDescent="0.35">
      <c r="A603" s="16" t="str">
        <f t="shared" si="51"/>
        <v>04</v>
      </c>
      <c r="B603" s="19">
        <v>75507</v>
      </c>
      <c r="C603" s="16" t="str">
        <f t="shared" si="49"/>
        <v>0000000</v>
      </c>
      <c r="D603" s="17" t="s">
        <v>3663</v>
      </c>
      <c r="E603" s="16" t="s">
        <v>230</v>
      </c>
      <c r="F603" s="16" t="s">
        <v>176</v>
      </c>
      <c r="G603" s="35" t="s">
        <v>231</v>
      </c>
      <c r="H603" s="39">
        <v>1879.65</v>
      </c>
      <c r="I603" s="39">
        <v>1858.02</v>
      </c>
      <c r="J603" s="39">
        <v>1877.59</v>
      </c>
      <c r="K603" s="39">
        <v>0</v>
      </c>
      <c r="L603" s="39">
        <v>0</v>
      </c>
      <c r="M603" s="39">
        <v>0</v>
      </c>
      <c r="N603" s="39">
        <v>0</v>
      </c>
      <c r="O603" s="39">
        <v>0</v>
      </c>
      <c r="P603" s="39">
        <v>0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0</v>
      </c>
      <c r="AA603" s="39">
        <v>0</v>
      </c>
      <c r="AB603" s="39">
        <v>0</v>
      </c>
      <c r="AC603" s="39">
        <v>0</v>
      </c>
      <c r="AD603" s="39">
        <v>0</v>
      </c>
      <c r="AE603" s="39">
        <v>0</v>
      </c>
      <c r="AF603" s="39">
        <v>0</v>
      </c>
      <c r="AG603" s="39">
        <v>0</v>
      </c>
      <c r="AH603" s="39">
        <v>0</v>
      </c>
      <c r="AI603" s="39">
        <v>1879.65</v>
      </c>
      <c r="AJ603" s="39">
        <v>1858.02</v>
      </c>
      <c r="AK603" s="39">
        <v>1877.59</v>
      </c>
      <c r="AL603" s="39">
        <v>0</v>
      </c>
      <c r="AM603" s="39">
        <v>0</v>
      </c>
      <c r="AN603" s="39">
        <v>0</v>
      </c>
      <c r="AO603" s="39">
        <v>1879.65</v>
      </c>
      <c r="AP603" s="39">
        <v>1858.02</v>
      </c>
      <c r="AQ603" s="39">
        <v>1877.59</v>
      </c>
      <c r="AR603" s="39">
        <v>1879.65</v>
      </c>
    </row>
    <row r="604" spans="1:44" x14ac:dyDescent="0.35">
      <c r="A604" s="16" t="str">
        <f t="shared" ref="A604:A609" si="52">TEXT(28,"00")</f>
        <v>28</v>
      </c>
      <c r="B604" s="19">
        <v>10280</v>
      </c>
      <c r="C604" s="16" t="str">
        <f t="shared" si="49"/>
        <v>0000000</v>
      </c>
      <c r="D604" s="17" t="s">
        <v>3663</v>
      </c>
      <c r="E604" s="16" t="s">
        <v>1445</v>
      </c>
      <c r="F604" s="16" t="s">
        <v>1446</v>
      </c>
      <c r="G604" s="35" t="s">
        <v>1446</v>
      </c>
      <c r="H604" s="39">
        <v>0</v>
      </c>
      <c r="I604" s="39">
        <v>0</v>
      </c>
      <c r="J604" s="39">
        <v>0</v>
      </c>
      <c r="K604" s="39">
        <v>0</v>
      </c>
      <c r="L604" s="39">
        <v>0</v>
      </c>
      <c r="M604" s="39">
        <v>0</v>
      </c>
      <c r="N604" s="39">
        <v>0</v>
      </c>
      <c r="O604" s="39">
        <v>0</v>
      </c>
      <c r="P604" s="39">
        <v>0</v>
      </c>
      <c r="Q604" s="39">
        <v>0</v>
      </c>
      <c r="R604" s="39">
        <v>0</v>
      </c>
      <c r="S604" s="39">
        <v>0</v>
      </c>
      <c r="T604" s="39">
        <v>73.87</v>
      </c>
      <c r="U604" s="39">
        <v>71.400000000000006</v>
      </c>
      <c r="V604" s="39">
        <v>78.37</v>
      </c>
      <c r="W604" s="39">
        <v>0</v>
      </c>
      <c r="X604" s="39">
        <v>0</v>
      </c>
      <c r="Y604" s="39">
        <v>0</v>
      </c>
      <c r="Z604" s="39">
        <v>0</v>
      </c>
      <c r="AA604" s="39">
        <v>0</v>
      </c>
      <c r="AB604" s="39">
        <v>0</v>
      </c>
      <c r="AC604" s="39">
        <v>0</v>
      </c>
      <c r="AD604" s="39">
        <v>0</v>
      </c>
      <c r="AE604" s="39">
        <v>0</v>
      </c>
      <c r="AF604" s="39">
        <v>0</v>
      </c>
      <c r="AG604" s="39">
        <v>0</v>
      </c>
      <c r="AH604" s="39">
        <v>0</v>
      </c>
      <c r="AI604" s="39">
        <v>73.87</v>
      </c>
      <c r="AJ604" s="39">
        <v>71.400000000000006</v>
      </c>
      <c r="AK604" s="39">
        <v>78.37</v>
      </c>
      <c r="AL604" s="39">
        <v>0</v>
      </c>
      <c r="AM604" s="39">
        <v>0</v>
      </c>
      <c r="AN604" s="39">
        <v>0</v>
      </c>
      <c r="AO604" s="39">
        <v>73.87</v>
      </c>
      <c r="AP604" s="39">
        <v>71.400000000000006</v>
      </c>
      <c r="AQ604" s="39">
        <v>78.37</v>
      </c>
      <c r="AR604" s="39">
        <v>78.37</v>
      </c>
    </row>
    <row r="605" spans="1:44" x14ac:dyDescent="0.35">
      <c r="A605" s="16" t="str">
        <f t="shared" si="52"/>
        <v>28</v>
      </c>
      <c r="B605" s="19">
        <v>66266</v>
      </c>
      <c r="C605" s="16" t="str">
        <f t="shared" si="49"/>
        <v>0000000</v>
      </c>
      <c r="D605" s="17" t="s">
        <v>3663</v>
      </c>
      <c r="E605" s="16" t="s">
        <v>1451</v>
      </c>
      <c r="F605" s="16" t="s">
        <v>1446</v>
      </c>
      <c r="G605" s="35" t="s">
        <v>1452</v>
      </c>
      <c r="H605" s="39">
        <v>14967.97</v>
      </c>
      <c r="I605" s="39">
        <v>14968.57</v>
      </c>
      <c r="J605" s="39">
        <v>14808.22</v>
      </c>
      <c r="K605" s="39">
        <v>0</v>
      </c>
      <c r="L605" s="39">
        <v>0</v>
      </c>
      <c r="M605" s="39">
        <v>0</v>
      </c>
      <c r="N605" s="39">
        <v>0</v>
      </c>
      <c r="O605" s="39">
        <v>0</v>
      </c>
      <c r="P605" s="39">
        <v>0</v>
      </c>
      <c r="Q605" s="39">
        <v>0</v>
      </c>
      <c r="R605" s="39">
        <v>0</v>
      </c>
      <c r="S605" s="39">
        <v>0</v>
      </c>
      <c r="T605" s="39">
        <v>0</v>
      </c>
      <c r="U605" s="39">
        <v>0</v>
      </c>
      <c r="V605" s="39">
        <v>0</v>
      </c>
      <c r="W605" s="39">
        <v>0</v>
      </c>
      <c r="X605" s="39">
        <v>0</v>
      </c>
      <c r="Y605" s="39">
        <v>0</v>
      </c>
      <c r="Z605" s="39">
        <v>0</v>
      </c>
      <c r="AA605" s="39">
        <v>0</v>
      </c>
      <c r="AB605" s="39">
        <v>0</v>
      </c>
      <c r="AC605" s="39">
        <v>260.66000000000003</v>
      </c>
      <c r="AD605" s="39">
        <v>260.73</v>
      </c>
      <c r="AE605" s="39">
        <v>245.09</v>
      </c>
      <c r="AF605" s="39">
        <v>0</v>
      </c>
      <c r="AG605" s="39">
        <v>0</v>
      </c>
      <c r="AH605" s="39">
        <v>0</v>
      </c>
      <c r="AI605" s="39">
        <v>15228.63</v>
      </c>
      <c r="AJ605" s="39">
        <v>15229.3</v>
      </c>
      <c r="AK605" s="39">
        <v>15053.31</v>
      </c>
      <c r="AL605" s="39">
        <v>0</v>
      </c>
      <c r="AM605" s="39">
        <v>0</v>
      </c>
      <c r="AN605" s="39">
        <v>0</v>
      </c>
      <c r="AO605" s="39">
        <v>15228.63</v>
      </c>
      <c r="AP605" s="39">
        <v>15229.3</v>
      </c>
      <c r="AQ605" s="39">
        <v>15053.31</v>
      </c>
      <c r="AR605" s="39">
        <v>15229.3</v>
      </c>
    </row>
    <row r="606" spans="1:44" x14ac:dyDescent="0.35">
      <c r="A606" s="16" t="str">
        <f t="shared" si="52"/>
        <v>28</v>
      </c>
      <c r="B606" s="19">
        <v>66241</v>
      </c>
      <c r="C606" s="16" t="str">
        <f t="shared" si="49"/>
        <v>0000000</v>
      </c>
      <c r="D606" s="17" t="s">
        <v>3663</v>
      </c>
      <c r="E606" s="16" t="s">
        <v>1447</v>
      </c>
      <c r="F606" s="16" t="s">
        <v>1446</v>
      </c>
      <c r="G606" s="35" t="s">
        <v>1448</v>
      </c>
      <c r="H606" s="39">
        <v>717.09</v>
      </c>
      <c r="I606" s="39">
        <v>738.5</v>
      </c>
      <c r="J606" s="39">
        <v>753.31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9">
        <v>0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0</v>
      </c>
      <c r="AA606" s="39">
        <v>0</v>
      </c>
      <c r="AB606" s="39">
        <v>0</v>
      </c>
      <c r="AC606" s="39">
        <v>0</v>
      </c>
      <c r="AD606" s="39">
        <v>0</v>
      </c>
      <c r="AE606" s="39">
        <v>0</v>
      </c>
      <c r="AF606" s="39">
        <v>0</v>
      </c>
      <c r="AG606" s="39">
        <v>0</v>
      </c>
      <c r="AH606" s="39">
        <v>0</v>
      </c>
      <c r="AI606" s="39">
        <v>717.09</v>
      </c>
      <c r="AJ606" s="39">
        <v>738.5</v>
      </c>
      <c r="AK606" s="39">
        <v>753.31</v>
      </c>
      <c r="AL606" s="39">
        <v>0</v>
      </c>
      <c r="AM606" s="39">
        <v>0</v>
      </c>
      <c r="AN606" s="39">
        <v>0</v>
      </c>
      <c r="AO606" s="39">
        <v>717.09</v>
      </c>
      <c r="AP606" s="39">
        <v>738.5</v>
      </c>
      <c r="AQ606" s="39">
        <v>753.31</v>
      </c>
      <c r="AR606" s="39">
        <v>753.31</v>
      </c>
    </row>
    <row r="607" spans="1:44" x14ac:dyDescent="0.35">
      <c r="A607" s="16" t="str">
        <f t="shared" si="52"/>
        <v>28</v>
      </c>
      <c r="B607" s="19">
        <v>66258</v>
      </c>
      <c r="C607" s="16" t="str">
        <f t="shared" si="49"/>
        <v>0000000</v>
      </c>
      <c r="D607" s="17" t="s">
        <v>3663</v>
      </c>
      <c r="E607" s="16" t="s">
        <v>1449</v>
      </c>
      <c r="F607" s="16" t="s">
        <v>1446</v>
      </c>
      <c r="G607" s="35" t="s">
        <v>1450</v>
      </c>
      <c r="H607" s="39">
        <v>70.41</v>
      </c>
      <c r="I607" s="39">
        <v>85.09</v>
      </c>
      <c r="J607" s="39">
        <v>95.44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70.41</v>
      </c>
      <c r="AJ607" s="39">
        <v>85.09</v>
      </c>
      <c r="AK607" s="39">
        <v>95.44</v>
      </c>
      <c r="AL607" s="39">
        <v>0</v>
      </c>
      <c r="AM607" s="39">
        <v>0</v>
      </c>
      <c r="AN607" s="39">
        <v>0</v>
      </c>
      <c r="AO607" s="39">
        <v>70.41</v>
      </c>
      <c r="AP607" s="39">
        <v>85.09</v>
      </c>
      <c r="AQ607" s="39">
        <v>95.44</v>
      </c>
      <c r="AR607" s="39">
        <v>95.44</v>
      </c>
    </row>
    <row r="608" spans="1:44" x14ac:dyDescent="0.35">
      <c r="A608" s="16" t="str">
        <f t="shared" si="52"/>
        <v>28</v>
      </c>
      <c r="B608" s="19">
        <v>66282</v>
      </c>
      <c r="C608" s="16" t="str">
        <f t="shared" si="49"/>
        <v>0000000</v>
      </c>
      <c r="D608" s="17" t="s">
        <v>3663</v>
      </c>
      <c r="E608" s="16" t="s">
        <v>1453</v>
      </c>
      <c r="F608" s="16" t="s">
        <v>1446</v>
      </c>
      <c r="G608" s="35" t="s">
        <v>1454</v>
      </c>
      <c r="H608" s="39">
        <v>37.840000000000003</v>
      </c>
      <c r="I608" s="39">
        <v>45.64</v>
      </c>
      <c r="J608" s="39">
        <v>47.9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37.840000000000003</v>
      </c>
      <c r="AJ608" s="39">
        <v>45.64</v>
      </c>
      <c r="AK608" s="39">
        <v>47.9</v>
      </c>
      <c r="AL608" s="39">
        <v>0</v>
      </c>
      <c r="AM608" s="39">
        <v>0</v>
      </c>
      <c r="AN608" s="39">
        <v>0</v>
      </c>
      <c r="AO608" s="39">
        <v>37.840000000000003</v>
      </c>
      <c r="AP608" s="39">
        <v>45.64</v>
      </c>
      <c r="AQ608" s="39">
        <v>47.9</v>
      </c>
      <c r="AR608" s="39">
        <v>47.9</v>
      </c>
    </row>
    <row r="609" spans="1:44" x14ac:dyDescent="0.35">
      <c r="A609" s="16" t="str">
        <f t="shared" si="52"/>
        <v>28</v>
      </c>
      <c r="B609" s="19">
        <v>66290</v>
      </c>
      <c r="C609" s="16" t="str">
        <f t="shared" si="49"/>
        <v>0000000</v>
      </c>
      <c r="D609" s="17" t="s">
        <v>3663</v>
      </c>
      <c r="E609" s="16" t="s">
        <v>1455</v>
      </c>
      <c r="F609" s="16" t="s">
        <v>1446</v>
      </c>
      <c r="G609" s="35" t="s">
        <v>1456</v>
      </c>
      <c r="H609" s="39">
        <v>1043.5899999999999</v>
      </c>
      <c r="I609" s="39">
        <v>1044.6300000000001</v>
      </c>
      <c r="J609" s="39">
        <v>1056.07</v>
      </c>
      <c r="K609" s="39">
        <v>0</v>
      </c>
      <c r="L609" s="39">
        <v>0</v>
      </c>
      <c r="M609" s="39">
        <v>0</v>
      </c>
      <c r="N609" s="39">
        <v>73.14</v>
      </c>
      <c r="O609" s="39">
        <v>83.7</v>
      </c>
      <c r="P609" s="39">
        <v>69.099999999999994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1116.73</v>
      </c>
      <c r="AJ609" s="39">
        <v>1128.33</v>
      </c>
      <c r="AK609" s="39">
        <v>1125.17</v>
      </c>
      <c r="AL609" s="39">
        <v>0</v>
      </c>
      <c r="AM609" s="39">
        <v>0</v>
      </c>
      <c r="AN609" s="39">
        <v>0</v>
      </c>
      <c r="AO609" s="39">
        <v>1116.73</v>
      </c>
      <c r="AP609" s="39">
        <v>1128.33</v>
      </c>
      <c r="AQ609" s="39">
        <v>1125.17</v>
      </c>
      <c r="AR609" s="39">
        <v>1128.33</v>
      </c>
    </row>
    <row r="610" spans="1:44" x14ac:dyDescent="0.35">
      <c r="A610" s="16" t="str">
        <f t="shared" ref="A610:A656" si="53">TEXT(54,"00")</f>
        <v>54</v>
      </c>
      <c r="B610" s="19">
        <v>10546</v>
      </c>
      <c r="C610" s="16" t="str">
        <f t="shared" si="49"/>
        <v>0000000</v>
      </c>
      <c r="D610" s="17" t="s">
        <v>3663</v>
      </c>
      <c r="E610" s="16" t="s">
        <v>3310</v>
      </c>
      <c r="F610" s="16" t="s">
        <v>3311</v>
      </c>
      <c r="G610" s="35" t="s">
        <v>3311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92.63</v>
      </c>
      <c r="U610" s="39">
        <v>92.75</v>
      </c>
      <c r="V610" s="39">
        <v>89.28</v>
      </c>
      <c r="W610" s="39">
        <v>935.3</v>
      </c>
      <c r="X610" s="39">
        <v>932.2</v>
      </c>
      <c r="Y610" s="39">
        <v>852.82</v>
      </c>
      <c r="Z610" s="39">
        <v>412.12</v>
      </c>
      <c r="AA610" s="39">
        <v>410.71</v>
      </c>
      <c r="AB610" s="39">
        <v>449.8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1440.05</v>
      </c>
      <c r="AJ610" s="39">
        <v>1435.66</v>
      </c>
      <c r="AK610" s="39">
        <v>1391.9</v>
      </c>
      <c r="AL610" s="39">
        <v>0</v>
      </c>
      <c r="AM610" s="39">
        <v>0</v>
      </c>
      <c r="AN610" s="39">
        <v>0</v>
      </c>
      <c r="AO610" s="39">
        <v>1440.05</v>
      </c>
      <c r="AP610" s="39">
        <v>1435.66</v>
      </c>
      <c r="AQ610" s="39">
        <v>1391.9</v>
      </c>
      <c r="AR610" s="39">
        <v>1440.05</v>
      </c>
    </row>
    <row r="611" spans="1:44" x14ac:dyDescent="0.35">
      <c r="A611" s="16" t="str">
        <f t="shared" si="53"/>
        <v>54</v>
      </c>
      <c r="B611" s="19">
        <v>72249</v>
      </c>
      <c r="C611" s="16" t="str">
        <f t="shared" ref="C611:C642" si="54">TEXT(,"0000000")</f>
        <v>0000000</v>
      </c>
      <c r="D611" s="17" t="s">
        <v>3663</v>
      </c>
      <c r="E611" s="16" t="s">
        <v>3394</v>
      </c>
      <c r="F611" s="16" t="s">
        <v>3311</v>
      </c>
      <c r="G611" s="35" t="s">
        <v>3395</v>
      </c>
      <c r="H611" s="39">
        <v>4971.59</v>
      </c>
      <c r="I611" s="39">
        <v>5029.76</v>
      </c>
      <c r="J611" s="39">
        <v>5061.8900000000003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267.22000000000003</v>
      </c>
      <c r="AD611" s="39">
        <v>337.55</v>
      </c>
      <c r="AE611" s="39">
        <v>343.63</v>
      </c>
      <c r="AF611" s="39">
        <v>0</v>
      </c>
      <c r="AG611" s="39">
        <v>0</v>
      </c>
      <c r="AH611" s="39">
        <v>0</v>
      </c>
      <c r="AI611" s="39">
        <v>5238.8100000000004</v>
      </c>
      <c r="AJ611" s="39">
        <v>5367.31</v>
      </c>
      <c r="AK611" s="39">
        <v>5405.52</v>
      </c>
      <c r="AL611" s="39">
        <v>0</v>
      </c>
      <c r="AM611" s="39">
        <v>0</v>
      </c>
      <c r="AN611" s="39">
        <v>0</v>
      </c>
      <c r="AO611" s="39">
        <v>5238.8100000000004</v>
      </c>
      <c r="AP611" s="39">
        <v>5367.31</v>
      </c>
      <c r="AQ611" s="39">
        <v>5405.52</v>
      </c>
      <c r="AR611" s="39">
        <v>5405.52</v>
      </c>
    </row>
    <row r="612" spans="1:44" x14ac:dyDescent="0.35">
      <c r="A612" s="16" t="str">
        <f t="shared" si="53"/>
        <v>54</v>
      </c>
      <c r="B612" s="19">
        <v>71860</v>
      </c>
      <c r="C612" s="16" t="str">
        <f t="shared" si="54"/>
        <v>0000000</v>
      </c>
      <c r="D612" s="17" t="s">
        <v>3663</v>
      </c>
      <c r="E612" s="16" t="s">
        <v>3338</v>
      </c>
      <c r="F612" s="16" t="s">
        <v>3311</v>
      </c>
      <c r="G612" s="35" t="s">
        <v>3339</v>
      </c>
      <c r="H612" s="39">
        <v>3643.01</v>
      </c>
      <c r="I612" s="39">
        <v>3637.8</v>
      </c>
      <c r="J612" s="39">
        <v>3641.63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3643.01</v>
      </c>
      <c r="AJ612" s="39">
        <v>3637.8</v>
      </c>
      <c r="AK612" s="39">
        <v>3641.63</v>
      </c>
      <c r="AL612" s="39">
        <v>0</v>
      </c>
      <c r="AM612" s="39">
        <v>0</v>
      </c>
      <c r="AN612" s="39">
        <v>0</v>
      </c>
      <c r="AO612" s="39">
        <v>3643.01</v>
      </c>
      <c r="AP612" s="39">
        <v>3637.8</v>
      </c>
      <c r="AQ612" s="39">
        <v>3641.63</v>
      </c>
      <c r="AR612" s="39">
        <v>3643.01</v>
      </c>
    </row>
    <row r="613" spans="1:44" x14ac:dyDescent="0.35">
      <c r="A613" s="16" t="str">
        <f t="shared" si="53"/>
        <v>54</v>
      </c>
      <c r="B613" s="19">
        <v>72256</v>
      </c>
      <c r="C613" s="16" t="str">
        <f t="shared" si="54"/>
        <v>0000000</v>
      </c>
      <c r="D613" s="17" t="s">
        <v>3663</v>
      </c>
      <c r="E613" s="16" t="s">
        <v>3396</v>
      </c>
      <c r="F613" s="16" t="s">
        <v>3311</v>
      </c>
      <c r="G613" s="35" t="s">
        <v>3397</v>
      </c>
      <c r="H613" s="39">
        <v>25483.56</v>
      </c>
      <c r="I613" s="39">
        <v>25576.560000000001</v>
      </c>
      <c r="J613" s="39">
        <v>25394.560000000001</v>
      </c>
      <c r="K613" s="39">
        <v>0</v>
      </c>
      <c r="L613" s="39">
        <v>0</v>
      </c>
      <c r="M613" s="39">
        <v>0</v>
      </c>
      <c r="N613" s="39">
        <v>0</v>
      </c>
      <c r="O613" s="39">
        <v>0</v>
      </c>
      <c r="P613" s="39">
        <v>0</v>
      </c>
      <c r="Q613" s="39">
        <v>0</v>
      </c>
      <c r="R613" s="39">
        <v>0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0</v>
      </c>
      <c r="AA613" s="39">
        <v>0</v>
      </c>
      <c r="AB613" s="39">
        <v>0</v>
      </c>
      <c r="AC613" s="39">
        <v>1340.43</v>
      </c>
      <c r="AD613" s="39">
        <v>1306.27</v>
      </c>
      <c r="AE613" s="39">
        <v>1333.7</v>
      </c>
      <c r="AF613" s="39">
        <v>0</v>
      </c>
      <c r="AG613" s="39">
        <v>0</v>
      </c>
      <c r="AH613" s="39">
        <v>0</v>
      </c>
      <c r="AI613" s="39">
        <v>26823.99</v>
      </c>
      <c r="AJ613" s="39">
        <v>26882.83</v>
      </c>
      <c r="AK613" s="39">
        <v>26728.26</v>
      </c>
      <c r="AL613" s="39">
        <v>0</v>
      </c>
      <c r="AM613" s="39">
        <v>0</v>
      </c>
      <c r="AN613" s="39">
        <v>0</v>
      </c>
      <c r="AO613" s="39">
        <v>26823.99</v>
      </c>
      <c r="AP613" s="39">
        <v>26882.83</v>
      </c>
      <c r="AQ613" s="39">
        <v>26728.26</v>
      </c>
      <c r="AR613" s="39">
        <v>26882.83</v>
      </c>
    </row>
    <row r="614" spans="1:44" x14ac:dyDescent="0.35">
      <c r="A614" s="16" t="str">
        <f t="shared" si="53"/>
        <v>54</v>
      </c>
      <c r="B614" s="19">
        <v>71902</v>
      </c>
      <c r="C614" s="16" t="str">
        <f t="shared" si="54"/>
        <v>0000000</v>
      </c>
      <c r="D614" s="17" t="s">
        <v>3663</v>
      </c>
      <c r="E614" s="16" t="s">
        <v>3342</v>
      </c>
      <c r="F614" s="16" t="s">
        <v>3311</v>
      </c>
      <c r="G614" s="35" t="s">
        <v>3343</v>
      </c>
      <c r="H614" s="39">
        <v>1296.6400000000001</v>
      </c>
      <c r="I614" s="39">
        <v>1307.51</v>
      </c>
      <c r="J614" s="39">
        <v>1292.03</v>
      </c>
      <c r="K614" s="39">
        <v>0</v>
      </c>
      <c r="L614" s="39">
        <v>0</v>
      </c>
      <c r="M614" s="39">
        <v>0</v>
      </c>
      <c r="N614" s="39">
        <v>0</v>
      </c>
      <c r="O614" s="39">
        <v>0</v>
      </c>
      <c r="P614" s="39">
        <v>0</v>
      </c>
      <c r="Q614" s="39">
        <v>0</v>
      </c>
      <c r="R614" s="39">
        <v>0</v>
      </c>
      <c r="S614" s="39">
        <v>0</v>
      </c>
      <c r="T614" s="39">
        <v>0</v>
      </c>
      <c r="U614" s="39">
        <v>0</v>
      </c>
      <c r="V614" s="39">
        <v>0</v>
      </c>
      <c r="W614" s="39">
        <v>0</v>
      </c>
      <c r="X614" s="39">
        <v>0</v>
      </c>
      <c r="Y614" s="39">
        <v>0</v>
      </c>
      <c r="Z614" s="39">
        <v>0</v>
      </c>
      <c r="AA614" s="39">
        <v>0</v>
      </c>
      <c r="AB614" s="39">
        <v>0</v>
      </c>
      <c r="AC614" s="39">
        <v>0</v>
      </c>
      <c r="AD614" s="39">
        <v>0</v>
      </c>
      <c r="AE614" s="39">
        <v>0</v>
      </c>
      <c r="AF614" s="39">
        <v>0</v>
      </c>
      <c r="AG614" s="39">
        <v>0</v>
      </c>
      <c r="AH614" s="39">
        <v>0</v>
      </c>
      <c r="AI614" s="39">
        <v>1296.6400000000001</v>
      </c>
      <c r="AJ614" s="39">
        <v>1307.51</v>
      </c>
      <c r="AK614" s="39">
        <v>1292.03</v>
      </c>
      <c r="AL614" s="39">
        <v>0</v>
      </c>
      <c r="AM614" s="39">
        <v>0</v>
      </c>
      <c r="AN614" s="39">
        <v>0</v>
      </c>
      <c r="AO614" s="39">
        <v>1296.6400000000001</v>
      </c>
      <c r="AP614" s="39">
        <v>1307.51</v>
      </c>
      <c r="AQ614" s="39">
        <v>1292.03</v>
      </c>
      <c r="AR614" s="39">
        <v>1307.51</v>
      </c>
    </row>
    <row r="615" spans="1:44" x14ac:dyDescent="0.35">
      <c r="A615" s="16" t="str">
        <f t="shared" si="53"/>
        <v>54</v>
      </c>
      <c r="B615" s="19">
        <v>72231</v>
      </c>
      <c r="C615" s="16" t="str">
        <f t="shared" si="54"/>
        <v>0000000</v>
      </c>
      <c r="D615" s="17" t="s">
        <v>3663</v>
      </c>
      <c r="E615" s="16" t="s">
        <v>3392</v>
      </c>
      <c r="F615" s="16" t="s">
        <v>3311</v>
      </c>
      <c r="G615" s="35" t="s">
        <v>3393</v>
      </c>
      <c r="H615" s="39">
        <v>8778.58</v>
      </c>
      <c r="I615" s="39">
        <v>8783.0499999999993</v>
      </c>
      <c r="J615" s="39">
        <v>8572.1</v>
      </c>
      <c r="K615" s="39">
        <v>0</v>
      </c>
      <c r="L615" s="39">
        <v>0</v>
      </c>
      <c r="M615" s="39">
        <v>0</v>
      </c>
      <c r="N615" s="39">
        <v>0</v>
      </c>
      <c r="O615" s="39">
        <v>0</v>
      </c>
      <c r="P615" s="39">
        <v>0</v>
      </c>
      <c r="Q615" s="39">
        <v>0</v>
      </c>
      <c r="R615" s="39">
        <v>0</v>
      </c>
      <c r="S615" s="39">
        <v>0</v>
      </c>
      <c r="T615" s="39">
        <v>0</v>
      </c>
      <c r="U615" s="39">
        <v>0</v>
      </c>
      <c r="V615" s="39">
        <v>0</v>
      </c>
      <c r="W615" s="39">
        <v>0</v>
      </c>
      <c r="X615" s="39">
        <v>0</v>
      </c>
      <c r="Y615" s="39">
        <v>0</v>
      </c>
      <c r="Z615" s="39">
        <v>0</v>
      </c>
      <c r="AA615" s="39">
        <v>0</v>
      </c>
      <c r="AB615" s="39">
        <v>0</v>
      </c>
      <c r="AC615" s="39">
        <v>0</v>
      </c>
      <c r="AD615" s="39">
        <v>0</v>
      </c>
      <c r="AE615" s="39">
        <v>0</v>
      </c>
      <c r="AF615" s="39">
        <v>0</v>
      </c>
      <c r="AG615" s="39">
        <v>0</v>
      </c>
      <c r="AH615" s="39">
        <v>0</v>
      </c>
      <c r="AI615" s="39">
        <v>8778.58</v>
      </c>
      <c r="AJ615" s="39">
        <v>8783.0499999999993</v>
      </c>
      <c r="AK615" s="39">
        <v>8572.1</v>
      </c>
      <c r="AL615" s="39">
        <v>0</v>
      </c>
      <c r="AM615" s="39">
        <v>0</v>
      </c>
      <c r="AN615" s="39">
        <v>0</v>
      </c>
      <c r="AO615" s="39">
        <v>8778.58</v>
      </c>
      <c r="AP615" s="39">
        <v>8783.0499999999993</v>
      </c>
      <c r="AQ615" s="39">
        <v>8572.1</v>
      </c>
      <c r="AR615" s="39">
        <v>8783.0499999999993</v>
      </c>
    </row>
    <row r="616" spans="1:44" x14ac:dyDescent="0.35">
      <c r="A616" s="16" t="str">
        <f t="shared" si="53"/>
        <v>54</v>
      </c>
      <c r="B616" s="19">
        <v>71993</v>
      </c>
      <c r="C616" s="16" t="str">
        <f t="shared" si="54"/>
        <v>0000000</v>
      </c>
      <c r="D616" s="17" t="s">
        <v>3663</v>
      </c>
      <c r="E616" s="16" t="s">
        <v>3350</v>
      </c>
      <c r="F616" s="16" t="s">
        <v>3311</v>
      </c>
      <c r="G616" s="35" t="s">
        <v>3351</v>
      </c>
      <c r="H616" s="39">
        <v>3707.19</v>
      </c>
      <c r="I616" s="39">
        <v>3734.19</v>
      </c>
      <c r="J616" s="39">
        <v>3674</v>
      </c>
      <c r="K616" s="39">
        <v>0</v>
      </c>
      <c r="L616" s="39">
        <v>0</v>
      </c>
      <c r="M616" s="39">
        <v>0</v>
      </c>
      <c r="N616" s="39">
        <v>0</v>
      </c>
      <c r="O616" s="39">
        <v>0</v>
      </c>
      <c r="P616" s="39">
        <v>0</v>
      </c>
      <c r="Q616" s="39">
        <v>0</v>
      </c>
      <c r="R616" s="39">
        <v>0</v>
      </c>
      <c r="S616" s="39">
        <v>0</v>
      </c>
      <c r="T616" s="39">
        <v>0</v>
      </c>
      <c r="U616" s="39">
        <v>0</v>
      </c>
      <c r="V616" s="39">
        <v>0</v>
      </c>
      <c r="W616" s="39">
        <v>0</v>
      </c>
      <c r="X616" s="39">
        <v>0</v>
      </c>
      <c r="Y616" s="39">
        <v>0</v>
      </c>
      <c r="Z616" s="39">
        <v>0</v>
      </c>
      <c r="AA616" s="39">
        <v>0</v>
      </c>
      <c r="AB616" s="39">
        <v>0</v>
      </c>
      <c r="AC616" s="39">
        <v>12.91</v>
      </c>
      <c r="AD616" s="39">
        <v>39.869999999999997</v>
      </c>
      <c r="AE616" s="39">
        <v>33.21</v>
      </c>
      <c r="AF616" s="39">
        <v>0</v>
      </c>
      <c r="AG616" s="39">
        <v>0</v>
      </c>
      <c r="AH616" s="39">
        <v>0</v>
      </c>
      <c r="AI616" s="39">
        <v>3720.1</v>
      </c>
      <c r="AJ616" s="39">
        <v>3774.06</v>
      </c>
      <c r="AK616" s="39">
        <v>3707.21</v>
      </c>
      <c r="AL616" s="39">
        <v>0</v>
      </c>
      <c r="AM616" s="39">
        <v>0</v>
      </c>
      <c r="AN616" s="39">
        <v>0</v>
      </c>
      <c r="AO616" s="39">
        <v>3720.1</v>
      </c>
      <c r="AP616" s="39">
        <v>3774.06</v>
      </c>
      <c r="AQ616" s="39">
        <v>3707.21</v>
      </c>
      <c r="AR616" s="39">
        <v>3774.06</v>
      </c>
    </row>
    <row r="617" spans="1:44" x14ac:dyDescent="0.35">
      <c r="A617" s="16" t="str">
        <f t="shared" si="53"/>
        <v>54</v>
      </c>
      <c r="B617" s="19">
        <v>72173</v>
      </c>
      <c r="C617" s="16" t="str">
        <f t="shared" si="54"/>
        <v>0000000</v>
      </c>
      <c r="D617" s="17" t="s">
        <v>3663</v>
      </c>
      <c r="E617" s="16" t="s">
        <v>3380</v>
      </c>
      <c r="F617" s="16" t="s">
        <v>3311</v>
      </c>
      <c r="G617" s="35" t="s">
        <v>3381</v>
      </c>
      <c r="H617" s="39">
        <v>805.05</v>
      </c>
      <c r="I617" s="39">
        <v>805.06</v>
      </c>
      <c r="J617" s="39">
        <v>788.23</v>
      </c>
      <c r="K617" s="39">
        <v>0</v>
      </c>
      <c r="L617" s="39">
        <v>0</v>
      </c>
      <c r="M617" s="39">
        <v>0</v>
      </c>
      <c r="N617" s="39">
        <v>0</v>
      </c>
      <c r="O617" s="39">
        <v>0</v>
      </c>
      <c r="P617" s="39">
        <v>0</v>
      </c>
      <c r="Q617" s="39">
        <v>0</v>
      </c>
      <c r="R617" s="39">
        <v>0</v>
      </c>
      <c r="S617" s="39">
        <v>0</v>
      </c>
      <c r="T617" s="39">
        <v>0</v>
      </c>
      <c r="U617" s="39">
        <v>0</v>
      </c>
      <c r="V617" s="39">
        <v>0</v>
      </c>
      <c r="W617" s="39">
        <v>0</v>
      </c>
      <c r="X617" s="39">
        <v>0</v>
      </c>
      <c r="Y617" s="39">
        <v>0</v>
      </c>
      <c r="Z617" s="39">
        <v>0</v>
      </c>
      <c r="AA617" s="39">
        <v>0</v>
      </c>
      <c r="AB617" s="39">
        <v>0</v>
      </c>
      <c r="AC617" s="39">
        <v>0</v>
      </c>
      <c r="AD617" s="39">
        <v>0</v>
      </c>
      <c r="AE617" s="39">
        <v>0</v>
      </c>
      <c r="AF617" s="39">
        <v>0</v>
      </c>
      <c r="AG617" s="39">
        <v>0</v>
      </c>
      <c r="AH617" s="39">
        <v>0</v>
      </c>
      <c r="AI617" s="39">
        <v>805.05</v>
      </c>
      <c r="AJ617" s="39">
        <v>805.06</v>
      </c>
      <c r="AK617" s="39">
        <v>788.23</v>
      </c>
      <c r="AL617" s="39">
        <v>0</v>
      </c>
      <c r="AM617" s="39">
        <v>0</v>
      </c>
      <c r="AN617" s="39">
        <v>0</v>
      </c>
      <c r="AO617" s="39">
        <v>805.05</v>
      </c>
      <c r="AP617" s="39">
        <v>805.06</v>
      </c>
      <c r="AQ617" s="39">
        <v>788.23</v>
      </c>
      <c r="AR617" s="39">
        <v>805.06</v>
      </c>
    </row>
    <row r="618" spans="1:44" x14ac:dyDescent="0.35">
      <c r="A618" s="16" t="str">
        <f t="shared" si="53"/>
        <v>54</v>
      </c>
      <c r="B618" s="19">
        <v>71837</v>
      </c>
      <c r="C618" s="16" t="str">
        <f t="shared" si="54"/>
        <v>0000000</v>
      </c>
      <c r="D618" s="17" t="s">
        <v>3663</v>
      </c>
      <c r="E618" s="16" t="s">
        <v>3334</v>
      </c>
      <c r="F618" s="16" t="s">
        <v>3311</v>
      </c>
      <c r="G618" s="35" t="s">
        <v>3335</v>
      </c>
      <c r="H618" s="39">
        <v>2269.41</v>
      </c>
      <c r="I618" s="39">
        <v>2304.58</v>
      </c>
      <c r="J618" s="39">
        <v>2267.0700000000002</v>
      </c>
      <c r="K618" s="39">
        <v>0</v>
      </c>
      <c r="L618" s="39">
        <v>0</v>
      </c>
      <c r="M618" s="39">
        <v>0</v>
      </c>
      <c r="N618" s="39">
        <v>0</v>
      </c>
      <c r="O618" s="39">
        <v>0</v>
      </c>
      <c r="P618" s="39">
        <v>0</v>
      </c>
      <c r="Q618" s="39">
        <v>0</v>
      </c>
      <c r="R618" s="39">
        <v>0</v>
      </c>
      <c r="S618" s="39">
        <v>0</v>
      </c>
      <c r="T618" s="39">
        <v>0</v>
      </c>
      <c r="U618" s="39">
        <v>0</v>
      </c>
      <c r="V618" s="39">
        <v>0</v>
      </c>
      <c r="W618" s="39">
        <v>0</v>
      </c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2324.42</v>
      </c>
      <c r="AD618" s="39">
        <v>2314.06</v>
      </c>
      <c r="AE618" s="39">
        <v>2239.29</v>
      </c>
      <c r="AF618" s="39">
        <v>0</v>
      </c>
      <c r="AG618" s="39">
        <v>0</v>
      </c>
      <c r="AH618" s="39">
        <v>0</v>
      </c>
      <c r="AI618" s="39">
        <v>4593.83</v>
      </c>
      <c r="AJ618" s="39">
        <v>4618.6400000000003</v>
      </c>
      <c r="AK618" s="39">
        <v>4506.3599999999997</v>
      </c>
      <c r="AL618" s="39">
        <v>0</v>
      </c>
      <c r="AM618" s="39">
        <v>0</v>
      </c>
      <c r="AN618" s="39">
        <v>0</v>
      </c>
      <c r="AO618" s="39">
        <v>4593.83</v>
      </c>
      <c r="AP618" s="39">
        <v>4618.6400000000003</v>
      </c>
      <c r="AQ618" s="39">
        <v>4506.3599999999997</v>
      </c>
      <c r="AR618" s="39">
        <v>4618.6400000000003</v>
      </c>
    </row>
    <row r="619" spans="1:44" x14ac:dyDescent="0.35">
      <c r="A619" s="16" t="str">
        <f t="shared" si="53"/>
        <v>54</v>
      </c>
      <c r="B619" s="19">
        <v>72298</v>
      </c>
      <c r="C619" s="16" t="str">
        <f t="shared" si="54"/>
        <v>0000000</v>
      </c>
      <c r="D619" s="17" t="s">
        <v>3663</v>
      </c>
      <c r="E619" s="16" t="s">
        <v>3400</v>
      </c>
      <c r="F619" s="16" t="s">
        <v>3311</v>
      </c>
      <c r="G619" s="35" t="s">
        <v>3401</v>
      </c>
      <c r="H619" s="39">
        <v>356.94</v>
      </c>
      <c r="I619" s="39">
        <v>364.14</v>
      </c>
      <c r="J619" s="39">
        <v>390.35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356.94</v>
      </c>
      <c r="AJ619" s="39">
        <v>364.14</v>
      </c>
      <c r="AK619" s="39">
        <v>390.35</v>
      </c>
      <c r="AL619" s="39">
        <v>0</v>
      </c>
      <c r="AM619" s="39">
        <v>0</v>
      </c>
      <c r="AN619" s="39">
        <v>0</v>
      </c>
      <c r="AO619" s="39">
        <v>356.94</v>
      </c>
      <c r="AP619" s="39">
        <v>364.14</v>
      </c>
      <c r="AQ619" s="39">
        <v>390.35</v>
      </c>
      <c r="AR619" s="39">
        <v>390.35</v>
      </c>
    </row>
    <row r="620" spans="1:44" x14ac:dyDescent="0.35">
      <c r="A620" s="16" t="str">
        <f t="shared" si="53"/>
        <v>54</v>
      </c>
      <c r="B620" s="19">
        <v>72041</v>
      </c>
      <c r="C620" s="16" t="str">
        <f t="shared" si="54"/>
        <v>0000000</v>
      </c>
      <c r="D620" s="17" t="s">
        <v>3663</v>
      </c>
      <c r="E620" s="16" t="s">
        <v>3360</v>
      </c>
      <c r="F620" s="16" t="s">
        <v>3311</v>
      </c>
      <c r="G620" s="35" t="s">
        <v>3361</v>
      </c>
      <c r="H620" s="39">
        <v>786.04</v>
      </c>
      <c r="I620" s="39">
        <v>814.56</v>
      </c>
      <c r="J620" s="39">
        <v>826.75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786.04</v>
      </c>
      <c r="AJ620" s="39">
        <v>814.56</v>
      </c>
      <c r="AK620" s="39">
        <v>826.75</v>
      </c>
      <c r="AL620" s="39">
        <v>0</v>
      </c>
      <c r="AM620" s="39">
        <v>0</v>
      </c>
      <c r="AN620" s="39">
        <v>0</v>
      </c>
      <c r="AO620" s="39">
        <v>786.04</v>
      </c>
      <c r="AP620" s="39">
        <v>814.56</v>
      </c>
      <c r="AQ620" s="39">
        <v>826.75</v>
      </c>
      <c r="AR620" s="39">
        <v>826.75</v>
      </c>
    </row>
    <row r="621" spans="1:44" x14ac:dyDescent="0.35">
      <c r="A621" s="16" t="str">
        <f t="shared" si="53"/>
        <v>54</v>
      </c>
      <c r="B621" s="19">
        <v>71969</v>
      </c>
      <c r="C621" s="16" t="str">
        <f t="shared" si="54"/>
        <v>0000000</v>
      </c>
      <c r="D621" s="17" t="s">
        <v>3663</v>
      </c>
      <c r="E621" s="16" t="s">
        <v>3347</v>
      </c>
      <c r="F621" s="16" t="s">
        <v>3311</v>
      </c>
      <c r="G621" s="35" t="s">
        <v>3348</v>
      </c>
      <c r="H621" s="39">
        <v>373.56</v>
      </c>
      <c r="I621" s="39">
        <v>387.09</v>
      </c>
      <c r="J621" s="39">
        <v>378.83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373.56</v>
      </c>
      <c r="AJ621" s="39">
        <v>387.09</v>
      </c>
      <c r="AK621" s="39">
        <v>378.83</v>
      </c>
      <c r="AL621" s="39">
        <v>0</v>
      </c>
      <c r="AM621" s="39">
        <v>0</v>
      </c>
      <c r="AN621" s="39">
        <v>0</v>
      </c>
      <c r="AO621" s="39">
        <v>373.56</v>
      </c>
      <c r="AP621" s="39">
        <v>387.09</v>
      </c>
      <c r="AQ621" s="39">
        <v>378.83</v>
      </c>
      <c r="AR621" s="39">
        <v>387.09</v>
      </c>
    </row>
    <row r="622" spans="1:44" x14ac:dyDescent="0.35">
      <c r="A622" s="16" t="str">
        <f t="shared" si="53"/>
        <v>54</v>
      </c>
      <c r="B622" s="19">
        <v>71803</v>
      </c>
      <c r="C622" s="16" t="str">
        <f t="shared" si="54"/>
        <v>0000000</v>
      </c>
      <c r="D622" s="17" t="s">
        <v>3663</v>
      </c>
      <c r="E622" s="16" t="s">
        <v>3323</v>
      </c>
      <c r="F622" s="16" t="s">
        <v>3311</v>
      </c>
      <c r="G622" s="35" t="s">
        <v>3324</v>
      </c>
      <c r="H622" s="39">
        <v>330.5</v>
      </c>
      <c r="I622" s="39">
        <v>339.75</v>
      </c>
      <c r="J622" s="39">
        <v>336.85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330.5</v>
      </c>
      <c r="AJ622" s="39">
        <v>339.75</v>
      </c>
      <c r="AK622" s="39">
        <v>336.85</v>
      </c>
      <c r="AL622" s="39">
        <v>0</v>
      </c>
      <c r="AM622" s="39">
        <v>0</v>
      </c>
      <c r="AN622" s="39">
        <v>0</v>
      </c>
      <c r="AO622" s="39">
        <v>330.5</v>
      </c>
      <c r="AP622" s="39">
        <v>339.75</v>
      </c>
      <c r="AQ622" s="39">
        <v>336.85</v>
      </c>
      <c r="AR622" s="39">
        <v>339.75</v>
      </c>
    </row>
    <row r="623" spans="1:44" x14ac:dyDescent="0.35">
      <c r="A623" s="16" t="str">
        <f t="shared" si="53"/>
        <v>54</v>
      </c>
      <c r="B623" s="19">
        <v>72033</v>
      </c>
      <c r="C623" s="16" t="str">
        <f t="shared" si="54"/>
        <v>0000000</v>
      </c>
      <c r="D623" s="17" t="s">
        <v>3663</v>
      </c>
      <c r="E623" s="16" t="s">
        <v>3358</v>
      </c>
      <c r="F623" s="16" t="s">
        <v>3311</v>
      </c>
      <c r="G623" s="35" t="s">
        <v>3359</v>
      </c>
      <c r="H623" s="39">
        <v>491.03</v>
      </c>
      <c r="I623" s="39">
        <v>481.61</v>
      </c>
      <c r="J623" s="39">
        <v>468.51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491.03</v>
      </c>
      <c r="AJ623" s="39">
        <v>481.61</v>
      </c>
      <c r="AK623" s="39">
        <v>468.51</v>
      </c>
      <c r="AL623" s="39">
        <v>0</v>
      </c>
      <c r="AM623" s="39">
        <v>0</v>
      </c>
      <c r="AN623" s="39">
        <v>0</v>
      </c>
      <c r="AO623" s="39">
        <v>491.03</v>
      </c>
      <c r="AP623" s="39">
        <v>481.61</v>
      </c>
      <c r="AQ623" s="39">
        <v>468.51</v>
      </c>
      <c r="AR623" s="39">
        <v>491.03</v>
      </c>
    </row>
    <row r="624" spans="1:44" x14ac:dyDescent="0.35">
      <c r="A624" s="16" t="str">
        <f t="shared" si="53"/>
        <v>54</v>
      </c>
      <c r="B624" s="19">
        <v>72199</v>
      </c>
      <c r="C624" s="16" t="str">
        <f t="shared" si="54"/>
        <v>0000000</v>
      </c>
      <c r="D624" s="17" t="s">
        <v>3663</v>
      </c>
      <c r="E624" s="16" t="s">
        <v>3384</v>
      </c>
      <c r="F624" s="16" t="s">
        <v>3311</v>
      </c>
      <c r="G624" s="35" t="s">
        <v>3385</v>
      </c>
      <c r="H624" s="39">
        <v>669.74</v>
      </c>
      <c r="I624" s="39">
        <v>690.16</v>
      </c>
      <c r="J624" s="39">
        <v>692.7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669.74</v>
      </c>
      <c r="AJ624" s="39">
        <v>690.16</v>
      </c>
      <c r="AK624" s="39">
        <v>692.7</v>
      </c>
      <c r="AL624" s="39">
        <v>0</v>
      </c>
      <c r="AM624" s="39">
        <v>0</v>
      </c>
      <c r="AN624" s="39">
        <v>0</v>
      </c>
      <c r="AO624" s="39">
        <v>669.74</v>
      </c>
      <c r="AP624" s="39">
        <v>690.16</v>
      </c>
      <c r="AQ624" s="39">
        <v>692.7</v>
      </c>
      <c r="AR624" s="39">
        <v>692.7</v>
      </c>
    </row>
    <row r="625" spans="1:44" x14ac:dyDescent="0.35">
      <c r="A625" s="16" t="str">
        <f t="shared" si="53"/>
        <v>54</v>
      </c>
      <c r="B625" s="19">
        <v>75325</v>
      </c>
      <c r="C625" s="16" t="str">
        <f t="shared" si="54"/>
        <v>0000000</v>
      </c>
      <c r="D625" s="17" t="s">
        <v>3663</v>
      </c>
      <c r="E625" s="16" t="s">
        <v>3402</v>
      </c>
      <c r="F625" s="16" t="s">
        <v>3311</v>
      </c>
      <c r="G625" s="35" t="s">
        <v>3403</v>
      </c>
      <c r="H625" s="39">
        <v>2207.2199999999998</v>
      </c>
      <c r="I625" s="39">
        <v>2256.3000000000002</v>
      </c>
      <c r="J625" s="39">
        <v>2274.5500000000002</v>
      </c>
      <c r="K625" s="39">
        <v>0</v>
      </c>
      <c r="L625" s="39">
        <v>0</v>
      </c>
      <c r="M625" s="39">
        <v>0</v>
      </c>
      <c r="N625" s="39">
        <v>0</v>
      </c>
      <c r="O625" s="39">
        <v>0</v>
      </c>
      <c r="P625" s="39">
        <v>0</v>
      </c>
      <c r="Q625" s="39">
        <v>0</v>
      </c>
      <c r="R625" s="39">
        <v>0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0</v>
      </c>
      <c r="AA625" s="39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0</v>
      </c>
      <c r="AG625" s="39">
        <v>0</v>
      </c>
      <c r="AH625" s="39">
        <v>0</v>
      </c>
      <c r="AI625" s="39">
        <v>2207.2199999999998</v>
      </c>
      <c r="AJ625" s="39">
        <v>2256.3000000000002</v>
      </c>
      <c r="AK625" s="39">
        <v>2274.5500000000002</v>
      </c>
      <c r="AL625" s="39">
        <v>0</v>
      </c>
      <c r="AM625" s="39">
        <v>0</v>
      </c>
      <c r="AN625" s="39">
        <v>0</v>
      </c>
      <c r="AO625" s="39">
        <v>2207.2199999999998</v>
      </c>
      <c r="AP625" s="39">
        <v>2256.3000000000002</v>
      </c>
      <c r="AQ625" s="39">
        <v>2274.5500000000002</v>
      </c>
      <c r="AR625" s="39">
        <v>2274.5500000000002</v>
      </c>
    </row>
    <row r="626" spans="1:44" x14ac:dyDescent="0.35">
      <c r="A626" s="16" t="str">
        <f t="shared" si="53"/>
        <v>54</v>
      </c>
      <c r="B626" s="19">
        <v>75531</v>
      </c>
      <c r="C626" s="16" t="str">
        <f t="shared" si="54"/>
        <v>0000000</v>
      </c>
      <c r="D626" s="17" t="s">
        <v>3663</v>
      </c>
      <c r="E626" s="16" t="s">
        <v>3406</v>
      </c>
      <c r="F626" s="16" t="s">
        <v>3311</v>
      </c>
      <c r="G626" s="35" t="s">
        <v>3407</v>
      </c>
      <c r="H626" s="39">
        <v>5630.26</v>
      </c>
      <c r="I626" s="39">
        <v>5665.34</v>
      </c>
      <c r="J626" s="39">
        <v>5838.4</v>
      </c>
      <c r="K626" s="39">
        <v>0</v>
      </c>
      <c r="L626" s="39">
        <v>0</v>
      </c>
      <c r="M626" s="39">
        <v>0</v>
      </c>
      <c r="N626" s="39">
        <v>0</v>
      </c>
      <c r="O626" s="39">
        <v>0</v>
      </c>
      <c r="P626" s="39">
        <v>0</v>
      </c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0</v>
      </c>
      <c r="AA626" s="39">
        <v>0</v>
      </c>
      <c r="AB626" s="39">
        <v>0</v>
      </c>
      <c r="AC626" s="39">
        <v>0</v>
      </c>
      <c r="AD626" s="39">
        <v>0</v>
      </c>
      <c r="AE626" s="39">
        <v>0</v>
      </c>
      <c r="AF626" s="39">
        <v>0</v>
      </c>
      <c r="AG626" s="39">
        <v>0</v>
      </c>
      <c r="AH626" s="39">
        <v>0</v>
      </c>
      <c r="AI626" s="39">
        <v>5630.26</v>
      </c>
      <c r="AJ626" s="39">
        <v>5665.34</v>
      </c>
      <c r="AK626" s="39">
        <v>5838.4</v>
      </c>
      <c r="AL626" s="39">
        <v>0</v>
      </c>
      <c r="AM626" s="39">
        <v>0</v>
      </c>
      <c r="AN626" s="39">
        <v>0</v>
      </c>
      <c r="AO626" s="39">
        <v>5630.26</v>
      </c>
      <c r="AP626" s="39">
        <v>5665.34</v>
      </c>
      <c r="AQ626" s="39">
        <v>5838.4</v>
      </c>
      <c r="AR626" s="39">
        <v>5838.4</v>
      </c>
    </row>
    <row r="627" spans="1:44" x14ac:dyDescent="0.35">
      <c r="A627" s="16" t="str">
        <f t="shared" si="53"/>
        <v>54</v>
      </c>
      <c r="B627" s="19">
        <v>75523</v>
      </c>
      <c r="C627" s="16" t="str">
        <f t="shared" si="54"/>
        <v>0000000</v>
      </c>
      <c r="D627" s="17" t="s">
        <v>3663</v>
      </c>
      <c r="E627" s="16" t="s">
        <v>3404</v>
      </c>
      <c r="F627" s="16" t="s">
        <v>3311</v>
      </c>
      <c r="G627" s="35" t="s">
        <v>3405</v>
      </c>
      <c r="H627" s="39">
        <v>11773.35</v>
      </c>
      <c r="I627" s="39">
        <v>11823.93</v>
      </c>
      <c r="J627" s="39">
        <v>12076.97</v>
      </c>
      <c r="K627" s="39">
        <v>0</v>
      </c>
      <c r="L627" s="39">
        <v>0</v>
      </c>
      <c r="M627" s="39">
        <v>0</v>
      </c>
      <c r="N627" s="39">
        <v>0</v>
      </c>
      <c r="O627" s="39">
        <v>0</v>
      </c>
      <c r="P627" s="39">
        <v>0</v>
      </c>
      <c r="Q627" s="39">
        <v>0</v>
      </c>
      <c r="R627" s="39">
        <v>0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>
        <v>0</v>
      </c>
      <c r="Y627" s="39">
        <v>0</v>
      </c>
      <c r="Z627" s="39">
        <v>0</v>
      </c>
      <c r="AA627" s="39">
        <v>0</v>
      </c>
      <c r="AB627" s="39">
        <v>0</v>
      </c>
      <c r="AC627" s="39">
        <v>1152.8699999999999</v>
      </c>
      <c r="AD627" s="39">
        <v>1185.01</v>
      </c>
      <c r="AE627" s="39">
        <v>1089.03</v>
      </c>
      <c r="AF627" s="39">
        <v>0</v>
      </c>
      <c r="AG627" s="39">
        <v>0</v>
      </c>
      <c r="AH627" s="39">
        <v>0</v>
      </c>
      <c r="AI627" s="39">
        <v>12926.22</v>
      </c>
      <c r="AJ627" s="39">
        <v>13008.94</v>
      </c>
      <c r="AK627" s="39">
        <v>13166</v>
      </c>
      <c r="AL627" s="39">
        <v>0</v>
      </c>
      <c r="AM627" s="39">
        <v>0</v>
      </c>
      <c r="AN627" s="39">
        <v>0</v>
      </c>
      <c r="AO627" s="39">
        <v>12926.22</v>
      </c>
      <c r="AP627" s="39">
        <v>13008.94</v>
      </c>
      <c r="AQ627" s="39">
        <v>13166</v>
      </c>
      <c r="AR627" s="39">
        <v>13166</v>
      </c>
    </row>
    <row r="628" spans="1:44" x14ac:dyDescent="0.35">
      <c r="A628" s="16" t="str">
        <f t="shared" si="53"/>
        <v>54</v>
      </c>
      <c r="B628" s="19">
        <v>71795</v>
      </c>
      <c r="C628" s="16" t="str">
        <f t="shared" si="54"/>
        <v>0000000</v>
      </c>
      <c r="D628" s="17" t="s">
        <v>3663</v>
      </c>
      <c r="E628" s="16" t="s">
        <v>3321</v>
      </c>
      <c r="F628" s="16" t="s">
        <v>3311</v>
      </c>
      <c r="G628" s="35" t="s">
        <v>3322</v>
      </c>
      <c r="H628" s="39">
        <v>105.63</v>
      </c>
      <c r="I628" s="39">
        <v>95.75</v>
      </c>
      <c r="J628" s="39">
        <v>78.88</v>
      </c>
      <c r="K628" s="39">
        <v>0</v>
      </c>
      <c r="L628" s="39">
        <v>0</v>
      </c>
      <c r="M628" s="39">
        <v>0</v>
      </c>
      <c r="N628" s="39">
        <v>0</v>
      </c>
      <c r="O628" s="39">
        <v>0</v>
      </c>
      <c r="P628" s="39">
        <v>0</v>
      </c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0</v>
      </c>
      <c r="AA628" s="39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0</v>
      </c>
      <c r="AG628" s="39">
        <v>0</v>
      </c>
      <c r="AH628" s="39">
        <v>0</v>
      </c>
      <c r="AI628" s="39">
        <v>105.63</v>
      </c>
      <c r="AJ628" s="39">
        <v>95.75</v>
      </c>
      <c r="AK628" s="39">
        <v>78.88</v>
      </c>
      <c r="AL628" s="39">
        <v>0</v>
      </c>
      <c r="AM628" s="39">
        <v>0</v>
      </c>
      <c r="AN628" s="39">
        <v>0</v>
      </c>
      <c r="AO628" s="39">
        <v>105.63</v>
      </c>
      <c r="AP628" s="39">
        <v>95.75</v>
      </c>
      <c r="AQ628" s="39">
        <v>78.88</v>
      </c>
      <c r="AR628" s="39">
        <v>105.63</v>
      </c>
    </row>
    <row r="629" spans="1:44" x14ac:dyDescent="0.35">
      <c r="A629" s="16" t="str">
        <f t="shared" si="53"/>
        <v>54</v>
      </c>
      <c r="B629" s="19">
        <v>71811</v>
      </c>
      <c r="C629" s="16" t="str">
        <f t="shared" si="54"/>
        <v>0000000</v>
      </c>
      <c r="D629" s="17" t="s">
        <v>3663</v>
      </c>
      <c r="E629" s="16" t="s">
        <v>3328</v>
      </c>
      <c r="F629" s="16" t="s">
        <v>3311</v>
      </c>
      <c r="G629" s="35" t="s">
        <v>3329</v>
      </c>
      <c r="H629" s="39">
        <v>503.17</v>
      </c>
      <c r="I629" s="39">
        <v>482.05</v>
      </c>
      <c r="J629" s="39">
        <v>464.11</v>
      </c>
      <c r="K629" s="39">
        <v>0</v>
      </c>
      <c r="L629" s="39">
        <v>0</v>
      </c>
      <c r="M629" s="39">
        <v>0</v>
      </c>
      <c r="N629" s="39">
        <v>0</v>
      </c>
      <c r="O629" s="39">
        <v>0</v>
      </c>
      <c r="P629" s="39">
        <v>0</v>
      </c>
      <c r="Q629" s="39">
        <v>0</v>
      </c>
      <c r="R629" s="39">
        <v>0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0</v>
      </c>
      <c r="AA629" s="39">
        <v>0</v>
      </c>
      <c r="AB629" s="39">
        <v>0</v>
      </c>
      <c r="AC629" s="39">
        <v>0</v>
      </c>
      <c r="AD629" s="39">
        <v>0</v>
      </c>
      <c r="AE629" s="39">
        <v>0</v>
      </c>
      <c r="AF629" s="39">
        <v>0</v>
      </c>
      <c r="AG629" s="39">
        <v>0</v>
      </c>
      <c r="AH629" s="39">
        <v>0</v>
      </c>
      <c r="AI629" s="39">
        <v>503.17</v>
      </c>
      <c r="AJ629" s="39">
        <v>482.05</v>
      </c>
      <c r="AK629" s="39">
        <v>464.11</v>
      </c>
      <c r="AL629" s="39">
        <v>0</v>
      </c>
      <c r="AM629" s="39">
        <v>0</v>
      </c>
      <c r="AN629" s="39">
        <v>0</v>
      </c>
      <c r="AO629" s="39">
        <v>503.17</v>
      </c>
      <c r="AP629" s="39">
        <v>482.05</v>
      </c>
      <c r="AQ629" s="39">
        <v>464.11</v>
      </c>
      <c r="AR629" s="39">
        <v>503.17</v>
      </c>
    </row>
    <row r="630" spans="1:44" x14ac:dyDescent="0.35">
      <c r="A630" s="16" t="str">
        <f t="shared" si="53"/>
        <v>54</v>
      </c>
      <c r="B630" s="19">
        <v>71829</v>
      </c>
      <c r="C630" s="16" t="str">
        <f t="shared" si="54"/>
        <v>0000000</v>
      </c>
      <c r="D630" s="17" t="s">
        <v>3663</v>
      </c>
      <c r="E630" s="16" t="s">
        <v>3332</v>
      </c>
      <c r="F630" s="16" t="s">
        <v>3311</v>
      </c>
      <c r="G630" s="35" t="s">
        <v>3333</v>
      </c>
      <c r="H630" s="39">
        <v>166.46</v>
      </c>
      <c r="I630" s="39">
        <v>166.4</v>
      </c>
      <c r="J630" s="39">
        <v>179.62</v>
      </c>
      <c r="K630" s="39">
        <v>0</v>
      </c>
      <c r="L630" s="39">
        <v>0</v>
      </c>
      <c r="M630" s="39">
        <v>0</v>
      </c>
      <c r="N630" s="39">
        <v>0</v>
      </c>
      <c r="O630" s="39">
        <v>0</v>
      </c>
      <c r="P630" s="39">
        <v>0</v>
      </c>
      <c r="Q630" s="39">
        <v>0</v>
      </c>
      <c r="R630" s="39">
        <v>0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0</v>
      </c>
      <c r="Y630" s="39">
        <v>0</v>
      </c>
      <c r="Z630" s="39">
        <v>0</v>
      </c>
      <c r="AA630" s="39">
        <v>0</v>
      </c>
      <c r="AB630" s="39">
        <v>0</v>
      </c>
      <c r="AC630" s="39">
        <v>0</v>
      </c>
      <c r="AD630" s="39">
        <v>0</v>
      </c>
      <c r="AE630" s="39">
        <v>0</v>
      </c>
      <c r="AF630" s="39">
        <v>0</v>
      </c>
      <c r="AG630" s="39">
        <v>0</v>
      </c>
      <c r="AH630" s="39">
        <v>0</v>
      </c>
      <c r="AI630" s="39">
        <v>166.46</v>
      </c>
      <c r="AJ630" s="39">
        <v>166.4</v>
      </c>
      <c r="AK630" s="39">
        <v>179.62</v>
      </c>
      <c r="AL630" s="39">
        <v>0</v>
      </c>
      <c r="AM630" s="39">
        <v>0</v>
      </c>
      <c r="AN630" s="39">
        <v>0</v>
      </c>
      <c r="AO630" s="39">
        <v>166.46</v>
      </c>
      <c r="AP630" s="39">
        <v>166.4</v>
      </c>
      <c r="AQ630" s="39">
        <v>179.62</v>
      </c>
      <c r="AR630" s="39">
        <v>179.62</v>
      </c>
    </row>
    <row r="631" spans="1:44" x14ac:dyDescent="0.35">
      <c r="A631" s="16" t="str">
        <f t="shared" si="53"/>
        <v>54</v>
      </c>
      <c r="B631" s="19">
        <v>71852</v>
      </c>
      <c r="C631" s="16" t="str">
        <f t="shared" si="54"/>
        <v>0000000</v>
      </c>
      <c r="D631" s="17" t="s">
        <v>3663</v>
      </c>
      <c r="E631" s="16" t="s">
        <v>3336</v>
      </c>
      <c r="F631" s="16" t="s">
        <v>3311</v>
      </c>
      <c r="G631" s="35" t="s">
        <v>3337</v>
      </c>
      <c r="H631" s="39">
        <v>166.76</v>
      </c>
      <c r="I631" s="39">
        <v>170.86</v>
      </c>
      <c r="J631" s="39">
        <v>177.95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166.76</v>
      </c>
      <c r="AJ631" s="39">
        <v>170.86</v>
      </c>
      <c r="AK631" s="39">
        <v>177.95</v>
      </c>
      <c r="AL631" s="39">
        <v>0</v>
      </c>
      <c r="AM631" s="39">
        <v>0</v>
      </c>
      <c r="AN631" s="39">
        <v>0</v>
      </c>
      <c r="AO631" s="39">
        <v>166.76</v>
      </c>
      <c r="AP631" s="39">
        <v>170.86</v>
      </c>
      <c r="AQ631" s="39">
        <v>177.95</v>
      </c>
      <c r="AR631" s="39">
        <v>177.95</v>
      </c>
    </row>
    <row r="632" spans="1:44" x14ac:dyDescent="0.35">
      <c r="A632" s="16" t="str">
        <f t="shared" si="53"/>
        <v>54</v>
      </c>
      <c r="B632" s="19">
        <v>71894</v>
      </c>
      <c r="C632" s="16" t="str">
        <f t="shared" si="54"/>
        <v>0000000</v>
      </c>
      <c r="D632" s="17" t="s">
        <v>3663</v>
      </c>
      <c r="E632" s="16" t="s">
        <v>3340</v>
      </c>
      <c r="F632" s="16" t="s">
        <v>3311</v>
      </c>
      <c r="G632" s="35" t="s">
        <v>3341</v>
      </c>
      <c r="H632" s="39">
        <v>127.85</v>
      </c>
      <c r="I632" s="39">
        <v>144.97999999999999</v>
      </c>
      <c r="J632" s="39">
        <v>122.05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127.85</v>
      </c>
      <c r="AJ632" s="39">
        <v>144.97999999999999</v>
      </c>
      <c r="AK632" s="39">
        <v>122.05</v>
      </c>
      <c r="AL632" s="39">
        <v>0</v>
      </c>
      <c r="AM632" s="39">
        <v>0</v>
      </c>
      <c r="AN632" s="39">
        <v>0</v>
      </c>
      <c r="AO632" s="39">
        <v>127.85</v>
      </c>
      <c r="AP632" s="39">
        <v>144.97999999999999</v>
      </c>
      <c r="AQ632" s="39">
        <v>122.05</v>
      </c>
      <c r="AR632" s="39">
        <v>144.97999999999999</v>
      </c>
    </row>
    <row r="633" spans="1:44" x14ac:dyDescent="0.35">
      <c r="A633" s="16" t="str">
        <f t="shared" si="53"/>
        <v>54</v>
      </c>
      <c r="B633" s="19">
        <v>71944</v>
      </c>
      <c r="C633" s="16" t="str">
        <f t="shared" si="54"/>
        <v>0000000</v>
      </c>
      <c r="D633" s="17" t="s">
        <v>3663</v>
      </c>
      <c r="E633" s="16" t="s">
        <v>3344</v>
      </c>
      <c r="F633" s="16" t="s">
        <v>3311</v>
      </c>
      <c r="G633" s="35" t="s">
        <v>2645</v>
      </c>
      <c r="H633" s="39">
        <v>224.51</v>
      </c>
      <c r="I633" s="39">
        <v>212.62</v>
      </c>
      <c r="J633" s="39">
        <v>217.06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224.51</v>
      </c>
      <c r="AJ633" s="39">
        <v>212.62</v>
      </c>
      <c r="AK633" s="39">
        <v>217.06</v>
      </c>
      <c r="AL633" s="39">
        <v>0</v>
      </c>
      <c r="AM633" s="39">
        <v>0</v>
      </c>
      <c r="AN633" s="39">
        <v>0</v>
      </c>
      <c r="AO633" s="39">
        <v>224.51</v>
      </c>
      <c r="AP633" s="39">
        <v>212.62</v>
      </c>
      <c r="AQ633" s="39">
        <v>217.06</v>
      </c>
      <c r="AR633" s="39">
        <v>224.51</v>
      </c>
    </row>
    <row r="634" spans="1:44" x14ac:dyDescent="0.35">
      <c r="A634" s="16" t="str">
        <f t="shared" si="53"/>
        <v>54</v>
      </c>
      <c r="B634" s="19">
        <v>71951</v>
      </c>
      <c r="C634" s="16" t="str">
        <f t="shared" si="54"/>
        <v>0000000</v>
      </c>
      <c r="D634" s="17" t="s">
        <v>3663</v>
      </c>
      <c r="E634" s="16" t="s">
        <v>3345</v>
      </c>
      <c r="F634" s="16" t="s">
        <v>3311</v>
      </c>
      <c r="G634" s="35" t="s">
        <v>3346</v>
      </c>
      <c r="H634" s="39">
        <v>7.94</v>
      </c>
      <c r="I634" s="39">
        <v>14.32</v>
      </c>
      <c r="J634" s="39">
        <v>9.99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7.94</v>
      </c>
      <c r="AJ634" s="39">
        <v>14.32</v>
      </c>
      <c r="AK634" s="39">
        <v>9.99</v>
      </c>
      <c r="AL634" s="39">
        <v>0</v>
      </c>
      <c r="AM634" s="39">
        <v>0</v>
      </c>
      <c r="AN634" s="39">
        <v>0</v>
      </c>
      <c r="AO634" s="39">
        <v>7.94</v>
      </c>
      <c r="AP634" s="39">
        <v>14.32</v>
      </c>
      <c r="AQ634" s="39">
        <v>9.99</v>
      </c>
      <c r="AR634" s="39">
        <v>14.32</v>
      </c>
    </row>
    <row r="635" spans="1:44" x14ac:dyDescent="0.35">
      <c r="A635" s="16" t="str">
        <f t="shared" si="53"/>
        <v>54</v>
      </c>
      <c r="B635" s="19">
        <v>71985</v>
      </c>
      <c r="C635" s="16" t="str">
        <f t="shared" si="54"/>
        <v>0000000</v>
      </c>
      <c r="D635" s="17" t="s">
        <v>3663</v>
      </c>
      <c r="E635" s="16" t="s">
        <v>3349</v>
      </c>
      <c r="F635" s="16" t="s">
        <v>3311</v>
      </c>
      <c r="G635" s="35" t="s">
        <v>3089</v>
      </c>
      <c r="H635" s="39">
        <v>829.2</v>
      </c>
      <c r="I635" s="39">
        <v>789.38</v>
      </c>
      <c r="J635" s="39">
        <v>751.5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829.2</v>
      </c>
      <c r="AJ635" s="39">
        <v>789.38</v>
      </c>
      <c r="AK635" s="39">
        <v>751.5</v>
      </c>
      <c r="AL635" s="39">
        <v>0</v>
      </c>
      <c r="AM635" s="39">
        <v>0</v>
      </c>
      <c r="AN635" s="39">
        <v>0</v>
      </c>
      <c r="AO635" s="39">
        <v>829.2</v>
      </c>
      <c r="AP635" s="39">
        <v>789.38</v>
      </c>
      <c r="AQ635" s="39">
        <v>751.5</v>
      </c>
      <c r="AR635" s="39">
        <v>829.2</v>
      </c>
    </row>
    <row r="636" spans="1:44" x14ac:dyDescent="0.35">
      <c r="A636" s="16" t="str">
        <f t="shared" si="53"/>
        <v>54</v>
      </c>
      <c r="B636" s="19">
        <v>72009</v>
      </c>
      <c r="C636" s="16" t="str">
        <f t="shared" si="54"/>
        <v>0000000</v>
      </c>
      <c r="D636" s="17" t="s">
        <v>3663</v>
      </c>
      <c r="E636" s="16" t="s">
        <v>3352</v>
      </c>
      <c r="F636" s="16" t="s">
        <v>3311</v>
      </c>
      <c r="G636" s="35" t="s">
        <v>3353</v>
      </c>
      <c r="H636" s="39">
        <v>420.77</v>
      </c>
      <c r="I636" s="39">
        <v>422.47</v>
      </c>
      <c r="J636" s="39">
        <v>410.23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420.77</v>
      </c>
      <c r="AJ636" s="39">
        <v>422.47</v>
      </c>
      <c r="AK636" s="39">
        <v>410.23</v>
      </c>
      <c r="AL636" s="39">
        <v>0</v>
      </c>
      <c r="AM636" s="39">
        <v>0</v>
      </c>
      <c r="AN636" s="39">
        <v>0</v>
      </c>
      <c r="AO636" s="39">
        <v>420.77</v>
      </c>
      <c r="AP636" s="39">
        <v>422.47</v>
      </c>
      <c r="AQ636" s="39">
        <v>410.23</v>
      </c>
      <c r="AR636" s="39">
        <v>422.47</v>
      </c>
    </row>
    <row r="637" spans="1:44" x14ac:dyDescent="0.35">
      <c r="A637" s="16" t="str">
        <f t="shared" si="53"/>
        <v>54</v>
      </c>
      <c r="B637" s="19">
        <v>72017</v>
      </c>
      <c r="C637" s="16" t="str">
        <f t="shared" si="54"/>
        <v>0000000</v>
      </c>
      <c r="D637" s="17" t="s">
        <v>3663</v>
      </c>
      <c r="E637" s="16" t="s">
        <v>3354</v>
      </c>
      <c r="F637" s="16" t="s">
        <v>3311</v>
      </c>
      <c r="G637" s="35" t="s">
        <v>3355</v>
      </c>
      <c r="H637" s="39">
        <v>539.15</v>
      </c>
      <c r="I637" s="39">
        <v>542.76</v>
      </c>
      <c r="J637" s="39">
        <v>535.85</v>
      </c>
      <c r="K637" s="39">
        <v>0</v>
      </c>
      <c r="L637" s="39">
        <v>0</v>
      </c>
      <c r="M637" s="39">
        <v>0</v>
      </c>
      <c r="N637" s="39">
        <v>0</v>
      </c>
      <c r="O637" s="39">
        <v>0</v>
      </c>
      <c r="P637" s="39">
        <v>0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0</v>
      </c>
      <c r="AA637" s="39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0</v>
      </c>
      <c r="AI637" s="39">
        <v>539.15</v>
      </c>
      <c r="AJ637" s="39">
        <v>542.76</v>
      </c>
      <c r="AK637" s="39">
        <v>535.85</v>
      </c>
      <c r="AL637" s="39">
        <v>0</v>
      </c>
      <c r="AM637" s="39">
        <v>0</v>
      </c>
      <c r="AN637" s="39">
        <v>0</v>
      </c>
      <c r="AO637" s="39">
        <v>539.15</v>
      </c>
      <c r="AP637" s="39">
        <v>542.76</v>
      </c>
      <c r="AQ637" s="39">
        <v>535.85</v>
      </c>
      <c r="AR637" s="39">
        <v>542.76</v>
      </c>
    </row>
    <row r="638" spans="1:44" x14ac:dyDescent="0.35">
      <c r="A638" s="16" t="str">
        <f t="shared" si="53"/>
        <v>54</v>
      </c>
      <c r="B638" s="19">
        <v>72025</v>
      </c>
      <c r="C638" s="16" t="str">
        <f t="shared" si="54"/>
        <v>0000000</v>
      </c>
      <c r="D638" s="17" t="s">
        <v>3663</v>
      </c>
      <c r="E638" s="16" t="s">
        <v>3356</v>
      </c>
      <c r="F638" s="16" t="s">
        <v>3311</v>
      </c>
      <c r="G638" s="35" t="s">
        <v>3357</v>
      </c>
      <c r="H638" s="39">
        <v>118.97</v>
      </c>
      <c r="I638" s="39">
        <v>129.76</v>
      </c>
      <c r="J638" s="39">
        <v>120.85</v>
      </c>
      <c r="K638" s="39">
        <v>0</v>
      </c>
      <c r="L638" s="39">
        <v>0</v>
      </c>
      <c r="M638" s="39">
        <v>0</v>
      </c>
      <c r="N638" s="39">
        <v>0</v>
      </c>
      <c r="O638" s="39">
        <v>0</v>
      </c>
      <c r="P638" s="39">
        <v>0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0</v>
      </c>
      <c r="AA638" s="39">
        <v>0</v>
      </c>
      <c r="AB638" s="39">
        <v>0</v>
      </c>
      <c r="AC638" s="39">
        <v>0</v>
      </c>
      <c r="AD638" s="39">
        <v>0</v>
      </c>
      <c r="AE638" s="39">
        <v>0</v>
      </c>
      <c r="AF638" s="39">
        <v>0</v>
      </c>
      <c r="AG638" s="39">
        <v>0</v>
      </c>
      <c r="AH638" s="39">
        <v>0</v>
      </c>
      <c r="AI638" s="39">
        <v>118.97</v>
      </c>
      <c r="AJ638" s="39">
        <v>129.76</v>
      </c>
      <c r="AK638" s="39">
        <v>120.85</v>
      </c>
      <c r="AL638" s="39">
        <v>0</v>
      </c>
      <c r="AM638" s="39">
        <v>0</v>
      </c>
      <c r="AN638" s="39">
        <v>0</v>
      </c>
      <c r="AO638" s="39">
        <v>118.97</v>
      </c>
      <c r="AP638" s="39">
        <v>129.76</v>
      </c>
      <c r="AQ638" s="39">
        <v>120.85</v>
      </c>
      <c r="AR638" s="39">
        <v>129.76</v>
      </c>
    </row>
    <row r="639" spans="1:44" x14ac:dyDescent="0.35">
      <c r="A639" s="16" t="str">
        <f t="shared" si="53"/>
        <v>54</v>
      </c>
      <c r="B639" s="19">
        <v>72058</v>
      </c>
      <c r="C639" s="16" t="str">
        <f t="shared" si="54"/>
        <v>0000000</v>
      </c>
      <c r="D639" s="17" t="s">
        <v>3663</v>
      </c>
      <c r="E639" s="16" t="s">
        <v>3362</v>
      </c>
      <c r="F639" s="16" t="s">
        <v>3311</v>
      </c>
      <c r="G639" s="35" t="s">
        <v>3363</v>
      </c>
      <c r="H639" s="39">
        <v>430.47</v>
      </c>
      <c r="I639" s="39">
        <v>429.65</v>
      </c>
      <c r="J639" s="39">
        <v>395.62</v>
      </c>
      <c r="K639" s="39">
        <v>0</v>
      </c>
      <c r="L639" s="39">
        <v>0</v>
      </c>
      <c r="M639" s="39">
        <v>0</v>
      </c>
      <c r="N639" s="39">
        <v>0</v>
      </c>
      <c r="O639" s="39">
        <v>0</v>
      </c>
      <c r="P639" s="39">
        <v>0</v>
      </c>
      <c r="Q639" s="39">
        <v>0</v>
      </c>
      <c r="R639" s="39">
        <v>0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0</v>
      </c>
      <c r="AA639" s="39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0</v>
      </c>
      <c r="AG639" s="39">
        <v>0</v>
      </c>
      <c r="AH639" s="39">
        <v>0</v>
      </c>
      <c r="AI639" s="39">
        <v>430.47</v>
      </c>
      <c r="AJ639" s="39">
        <v>429.65</v>
      </c>
      <c r="AK639" s="39">
        <v>395.62</v>
      </c>
      <c r="AL639" s="39">
        <v>0</v>
      </c>
      <c r="AM639" s="39">
        <v>0</v>
      </c>
      <c r="AN639" s="39">
        <v>0</v>
      </c>
      <c r="AO639" s="39">
        <v>430.47</v>
      </c>
      <c r="AP639" s="39">
        <v>429.65</v>
      </c>
      <c r="AQ639" s="39">
        <v>395.62</v>
      </c>
      <c r="AR639" s="39">
        <v>430.47</v>
      </c>
    </row>
    <row r="640" spans="1:44" x14ac:dyDescent="0.35">
      <c r="A640" s="16" t="str">
        <f t="shared" si="53"/>
        <v>54</v>
      </c>
      <c r="B640" s="19">
        <v>72082</v>
      </c>
      <c r="C640" s="16" t="str">
        <f t="shared" si="54"/>
        <v>0000000</v>
      </c>
      <c r="D640" s="17" t="s">
        <v>3663</v>
      </c>
      <c r="E640" s="16" t="s">
        <v>3364</v>
      </c>
      <c r="F640" s="16" t="s">
        <v>3311</v>
      </c>
      <c r="G640" s="35" t="s">
        <v>3365</v>
      </c>
      <c r="H640" s="39">
        <v>457.13</v>
      </c>
      <c r="I640" s="39">
        <v>463.37</v>
      </c>
      <c r="J640" s="39">
        <v>476.75</v>
      </c>
      <c r="K640" s="39">
        <v>0</v>
      </c>
      <c r="L640" s="39">
        <v>0</v>
      </c>
      <c r="M640" s="39">
        <v>0</v>
      </c>
      <c r="N640" s="39">
        <v>0</v>
      </c>
      <c r="O640" s="39">
        <v>0</v>
      </c>
      <c r="P640" s="39">
        <v>0</v>
      </c>
      <c r="Q640" s="39">
        <v>0</v>
      </c>
      <c r="R640" s="39">
        <v>0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0</v>
      </c>
      <c r="AA640" s="39">
        <v>0</v>
      </c>
      <c r="AB640" s="39">
        <v>0</v>
      </c>
      <c r="AC640" s="39">
        <v>0</v>
      </c>
      <c r="AD640" s="39">
        <v>0</v>
      </c>
      <c r="AE640" s="39">
        <v>0</v>
      </c>
      <c r="AF640" s="39">
        <v>0</v>
      </c>
      <c r="AG640" s="39">
        <v>0</v>
      </c>
      <c r="AH640" s="39">
        <v>0</v>
      </c>
      <c r="AI640" s="39">
        <v>457.13</v>
      </c>
      <c r="AJ640" s="39">
        <v>463.37</v>
      </c>
      <c r="AK640" s="39">
        <v>476.75</v>
      </c>
      <c r="AL640" s="39">
        <v>0</v>
      </c>
      <c r="AM640" s="39">
        <v>0</v>
      </c>
      <c r="AN640" s="39">
        <v>0</v>
      </c>
      <c r="AO640" s="39">
        <v>457.13</v>
      </c>
      <c r="AP640" s="39">
        <v>463.37</v>
      </c>
      <c r="AQ640" s="39">
        <v>476.75</v>
      </c>
      <c r="AR640" s="39">
        <v>476.75</v>
      </c>
    </row>
    <row r="641" spans="1:44" x14ac:dyDescent="0.35">
      <c r="A641" s="16" t="str">
        <f t="shared" si="53"/>
        <v>54</v>
      </c>
      <c r="B641" s="19">
        <v>72090</v>
      </c>
      <c r="C641" s="16" t="str">
        <f t="shared" si="54"/>
        <v>0000000</v>
      </c>
      <c r="D641" s="17" t="s">
        <v>3663</v>
      </c>
      <c r="E641" s="16" t="s">
        <v>3366</v>
      </c>
      <c r="F641" s="16" t="s">
        <v>3311</v>
      </c>
      <c r="G641" s="35" t="s">
        <v>3367</v>
      </c>
      <c r="H641" s="39">
        <v>284.44</v>
      </c>
      <c r="I641" s="39">
        <v>270.04000000000002</v>
      </c>
      <c r="J641" s="39">
        <v>296.27999999999997</v>
      </c>
      <c r="K641" s="39">
        <v>0</v>
      </c>
      <c r="L641" s="39">
        <v>0</v>
      </c>
      <c r="M641" s="39">
        <v>0</v>
      </c>
      <c r="N641" s="39">
        <v>0</v>
      </c>
      <c r="O641" s="39">
        <v>0</v>
      </c>
      <c r="P641" s="39">
        <v>0</v>
      </c>
      <c r="Q641" s="39">
        <v>0</v>
      </c>
      <c r="R641" s="39">
        <v>0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0</v>
      </c>
      <c r="AI641" s="39">
        <v>284.44</v>
      </c>
      <c r="AJ641" s="39">
        <v>270.04000000000002</v>
      </c>
      <c r="AK641" s="39">
        <v>296.27999999999997</v>
      </c>
      <c r="AL641" s="39">
        <v>0</v>
      </c>
      <c r="AM641" s="39">
        <v>0</v>
      </c>
      <c r="AN641" s="39">
        <v>0</v>
      </c>
      <c r="AO641" s="39">
        <v>284.44</v>
      </c>
      <c r="AP641" s="39">
        <v>270.04000000000002</v>
      </c>
      <c r="AQ641" s="39">
        <v>296.27999999999997</v>
      </c>
      <c r="AR641" s="39">
        <v>296.27999999999997</v>
      </c>
    </row>
    <row r="642" spans="1:44" x14ac:dyDescent="0.35">
      <c r="A642" s="16" t="str">
        <f t="shared" si="53"/>
        <v>54</v>
      </c>
      <c r="B642" s="19">
        <v>72108</v>
      </c>
      <c r="C642" s="16" t="str">
        <f t="shared" si="54"/>
        <v>0000000</v>
      </c>
      <c r="D642" s="17" t="s">
        <v>3663</v>
      </c>
      <c r="E642" s="16" t="s">
        <v>3368</v>
      </c>
      <c r="F642" s="16" t="s">
        <v>3311</v>
      </c>
      <c r="G642" s="35" t="s">
        <v>3369</v>
      </c>
      <c r="H642" s="39">
        <v>72.09</v>
      </c>
      <c r="I642" s="39">
        <v>67.75</v>
      </c>
      <c r="J642" s="39">
        <v>63.08</v>
      </c>
      <c r="K642" s="39">
        <v>0</v>
      </c>
      <c r="L642" s="39">
        <v>0</v>
      </c>
      <c r="M642" s="39">
        <v>0</v>
      </c>
      <c r="N642" s="39">
        <v>0</v>
      </c>
      <c r="O642" s="39">
        <v>0</v>
      </c>
      <c r="P642" s="39">
        <v>0</v>
      </c>
      <c r="Q642" s="39">
        <v>0</v>
      </c>
      <c r="R642" s="39">
        <v>0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0</v>
      </c>
      <c r="AI642" s="39">
        <v>72.09</v>
      </c>
      <c r="AJ642" s="39">
        <v>67.75</v>
      </c>
      <c r="AK642" s="39">
        <v>63.08</v>
      </c>
      <c r="AL642" s="39">
        <v>0</v>
      </c>
      <c r="AM642" s="39">
        <v>0</v>
      </c>
      <c r="AN642" s="39">
        <v>0</v>
      </c>
      <c r="AO642" s="39">
        <v>72.09</v>
      </c>
      <c r="AP642" s="39">
        <v>67.75</v>
      </c>
      <c r="AQ642" s="39">
        <v>63.08</v>
      </c>
      <c r="AR642" s="39">
        <v>72.09</v>
      </c>
    </row>
    <row r="643" spans="1:44" x14ac:dyDescent="0.35">
      <c r="A643" s="16" t="str">
        <f t="shared" si="53"/>
        <v>54</v>
      </c>
      <c r="B643" s="19">
        <v>72116</v>
      </c>
      <c r="C643" s="16" t="str">
        <f t="shared" ref="C643:C653" si="55">TEXT(,"0000000")</f>
        <v>0000000</v>
      </c>
      <c r="D643" s="17" t="s">
        <v>3663</v>
      </c>
      <c r="E643" s="16" t="s">
        <v>3370</v>
      </c>
      <c r="F643" s="16" t="s">
        <v>3311</v>
      </c>
      <c r="G643" s="35" t="s">
        <v>3371</v>
      </c>
      <c r="H643" s="39">
        <v>41.4</v>
      </c>
      <c r="I643" s="39">
        <v>31.6</v>
      </c>
      <c r="J643" s="39">
        <v>41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325.77999999999997</v>
      </c>
      <c r="AD643" s="39">
        <v>323.89999999999998</v>
      </c>
      <c r="AE643" s="39">
        <v>318.27</v>
      </c>
      <c r="AF643" s="39">
        <v>0</v>
      </c>
      <c r="AG643" s="39">
        <v>0</v>
      </c>
      <c r="AH643" s="39">
        <v>0</v>
      </c>
      <c r="AI643" s="39">
        <v>367.18</v>
      </c>
      <c r="AJ643" s="39">
        <v>355.5</v>
      </c>
      <c r="AK643" s="39">
        <v>359.27</v>
      </c>
      <c r="AL643" s="39">
        <v>0</v>
      </c>
      <c r="AM643" s="39">
        <v>0</v>
      </c>
      <c r="AN643" s="39">
        <v>0</v>
      </c>
      <c r="AO643" s="39">
        <v>367.18</v>
      </c>
      <c r="AP643" s="39">
        <v>355.5</v>
      </c>
      <c r="AQ643" s="39">
        <v>359.27</v>
      </c>
      <c r="AR643" s="39">
        <v>367.18</v>
      </c>
    </row>
    <row r="644" spans="1:44" x14ac:dyDescent="0.35">
      <c r="A644" s="16" t="str">
        <f t="shared" si="53"/>
        <v>54</v>
      </c>
      <c r="B644" s="19">
        <v>72132</v>
      </c>
      <c r="C644" s="16" t="str">
        <f t="shared" si="55"/>
        <v>0000000</v>
      </c>
      <c r="D644" s="17" t="s">
        <v>3663</v>
      </c>
      <c r="E644" s="16" t="s">
        <v>3372</v>
      </c>
      <c r="F644" s="16" t="s">
        <v>3311</v>
      </c>
      <c r="G644" s="35" t="s">
        <v>3373</v>
      </c>
      <c r="H644" s="39">
        <v>313.52999999999997</v>
      </c>
      <c r="I644" s="39">
        <v>307.27999999999997</v>
      </c>
      <c r="J644" s="39">
        <v>306.57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313.52999999999997</v>
      </c>
      <c r="AJ644" s="39">
        <v>307.27999999999997</v>
      </c>
      <c r="AK644" s="39">
        <v>306.57</v>
      </c>
      <c r="AL644" s="39">
        <v>0</v>
      </c>
      <c r="AM644" s="39">
        <v>0</v>
      </c>
      <c r="AN644" s="39">
        <v>0</v>
      </c>
      <c r="AO644" s="39">
        <v>313.52999999999997</v>
      </c>
      <c r="AP644" s="39">
        <v>307.27999999999997</v>
      </c>
      <c r="AQ644" s="39">
        <v>306.57</v>
      </c>
      <c r="AR644" s="39">
        <v>313.52999999999997</v>
      </c>
    </row>
    <row r="645" spans="1:44" x14ac:dyDescent="0.35">
      <c r="A645" s="16" t="str">
        <f t="shared" si="53"/>
        <v>54</v>
      </c>
      <c r="B645" s="19">
        <v>72140</v>
      </c>
      <c r="C645" s="16" t="str">
        <f t="shared" si="55"/>
        <v>0000000</v>
      </c>
      <c r="D645" s="17" t="s">
        <v>3663</v>
      </c>
      <c r="E645" s="16" t="s">
        <v>3374</v>
      </c>
      <c r="F645" s="16" t="s">
        <v>3311</v>
      </c>
      <c r="G645" s="35" t="s">
        <v>3375</v>
      </c>
      <c r="H645" s="39">
        <v>109.75</v>
      </c>
      <c r="I645" s="39">
        <v>106.63</v>
      </c>
      <c r="J645" s="39">
        <v>104.25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109.75</v>
      </c>
      <c r="AJ645" s="39">
        <v>106.63</v>
      </c>
      <c r="AK645" s="39">
        <v>104.25</v>
      </c>
      <c r="AL645" s="39">
        <v>0</v>
      </c>
      <c r="AM645" s="39">
        <v>0</v>
      </c>
      <c r="AN645" s="39">
        <v>0</v>
      </c>
      <c r="AO645" s="39">
        <v>109.75</v>
      </c>
      <c r="AP645" s="39">
        <v>106.63</v>
      </c>
      <c r="AQ645" s="39">
        <v>104.25</v>
      </c>
      <c r="AR645" s="39">
        <v>109.75</v>
      </c>
    </row>
    <row r="646" spans="1:44" x14ac:dyDescent="0.35">
      <c r="A646" s="16" t="str">
        <f t="shared" si="53"/>
        <v>54</v>
      </c>
      <c r="B646" s="19">
        <v>72157</v>
      </c>
      <c r="C646" s="16" t="str">
        <f t="shared" si="55"/>
        <v>0000000</v>
      </c>
      <c r="D646" s="17" t="s">
        <v>3663</v>
      </c>
      <c r="E646" s="16" t="s">
        <v>3378</v>
      </c>
      <c r="F646" s="16" t="s">
        <v>3311</v>
      </c>
      <c r="G646" s="35" t="s">
        <v>3379</v>
      </c>
      <c r="H646" s="39">
        <v>659.66</v>
      </c>
      <c r="I646" s="39">
        <v>654.1</v>
      </c>
      <c r="J646" s="39">
        <v>647.59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659.66</v>
      </c>
      <c r="AJ646" s="39">
        <v>654.1</v>
      </c>
      <c r="AK646" s="39">
        <v>647.59</v>
      </c>
      <c r="AL646" s="39">
        <v>0</v>
      </c>
      <c r="AM646" s="39">
        <v>0</v>
      </c>
      <c r="AN646" s="39">
        <v>0</v>
      </c>
      <c r="AO646" s="39">
        <v>659.66</v>
      </c>
      <c r="AP646" s="39">
        <v>654.1</v>
      </c>
      <c r="AQ646" s="39">
        <v>647.59</v>
      </c>
      <c r="AR646" s="39">
        <v>659.66</v>
      </c>
    </row>
    <row r="647" spans="1:44" x14ac:dyDescent="0.35">
      <c r="A647" s="16" t="str">
        <f t="shared" si="53"/>
        <v>54</v>
      </c>
      <c r="B647" s="19">
        <v>72181</v>
      </c>
      <c r="C647" s="16" t="str">
        <f t="shared" si="55"/>
        <v>0000000</v>
      </c>
      <c r="D647" s="17" t="s">
        <v>3663</v>
      </c>
      <c r="E647" s="16" t="s">
        <v>3382</v>
      </c>
      <c r="F647" s="16" t="s">
        <v>3311</v>
      </c>
      <c r="G647" s="35" t="s">
        <v>3383</v>
      </c>
      <c r="H647" s="39">
        <v>287.83</v>
      </c>
      <c r="I647" s="39">
        <v>282.39</v>
      </c>
      <c r="J647" s="39">
        <v>297.75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287.83</v>
      </c>
      <c r="AJ647" s="39">
        <v>282.39</v>
      </c>
      <c r="AK647" s="39">
        <v>297.75</v>
      </c>
      <c r="AL647" s="39">
        <v>0</v>
      </c>
      <c r="AM647" s="39">
        <v>0</v>
      </c>
      <c r="AN647" s="39">
        <v>0</v>
      </c>
      <c r="AO647" s="39">
        <v>287.83</v>
      </c>
      <c r="AP647" s="39">
        <v>282.39</v>
      </c>
      <c r="AQ647" s="39">
        <v>297.75</v>
      </c>
      <c r="AR647" s="39">
        <v>297.75</v>
      </c>
    </row>
    <row r="648" spans="1:44" x14ac:dyDescent="0.35">
      <c r="A648" s="16" t="str">
        <f t="shared" si="53"/>
        <v>54</v>
      </c>
      <c r="B648" s="19">
        <v>72207</v>
      </c>
      <c r="C648" s="16" t="str">
        <f t="shared" si="55"/>
        <v>0000000</v>
      </c>
      <c r="D648" s="17" t="s">
        <v>3663</v>
      </c>
      <c r="E648" s="16" t="s">
        <v>3386</v>
      </c>
      <c r="F648" s="16" t="s">
        <v>3311</v>
      </c>
      <c r="G648" s="35" t="s">
        <v>3387</v>
      </c>
      <c r="H648" s="39">
        <v>86.65</v>
      </c>
      <c r="I648" s="39">
        <v>81.83</v>
      </c>
      <c r="J648" s="39">
        <v>87.89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86.65</v>
      </c>
      <c r="AJ648" s="39">
        <v>81.83</v>
      </c>
      <c r="AK648" s="39">
        <v>87.89</v>
      </c>
      <c r="AL648" s="39">
        <v>0</v>
      </c>
      <c r="AM648" s="39">
        <v>0</v>
      </c>
      <c r="AN648" s="39">
        <v>0</v>
      </c>
      <c r="AO648" s="39">
        <v>86.65</v>
      </c>
      <c r="AP648" s="39">
        <v>81.83</v>
      </c>
      <c r="AQ648" s="39">
        <v>87.89</v>
      </c>
      <c r="AR648" s="39">
        <v>87.89</v>
      </c>
    </row>
    <row r="649" spans="1:44" x14ac:dyDescent="0.35">
      <c r="A649" s="16" t="str">
        <f t="shared" si="53"/>
        <v>54</v>
      </c>
      <c r="B649" s="19">
        <v>72215</v>
      </c>
      <c r="C649" s="16" t="str">
        <f t="shared" si="55"/>
        <v>0000000</v>
      </c>
      <c r="D649" s="17" t="s">
        <v>3663</v>
      </c>
      <c r="E649" s="16" t="s">
        <v>3388</v>
      </c>
      <c r="F649" s="16" t="s">
        <v>3311</v>
      </c>
      <c r="G649" s="35" t="s">
        <v>3389</v>
      </c>
      <c r="H649" s="39">
        <v>452.35</v>
      </c>
      <c r="I649" s="39">
        <v>468.64</v>
      </c>
      <c r="J649" s="39">
        <v>485.38</v>
      </c>
      <c r="K649" s="39">
        <v>0</v>
      </c>
      <c r="L649" s="39">
        <v>0</v>
      </c>
      <c r="M649" s="39">
        <v>0</v>
      </c>
      <c r="N649" s="39">
        <v>0</v>
      </c>
      <c r="O649" s="39">
        <v>0</v>
      </c>
      <c r="P649" s="39">
        <v>0</v>
      </c>
      <c r="Q649" s="39">
        <v>0</v>
      </c>
      <c r="R649" s="39">
        <v>0</v>
      </c>
      <c r="S649" s="39">
        <v>0</v>
      </c>
      <c r="T649" s="39">
        <v>0</v>
      </c>
      <c r="U649" s="39">
        <v>0</v>
      </c>
      <c r="V649" s="39">
        <v>0</v>
      </c>
      <c r="W649" s="39">
        <v>0</v>
      </c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0</v>
      </c>
      <c r="AI649" s="39">
        <v>452.35</v>
      </c>
      <c r="AJ649" s="39">
        <v>468.64</v>
      </c>
      <c r="AK649" s="39">
        <v>485.38</v>
      </c>
      <c r="AL649" s="39">
        <v>0</v>
      </c>
      <c r="AM649" s="39">
        <v>0</v>
      </c>
      <c r="AN649" s="39">
        <v>0</v>
      </c>
      <c r="AO649" s="39">
        <v>452.35</v>
      </c>
      <c r="AP649" s="39">
        <v>468.64</v>
      </c>
      <c r="AQ649" s="39">
        <v>485.38</v>
      </c>
      <c r="AR649" s="39">
        <v>485.38</v>
      </c>
    </row>
    <row r="650" spans="1:44" x14ac:dyDescent="0.35">
      <c r="A650" s="16" t="str">
        <f t="shared" si="53"/>
        <v>54</v>
      </c>
      <c r="B650" s="19">
        <v>72223</v>
      </c>
      <c r="C650" s="16" t="str">
        <f t="shared" si="55"/>
        <v>0000000</v>
      </c>
      <c r="D650" s="17" t="s">
        <v>3663</v>
      </c>
      <c r="E650" s="16" t="s">
        <v>3390</v>
      </c>
      <c r="F650" s="16" t="s">
        <v>3311</v>
      </c>
      <c r="G650" s="35" t="s">
        <v>3391</v>
      </c>
      <c r="H650" s="39">
        <v>223.7</v>
      </c>
      <c r="I650" s="39">
        <v>229.08</v>
      </c>
      <c r="J650" s="39">
        <v>208.22</v>
      </c>
      <c r="K650" s="39">
        <v>0</v>
      </c>
      <c r="L650" s="39">
        <v>0</v>
      </c>
      <c r="M650" s="39">
        <v>0</v>
      </c>
      <c r="N650" s="39">
        <v>0</v>
      </c>
      <c r="O650" s="39">
        <v>0</v>
      </c>
      <c r="P650" s="39">
        <v>0</v>
      </c>
      <c r="Q650" s="39">
        <v>0</v>
      </c>
      <c r="R650" s="39">
        <v>0</v>
      </c>
      <c r="S650" s="39">
        <v>0</v>
      </c>
      <c r="T650" s="39">
        <v>0</v>
      </c>
      <c r="U650" s="39">
        <v>0</v>
      </c>
      <c r="V650" s="39">
        <v>0</v>
      </c>
      <c r="W650" s="39">
        <v>0</v>
      </c>
      <c r="X650" s="39">
        <v>0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0</v>
      </c>
      <c r="AI650" s="39">
        <v>223.7</v>
      </c>
      <c r="AJ650" s="39">
        <v>229.08</v>
      </c>
      <c r="AK650" s="39">
        <v>208.22</v>
      </c>
      <c r="AL650" s="39">
        <v>0</v>
      </c>
      <c r="AM650" s="39">
        <v>0</v>
      </c>
      <c r="AN650" s="39">
        <v>0</v>
      </c>
      <c r="AO650" s="39">
        <v>223.7</v>
      </c>
      <c r="AP650" s="39">
        <v>229.08</v>
      </c>
      <c r="AQ650" s="39">
        <v>208.22</v>
      </c>
      <c r="AR650" s="39">
        <v>229.08</v>
      </c>
    </row>
    <row r="651" spans="1:44" x14ac:dyDescent="0.35">
      <c r="A651" s="16" t="str">
        <f t="shared" si="53"/>
        <v>54</v>
      </c>
      <c r="B651" s="19">
        <v>72264</v>
      </c>
      <c r="C651" s="16" t="str">
        <f t="shared" si="55"/>
        <v>0000000</v>
      </c>
      <c r="D651" s="17" t="s">
        <v>3663</v>
      </c>
      <c r="E651" s="16" t="s">
        <v>3398</v>
      </c>
      <c r="F651" s="16" t="s">
        <v>3311</v>
      </c>
      <c r="G651" s="35" t="s">
        <v>3399</v>
      </c>
      <c r="H651" s="39">
        <v>205.07</v>
      </c>
      <c r="I651" s="39">
        <v>204.38</v>
      </c>
      <c r="J651" s="39">
        <v>205.78</v>
      </c>
      <c r="K651" s="39">
        <v>0</v>
      </c>
      <c r="L651" s="39">
        <v>0</v>
      </c>
      <c r="M651" s="39">
        <v>0</v>
      </c>
      <c r="N651" s="39">
        <v>0</v>
      </c>
      <c r="O651" s="39">
        <v>0</v>
      </c>
      <c r="P651" s="39">
        <v>0</v>
      </c>
      <c r="Q651" s="39">
        <v>0</v>
      </c>
      <c r="R651" s="39">
        <v>0</v>
      </c>
      <c r="S651" s="39">
        <v>0</v>
      </c>
      <c r="T651" s="39">
        <v>0</v>
      </c>
      <c r="U651" s="39">
        <v>0</v>
      </c>
      <c r="V651" s="39">
        <v>0</v>
      </c>
      <c r="W651" s="39">
        <v>0</v>
      </c>
      <c r="X651" s="39">
        <v>0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0</v>
      </c>
      <c r="AI651" s="39">
        <v>205.07</v>
      </c>
      <c r="AJ651" s="39">
        <v>204.38</v>
      </c>
      <c r="AK651" s="39">
        <v>205.78</v>
      </c>
      <c r="AL651" s="39">
        <v>0</v>
      </c>
      <c r="AM651" s="39">
        <v>0</v>
      </c>
      <c r="AN651" s="39">
        <v>0</v>
      </c>
      <c r="AO651" s="39">
        <v>205.07</v>
      </c>
      <c r="AP651" s="39">
        <v>204.38</v>
      </c>
      <c r="AQ651" s="39">
        <v>205.78</v>
      </c>
      <c r="AR651" s="39">
        <v>205.78</v>
      </c>
    </row>
    <row r="652" spans="1:44" x14ac:dyDescent="0.35">
      <c r="A652" s="16" t="str">
        <f t="shared" si="53"/>
        <v>54</v>
      </c>
      <c r="B652" s="19">
        <v>76794</v>
      </c>
      <c r="C652" s="16" t="str">
        <f t="shared" si="55"/>
        <v>0000000</v>
      </c>
      <c r="D652" s="17" t="s">
        <v>3663</v>
      </c>
      <c r="E652" s="16" t="s">
        <v>3408</v>
      </c>
      <c r="F652" s="16" t="s">
        <v>3311</v>
      </c>
      <c r="G652" s="35" t="s">
        <v>3409</v>
      </c>
      <c r="H652" s="39">
        <v>1976.93</v>
      </c>
      <c r="I652" s="39">
        <v>1969.24</v>
      </c>
      <c r="J652" s="39">
        <v>1959.34</v>
      </c>
      <c r="K652" s="39">
        <v>0</v>
      </c>
      <c r="L652" s="39">
        <v>0</v>
      </c>
      <c r="M652" s="39">
        <v>0</v>
      </c>
      <c r="N652" s="39">
        <v>0</v>
      </c>
      <c r="O652" s="39">
        <v>0</v>
      </c>
      <c r="P652" s="39">
        <v>0</v>
      </c>
      <c r="Q652" s="39">
        <v>0</v>
      </c>
      <c r="R652" s="39">
        <v>0</v>
      </c>
      <c r="S652" s="39">
        <v>0</v>
      </c>
      <c r="T652" s="39">
        <v>0</v>
      </c>
      <c r="U652" s="39">
        <v>0</v>
      </c>
      <c r="V652" s="39">
        <v>0</v>
      </c>
      <c r="W652" s="39">
        <v>0</v>
      </c>
      <c r="X652" s="39">
        <v>0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0</v>
      </c>
      <c r="AI652" s="39">
        <v>1976.93</v>
      </c>
      <c r="AJ652" s="39">
        <v>1969.24</v>
      </c>
      <c r="AK652" s="39">
        <v>1959.34</v>
      </c>
      <c r="AL652" s="39">
        <v>0</v>
      </c>
      <c r="AM652" s="39">
        <v>0</v>
      </c>
      <c r="AN652" s="39">
        <v>0</v>
      </c>
      <c r="AO652" s="39">
        <v>1976.93</v>
      </c>
      <c r="AP652" s="39">
        <v>1969.24</v>
      </c>
      <c r="AQ652" s="39">
        <v>1959.34</v>
      </c>
      <c r="AR652" s="39">
        <v>1976.93</v>
      </c>
    </row>
    <row r="653" spans="1:44" x14ac:dyDescent="0.35">
      <c r="A653" s="16" t="str">
        <f t="shared" si="53"/>
        <v>54</v>
      </c>
      <c r="B653" s="19">
        <v>76836</v>
      </c>
      <c r="C653" s="16" t="str">
        <f t="shared" si="55"/>
        <v>0000000</v>
      </c>
      <c r="D653" s="17" t="s">
        <v>3663</v>
      </c>
      <c r="E653" s="16" t="s">
        <v>3410</v>
      </c>
      <c r="F653" s="16" t="s">
        <v>3311</v>
      </c>
      <c r="G653" s="35" t="s">
        <v>3411</v>
      </c>
      <c r="H653" s="39">
        <v>2455.86</v>
      </c>
      <c r="I653" s="39">
        <v>2466.63</v>
      </c>
      <c r="J653" s="39">
        <v>2473.4699999999998</v>
      </c>
      <c r="K653" s="39">
        <v>0</v>
      </c>
      <c r="L653" s="39">
        <v>0</v>
      </c>
      <c r="M653" s="39">
        <v>0</v>
      </c>
      <c r="N653" s="39">
        <v>0</v>
      </c>
      <c r="O653" s="39">
        <v>0</v>
      </c>
      <c r="P653" s="39">
        <v>0</v>
      </c>
      <c r="Q653" s="39">
        <v>0</v>
      </c>
      <c r="R653" s="39">
        <v>0</v>
      </c>
      <c r="S653" s="39">
        <v>0</v>
      </c>
      <c r="T653" s="39">
        <v>0</v>
      </c>
      <c r="U653" s="39">
        <v>0</v>
      </c>
      <c r="V653" s="39">
        <v>0</v>
      </c>
      <c r="W653" s="39">
        <v>0</v>
      </c>
      <c r="X653" s="39">
        <v>0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0</v>
      </c>
      <c r="AI653" s="39">
        <v>2455.86</v>
      </c>
      <c r="AJ653" s="39">
        <v>2466.63</v>
      </c>
      <c r="AK653" s="39">
        <v>2473.4699999999998</v>
      </c>
      <c r="AL653" s="39">
        <v>0</v>
      </c>
      <c r="AM653" s="39">
        <v>0</v>
      </c>
      <c r="AN653" s="39">
        <v>0</v>
      </c>
      <c r="AO653" s="39">
        <v>2455.86</v>
      </c>
      <c r="AP653" s="39">
        <v>2466.63</v>
      </c>
      <c r="AQ653" s="39">
        <v>2473.4699999999998</v>
      </c>
      <c r="AR653" s="39">
        <v>2473.4699999999998</v>
      </c>
    </row>
    <row r="654" spans="1:44" x14ac:dyDescent="0.35">
      <c r="A654" s="16" t="str">
        <f t="shared" si="53"/>
        <v>54</v>
      </c>
      <c r="B654" s="19">
        <v>10546</v>
      </c>
      <c r="C654" s="16" t="str">
        <f>TEXT(135459,"0000000")</f>
        <v>0135459</v>
      </c>
      <c r="D654" s="19">
        <v>1860</v>
      </c>
      <c r="E654" s="16" t="s">
        <v>3316</v>
      </c>
      <c r="F654" s="16" t="s">
        <v>3311</v>
      </c>
      <c r="G654" s="35" t="s">
        <v>3317</v>
      </c>
      <c r="H654" s="39">
        <v>0</v>
      </c>
      <c r="I654" s="39">
        <v>0</v>
      </c>
      <c r="J654" s="39">
        <v>0</v>
      </c>
      <c r="K654" s="39">
        <v>0</v>
      </c>
      <c r="L654" s="39">
        <v>0</v>
      </c>
      <c r="M654" s="39">
        <v>0</v>
      </c>
      <c r="N654" s="39">
        <v>0</v>
      </c>
      <c r="O654" s="39">
        <v>0</v>
      </c>
      <c r="P654" s="39">
        <v>0</v>
      </c>
      <c r="Q654" s="39">
        <v>0</v>
      </c>
      <c r="R654" s="39">
        <v>0</v>
      </c>
      <c r="S654" s="39">
        <v>0</v>
      </c>
      <c r="T654" s="39">
        <v>0</v>
      </c>
      <c r="U654" s="39">
        <v>0</v>
      </c>
      <c r="V654" s="39">
        <v>0</v>
      </c>
      <c r="W654" s="39">
        <v>0</v>
      </c>
      <c r="X654" s="39">
        <v>0</v>
      </c>
      <c r="Y654" s="39">
        <v>0</v>
      </c>
      <c r="Z654" s="39">
        <v>0</v>
      </c>
      <c r="AA654" s="39">
        <v>0</v>
      </c>
      <c r="AB654" s="39">
        <v>0</v>
      </c>
      <c r="AC654" s="39">
        <v>404.89</v>
      </c>
      <c r="AD654" s="39">
        <v>389.94</v>
      </c>
      <c r="AE654" s="39">
        <v>319.92</v>
      </c>
      <c r="AF654" s="39">
        <v>0</v>
      </c>
      <c r="AG654" s="39">
        <v>0</v>
      </c>
      <c r="AH654" s="39">
        <v>0</v>
      </c>
      <c r="AI654" s="39">
        <v>404.89</v>
      </c>
      <c r="AJ654" s="39">
        <v>389.94</v>
      </c>
      <c r="AK654" s="39">
        <v>319.92</v>
      </c>
      <c r="AL654" s="39">
        <v>0</v>
      </c>
      <c r="AM654" s="39">
        <v>0</v>
      </c>
      <c r="AN654" s="39">
        <v>0</v>
      </c>
      <c r="AO654" s="39">
        <v>404.89</v>
      </c>
      <c r="AP654" s="39">
        <v>389.94</v>
      </c>
      <c r="AQ654" s="39">
        <v>319.92</v>
      </c>
      <c r="AR654" s="39">
        <v>404.89</v>
      </c>
    </row>
    <row r="655" spans="1:44" x14ac:dyDescent="0.35">
      <c r="A655" s="16" t="str">
        <f t="shared" si="53"/>
        <v>54</v>
      </c>
      <c r="B655" s="19">
        <v>10546</v>
      </c>
      <c r="C655" s="16" t="str">
        <f>TEXT(125542,"0000000")</f>
        <v>0125542</v>
      </c>
      <c r="D655" s="19">
        <v>1382</v>
      </c>
      <c r="E655" s="16" t="s">
        <v>3314</v>
      </c>
      <c r="F655" s="16" t="s">
        <v>3311</v>
      </c>
      <c r="G655" s="35" t="s">
        <v>3315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390.96</v>
      </c>
      <c r="AD655" s="39">
        <v>381.42</v>
      </c>
      <c r="AE655" s="39">
        <v>354.9</v>
      </c>
      <c r="AF655" s="39">
        <v>0</v>
      </c>
      <c r="AG655" s="39">
        <v>0</v>
      </c>
      <c r="AH655" s="39">
        <v>0</v>
      </c>
      <c r="AI655" s="39">
        <v>390.96</v>
      </c>
      <c r="AJ655" s="39">
        <v>381.42</v>
      </c>
      <c r="AK655" s="39">
        <v>354.9</v>
      </c>
      <c r="AL655" s="39">
        <v>0</v>
      </c>
      <c r="AM655" s="39">
        <v>0</v>
      </c>
      <c r="AN655" s="39">
        <v>0</v>
      </c>
      <c r="AO655" s="39">
        <v>390.96</v>
      </c>
      <c r="AP655" s="39">
        <v>381.42</v>
      </c>
      <c r="AQ655" s="39">
        <v>354.9</v>
      </c>
      <c r="AR655" s="39">
        <v>390.96</v>
      </c>
    </row>
    <row r="656" spans="1:44" x14ac:dyDescent="0.35">
      <c r="A656" s="16" t="str">
        <f t="shared" si="53"/>
        <v>54</v>
      </c>
      <c r="B656" s="19">
        <v>10546</v>
      </c>
      <c r="C656" s="16" t="str">
        <f>TEXT(124057,"0000000")</f>
        <v>0124057</v>
      </c>
      <c r="D656" s="19">
        <v>1293</v>
      </c>
      <c r="E656" s="16" t="s">
        <v>3312</v>
      </c>
      <c r="F656" s="16" t="s">
        <v>3311</v>
      </c>
      <c r="G656" s="35" t="s">
        <v>3313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655.32000000000005</v>
      </c>
      <c r="AD656" s="39">
        <v>643.94000000000005</v>
      </c>
      <c r="AE656" s="39">
        <v>626.91999999999996</v>
      </c>
      <c r="AF656" s="39">
        <v>0</v>
      </c>
      <c r="AG656" s="39">
        <v>0</v>
      </c>
      <c r="AH656" s="39">
        <v>0</v>
      </c>
      <c r="AI656" s="39">
        <v>655.32000000000005</v>
      </c>
      <c r="AJ656" s="39">
        <v>643.94000000000005</v>
      </c>
      <c r="AK656" s="39">
        <v>626.91999999999996</v>
      </c>
      <c r="AL656" s="39">
        <v>0</v>
      </c>
      <c r="AM656" s="39">
        <v>0</v>
      </c>
      <c r="AN656" s="39">
        <v>0</v>
      </c>
      <c r="AO656" s="39">
        <v>655.32000000000005</v>
      </c>
      <c r="AP656" s="39">
        <v>643.94000000000005</v>
      </c>
      <c r="AQ656" s="39">
        <v>626.91999999999996</v>
      </c>
      <c r="AR656" s="39">
        <v>655.32000000000005</v>
      </c>
    </row>
    <row r="657" spans="1:44" x14ac:dyDescent="0.35">
      <c r="A657" s="16" t="str">
        <f>TEXT(33,"00")</f>
        <v>33</v>
      </c>
      <c r="B657" s="19">
        <v>67215</v>
      </c>
      <c r="C657" s="16" t="str">
        <f t="shared" ref="C657:C666" si="56">TEXT(,"0000000")</f>
        <v>0000000</v>
      </c>
      <c r="D657" s="17" t="s">
        <v>3663</v>
      </c>
      <c r="E657" s="16" t="s">
        <v>1759</v>
      </c>
      <c r="F657" s="16" t="s">
        <v>1760</v>
      </c>
      <c r="G657" s="35" t="s">
        <v>1760</v>
      </c>
      <c r="H657" s="39">
        <v>35498.79</v>
      </c>
      <c r="I657" s="39">
        <v>36350.26</v>
      </c>
      <c r="J657" s="39">
        <v>36391.79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35498.79</v>
      </c>
      <c r="AJ657" s="39">
        <v>36350.26</v>
      </c>
      <c r="AK657" s="39">
        <v>36391.79</v>
      </c>
      <c r="AL657" s="39">
        <v>0</v>
      </c>
      <c r="AM657" s="39">
        <v>0</v>
      </c>
      <c r="AN657" s="39">
        <v>0</v>
      </c>
      <c r="AO657" s="39">
        <v>35498.79</v>
      </c>
      <c r="AP657" s="39">
        <v>36350.26</v>
      </c>
      <c r="AQ657" s="39">
        <v>36391.79</v>
      </c>
      <c r="AR657" s="39">
        <v>36391.79</v>
      </c>
    </row>
    <row r="658" spans="1:44" x14ac:dyDescent="0.35">
      <c r="A658" s="16" t="str">
        <f t="shared" ref="A658:A667" si="57">TEXT(11,"00")</f>
        <v>11</v>
      </c>
      <c r="B658" s="19">
        <v>10116</v>
      </c>
      <c r="C658" s="16" t="str">
        <f t="shared" si="56"/>
        <v>0000000</v>
      </c>
      <c r="D658" s="17" t="s">
        <v>3663</v>
      </c>
      <c r="E658" s="16" t="s">
        <v>496</v>
      </c>
      <c r="F658" s="16" t="s">
        <v>497</v>
      </c>
      <c r="G658" s="35" t="s">
        <v>497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3.71</v>
      </c>
      <c r="U658" s="39">
        <v>0.71</v>
      </c>
      <c r="V658" s="39">
        <v>0.88</v>
      </c>
      <c r="W658" s="39">
        <v>236.25</v>
      </c>
      <c r="X658" s="39">
        <v>204.36</v>
      </c>
      <c r="Y658" s="39">
        <v>214.7</v>
      </c>
      <c r="Z658" s="39">
        <v>72.180000000000007</v>
      </c>
      <c r="AA658" s="39">
        <v>64.77</v>
      </c>
      <c r="AB658" s="39">
        <v>68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312.14</v>
      </c>
      <c r="AJ658" s="39">
        <v>269.83999999999997</v>
      </c>
      <c r="AK658" s="39">
        <v>283.58</v>
      </c>
      <c r="AL658" s="39">
        <v>0</v>
      </c>
      <c r="AM658" s="39">
        <v>0</v>
      </c>
      <c r="AN658" s="39">
        <v>0</v>
      </c>
      <c r="AO658" s="39">
        <v>312.14</v>
      </c>
      <c r="AP658" s="39">
        <v>269.83999999999997</v>
      </c>
      <c r="AQ658" s="39">
        <v>283.58</v>
      </c>
      <c r="AR658" s="39">
        <v>312.14</v>
      </c>
    </row>
    <row r="659" spans="1:44" x14ac:dyDescent="0.35">
      <c r="A659" s="16" t="str">
        <f t="shared" si="57"/>
        <v>11</v>
      </c>
      <c r="B659" s="19">
        <v>62661</v>
      </c>
      <c r="C659" s="16" t="str">
        <f t="shared" si="56"/>
        <v>0000000</v>
      </c>
      <c r="D659" s="17" t="s">
        <v>3663</v>
      </c>
      <c r="E659" s="16" t="s">
        <v>514</v>
      </c>
      <c r="F659" s="16" t="s">
        <v>497</v>
      </c>
      <c r="G659" s="35" t="s">
        <v>515</v>
      </c>
      <c r="H659" s="39">
        <v>1308.18</v>
      </c>
      <c r="I659" s="39">
        <v>1283.54</v>
      </c>
      <c r="J659" s="39">
        <v>1295.2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1308.18</v>
      </c>
      <c r="AJ659" s="39">
        <v>1283.54</v>
      </c>
      <c r="AK659" s="39">
        <v>1295.2</v>
      </c>
      <c r="AL659" s="39">
        <v>0</v>
      </c>
      <c r="AM659" s="39">
        <v>0</v>
      </c>
      <c r="AN659" s="39">
        <v>0</v>
      </c>
      <c r="AO659" s="39">
        <v>1308.18</v>
      </c>
      <c r="AP659" s="39">
        <v>1283.54</v>
      </c>
      <c r="AQ659" s="39">
        <v>1295.2</v>
      </c>
      <c r="AR659" s="39">
        <v>1308.18</v>
      </c>
    </row>
    <row r="660" spans="1:44" x14ac:dyDescent="0.35">
      <c r="A660" s="16" t="str">
        <f t="shared" si="57"/>
        <v>11</v>
      </c>
      <c r="B660" s="19">
        <v>75481</v>
      </c>
      <c r="C660" s="16" t="str">
        <f t="shared" si="56"/>
        <v>0000000</v>
      </c>
      <c r="D660" s="17" t="s">
        <v>3663</v>
      </c>
      <c r="E660" s="16" t="s">
        <v>516</v>
      </c>
      <c r="F660" s="16" t="s">
        <v>497</v>
      </c>
      <c r="G660" s="35" t="s">
        <v>517</v>
      </c>
      <c r="H660" s="39">
        <v>2061.58</v>
      </c>
      <c r="I660" s="39">
        <v>2112.04</v>
      </c>
      <c r="J660" s="39">
        <v>2095.87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2061.58</v>
      </c>
      <c r="AJ660" s="39">
        <v>2112.04</v>
      </c>
      <c r="AK660" s="39">
        <v>2095.87</v>
      </c>
      <c r="AL660" s="39">
        <v>0</v>
      </c>
      <c r="AM660" s="39">
        <v>0</v>
      </c>
      <c r="AN660" s="39">
        <v>0</v>
      </c>
      <c r="AO660" s="39">
        <v>2061.58</v>
      </c>
      <c r="AP660" s="39">
        <v>2112.04</v>
      </c>
      <c r="AQ660" s="39">
        <v>2095.87</v>
      </c>
      <c r="AR660" s="39">
        <v>2112.04</v>
      </c>
    </row>
    <row r="661" spans="1:44" x14ac:dyDescent="0.35">
      <c r="A661" s="16" t="str">
        <f t="shared" si="57"/>
        <v>11</v>
      </c>
      <c r="B661" s="19">
        <v>62554</v>
      </c>
      <c r="C661" s="16" t="str">
        <f t="shared" si="56"/>
        <v>0000000</v>
      </c>
      <c r="D661" s="17" t="s">
        <v>3663</v>
      </c>
      <c r="E661" s="16" t="s">
        <v>500</v>
      </c>
      <c r="F661" s="16" t="s">
        <v>497</v>
      </c>
      <c r="G661" s="35" t="s">
        <v>501</v>
      </c>
      <c r="H661" s="39">
        <v>198.74</v>
      </c>
      <c r="I661" s="39">
        <v>183.42</v>
      </c>
      <c r="J661" s="39">
        <v>179.33</v>
      </c>
      <c r="K661" s="39">
        <v>0</v>
      </c>
      <c r="L661" s="39">
        <v>0</v>
      </c>
      <c r="M661" s="39">
        <v>0</v>
      </c>
      <c r="N661" s="39">
        <v>0</v>
      </c>
      <c r="O661" s="39">
        <v>0</v>
      </c>
      <c r="P661" s="39">
        <v>0</v>
      </c>
      <c r="Q661" s="39">
        <v>0</v>
      </c>
      <c r="R661" s="39">
        <v>0</v>
      </c>
      <c r="S661" s="39">
        <v>0</v>
      </c>
      <c r="T661" s="39">
        <v>0</v>
      </c>
      <c r="U661" s="39">
        <v>0</v>
      </c>
      <c r="V661" s="39">
        <v>0</v>
      </c>
      <c r="W661" s="39">
        <v>0</v>
      </c>
      <c r="X661" s="39">
        <v>0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0</v>
      </c>
      <c r="AI661" s="39">
        <v>198.74</v>
      </c>
      <c r="AJ661" s="39">
        <v>183.42</v>
      </c>
      <c r="AK661" s="39">
        <v>179.33</v>
      </c>
      <c r="AL661" s="39">
        <v>0</v>
      </c>
      <c r="AM661" s="39">
        <v>0</v>
      </c>
      <c r="AN661" s="39">
        <v>0</v>
      </c>
      <c r="AO661" s="39">
        <v>198.74</v>
      </c>
      <c r="AP661" s="39">
        <v>183.42</v>
      </c>
      <c r="AQ661" s="39">
        <v>179.33</v>
      </c>
      <c r="AR661" s="39">
        <v>198.74</v>
      </c>
    </row>
    <row r="662" spans="1:44" x14ac:dyDescent="0.35">
      <c r="A662" s="16" t="str">
        <f t="shared" si="57"/>
        <v>11</v>
      </c>
      <c r="B662" s="19">
        <v>62596</v>
      </c>
      <c r="C662" s="16" t="str">
        <f t="shared" si="56"/>
        <v>0000000</v>
      </c>
      <c r="D662" s="17" t="s">
        <v>3663</v>
      </c>
      <c r="E662" s="16" t="s">
        <v>502</v>
      </c>
      <c r="F662" s="16" t="s">
        <v>497</v>
      </c>
      <c r="G662" s="35" t="s">
        <v>503</v>
      </c>
      <c r="H662" s="39">
        <v>190.08</v>
      </c>
      <c r="I662" s="39">
        <v>187.6</v>
      </c>
      <c r="J662" s="39">
        <v>177.25</v>
      </c>
      <c r="K662" s="39">
        <v>0</v>
      </c>
      <c r="L662" s="39">
        <v>0</v>
      </c>
      <c r="M662" s="39">
        <v>0</v>
      </c>
      <c r="N662" s="39">
        <v>0</v>
      </c>
      <c r="O662" s="39">
        <v>0</v>
      </c>
      <c r="P662" s="39">
        <v>0</v>
      </c>
      <c r="Q662" s="39">
        <v>0</v>
      </c>
      <c r="R662" s="39">
        <v>0</v>
      </c>
      <c r="S662" s="39">
        <v>0</v>
      </c>
      <c r="T662" s="39">
        <v>0</v>
      </c>
      <c r="U662" s="39">
        <v>0</v>
      </c>
      <c r="V662" s="39">
        <v>0</v>
      </c>
      <c r="W662" s="39">
        <v>0</v>
      </c>
      <c r="X662" s="39">
        <v>0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0</v>
      </c>
      <c r="AI662" s="39">
        <v>190.08</v>
      </c>
      <c r="AJ662" s="39">
        <v>187.6</v>
      </c>
      <c r="AK662" s="39">
        <v>177.25</v>
      </c>
      <c r="AL662" s="39">
        <v>0</v>
      </c>
      <c r="AM662" s="39">
        <v>0</v>
      </c>
      <c r="AN662" s="39">
        <v>0</v>
      </c>
      <c r="AO662" s="39">
        <v>190.08</v>
      </c>
      <c r="AP662" s="39">
        <v>187.6</v>
      </c>
      <c r="AQ662" s="39">
        <v>177.25</v>
      </c>
      <c r="AR662" s="39">
        <v>190.08</v>
      </c>
    </row>
    <row r="663" spans="1:44" x14ac:dyDescent="0.35">
      <c r="A663" s="16" t="str">
        <f t="shared" si="57"/>
        <v>11</v>
      </c>
      <c r="B663" s="19">
        <v>62638</v>
      </c>
      <c r="C663" s="16" t="str">
        <f t="shared" si="56"/>
        <v>0000000</v>
      </c>
      <c r="D663" s="17" t="s">
        <v>3663</v>
      </c>
      <c r="E663" s="16" t="s">
        <v>508</v>
      </c>
      <c r="F663" s="16" t="s">
        <v>497</v>
      </c>
      <c r="G663" s="35" t="s">
        <v>509</v>
      </c>
      <c r="H663" s="39">
        <v>207.92</v>
      </c>
      <c r="I663" s="39">
        <v>186.72</v>
      </c>
      <c r="J663" s="39">
        <v>193.12</v>
      </c>
      <c r="K663" s="39">
        <v>0</v>
      </c>
      <c r="L663" s="39">
        <v>0</v>
      </c>
      <c r="M663" s="39">
        <v>0</v>
      </c>
      <c r="N663" s="39">
        <v>0</v>
      </c>
      <c r="O663" s="39">
        <v>0</v>
      </c>
      <c r="P663" s="39">
        <v>0</v>
      </c>
      <c r="Q663" s="39">
        <v>0</v>
      </c>
      <c r="R663" s="39">
        <v>0</v>
      </c>
      <c r="S663" s="39">
        <v>0</v>
      </c>
      <c r="T663" s="39">
        <v>0</v>
      </c>
      <c r="U663" s="39">
        <v>0</v>
      </c>
      <c r="V663" s="39">
        <v>0</v>
      </c>
      <c r="W663" s="39">
        <v>0</v>
      </c>
      <c r="X663" s="39">
        <v>0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0</v>
      </c>
      <c r="AI663" s="39">
        <v>207.92</v>
      </c>
      <c r="AJ663" s="39">
        <v>186.72</v>
      </c>
      <c r="AK663" s="39">
        <v>193.12</v>
      </c>
      <c r="AL663" s="39">
        <v>0</v>
      </c>
      <c r="AM663" s="39">
        <v>0</v>
      </c>
      <c r="AN663" s="39">
        <v>0</v>
      </c>
      <c r="AO663" s="39">
        <v>207.92</v>
      </c>
      <c r="AP663" s="39">
        <v>186.72</v>
      </c>
      <c r="AQ663" s="39">
        <v>193.12</v>
      </c>
      <c r="AR663" s="39">
        <v>207.92</v>
      </c>
    </row>
    <row r="664" spans="1:44" x14ac:dyDescent="0.35">
      <c r="A664" s="16" t="str">
        <f t="shared" si="57"/>
        <v>11</v>
      </c>
      <c r="B664" s="19">
        <v>62646</v>
      </c>
      <c r="C664" s="16" t="str">
        <f t="shared" si="56"/>
        <v>0000000</v>
      </c>
      <c r="D664" s="17" t="s">
        <v>3663</v>
      </c>
      <c r="E664" s="16" t="s">
        <v>510</v>
      </c>
      <c r="F664" s="16" t="s">
        <v>497</v>
      </c>
      <c r="G664" s="35" t="s">
        <v>511</v>
      </c>
      <c r="H664" s="39">
        <v>117.02</v>
      </c>
      <c r="I664" s="39">
        <v>109.89</v>
      </c>
      <c r="J664" s="39">
        <v>125.27</v>
      </c>
      <c r="K664" s="39">
        <v>0</v>
      </c>
      <c r="L664" s="39">
        <v>0</v>
      </c>
      <c r="M664" s="39">
        <v>0</v>
      </c>
      <c r="N664" s="39">
        <v>0</v>
      </c>
      <c r="O664" s="39">
        <v>0</v>
      </c>
      <c r="P664" s="39">
        <v>0</v>
      </c>
      <c r="Q664" s="39">
        <v>0</v>
      </c>
      <c r="R664" s="39">
        <v>0</v>
      </c>
      <c r="S664" s="39">
        <v>0</v>
      </c>
      <c r="T664" s="39">
        <v>0</v>
      </c>
      <c r="U664" s="39">
        <v>0</v>
      </c>
      <c r="V664" s="39">
        <v>0</v>
      </c>
      <c r="W664" s="39">
        <v>0</v>
      </c>
      <c r="X664" s="39">
        <v>0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0</v>
      </c>
      <c r="AI664" s="39">
        <v>117.02</v>
      </c>
      <c r="AJ664" s="39">
        <v>109.89</v>
      </c>
      <c r="AK664" s="39">
        <v>125.27</v>
      </c>
      <c r="AL664" s="39">
        <v>0</v>
      </c>
      <c r="AM664" s="39">
        <v>0</v>
      </c>
      <c r="AN664" s="39">
        <v>0</v>
      </c>
      <c r="AO664" s="39">
        <v>117.02</v>
      </c>
      <c r="AP664" s="39">
        <v>109.89</v>
      </c>
      <c r="AQ664" s="39">
        <v>125.27</v>
      </c>
      <c r="AR664" s="39">
        <v>125.27</v>
      </c>
    </row>
    <row r="665" spans="1:44" x14ac:dyDescent="0.35">
      <c r="A665" s="16" t="str">
        <f t="shared" si="57"/>
        <v>11</v>
      </c>
      <c r="B665" s="19">
        <v>62653</v>
      </c>
      <c r="C665" s="16" t="str">
        <f t="shared" si="56"/>
        <v>0000000</v>
      </c>
      <c r="D665" s="17" t="s">
        <v>3663</v>
      </c>
      <c r="E665" s="16" t="s">
        <v>512</v>
      </c>
      <c r="F665" s="16" t="s">
        <v>497</v>
      </c>
      <c r="G665" s="35" t="s">
        <v>513</v>
      </c>
      <c r="H665" s="39">
        <v>53.08</v>
      </c>
      <c r="I665" s="39">
        <v>59.14</v>
      </c>
      <c r="J665" s="39">
        <v>77.239999999999995</v>
      </c>
      <c r="K665" s="39">
        <v>0</v>
      </c>
      <c r="L665" s="39">
        <v>0</v>
      </c>
      <c r="M665" s="39">
        <v>0</v>
      </c>
      <c r="N665" s="39">
        <v>0</v>
      </c>
      <c r="O665" s="39">
        <v>0</v>
      </c>
      <c r="P665" s="39">
        <v>0</v>
      </c>
      <c r="Q665" s="39">
        <v>0</v>
      </c>
      <c r="R665" s="39">
        <v>0</v>
      </c>
      <c r="S665" s="39">
        <v>0</v>
      </c>
      <c r="T665" s="39">
        <v>0</v>
      </c>
      <c r="U665" s="39">
        <v>0</v>
      </c>
      <c r="V665" s="39">
        <v>0</v>
      </c>
      <c r="W665" s="39">
        <v>0</v>
      </c>
      <c r="X665" s="39">
        <v>0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0</v>
      </c>
      <c r="AI665" s="39">
        <v>53.08</v>
      </c>
      <c r="AJ665" s="39">
        <v>59.14</v>
      </c>
      <c r="AK665" s="39">
        <v>77.239999999999995</v>
      </c>
      <c r="AL665" s="39">
        <v>0</v>
      </c>
      <c r="AM665" s="39">
        <v>0</v>
      </c>
      <c r="AN665" s="39">
        <v>0</v>
      </c>
      <c r="AO665" s="39">
        <v>53.08</v>
      </c>
      <c r="AP665" s="39">
        <v>59.14</v>
      </c>
      <c r="AQ665" s="39">
        <v>77.239999999999995</v>
      </c>
      <c r="AR665" s="39">
        <v>77.239999999999995</v>
      </c>
    </row>
    <row r="666" spans="1:44" x14ac:dyDescent="0.35">
      <c r="A666" s="16" t="str">
        <f t="shared" si="57"/>
        <v>11</v>
      </c>
      <c r="B666" s="19">
        <v>76562</v>
      </c>
      <c r="C666" s="16" t="str">
        <f t="shared" si="56"/>
        <v>0000000</v>
      </c>
      <c r="D666" s="17" t="s">
        <v>3663</v>
      </c>
      <c r="E666" s="16" t="s">
        <v>518</v>
      </c>
      <c r="F666" s="16" t="s">
        <v>497</v>
      </c>
      <c r="G666" s="35" t="s">
        <v>519</v>
      </c>
      <c r="H666" s="39">
        <v>682.21</v>
      </c>
      <c r="I666" s="39">
        <v>681.35</v>
      </c>
      <c r="J666" s="39">
        <v>678.57</v>
      </c>
      <c r="K666" s="39">
        <v>0</v>
      </c>
      <c r="L666" s="39">
        <v>0</v>
      </c>
      <c r="M666" s="39">
        <v>0</v>
      </c>
      <c r="N666" s="39">
        <v>0</v>
      </c>
      <c r="O666" s="39">
        <v>0</v>
      </c>
      <c r="P666" s="39">
        <v>0</v>
      </c>
      <c r="Q666" s="39">
        <v>0</v>
      </c>
      <c r="R666" s="39">
        <v>0</v>
      </c>
      <c r="S666" s="39">
        <v>0</v>
      </c>
      <c r="T666" s="39">
        <v>0</v>
      </c>
      <c r="U666" s="39">
        <v>0</v>
      </c>
      <c r="V666" s="39">
        <v>0</v>
      </c>
      <c r="W666" s="39">
        <v>0</v>
      </c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0</v>
      </c>
      <c r="AI666" s="39">
        <v>682.21</v>
      </c>
      <c r="AJ666" s="39">
        <v>681.35</v>
      </c>
      <c r="AK666" s="39">
        <v>678.57</v>
      </c>
      <c r="AL666" s="39">
        <v>0</v>
      </c>
      <c r="AM666" s="39">
        <v>0</v>
      </c>
      <c r="AN666" s="39">
        <v>0</v>
      </c>
      <c r="AO666" s="39">
        <v>682.21</v>
      </c>
      <c r="AP666" s="39">
        <v>681.35</v>
      </c>
      <c r="AQ666" s="39">
        <v>678.57</v>
      </c>
      <c r="AR666" s="39">
        <v>682.21</v>
      </c>
    </row>
    <row r="667" spans="1:44" x14ac:dyDescent="0.35">
      <c r="A667" s="16" t="str">
        <f t="shared" si="57"/>
        <v>11</v>
      </c>
      <c r="B667" s="19">
        <v>10116</v>
      </c>
      <c r="C667" s="16" t="str">
        <f>TEXT(124909,"0000000")</f>
        <v>0124909</v>
      </c>
      <c r="D667" s="19">
        <v>1350</v>
      </c>
      <c r="E667" s="16" t="s">
        <v>498</v>
      </c>
      <c r="F667" s="16" t="s">
        <v>497</v>
      </c>
      <c r="G667" s="35" t="s">
        <v>499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160.76</v>
      </c>
      <c r="AD667" s="39">
        <v>172.84</v>
      </c>
      <c r="AE667" s="39">
        <v>175.88</v>
      </c>
      <c r="AF667" s="39">
        <v>0</v>
      </c>
      <c r="AG667" s="39">
        <v>0</v>
      </c>
      <c r="AH667" s="39">
        <v>0</v>
      </c>
      <c r="AI667" s="39">
        <v>160.76</v>
      </c>
      <c r="AJ667" s="39">
        <v>172.84</v>
      </c>
      <c r="AK667" s="39">
        <v>175.88</v>
      </c>
      <c r="AL667" s="39">
        <v>0</v>
      </c>
      <c r="AM667" s="39">
        <v>0</v>
      </c>
      <c r="AN667" s="39">
        <v>0</v>
      </c>
      <c r="AO667" s="39">
        <v>160.76</v>
      </c>
      <c r="AP667" s="39">
        <v>172.84</v>
      </c>
      <c r="AQ667" s="39">
        <v>175.88</v>
      </c>
      <c r="AR667" s="39">
        <v>175.88</v>
      </c>
    </row>
    <row r="668" spans="1:44" x14ac:dyDescent="0.35">
      <c r="A668" s="16" t="str">
        <f>TEXT(19,"00")</f>
        <v>19</v>
      </c>
      <c r="B668" s="19">
        <v>64733</v>
      </c>
      <c r="C668" s="16" t="str">
        <f t="shared" ref="C668:C703" si="58">TEXT(,"0000000")</f>
        <v>0000000</v>
      </c>
      <c r="D668" s="17" t="s">
        <v>3663</v>
      </c>
      <c r="E668" s="16" t="s">
        <v>1028</v>
      </c>
      <c r="F668" s="16" t="s">
        <v>1029</v>
      </c>
      <c r="G668" s="35" t="s">
        <v>1029</v>
      </c>
      <c r="H668" s="39">
        <v>337179.7</v>
      </c>
      <c r="I668" s="39">
        <v>345571.02</v>
      </c>
      <c r="J668" s="39">
        <v>347990.94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230.36</v>
      </c>
      <c r="U668" s="39">
        <v>232.21</v>
      </c>
      <c r="V668" s="39">
        <v>214.84</v>
      </c>
      <c r="W668" s="39">
        <v>389.44</v>
      </c>
      <c r="X668" s="39">
        <v>397.78</v>
      </c>
      <c r="Y668" s="39">
        <v>393.54</v>
      </c>
      <c r="Z668" s="39">
        <v>0</v>
      </c>
      <c r="AA668" s="39">
        <v>0</v>
      </c>
      <c r="AB668" s="39">
        <v>0</v>
      </c>
      <c r="AC668" s="39">
        <v>129610.6</v>
      </c>
      <c r="AD668" s="39">
        <v>131302.71</v>
      </c>
      <c r="AE668" s="39">
        <v>130760.19</v>
      </c>
      <c r="AF668" s="39">
        <v>0</v>
      </c>
      <c r="AG668" s="39">
        <v>0</v>
      </c>
      <c r="AH668" s="39">
        <v>0</v>
      </c>
      <c r="AI668" s="39">
        <v>467410.1</v>
      </c>
      <c r="AJ668" s="39">
        <v>477503.72</v>
      </c>
      <c r="AK668" s="39">
        <v>479359.51</v>
      </c>
      <c r="AL668" s="39">
        <v>0</v>
      </c>
      <c r="AM668" s="39">
        <v>0</v>
      </c>
      <c r="AN668" s="39">
        <v>0</v>
      </c>
      <c r="AO668" s="39">
        <v>467410.1</v>
      </c>
      <c r="AP668" s="39">
        <v>477503.72</v>
      </c>
      <c r="AQ668" s="39">
        <v>479359.51</v>
      </c>
      <c r="AR668" s="39">
        <v>479359.51</v>
      </c>
    </row>
    <row r="669" spans="1:44" x14ac:dyDescent="0.35">
      <c r="A669" s="16" t="str">
        <f>TEXT(19,"00")</f>
        <v>19</v>
      </c>
      <c r="B669" s="19">
        <v>73452</v>
      </c>
      <c r="C669" s="16" t="str">
        <f t="shared" si="58"/>
        <v>0000000</v>
      </c>
      <c r="D669" s="17" t="s">
        <v>3663</v>
      </c>
      <c r="E669" s="16" t="s">
        <v>1160</v>
      </c>
      <c r="F669" s="16" t="s">
        <v>1161</v>
      </c>
      <c r="G669" s="35" t="s">
        <v>1161</v>
      </c>
      <c r="H669" s="39">
        <v>10951.26</v>
      </c>
      <c r="I669" s="39">
        <v>11012.02</v>
      </c>
      <c r="J669" s="39">
        <v>11083.43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5.4</v>
      </c>
      <c r="U669" s="39">
        <v>5.37</v>
      </c>
      <c r="V669" s="39">
        <v>5.55</v>
      </c>
      <c r="W669" s="39">
        <v>50.47</v>
      </c>
      <c r="X669" s="39">
        <v>64.31</v>
      </c>
      <c r="Y669" s="39">
        <v>59.56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11007.13</v>
      </c>
      <c r="AJ669" s="39">
        <v>11081.7</v>
      </c>
      <c r="AK669" s="39">
        <v>11148.54</v>
      </c>
      <c r="AL669" s="39">
        <v>0</v>
      </c>
      <c r="AM669" s="39">
        <v>0</v>
      </c>
      <c r="AN669" s="39">
        <v>0</v>
      </c>
      <c r="AO669" s="39">
        <v>11007.13</v>
      </c>
      <c r="AP669" s="39">
        <v>11081.7</v>
      </c>
      <c r="AQ669" s="39">
        <v>11148.54</v>
      </c>
      <c r="AR669" s="39">
        <v>11148.54</v>
      </c>
    </row>
    <row r="670" spans="1:44" x14ac:dyDescent="0.35">
      <c r="A670" s="16" t="str">
        <f>TEXT(1,"00")</f>
        <v>01</v>
      </c>
      <c r="B670" s="19">
        <v>61259</v>
      </c>
      <c r="C670" s="16" t="str">
        <f t="shared" si="58"/>
        <v>0000000</v>
      </c>
      <c r="D670" s="17" t="s">
        <v>3663</v>
      </c>
      <c r="E670" s="16" t="s">
        <v>74</v>
      </c>
      <c r="F670" s="16" t="s">
        <v>75</v>
      </c>
      <c r="G670" s="35" t="s">
        <v>75</v>
      </c>
      <c r="H670" s="39">
        <v>30387.51</v>
      </c>
      <c r="I670" s="39">
        <v>30249.61</v>
      </c>
      <c r="J670" s="39">
        <v>29882.87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105.9</v>
      </c>
      <c r="AE670" s="39">
        <v>107.8</v>
      </c>
      <c r="AF670" s="39">
        <v>0</v>
      </c>
      <c r="AG670" s="39">
        <v>0</v>
      </c>
      <c r="AH670" s="39">
        <v>0</v>
      </c>
      <c r="AI670" s="39">
        <v>30387.51</v>
      </c>
      <c r="AJ670" s="39">
        <v>30355.51</v>
      </c>
      <c r="AK670" s="39">
        <v>29990.67</v>
      </c>
      <c r="AL670" s="39">
        <v>0</v>
      </c>
      <c r="AM670" s="39">
        <v>0</v>
      </c>
      <c r="AN670" s="39">
        <v>0</v>
      </c>
      <c r="AO670" s="39">
        <v>30387.51</v>
      </c>
      <c r="AP670" s="39">
        <v>30355.51</v>
      </c>
      <c r="AQ670" s="39">
        <v>29990.67</v>
      </c>
      <c r="AR670" s="39">
        <v>30387.51</v>
      </c>
    </row>
    <row r="671" spans="1:44" x14ac:dyDescent="0.35">
      <c r="A671" s="16" t="str">
        <f>TEXT(25,"00")</f>
        <v>25</v>
      </c>
      <c r="B671" s="19">
        <v>10256</v>
      </c>
      <c r="C671" s="16" t="str">
        <f t="shared" si="58"/>
        <v>0000000</v>
      </c>
      <c r="D671" s="17" t="s">
        <v>3663</v>
      </c>
      <c r="E671" s="16" t="s">
        <v>1365</v>
      </c>
      <c r="F671" s="16" t="s">
        <v>1366</v>
      </c>
      <c r="G671" s="35" t="s">
        <v>1366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10.02</v>
      </c>
      <c r="X671" s="39">
        <v>8.81</v>
      </c>
      <c r="Y671" s="39">
        <v>11.74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10.02</v>
      </c>
      <c r="AJ671" s="39">
        <v>8.81</v>
      </c>
      <c r="AK671" s="39">
        <v>11.74</v>
      </c>
      <c r="AL671" s="39">
        <v>0</v>
      </c>
      <c r="AM671" s="39">
        <v>0</v>
      </c>
      <c r="AN671" s="39">
        <v>0</v>
      </c>
      <c r="AO671" s="39">
        <v>10.02</v>
      </c>
      <c r="AP671" s="39">
        <v>8.81</v>
      </c>
      <c r="AQ671" s="39">
        <v>11.74</v>
      </c>
      <c r="AR671" s="39">
        <v>11.74</v>
      </c>
    </row>
    <row r="672" spans="1:44" x14ac:dyDescent="0.35">
      <c r="A672" s="16" t="str">
        <f>TEXT(25,"00")</f>
        <v>25</v>
      </c>
      <c r="B672" s="19">
        <v>65896</v>
      </c>
      <c r="C672" s="16" t="str">
        <f t="shared" si="58"/>
        <v>0000000</v>
      </c>
      <c r="D672" s="17" t="s">
        <v>3663</v>
      </c>
      <c r="E672" s="16" t="s">
        <v>1367</v>
      </c>
      <c r="F672" s="16" t="s">
        <v>1366</v>
      </c>
      <c r="G672" s="35" t="s">
        <v>1368</v>
      </c>
      <c r="H672" s="39">
        <v>82.64</v>
      </c>
      <c r="I672" s="39">
        <v>83.46</v>
      </c>
      <c r="J672" s="39">
        <v>83.56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82.64</v>
      </c>
      <c r="AJ672" s="39">
        <v>83.46</v>
      </c>
      <c r="AK672" s="39">
        <v>83.56</v>
      </c>
      <c r="AL672" s="39">
        <v>0</v>
      </c>
      <c r="AM672" s="39">
        <v>0</v>
      </c>
      <c r="AN672" s="39">
        <v>0</v>
      </c>
      <c r="AO672" s="39">
        <v>82.64</v>
      </c>
      <c r="AP672" s="39">
        <v>83.46</v>
      </c>
      <c r="AQ672" s="39">
        <v>83.56</v>
      </c>
      <c r="AR672" s="39">
        <v>83.56</v>
      </c>
    </row>
    <row r="673" spans="1:44" x14ac:dyDescent="0.35">
      <c r="A673" s="16" t="str">
        <f>TEXT(25,"00")</f>
        <v>25</v>
      </c>
      <c r="B673" s="19">
        <v>73585</v>
      </c>
      <c r="C673" s="16" t="str">
        <f t="shared" si="58"/>
        <v>0000000</v>
      </c>
      <c r="D673" s="17" t="s">
        <v>3663</v>
      </c>
      <c r="E673" s="16" t="s">
        <v>1369</v>
      </c>
      <c r="F673" s="16" t="s">
        <v>1366</v>
      </c>
      <c r="G673" s="35" t="s">
        <v>1370</v>
      </c>
      <c r="H673" s="39">
        <v>710.91</v>
      </c>
      <c r="I673" s="39">
        <v>743.4</v>
      </c>
      <c r="J673" s="39">
        <v>750.53</v>
      </c>
      <c r="K673" s="39">
        <v>0</v>
      </c>
      <c r="L673" s="39">
        <v>0</v>
      </c>
      <c r="M673" s="39">
        <v>0</v>
      </c>
      <c r="N673" s="39">
        <v>0</v>
      </c>
      <c r="O673" s="39">
        <v>0</v>
      </c>
      <c r="P673" s="39">
        <v>0</v>
      </c>
      <c r="Q673" s="39">
        <v>0</v>
      </c>
      <c r="R673" s="39">
        <v>0</v>
      </c>
      <c r="S673" s="39">
        <v>0</v>
      </c>
      <c r="T673" s="39">
        <v>0</v>
      </c>
      <c r="U673" s="39">
        <v>0</v>
      </c>
      <c r="V673" s="39">
        <v>0</v>
      </c>
      <c r="W673" s="39">
        <v>0</v>
      </c>
      <c r="X673" s="39">
        <v>0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0</v>
      </c>
      <c r="AI673" s="39">
        <v>710.91</v>
      </c>
      <c r="AJ673" s="39">
        <v>743.4</v>
      </c>
      <c r="AK673" s="39">
        <v>750.53</v>
      </c>
      <c r="AL673" s="39">
        <v>0</v>
      </c>
      <c r="AM673" s="39">
        <v>0</v>
      </c>
      <c r="AN673" s="39">
        <v>0</v>
      </c>
      <c r="AO673" s="39">
        <v>710.91</v>
      </c>
      <c r="AP673" s="39">
        <v>743.4</v>
      </c>
      <c r="AQ673" s="39">
        <v>750.53</v>
      </c>
      <c r="AR673" s="39">
        <v>750.53</v>
      </c>
    </row>
    <row r="674" spans="1:44" x14ac:dyDescent="0.35">
      <c r="A674" s="16" t="str">
        <f>TEXT(25,"00")</f>
        <v>25</v>
      </c>
      <c r="B674" s="19">
        <v>73593</v>
      </c>
      <c r="C674" s="16" t="str">
        <f t="shared" si="58"/>
        <v>0000000</v>
      </c>
      <c r="D674" s="17" t="s">
        <v>3663</v>
      </c>
      <c r="E674" s="16" t="s">
        <v>1371</v>
      </c>
      <c r="F674" s="16" t="s">
        <v>1366</v>
      </c>
      <c r="G674" s="35" t="s">
        <v>1372</v>
      </c>
      <c r="H674" s="39">
        <v>435.76</v>
      </c>
      <c r="I674" s="39">
        <v>388.28</v>
      </c>
      <c r="J674" s="39">
        <v>366.43</v>
      </c>
      <c r="K674" s="39">
        <v>0</v>
      </c>
      <c r="L674" s="39">
        <v>0</v>
      </c>
      <c r="M674" s="39">
        <v>0</v>
      </c>
      <c r="N674" s="39">
        <v>0</v>
      </c>
      <c r="O674" s="39">
        <v>0</v>
      </c>
      <c r="P674" s="39">
        <v>0</v>
      </c>
      <c r="Q674" s="39">
        <v>0</v>
      </c>
      <c r="R674" s="39">
        <v>0</v>
      </c>
      <c r="S674" s="39">
        <v>0</v>
      </c>
      <c r="T674" s="39">
        <v>0</v>
      </c>
      <c r="U674" s="39">
        <v>0</v>
      </c>
      <c r="V674" s="39">
        <v>0</v>
      </c>
      <c r="W674" s="39">
        <v>0</v>
      </c>
      <c r="X674" s="39">
        <v>0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0</v>
      </c>
      <c r="AI674" s="39">
        <v>435.76</v>
      </c>
      <c r="AJ674" s="39">
        <v>388.28</v>
      </c>
      <c r="AK674" s="39">
        <v>366.43</v>
      </c>
      <c r="AL674" s="39">
        <v>0</v>
      </c>
      <c r="AM674" s="39">
        <v>0</v>
      </c>
      <c r="AN674" s="39">
        <v>0</v>
      </c>
      <c r="AO674" s="39">
        <v>435.76</v>
      </c>
      <c r="AP674" s="39">
        <v>388.28</v>
      </c>
      <c r="AQ674" s="39">
        <v>366.43</v>
      </c>
      <c r="AR674" s="39">
        <v>435.76</v>
      </c>
    </row>
    <row r="675" spans="1:44" x14ac:dyDescent="0.35">
      <c r="A675" s="16" t="str">
        <f>TEXT(34,"00")</f>
        <v>34</v>
      </c>
      <c r="B675" s="19">
        <v>67447</v>
      </c>
      <c r="C675" s="16" t="str">
        <f t="shared" si="58"/>
        <v>0000000</v>
      </c>
      <c r="D675" s="17" t="s">
        <v>3663</v>
      </c>
      <c r="E675" s="16" t="s">
        <v>1844</v>
      </c>
      <c r="F675" s="16" t="s">
        <v>1845</v>
      </c>
      <c r="G675" s="35" t="s">
        <v>1845</v>
      </c>
      <c r="H675" s="39">
        <v>36392.839999999997</v>
      </c>
      <c r="I675" s="39">
        <v>35466.129999999997</v>
      </c>
      <c r="J675" s="39">
        <v>34592.410000000003</v>
      </c>
      <c r="K675" s="39">
        <v>0</v>
      </c>
      <c r="L675" s="39">
        <v>0</v>
      </c>
      <c r="M675" s="39">
        <v>0</v>
      </c>
      <c r="N675" s="39">
        <v>0</v>
      </c>
      <c r="O675" s="39">
        <v>0</v>
      </c>
      <c r="P675" s="39">
        <v>0</v>
      </c>
      <c r="Q675" s="39">
        <v>0</v>
      </c>
      <c r="R675" s="39">
        <v>0</v>
      </c>
      <c r="S675" s="39">
        <v>0</v>
      </c>
      <c r="T675" s="39">
        <v>0</v>
      </c>
      <c r="U675" s="39">
        <v>0</v>
      </c>
      <c r="V675" s="39">
        <v>0</v>
      </c>
      <c r="W675" s="39">
        <v>0</v>
      </c>
      <c r="X675" s="39">
        <v>0</v>
      </c>
      <c r="Y675" s="39">
        <v>0</v>
      </c>
      <c r="Z675" s="39">
        <v>0</v>
      </c>
      <c r="AA675" s="39">
        <v>0</v>
      </c>
      <c r="AB675" s="39">
        <v>0</v>
      </c>
      <c r="AC675" s="39">
        <v>1831.32</v>
      </c>
      <c r="AD675" s="39">
        <v>8603.9699999999993</v>
      </c>
      <c r="AE675" s="39">
        <v>7999.65</v>
      </c>
      <c r="AF675" s="39">
        <v>0</v>
      </c>
      <c r="AG675" s="39">
        <v>0</v>
      </c>
      <c r="AH675" s="39">
        <v>0</v>
      </c>
      <c r="AI675" s="39">
        <v>38224.160000000003</v>
      </c>
      <c r="AJ675" s="39">
        <v>44070.1</v>
      </c>
      <c r="AK675" s="39">
        <v>42592.06</v>
      </c>
      <c r="AL675" s="39">
        <v>0</v>
      </c>
      <c r="AM675" s="39">
        <v>-6748.46</v>
      </c>
      <c r="AN675" s="39">
        <v>-6308.4</v>
      </c>
      <c r="AO675" s="39">
        <v>38224.160000000003</v>
      </c>
      <c r="AP675" s="39">
        <v>37321.64</v>
      </c>
      <c r="AQ675" s="39">
        <v>36283.660000000003</v>
      </c>
      <c r="AR675" s="39">
        <v>38224.160000000003</v>
      </c>
    </row>
    <row r="676" spans="1:44" x14ac:dyDescent="0.35">
      <c r="A676" s="16" t="str">
        <f>TEXT(30,"00")</f>
        <v>30</v>
      </c>
      <c r="B676" s="19">
        <v>66464</v>
      </c>
      <c r="C676" s="16" t="str">
        <f t="shared" si="58"/>
        <v>0000000</v>
      </c>
      <c r="D676" s="17" t="s">
        <v>3663</v>
      </c>
      <c r="E676" s="16" t="s">
        <v>1547</v>
      </c>
      <c r="F676" s="16" t="s">
        <v>1548</v>
      </c>
      <c r="G676" s="35" t="s">
        <v>1548</v>
      </c>
      <c r="H676" s="39">
        <v>37991.14</v>
      </c>
      <c r="I676" s="39">
        <v>38540.78</v>
      </c>
      <c r="J676" s="39">
        <v>39032.33</v>
      </c>
      <c r="K676" s="39">
        <v>126.57</v>
      </c>
      <c r="L676" s="39">
        <v>134.28</v>
      </c>
      <c r="M676" s="39">
        <v>125.76</v>
      </c>
      <c r="N676" s="39">
        <v>0</v>
      </c>
      <c r="O676" s="39">
        <v>0</v>
      </c>
      <c r="P676" s="39">
        <v>0</v>
      </c>
      <c r="Q676" s="39">
        <v>0</v>
      </c>
      <c r="R676" s="39">
        <v>0</v>
      </c>
      <c r="S676" s="39">
        <v>0</v>
      </c>
      <c r="T676" s="39">
        <v>0</v>
      </c>
      <c r="U676" s="39">
        <v>0</v>
      </c>
      <c r="V676" s="39">
        <v>0</v>
      </c>
      <c r="W676" s="39">
        <v>0</v>
      </c>
      <c r="X676" s="39">
        <v>0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549.71</v>
      </c>
      <c r="AE676" s="39">
        <v>533.24</v>
      </c>
      <c r="AF676" s="39">
        <v>0</v>
      </c>
      <c r="AG676" s="39">
        <v>0</v>
      </c>
      <c r="AH676" s="39">
        <v>0</v>
      </c>
      <c r="AI676" s="39">
        <v>38117.71</v>
      </c>
      <c r="AJ676" s="39">
        <v>39224.769999999997</v>
      </c>
      <c r="AK676" s="39">
        <v>39691.33</v>
      </c>
      <c r="AL676" s="39">
        <v>0</v>
      </c>
      <c r="AM676" s="39">
        <v>-549.71</v>
      </c>
      <c r="AN676" s="39">
        <v>-533.24</v>
      </c>
      <c r="AO676" s="39">
        <v>38117.71</v>
      </c>
      <c r="AP676" s="39">
        <v>38675.06</v>
      </c>
      <c r="AQ676" s="39">
        <v>39158.089999999997</v>
      </c>
      <c r="AR676" s="39">
        <v>39158.089999999997</v>
      </c>
    </row>
    <row r="677" spans="1:44" x14ac:dyDescent="0.35">
      <c r="A677" s="16" t="str">
        <f>TEXT(9,"00")</f>
        <v>09</v>
      </c>
      <c r="B677" s="19">
        <v>61903</v>
      </c>
      <c r="C677" s="16" t="str">
        <f t="shared" si="58"/>
        <v>0000000</v>
      </c>
      <c r="D677" s="17" t="s">
        <v>3663</v>
      </c>
      <c r="E677" s="16" t="s">
        <v>165</v>
      </c>
      <c r="F677" s="16" t="s">
        <v>166</v>
      </c>
      <c r="G677" s="35" t="s">
        <v>166</v>
      </c>
      <c r="H677" s="39">
        <v>3244.46</v>
      </c>
      <c r="I677" s="39">
        <v>3282.76</v>
      </c>
      <c r="J677" s="39">
        <v>3221.76</v>
      </c>
      <c r="K677" s="39">
        <v>0</v>
      </c>
      <c r="L677" s="39">
        <v>0</v>
      </c>
      <c r="M677" s="39">
        <v>0</v>
      </c>
      <c r="N677" s="39">
        <v>0</v>
      </c>
      <c r="O677" s="39">
        <v>0</v>
      </c>
      <c r="P677" s="39">
        <v>0</v>
      </c>
      <c r="Q677" s="39">
        <v>0</v>
      </c>
      <c r="R677" s="39">
        <v>0</v>
      </c>
      <c r="S677" s="39">
        <v>0</v>
      </c>
      <c r="T677" s="39">
        <v>0</v>
      </c>
      <c r="U677" s="39">
        <v>0</v>
      </c>
      <c r="V677" s="39">
        <v>0</v>
      </c>
      <c r="W677" s="39">
        <v>0</v>
      </c>
      <c r="X677" s="39">
        <v>0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0</v>
      </c>
      <c r="AI677" s="39">
        <v>3244.46</v>
      </c>
      <c r="AJ677" s="39">
        <v>3282.76</v>
      </c>
      <c r="AK677" s="39">
        <v>3221.76</v>
      </c>
      <c r="AL677" s="39">
        <v>0</v>
      </c>
      <c r="AM677" s="39">
        <v>0</v>
      </c>
      <c r="AN677" s="39">
        <v>0</v>
      </c>
      <c r="AO677" s="39">
        <v>3244.46</v>
      </c>
      <c r="AP677" s="39">
        <v>3282.76</v>
      </c>
      <c r="AQ677" s="39">
        <v>3221.76</v>
      </c>
      <c r="AR677" s="39">
        <v>3282.76</v>
      </c>
    </row>
    <row r="678" spans="1:44" x14ac:dyDescent="0.35">
      <c r="A678" s="16" t="str">
        <f>TEXT(2,"00")</f>
        <v>02</v>
      </c>
      <c r="B678" s="19">
        <v>61333</v>
      </c>
      <c r="C678" s="16" t="str">
        <f t="shared" si="58"/>
        <v>0000000</v>
      </c>
      <c r="D678" s="17" t="s">
        <v>3663</v>
      </c>
      <c r="E678" s="16" t="s">
        <v>169</v>
      </c>
      <c r="F678" s="16" t="s">
        <v>166</v>
      </c>
      <c r="G678" s="35" t="s">
        <v>170</v>
      </c>
      <c r="H678" s="39">
        <v>51.14</v>
      </c>
      <c r="I678" s="39">
        <v>58.33</v>
      </c>
      <c r="J678" s="39">
        <v>55.78</v>
      </c>
      <c r="K678" s="39">
        <v>0</v>
      </c>
      <c r="L678" s="39">
        <v>0</v>
      </c>
      <c r="M678" s="39">
        <v>0</v>
      </c>
      <c r="N678" s="39">
        <v>0</v>
      </c>
      <c r="O678" s="39">
        <v>0</v>
      </c>
      <c r="P678" s="39">
        <v>0</v>
      </c>
      <c r="Q678" s="39">
        <v>0</v>
      </c>
      <c r="R678" s="39">
        <v>0</v>
      </c>
      <c r="S678" s="39">
        <v>0</v>
      </c>
      <c r="T678" s="39">
        <v>0</v>
      </c>
      <c r="U678" s="39">
        <v>0</v>
      </c>
      <c r="V678" s="39">
        <v>0</v>
      </c>
      <c r="W678" s="39">
        <v>0</v>
      </c>
      <c r="X678" s="39">
        <v>0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0</v>
      </c>
      <c r="AI678" s="39">
        <v>51.14</v>
      </c>
      <c r="AJ678" s="39">
        <v>58.33</v>
      </c>
      <c r="AK678" s="39">
        <v>55.78</v>
      </c>
      <c r="AL678" s="39">
        <v>0</v>
      </c>
      <c r="AM678" s="39">
        <v>0</v>
      </c>
      <c r="AN678" s="39">
        <v>0</v>
      </c>
      <c r="AO678" s="39">
        <v>51.14</v>
      </c>
      <c r="AP678" s="39">
        <v>58.33</v>
      </c>
      <c r="AQ678" s="39">
        <v>55.78</v>
      </c>
      <c r="AR678" s="39">
        <v>58.33</v>
      </c>
    </row>
    <row r="679" spans="1:44" x14ac:dyDescent="0.35">
      <c r="A679" s="16" t="str">
        <f>TEXT(2,"00")</f>
        <v>02</v>
      </c>
      <c r="B679" s="19">
        <v>10025</v>
      </c>
      <c r="C679" s="16" t="str">
        <f t="shared" si="58"/>
        <v>0000000</v>
      </c>
      <c r="D679" s="17" t="s">
        <v>3663</v>
      </c>
      <c r="E679" s="16" t="s">
        <v>167</v>
      </c>
      <c r="F679" s="16" t="s">
        <v>166</v>
      </c>
      <c r="G679" s="35" t="s">
        <v>168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17.829999999999998</v>
      </c>
      <c r="X679" s="39">
        <v>21.6</v>
      </c>
      <c r="Y679" s="39">
        <v>22.22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17.829999999999998</v>
      </c>
      <c r="AJ679" s="39">
        <v>21.6</v>
      </c>
      <c r="AK679" s="39">
        <v>22.22</v>
      </c>
      <c r="AL679" s="39">
        <v>0</v>
      </c>
      <c r="AM679" s="39">
        <v>0</v>
      </c>
      <c r="AN679" s="39">
        <v>0</v>
      </c>
      <c r="AO679" s="39">
        <v>17.829999999999998</v>
      </c>
      <c r="AP679" s="39">
        <v>21.6</v>
      </c>
      <c r="AQ679" s="39">
        <v>22.22</v>
      </c>
      <c r="AR679" s="39">
        <v>22.22</v>
      </c>
    </row>
    <row r="680" spans="1:44" x14ac:dyDescent="0.35">
      <c r="A680" s="16" t="str">
        <f>TEXT(19,"00")</f>
        <v>19</v>
      </c>
      <c r="B680" s="19">
        <v>73445</v>
      </c>
      <c r="C680" s="16" t="str">
        <f t="shared" si="58"/>
        <v>0000000</v>
      </c>
      <c r="D680" s="17" t="s">
        <v>3663</v>
      </c>
      <c r="E680" s="16" t="s">
        <v>1158</v>
      </c>
      <c r="F680" s="16" t="s">
        <v>1159</v>
      </c>
      <c r="G680" s="35" t="s">
        <v>1159</v>
      </c>
      <c r="H680" s="39">
        <v>14477.6</v>
      </c>
      <c r="I680" s="39">
        <v>14830.34</v>
      </c>
      <c r="J680" s="39">
        <v>14947.59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7.14</v>
      </c>
      <c r="U680" s="39">
        <v>7.22</v>
      </c>
      <c r="V680" s="39">
        <v>6.71</v>
      </c>
      <c r="W680" s="39">
        <v>24.52</v>
      </c>
      <c r="X680" s="39">
        <v>34.69</v>
      </c>
      <c r="Y680" s="39">
        <v>30.7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14509.26</v>
      </c>
      <c r="AJ680" s="39">
        <v>14872.25</v>
      </c>
      <c r="AK680" s="39">
        <v>14985</v>
      </c>
      <c r="AL680" s="39">
        <v>0</v>
      </c>
      <c r="AM680" s="39">
        <v>0</v>
      </c>
      <c r="AN680" s="39">
        <v>0</v>
      </c>
      <c r="AO680" s="39">
        <v>14509.26</v>
      </c>
      <c r="AP680" s="39">
        <v>14872.25</v>
      </c>
      <c r="AQ680" s="39">
        <v>14985</v>
      </c>
      <c r="AR680" s="39">
        <v>14985</v>
      </c>
    </row>
    <row r="681" spans="1:44" x14ac:dyDescent="0.35">
      <c r="A681" s="16" t="str">
        <f t="shared" ref="A681:A698" si="59">TEXT(1,"00")</f>
        <v>01</v>
      </c>
      <c r="B681" s="19">
        <v>61127</v>
      </c>
      <c r="C681" s="16" t="str">
        <f t="shared" si="58"/>
        <v>0000000</v>
      </c>
      <c r="D681" s="17" t="s">
        <v>3663</v>
      </c>
      <c r="E681" s="16" t="s">
        <v>35</v>
      </c>
      <c r="F681" s="16" t="s">
        <v>36</v>
      </c>
      <c r="G681" s="35" t="s">
        <v>36</v>
      </c>
      <c r="H681" s="39">
        <v>3535.32</v>
      </c>
      <c r="I681" s="39">
        <v>3426.89</v>
      </c>
      <c r="J681" s="39">
        <v>3363.11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3535.32</v>
      </c>
      <c r="AJ681" s="39">
        <v>3426.89</v>
      </c>
      <c r="AK681" s="39">
        <v>3363.11</v>
      </c>
      <c r="AL681" s="39">
        <v>0</v>
      </c>
      <c r="AM681" s="39">
        <v>0</v>
      </c>
      <c r="AN681" s="39">
        <v>0</v>
      </c>
      <c r="AO681" s="39">
        <v>3535.32</v>
      </c>
      <c r="AP681" s="39">
        <v>3426.89</v>
      </c>
      <c r="AQ681" s="39">
        <v>3363.11</v>
      </c>
      <c r="AR681" s="39">
        <v>3535.32</v>
      </c>
    </row>
    <row r="682" spans="1:44" x14ac:dyDescent="0.35">
      <c r="A682" s="16" t="str">
        <f t="shared" si="59"/>
        <v>01</v>
      </c>
      <c r="B682" s="19">
        <v>61143</v>
      </c>
      <c r="C682" s="16" t="str">
        <f t="shared" si="58"/>
        <v>0000000</v>
      </c>
      <c r="D682" s="17" t="s">
        <v>3663</v>
      </c>
      <c r="E682" s="16" t="s">
        <v>46</v>
      </c>
      <c r="F682" s="16" t="s">
        <v>36</v>
      </c>
      <c r="G682" s="35" t="s">
        <v>47</v>
      </c>
      <c r="H682" s="39">
        <v>8672.85</v>
      </c>
      <c r="I682" s="39">
        <v>8603.16</v>
      </c>
      <c r="J682" s="39">
        <v>8538.5300000000007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8672.85</v>
      </c>
      <c r="AJ682" s="39">
        <v>8603.16</v>
      </c>
      <c r="AK682" s="39">
        <v>8538.5300000000007</v>
      </c>
      <c r="AL682" s="39">
        <v>0</v>
      </c>
      <c r="AM682" s="39">
        <v>0</v>
      </c>
      <c r="AN682" s="39">
        <v>0</v>
      </c>
      <c r="AO682" s="39">
        <v>8672.85</v>
      </c>
      <c r="AP682" s="39">
        <v>8603.16</v>
      </c>
      <c r="AQ682" s="39">
        <v>8538.5300000000007</v>
      </c>
      <c r="AR682" s="39">
        <v>8672.85</v>
      </c>
    </row>
    <row r="683" spans="1:44" x14ac:dyDescent="0.35">
      <c r="A683" s="16" t="str">
        <f t="shared" si="59"/>
        <v>01</v>
      </c>
      <c r="B683" s="19">
        <v>61168</v>
      </c>
      <c r="C683" s="16" t="str">
        <f t="shared" si="58"/>
        <v>0000000</v>
      </c>
      <c r="D683" s="17" t="s">
        <v>3663</v>
      </c>
      <c r="E683" s="16" t="s">
        <v>50</v>
      </c>
      <c r="F683" s="16" t="s">
        <v>36</v>
      </c>
      <c r="G683" s="35" t="s">
        <v>51</v>
      </c>
      <c r="H683" s="39">
        <v>554.54999999999995</v>
      </c>
      <c r="I683" s="39">
        <v>557.37</v>
      </c>
      <c r="J683" s="39">
        <v>565.66999999999996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554.54999999999995</v>
      </c>
      <c r="AJ683" s="39">
        <v>557.37</v>
      </c>
      <c r="AK683" s="39">
        <v>565.66999999999996</v>
      </c>
      <c r="AL683" s="39">
        <v>0</v>
      </c>
      <c r="AM683" s="39">
        <v>0</v>
      </c>
      <c r="AN683" s="39">
        <v>0</v>
      </c>
      <c r="AO683" s="39">
        <v>554.54999999999995</v>
      </c>
      <c r="AP683" s="39">
        <v>557.37</v>
      </c>
      <c r="AQ683" s="39">
        <v>565.66999999999996</v>
      </c>
      <c r="AR683" s="39">
        <v>565.66999999999996</v>
      </c>
    </row>
    <row r="684" spans="1:44" x14ac:dyDescent="0.35">
      <c r="A684" s="16" t="str">
        <f t="shared" si="59"/>
        <v>01</v>
      </c>
      <c r="B684" s="19">
        <v>61275</v>
      </c>
      <c r="C684" s="16" t="str">
        <f t="shared" si="58"/>
        <v>0000000</v>
      </c>
      <c r="D684" s="17" t="s">
        <v>3663</v>
      </c>
      <c r="E684" s="16" t="s">
        <v>147</v>
      </c>
      <c r="F684" s="16" t="s">
        <v>36</v>
      </c>
      <c r="G684" s="35" t="s">
        <v>148</v>
      </c>
      <c r="H684" s="39">
        <v>2365.65</v>
      </c>
      <c r="I684" s="39">
        <v>2223.48</v>
      </c>
      <c r="J684" s="39">
        <v>2213.52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2365.65</v>
      </c>
      <c r="AJ684" s="39">
        <v>2223.48</v>
      </c>
      <c r="AK684" s="39">
        <v>2213.52</v>
      </c>
      <c r="AL684" s="39">
        <v>0</v>
      </c>
      <c r="AM684" s="39">
        <v>0</v>
      </c>
      <c r="AN684" s="39">
        <v>0</v>
      </c>
      <c r="AO684" s="39">
        <v>2365.65</v>
      </c>
      <c r="AP684" s="39">
        <v>2223.48</v>
      </c>
      <c r="AQ684" s="39">
        <v>2213.52</v>
      </c>
      <c r="AR684" s="39">
        <v>2365.65</v>
      </c>
    </row>
    <row r="685" spans="1:44" x14ac:dyDescent="0.35">
      <c r="A685" s="16" t="str">
        <f t="shared" si="59"/>
        <v>01</v>
      </c>
      <c r="B685" s="19">
        <v>61119</v>
      </c>
      <c r="C685" s="16" t="str">
        <f t="shared" si="58"/>
        <v>0000000</v>
      </c>
      <c r="D685" s="17" t="s">
        <v>3663</v>
      </c>
      <c r="E685" s="16" t="s">
        <v>37</v>
      </c>
      <c r="F685" s="16" t="s">
        <v>36</v>
      </c>
      <c r="G685" s="35" t="s">
        <v>38</v>
      </c>
      <c r="H685" s="39">
        <v>8804.74</v>
      </c>
      <c r="I685" s="39">
        <v>8563.64</v>
      </c>
      <c r="J685" s="39">
        <v>8301.99</v>
      </c>
      <c r="K685" s="39">
        <v>0</v>
      </c>
      <c r="L685" s="39">
        <v>0</v>
      </c>
      <c r="M685" s="39">
        <v>0</v>
      </c>
      <c r="N685" s="39">
        <v>0</v>
      </c>
      <c r="O685" s="39">
        <v>0</v>
      </c>
      <c r="P685" s="39">
        <v>0</v>
      </c>
      <c r="Q685" s="39">
        <v>0</v>
      </c>
      <c r="R685" s="39">
        <v>0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0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0</v>
      </c>
      <c r="AI685" s="39">
        <v>8804.74</v>
      </c>
      <c r="AJ685" s="39">
        <v>8563.64</v>
      </c>
      <c r="AK685" s="39">
        <v>8301.99</v>
      </c>
      <c r="AL685" s="39">
        <v>0</v>
      </c>
      <c r="AM685" s="39">
        <v>0</v>
      </c>
      <c r="AN685" s="39">
        <v>0</v>
      </c>
      <c r="AO685" s="39">
        <v>8804.74</v>
      </c>
      <c r="AP685" s="39">
        <v>8563.64</v>
      </c>
      <c r="AQ685" s="39">
        <v>8301.99</v>
      </c>
      <c r="AR685" s="39">
        <v>8804.74</v>
      </c>
    </row>
    <row r="686" spans="1:44" x14ac:dyDescent="0.35">
      <c r="A686" s="16" t="str">
        <f t="shared" si="59"/>
        <v>01</v>
      </c>
      <c r="B686" s="19">
        <v>61150</v>
      </c>
      <c r="C686" s="16" t="str">
        <f t="shared" si="58"/>
        <v>0000000</v>
      </c>
      <c r="D686" s="17" t="s">
        <v>3663</v>
      </c>
      <c r="E686" s="16" t="s">
        <v>48</v>
      </c>
      <c r="F686" s="16" t="s">
        <v>49</v>
      </c>
      <c r="G686" s="35" t="s">
        <v>49</v>
      </c>
      <c r="H686" s="39">
        <v>9115.08</v>
      </c>
      <c r="I686" s="39">
        <v>9006.1</v>
      </c>
      <c r="J686" s="39">
        <v>8660.5300000000007</v>
      </c>
      <c r="K686" s="39">
        <v>0</v>
      </c>
      <c r="L686" s="39">
        <v>0</v>
      </c>
      <c r="M686" s="39">
        <v>0</v>
      </c>
      <c r="N686" s="39">
        <v>0</v>
      </c>
      <c r="O686" s="39">
        <v>0</v>
      </c>
      <c r="P686" s="39">
        <v>0</v>
      </c>
      <c r="Q686" s="39">
        <v>0</v>
      </c>
      <c r="R686" s="39">
        <v>0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0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0</v>
      </c>
      <c r="AI686" s="39">
        <v>9115.08</v>
      </c>
      <c r="AJ686" s="39">
        <v>9006.1</v>
      </c>
      <c r="AK686" s="39">
        <v>8660.5300000000007</v>
      </c>
      <c r="AL686" s="39">
        <v>0</v>
      </c>
      <c r="AM686" s="39">
        <v>0</v>
      </c>
      <c r="AN686" s="39">
        <v>0</v>
      </c>
      <c r="AO686" s="39">
        <v>9115.08</v>
      </c>
      <c r="AP686" s="39">
        <v>9006.1</v>
      </c>
      <c r="AQ686" s="39">
        <v>8660.5300000000007</v>
      </c>
      <c r="AR686" s="39">
        <v>9115.08</v>
      </c>
    </row>
    <row r="687" spans="1:44" x14ac:dyDescent="0.35">
      <c r="A687" s="16" t="str">
        <f t="shared" si="59"/>
        <v>01</v>
      </c>
      <c r="B687" s="19">
        <v>61291</v>
      </c>
      <c r="C687" s="16" t="str">
        <f t="shared" si="58"/>
        <v>0000000</v>
      </c>
      <c r="D687" s="17" t="s">
        <v>3663</v>
      </c>
      <c r="E687" s="16" t="s">
        <v>149</v>
      </c>
      <c r="F687" s="16" t="s">
        <v>49</v>
      </c>
      <c r="G687" s="35" t="s">
        <v>150</v>
      </c>
      <c r="H687" s="39">
        <v>8304.33</v>
      </c>
      <c r="I687" s="39">
        <v>8126.16</v>
      </c>
      <c r="J687" s="39">
        <v>7903.57</v>
      </c>
      <c r="K687" s="39">
        <v>0</v>
      </c>
      <c r="L687" s="39">
        <v>0</v>
      </c>
      <c r="M687" s="39">
        <v>0</v>
      </c>
      <c r="N687" s="39">
        <v>0</v>
      </c>
      <c r="O687" s="39">
        <v>0</v>
      </c>
      <c r="P687" s="39">
        <v>0</v>
      </c>
      <c r="Q687" s="39">
        <v>0</v>
      </c>
      <c r="R687" s="39">
        <v>0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0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0</v>
      </c>
      <c r="AI687" s="39">
        <v>8304.33</v>
      </c>
      <c r="AJ687" s="39">
        <v>8126.16</v>
      </c>
      <c r="AK687" s="39">
        <v>7903.57</v>
      </c>
      <c r="AL687" s="39">
        <v>0</v>
      </c>
      <c r="AM687" s="39">
        <v>0</v>
      </c>
      <c r="AN687" s="39">
        <v>0</v>
      </c>
      <c r="AO687" s="39">
        <v>8304.33</v>
      </c>
      <c r="AP687" s="39">
        <v>8126.16</v>
      </c>
      <c r="AQ687" s="39">
        <v>7903.57</v>
      </c>
      <c r="AR687" s="39">
        <v>8304.33</v>
      </c>
    </row>
    <row r="688" spans="1:44" x14ac:dyDescent="0.35">
      <c r="A688" s="16" t="str">
        <f t="shared" si="59"/>
        <v>01</v>
      </c>
      <c r="B688" s="19">
        <v>61309</v>
      </c>
      <c r="C688" s="16" t="str">
        <f t="shared" si="58"/>
        <v>0000000</v>
      </c>
      <c r="D688" s="17" t="s">
        <v>3663</v>
      </c>
      <c r="E688" s="16" t="s">
        <v>151</v>
      </c>
      <c r="F688" s="16" t="s">
        <v>49</v>
      </c>
      <c r="G688" s="35" t="s">
        <v>152</v>
      </c>
      <c r="H688" s="39">
        <v>7380.28</v>
      </c>
      <c r="I688" s="39">
        <v>7526.5</v>
      </c>
      <c r="J688" s="39">
        <v>7599.74</v>
      </c>
      <c r="K688" s="39">
        <v>0</v>
      </c>
      <c r="L688" s="39">
        <v>0</v>
      </c>
      <c r="M688" s="39">
        <v>0</v>
      </c>
      <c r="N688" s="39">
        <v>0</v>
      </c>
      <c r="O688" s="39">
        <v>0</v>
      </c>
      <c r="P688" s="39">
        <v>0</v>
      </c>
      <c r="Q688" s="39">
        <v>0</v>
      </c>
      <c r="R688" s="39">
        <v>0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0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0</v>
      </c>
      <c r="AI688" s="39">
        <v>7380.28</v>
      </c>
      <c r="AJ688" s="39">
        <v>7526.5</v>
      </c>
      <c r="AK688" s="39">
        <v>7599.74</v>
      </c>
      <c r="AL688" s="39">
        <v>0</v>
      </c>
      <c r="AM688" s="39">
        <v>0</v>
      </c>
      <c r="AN688" s="39">
        <v>0</v>
      </c>
      <c r="AO688" s="39">
        <v>7380.28</v>
      </c>
      <c r="AP688" s="39">
        <v>7526.5</v>
      </c>
      <c r="AQ688" s="39">
        <v>7599.74</v>
      </c>
      <c r="AR688" s="39">
        <v>7599.74</v>
      </c>
    </row>
    <row r="689" spans="1:44" x14ac:dyDescent="0.35">
      <c r="A689" s="16" t="str">
        <f t="shared" si="59"/>
        <v>01</v>
      </c>
      <c r="B689" s="19">
        <v>61192</v>
      </c>
      <c r="C689" s="16" t="str">
        <f t="shared" si="58"/>
        <v>0000000</v>
      </c>
      <c r="D689" s="17" t="s">
        <v>3663</v>
      </c>
      <c r="E689" s="16" t="s">
        <v>54</v>
      </c>
      <c r="F689" s="16" t="s">
        <v>49</v>
      </c>
      <c r="G689" s="35" t="s">
        <v>55</v>
      </c>
      <c r="H689" s="39">
        <v>15924.05</v>
      </c>
      <c r="I689" s="39">
        <v>16158.91</v>
      </c>
      <c r="J689" s="39">
        <v>16041.76</v>
      </c>
      <c r="K689" s="39">
        <v>0</v>
      </c>
      <c r="L689" s="39">
        <v>0</v>
      </c>
      <c r="M689" s="39">
        <v>0</v>
      </c>
      <c r="N689" s="39">
        <v>0</v>
      </c>
      <c r="O689" s="39">
        <v>0</v>
      </c>
      <c r="P689" s="39">
        <v>0</v>
      </c>
      <c r="Q689" s="39">
        <v>0</v>
      </c>
      <c r="R689" s="39">
        <v>0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0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0</v>
      </c>
      <c r="AI689" s="39">
        <v>15924.05</v>
      </c>
      <c r="AJ689" s="39">
        <v>16158.91</v>
      </c>
      <c r="AK689" s="39">
        <v>16041.76</v>
      </c>
      <c r="AL689" s="39">
        <v>0</v>
      </c>
      <c r="AM689" s="39">
        <v>0</v>
      </c>
      <c r="AN689" s="39">
        <v>0</v>
      </c>
      <c r="AO689" s="39">
        <v>15924.05</v>
      </c>
      <c r="AP689" s="39">
        <v>16158.91</v>
      </c>
      <c r="AQ689" s="39">
        <v>16041.76</v>
      </c>
      <c r="AR689" s="39">
        <v>16158.91</v>
      </c>
    </row>
    <row r="690" spans="1:44" x14ac:dyDescent="0.35">
      <c r="A690" s="16" t="str">
        <f t="shared" si="59"/>
        <v>01</v>
      </c>
      <c r="B690" s="19">
        <v>61176</v>
      </c>
      <c r="C690" s="16" t="str">
        <f t="shared" si="58"/>
        <v>0000000</v>
      </c>
      <c r="D690" s="17" t="s">
        <v>3663</v>
      </c>
      <c r="E690" s="16" t="s">
        <v>52</v>
      </c>
      <c r="F690" s="16" t="s">
        <v>53</v>
      </c>
      <c r="G690" s="35" t="s">
        <v>53</v>
      </c>
      <c r="H690" s="39">
        <v>31577</v>
      </c>
      <c r="I690" s="39">
        <v>31163.35</v>
      </c>
      <c r="J690" s="39">
        <v>31005.03</v>
      </c>
      <c r="K690" s="39">
        <v>0</v>
      </c>
      <c r="L690" s="39">
        <v>0</v>
      </c>
      <c r="M690" s="39">
        <v>0</v>
      </c>
      <c r="N690" s="39">
        <v>0</v>
      </c>
      <c r="O690" s="39">
        <v>0</v>
      </c>
      <c r="P690" s="39">
        <v>0</v>
      </c>
      <c r="Q690" s="39">
        <v>0</v>
      </c>
      <c r="R690" s="39">
        <v>0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0</v>
      </c>
      <c r="AA690" s="39">
        <v>0</v>
      </c>
      <c r="AB690" s="39">
        <v>0</v>
      </c>
      <c r="AC690" s="39">
        <v>395.42</v>
      </c>
      <c r="AD690" s="39">
        <v>401.7</v>
      </c>
      <c r="AE690" s="39">
        <v>398.62</v>
      </c>
      <c r="AF690" s="39">
        <v>0</v>
      </c>
      <c r="AG690" s="39">
        <v>0</v>
      </c>
      <c r="AH690" s="39">
        <v>0</v>
      </c>
      <c r="AI690" s="39">
        <v>31972.42</v>
      </c>
      <c r="AJ690" s="39">
        <v>31565.05</v>
      </c>
      <c r="AK690" s="39">
        <v>31403.65</v>
      </c>
      <c r="AL690" s="39">
        <v>0</v>
      </c>
      <c r="AM690" s="39">
        <v>0</v>
      </c>
      <c r="AN690" s="39">
        <v>0</v>
      </c>
      <c r="AO690" s="39">
        <v>31972.42</v>
      </c>
      <c r="AP690" s="39">
        <v>31565.05</v>
      </c>
      <c r="AQ690" s="39">
        <v>31403.65</v>
      </c>
      <c r="AR690" s="39">
        <v>31972.42</v>
      </c>
    </row>
    <row r="691" spans="1:44" x14ac:dyDescent="0.35">
      <c r="A691" s="16" t="str">
        <f t="shared" si="59"/>
        <v>01</v>
      </c>
      <c r="B691" s="19">
        <v>61242</v>
      </c>
      <c r="C691" s="16" t="str">
        <f t="shared" si="58"/>
        <v>0000000</v>
      </c>
      <c r="D691" s="17" t="s">
        <v>3663</v>
      </c>
      <c r="E691" s="16" t="s">
        <v>72</v>
      </c>
      <c r="F691" s="16" t="s">
        <v>53</v>
      </c>
      <c r="G691" s="35" t="s">
        <v>73</v>
      </c>
      <c r="H691" s="39">
        <v>9421.77</v>
      </c>
      <c r="I691" s="39">
        <v>9309.81</v>
      </c>
      <c r="J691" s="39">
        <v>9393.01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9421.77</v>
      </c>
      <c r="AJ691" s="39">
        <v>9309.81</v>
      </c>
      <c r="AK691" s="39">
        <v>9393.01</v>
      </c>
      <c r="AL691" s="39">
        <v>0</v>
      </c>
      <c r="AM691" s="39">
        <v>0</v>
      </c>
      <c r="AN691" s="39">
        <v>0</v>
      </c>
      <c r="AO691" s="39">
        <v>9421.77</v>
      </c>
      <c r="AP691" s="39">
        <v>9309.81</v>
      </c>
      <c r="AQ691" s="39">
        <v>9393.01</v>
      </c>
      <c r="AR691" s="39">
        <v>9421.77</v>
      </c>
    </row>
    <row r="692" spans="1:44" x14ac:dyDescent="0.35">
      <c r="A692" s="16" t="str">
        <f t="shared" si="59"/>
        <v>01</v>
      </c>
      <c r="B692" s="19">
        <v>61234</v>
      </c>
      <c r="C692" s="16" t="str">
        <f t="shared" si="58"/>
        <v>0000000</v>
      </c>
      <c r="D692" s="17" t="s">
        <v>3663</v>
      </c>
      <c r="E692" s="16" t="s">
        <v>70</v>
      </c>
      <c r="F692" s="16" t="s">
        <v>53</v>
      </c>
      <c r="G692" s="35" t="s">
        <v>71</v>
      </c>
      <c r="H692" s="39">
        <v>4379.17</v>
      </c>
      <c r="I692" s="39">
        <v>4520.22</v>
      </c>
      <c r="J692" s="39">
        <v>4574.3900000000003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4379.17</v>
      </c>
      <c r="AJ692" s="39">
        <v>4520.22</v>
      </c>
      <c r="AK692" s="39">
        <v>4574.3900000000003</v>
      </c>
      <c r="AL692" s="39">
        <v>0</v>
      </c>
      <c r="AM692" s="39">
        <v>0</v>
      </c>
      <c r="AN692" s="39">
        <v>0</v>
      </c>
      <c r="AO692" s="39">
        <v>4379.17</v>
      </c>
      <c r="AP692" s="39">
        <v>4520.22</v>
      </c>
      <c r="AQ692" s="39">
        <v>4574.3900000000003</v>
      </c>
      <c r="AR692" s="39">
        <v>4574.3900000000003</v>
      </c>
    </row>
    <row r="693" spans="1:44" x14ac:dyDescent="0.35">
      <c r="A693" s="16" t="str">
        <f t="shared" si="59"/>
        <v>01</v>
      </c>
      <c r="B693" s="19">
        <v>75101</v>
      </c>
      <c r="C693" s="16" t="str">
        <f t="shared" si="58"/>
        <v>0000000</v>
      </c>
      <c r="D693" s="17" t="s">
        <v>3663</v>
      </c>
      <c r="E693" s="16" t="s">
        <v>0</v>
      </c>
      <c r="F693" s="16" t="s">
        <v>1</v>
      </c>
      <c r="G693" s="35" t="s">
        <v>1</v>
      </c>
      <c r="H693" s="39">
        <v>12689.01</v>
      </c>
      <c r="I693" s="39">
        <v>13012.15</v>
      </c>
      <c r="J693" s="39">
        <v>13434.08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12689.01</v>
      </c>
      <c r="AJ693" s="39">
        <v>13012.15</v>
      </c>
      <c r="AK693" s="39">
        <v>13434.08</v>
      </c>
      <c r="AL693" s="39">
        <v>0</v>
      </c>
      <c r="AM693" s="39">
        <v>0</v>
      </c>
      <c r="AN693" s="39">
        <v>0</v>
      </c>
      <c r="AO693" s="39">
        <v>12689.01</v>
      </c>
      <c r="AP693" s="39">
        <v>13012.15</v>
      </c>
      <c r="AQ693" s="39">
        <v>13434.08</v>
      </c>
      <c r="AR693" s="39">
        <v>13434.08</v>
      </c>
    </row>
    <row r="694" spans="1:44" x14ac:dyDescent="0.35">
      <c r="A694" s="16" t="str">
        <f t="shared" si="59"/>
        <v>01</v>
      </c>
      <c r="B694" s="19">
        <v>61200</v>
      </c>
      <c r="C694" s="16" t="str">
        <f t="shared" si="58"/>
        <v>0000000</v>
      </c>
      <c r="D694" s="17" t="s">
        <v>3663</v>
      </c>
      <c r="E694" s="16" t="s">
        <v>66</v>
      </c>
      <c r="F694" s="16" t="s">
        <v>1</v>
      </c>
      <c r="G694" s="35" t="s">
        <v>67</v>
      </c>
      <c r="H694" s="39">
        <v>12239.64</v>
      </c>
      <c r="I694" s="39">
        <v>12265.33</v>
      </c>
      <c r="J694" s="39">
        <v>12164.64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12239.64</v>
      </c>
      <c r="AJ694" s="39">
        <v>12265.33</v>
      </c>
      <c r="AK694" s="39">
        <v>12164.64</v>
      </c>
      <c r="AL694" s="39">
        <v>0</v>
      </c>
      <c r="AM694" s="39">
        <v>0</v>
      </c>
      <c r="AN694" s="39">
        <v>0</v>
      </c>
      <c r="AO694" s="39">
        <v>12239.64</v>
      </c>
      <c r="AP694" s="39">
        <v>12265.33</v>
      </c>
      <c r="AQ694" s="39">
        <v>12164.64</v>
      </c>
      <c r="AR694" s="39">
        <v>12265.33</v>
      </c>
    </row>
    <row r="695" spans="1:44" x14ac:dyDescent="0.35">
      <c r="A695" s="16" t="str">
        <f t="shared" si="59"/>
        <v>01</v>
      </c>
      <c r="B695" s="19">
        <v>10017</v>
      </c>
      <c r="C695" s="16" t="str">
        <f t="shared" si="58"/>
        <v>0000000</v>
      </c>
      <c r="D695" s="17" t="s">
        <v>3663</v>
      </c>
      <c r="E695" s="16" t="s">
        <v>2</v>
      </c>
      <c r="F695" s="16" t="s">
        <v>1</v>
      </c>
      <c r="G695" s="35" t="s">
        <v>3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124.79</v>
      </c>
      <c r="U695" s="39">
        <v>108.13</v>
      </c>
      <c r="V695" s="39">
        <v>115.3</v>
      </c>
      <c r="W695" s="39">
        <v>144.47999999999999</v>
      </c>
      <c r="X695" s="39">
        <v>131.91999999999999</v>
      </c>
      <c r="Y695" s="39">
        <v>154.08000000000001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269.27</v>
      </c>
      <c r="AJ695" s="39">
        <v>240.05</v>
      </c>
      <c r="AK695" s="39">
        <v>269.38</v>
      </c>
      <c r="AL695" s="39">
        <v>0</v>
      </c>
      <c r="AM695" s="39">
        <v>0</v>
      </c>
      <c r="AN695" s="39">
        <v>0</v>
      </c>
      <c r="AO695" s="39">
        <v>269.27</v>
      </c>
      <c r="AP695" s="39">
        <v>240.05</v>
      </c>
      <c r="AQ695" s="39">
        <v>269.38</v>
      </c>
      <c r="AR695" s="39">
        <v>269.38</v>
      </c>
    </row>
    <row r="696" spans="1:44" x14ac:dyDescent="0.35">
      <c r="A696" s="16" t="str">
        <f t="shared" si="59"/>
        <v>01</v>
      </c>
      <c r="B696" s="19">
        <v>75093</v>
      </c>
      <c r="C696" s="16" t="str">
        <f t="shared" si="58"/>
        <v>0000000</v>
      </c>
      <c r="D696" s="17" t="s">
        <v>3663</v>
      </c>
      <c r="E696" s="16" t="s">
        <v>159</v>
      </c>
      <c r="F696" s="16" t="s">
        <v>1</v>
      </c>
      <c r="G696" s="35" t="s">
        <v>160</v>
      </c>
      <c r="H696" s="39">
        <v>12271.52</v>
      </c>
      <c r="I696" s="39">
        <v>12284.44</v>
      </c>
      <c r="J696" s="39">
        <v>11987.97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12271.52</v>
      </c>
      <c r="AJ696" s="39">
        <v>12284.44</v>
      </c>
      <c r="AK696" s="39">
        <v>11987.97</v>
      </c>
      <c r="AL696" s="39">
        <v>0</v>
      </c>
      <c r="AM696" s="39">
        <v>0</v>
      </c>
      <c r="AN696" s="39">
        <v>0</v>
      </c>
      <c r="AO696" s="39">
        <v>12271.52</v>
      </c>
      <c r="AP696" s="39">
        <v>12284.44</v>
      </c>
      <c r="AQ696" s="39">
        <v>11987.97</v>
      </c>
      <c r="AR696" s="39">
        <v>12284.44</v>
      </c>
    </row>
    <row r="697" spans="1:44" x14ac:dyDescent="0.35">
      <c r="A697" s="16" t="str">
        <f t="shared" si="59"/>
        <v>01</v>
      </c>
      <c r="B697" s="19">
        <v>61218</v>
      </c>
      <c r="C697" s="16" t="str">
        <f t="shared" si="58"/>
        <v>0000000</v>
      </c>
      <c r="D697" s="17" t="s">
        <v>3663</v>
      </c>
      <c r="E697" s="16" t="s">
        <v>68</v>
      </c>
      <c r="F697" s="16" t="s">
        <v>1</v>
      </c>
      <c r="G697" s="35" t="s">
        <v>69</v>
      </c>
      <c r="H697" s="39">
        <v>15.03</v>
      </c>
      <c r="I697" s="39">
        <v>12.05</v>
      </c>
      <c r="J697" s="39">
        <v>19.47</v>
      </c>
      <c r="K697" s="39">
        <v>0</v>
      </c>
      <c r="L697" s="39">
        <v>0</v>
      </c>
      <c r="M697" s="39">
        <v>0</v>
      </c>
      <c r="N697" s="39">
        <v>0</v>
      </c>
      <c r="O697" s="39">
        <v>0</v>
      </c>
      <c r="P697" s="39">
        <v>0</v>
      </c>
      <c r="Q697" s="39">
        <v>0</v>
      </c>
      <c r="R697" s="39">
        <v>0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0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0</v>
      </c>
      <c r="AI697" s="39">
        <v>15.03</v>
      </c>
      <c r="AJ697" s="39">
        <v>12.05</v>
      </c>
      <c r="AK697" s="39">
        <v>19.47</v>
      </c>
      <c r="AL697" s="39">
        <v>0</v>
      </c>
      <c r="AM697" s="39">
        <v>0</v>
      </c>
      <c r="AN697" s="39">
        <v>0</v>
      </c>
      <c r="AO697" s="39">
        <v>15.03</v>
      </c>
      <c r="AP697" s="39">
        <v>12.05</v>
      </c>
      <c r="AQ697" s="39">
        <v>19.47</v>
      </c>
      <c r="AR697" s="39">
        <v>19.47</v>
      </c>
    </row>
    <row r="698" spans="1:44" x14ac:dyDescent="0.35">
      <c r="A698" s="16" t="str">
        <f t="shared" si="59"/>
        <v>01</v>
      </c>
      <c r="B698" s="19">
        <v>75119</v>
      </c>
      <c r="C698" s="16" t="str">
        <f t="shared" si="58"/>
        <v>0000000</v>
      </c>
      <c r="D698" s="17" t="s">
        <v>3663</v>
      </c>
      <c r="E698" s="16" t="s">
        <v>161</v>
      </c>
      <c r="F698" s="16" t="s">
        <v>1</v>
      </c>
      <c r="G698" s="35" t="s">
        <v>162</v>
      </c>
      <c r="H698" s="39">
        <v>228.38</v>
      </c>
      <c r="I698" s="39">
        <v>255.33</v>
      </c>
      <c r="J698" s="39">
        <v>257.41000000000003</v>
      </c>
      <c r="K698" s="39">
        <v>0</v>
      </c>
      <c r="L698" s="39">
        <v>0</v>
      </c>
      <c r="M698" s="39">
        <v>0</v>
      </c>
      <c r="N698" s="39">
        <v>0</v>
      </c>
      <c r="O698" s="39">
        <v>0</v>
      </c>
      <c r="P698" s="39">
        <v>0</v>
      </c>
      <c r="Q698" s="39">
        <v>0</v>
      </c>
      <c r="R698" s="39">
        <v>0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0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0</v>
      </c>
      <c r="AI698" s="39">
        <v>228.38</v>
      </c>
      <c r="AJ698" s="39">
        <v>255.33</v>
      </c>
      <c r="AK698" s="39">
        <v>257.41000000000003</v>
      </c>
      <c r="AL698" s="39">
        <v>0</v>
      </c>
      <c r="AM698" s="39">
        <v>0</v>
      </c>
      <c r="AN698" s="39">
        <v>0</v>
      </c>
      <c r="AO698" s="39">
        <v>228.38</v>
      </c>
      <c r="AP698" s="39">
        <v>255.33</v>
      </c>
      <c r="AQ698" s="39">
        <v>257.41000000000003</v>
      </c>
      <c r="AR698" s="39">
        <v>257.41000000000003</v>
      </c>
    </row>
    <row r="699" spans="1:44" x14ac:dyDescent="0.35">
      <c r="A699" s="16" t="str">
        <f t="shared" ref="A699:A704" si="60">TEXT(5,"00")</f>
        <v>05</v>
      </c>
      <c r="B699" s="19">
        <v>10058</v>
      </c>
      <c r="C699" s="16" t="str">
        <f t="shared" si="58"/>
        <v>0000000</v>
      </c>
      <c r="D699" s="17" t="s">
        <v>3663</v>
      </c>
      <c r="E699" s="16" t="s">
        <v>232</v>
      </c>
      <c r="F699" s="16" t="s">
        <v>233</v>
      </c>
      <c r="G699" s="35" t="s">
        <v>233</v>
      </c>
      <c r="H699" s="39">
        <v>0</v>
      </c>
      <c r="I699" s="39">
        <v>0</v>
      </c>
      <c r="J699" s="39">
        <v>0</v>
      </c>
      <c r="K699" s="39">
        <v>0</v>
      </c>
      <c r="L699" s="39">
        <v>0</v>
      </c>
      <c r="M699" s="39">
        <v>0</v>
      </c>
      <c r="N699" s="39">
        <v>0</v>
      </c>
      <c r="O699" s="39">
        <v>0</v>
      </c>
      <c r="P699" s="39">
        <v>0</v>
      </c>
      <c r="Q699" s="39">
        <v>0</v>
      </c>
      <c r="R699" s="39">
        <v>0</v>
      </c>
      <c r="S699" s="39">
        <v>0</v>
      </c>
      <c r="T699" s="39">
        <v>21.1</v>
      </c>
      <c r="U699" s="39">
        <v>24.14</v>
      </c>
      <c r="V699" s="39">
        <v>29.42</v>
      </c>
      <c r="W699" s="39">
        <v>32.6</v>
      </c>
      <c r="X699" s="39">
        <v>33.89</v>
      </c>
      <c r="Y699" s="39">
        <v>28.73</v>
      </c>
      <c r="Z699" s="39">
        <v>0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0</v>
      </c>
      <c r="AI699" s="39">
        <v>53.7</v>
      </c>
      <c r="AJ699" s="39">
        <v>58.03</v>
      </c>
      <c r="AK699" s="39">
        <v>58.15</v>
      </c>
      <c r="AL699" s="39">
        <v>0</v>
      </c>
      <c r="AM699" s="39">
        <v>0</v>
      </c>
      <c r="AN699" s="39">
        <v>0</v>
      </c>
      <c r="AO699" s="39">
        <v>53.7</v>
      </c>
      <c r="AP699" s="39">
        <v>58.03</v>
      </c>
      <c r="AQ699" s="39">
        <v>58.15</v>
      </c>
      <c r="AR699" s="39">
        <v>58.15</v>
      </c>
    </row>
    <row r="700" spans="1:44" x14ac:dyDescent="0.35">
      <c r="A700" s="16" t="str">
        <f t="shared" si="60"/>
        <v>05</v>
      </c>
      <c r="B700" s="19">
        <v>61556</v>
      </c>
      <c r="C700" s="16" t="str">
        <f t="shared" si="58"/>
        <v>0000000</v>
      </c>
      <c r="D700" s="17" t="s">
        <v>3663</v>
      </c>
      <c r="E700" s="16" t="s">
        <v>237</v>
      </c>
      <c r="F700" s="16" t="s">
        <v>233</v>
      </c>
      <c r="G700" s="35" t="s">
        <v>238</v>
      </c>
      <c r="H700" s="39">
        <v>542.57000000000005</v>
      </c>
      <c r="I700" s="39">
        <v>556.38</v>
      </c>
      <c r="J700" s="39">
        <v>575.87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542.57000000000005</v>
      </c>
      <c r="AJ700" s="39">
        <v>556.38</v>
      </c>
      <c r="AK700" s="39">
        <v>575.87</v>
      </c>
      <c r="AL700" s="39">
        <v>0</v>
      </c>
      <c r="AM700" s="39">
        <v>0</v>
      </c>
      <c r="AN700" s="39">
        <v>0</v>
      </c>
      <c r="AO700" s="39">
        <v>542.57000000000005</v>
      </c>
      <c r="AP700" s="39">
        <v>556.38</v>
      </c>
      <c r="AQ700" s="39">
        <v>575.87</v>
      </c>
      <c r="AR700" s="39">
        <v>575.87</v>
      </c>
    </row>
    <row r="701" spans="1:44" x14ac:dyDescent="0.35">
      <c r="A701" s="16" t="str">
        <f t="shared" si="60"/>
        <v>05</v>
      </c>
      <c r="B701" s="19">
        <v>61564</v>
      </c>
      <c r="C701" s="16" t="str">
        <f t="shared" si="58"/>
        <v>0000000</v>
      </c>
      <c r="D701" s="17" t="s">
        <v>3663</v>
      </c>
      <c r="E701" s="16" t="s">
        <v>239</v>
      </c>
      <c r="F701" s="16" t="s">
        <v>233</v>
      </c>
      <c r="G701" s="35" t="s">
        <v>240</v>
      </c>
      <c r="H701" s="39">
        <v>2567.8000000000002</v>
      </c>
      <c r="I701" s="39">
        <v>2621.12</v>
      </c>
      <c r="J701" s="39">
        <v>2568.7399999999998</v>
      </c>
      <c r="K701" s="39">
        <v>0</v>
      </c>
      <c r="L701" s="39">
        <v>0</v>
      </c>
      <c r="M701" s="39">
        <v>0</v>
      </c>
      <c r="N701" s="39">
        <v>0</v>
      </c>
      <c r="O701" s="39">
        <v>0</v>
      </c>
      <c r="P701" s="39">
        <v>0</v>
      </c>
      <c r="Q701" s="39">
        <v>0</v>
      </c>
      <c r="R701" s="39">
        <v>0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0</v>
      </c>
      <c r="AI701" s="39">
        <v>2567.8000000000002</v>
      </c>
      <c r="AJ701" s="39">
        <v>2621.12</v>
      </c>
      <c r="AK701" s="39">
        <v>2568.7399999999998</v>
      </c>
      <c r="AL701" s="39">
        <v>0</v>
      </c>
      <c r="AM701" s="39">
        <v>0</v>
      </c>
      <c r="AN701" s="39">
        <v>0</v>
      </c>
      <c r="AO701" s="39">
        <v>2567.8000000000002</v>
      </c>
      <c r="AP701" s="39">
        <v>2621.12</v>
      </c>
      <c r="AQ701" s="39">
        <v>2568.7399999999998</v>
      </c>
      <c r="AR701" s="39">
        <v>2621.12</v>
      </c>
    </row>
    <row r="702" spans="1:44" x14ac:dyDescent="0.35">
      <c r="A702" s="16" t="str">
        <f t="shared" si="60"/>
        <v>05</v>
      </c>
      <c r="B702" s="19">
        <v>61580</v>
      </c>
      <c r="C702" s="16" t="str">
        <f t="shared" si="58"/>
        <v>0000000</v>
      </c>
      <c r="D702" s="17" t="s">
        <v>3663</v>
      </c>
      <c r="E702" s="16" t="s">
        <v>243</v>
      </c>
      <c r="F702" s="16" t="s">
        <v>233</v>
      </c>
      <c r="G702" s="35" t="s">
        <v>244</v>
      </c>
      <c r="H702" s="39">
        <v>559.29</v>
      </c>
      <c r="I702" s="39">
        <v>530.07000000000005</v>
      </c>
      <c r="J702" s="39">
        <v>533.20000000000005</v>
      </c>
      <c r="K702" s="39">
        <v>0</v>
      </c>
      <c r="L702" s="39">
        <v>0</v>
      </c>
      <c r="M702" s="39">
        <v>0</v>
      </c>
      <c r="N702" s="39">
        <v>0</v>
      </c>
      <c r="O702" s="39">
        <v>0</v>
      </c>
      <c r="P702" s="39">
        <v>0</v>
      </c>
      <c r="Q702" s="39">
        <v>0</v>
      </c>
      <c r="R702" s="39">
        <v>0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0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0</v>
      </c>
      <c r="AI702" s="39">
        <v>559.29</v>
      </c>
      <c r="AJ702" s="39">
        <v>530.07000000000005</v>
      </c>
      <c r="AK702" s="39">
        <v>533.20000000000005</v>
      </c>
      <c r="AL702" s="39">
        <v>0</v>
      </c>
      <c r="AM702" s="39">
        <v>0</v>
      </c>
      <c r="AN702" s="39">
        <v>0</v>
      </c>
      <c r="AO702" s="39">
        <v>559.29</v>
      </c>
      <c r="AP702" s="39">
        <v>530.07000000000005</v>
      </c>
      <c r="AQ702" s="39">
        <v>533.20000000000005</v>
      </c>
      <c r="AR702" s="39">
        <v>559.29</v>
      </c>
    </row>
    <row r="703" spans="1:44" x14ac:dyDescent="0.35">
      <c r="A703" s="16" t="str">
        <f t="shared" si="60"/>
        <v>05</v>
      </c>
      <c r="B703" s="19">
        <v>61572</v>
      </c>
      <c r="C703" s="16" t="str">
        <f t="shared" si="58"/>
        <v>0000000</v>
      </c>
      <c r="D703" s="17" t="s">
        <v>3663</v>
      </c>
      <c r="E703" s="16" t="s">
        <v>241</v>
      </c>
      <c r="F703" s="16" t="s">
        <v>233</v>
      </c>
      <c r="G703" s="35" t="s">
        <v>242</v>
      </c>
      <c r="H703" s="39">
        <v>677.16</v>
      </c>
      <c r="I703" s="39">
        <v>710.41</v>
      </c>
      <c r="J703" s="39">
        <v>686.53</v>
      </c>
      <c r="K703" s="39">
        <v>0</v>
      </c>
      <c r="L703" s="39">
        <v>0</v>
      </c>
      <c r="M703" s="39">
        <v>0</v>
      </c>
      <c r="N703" s="39">
        <v>0</v>
      </c>
      <c r="O703" s="39">
        <v>0</v>
      </c>
      <c r="P703" s="39">
        <v>0</v>
      </c>
      <c r="Q703" s="39">
        <v>0</v>
      </c>
      <c r="R703" s="39">
        <v>0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0</v>
      </c>
      <c r="AI703" s="39">
        <v>677.16</v>
      </c>
      <c r="AJ703" s="39">
        <v>710.41</v>
      </c>
      <c r="AK703" s="39">
        <v>686.53</v>
      </c>
      <c r="AL703" s="39">
        <v>0</v>
      </c>
      <c r="AM703" s="39">
        <v>0</v>
      </c>
      <c r="AN703" s="39">
        <v>0</v>
      </c>
      <c r="AO703" s="39">
        <v>677.16</v>
      </c>
      <c r="AP703" s="39">
        <v>710.41</v>
      </c>
      <c r="AQ703" s="39">
        <v>686.53</v>
      </c>
      <c r="AR703" s="39">
        <v>710.41</v>
      </c>
    </row>
    <row r="704" spans="1:44" x14ac:dyDescent="0.35">
      <c r="A704" s="16" t="str">
        <f t="shared" si="60"/>
        <v>05</v>
      </c>
      <c r="B704" s="19">
        <v>10058</v>
      </c>
      <c r="C704" s="16" t="str">
        <f>TEXT(530154,"0000000")</f>
        <v>0530154</v>
      </c>
      <c r="D704" s="17" t="s">
        <v>236</v>
      </c>
      <c r="E704" s="16" t="s">
        <v>234</v>
      </c>
      <c r="F704" s="16" t="s">
        <v>233</v>
      </c>
      <c r="G704" s="35" t="s">
        <v>235</v>
      </c>
      <c r="H704" s="39">
        <v>0</v>
      </c>
      <c r="I704" s="39">
        <v>0</v>
      </c>
      <c r="J704" s="39">
        <v>0</v>
      </c>
      <c r="K704" s="39">
        <v>0</v>
      </c>
      <c r="L704" s="39">
        <v>0</v>
      </c>
      <c r="M704" s="39">
        <v>0</v>
      </c>
      <c r="N704" s="39">
        <v>0</v>
      </c>
      <c r="O704" s="39">
        <v>0</v>
      </c>
      <c r="P704" s="39">
        <v>0</v>
      </c>
      <c r="Q704" s="39">
        <v>0</v>
      </c>
      <c r="R704" s="39">
        <v>0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423.54</v>
      </c>
      <c r="AA704" s="39">
        <v>389.55</v>
      </c>
      <c r="AB704" s="39">
        <v>393.7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0</v>
      </c>
      <c r="AI704" s="39">
        <v>423.54</v>
      </c>
      <c r="AJ704" s="39">
        <v>389.55</v>
      </c>
      <c r="AK704" s="39">
        <v>393.7</v>
      </c>
      <c r="AL704" s="39">
        <v>0</v>
      </c>
      <c r="AM704" s="39">
        <v>0</v>
      </c>
      <c r="AN704" s="39">
        <v>0</v>
      </c>
      <c r="AO704" s="39">
        <v>423.54</v>
      </c>
      <c r="AP704" s="39">
        <v>389.55</v>
      </c>
      <c r="AQ704" s="39">
        <v>393.7</v>
      </c>
      <c r="AR704" s="39">
        <v>423.54</v>
      </c>
    </row>
    <row r="705" spans="1:44" x14ac:dyDescent="0.35">
      <c r="A705" s="16" t="str">
        <f>TEXT(15,"00")</f>
        <v>15</v>
      </c>
      <c r="B705" s="19">
        <v>63362</v>
      </c>
      <c r="C705" s="16" t="str">
        <f t="shared" ref="C705:C738" si="61">TEXT(,"0000000")</f>
        <v>0000000</v>
      </c>
      <c r="D705" s="17" t="s">
        <v>3663</v>
      </c>
      <c r="E705" s="16" t="s">
        <v>657</v>
      </c>
      <c r="F705" s="16" t="s">
        <v>658</v>
      </c>
      <c r="G705" s="35" t="s">
        <v>658</v>
      </c>
      <c r="H705" s="39">
        <v>18186.060000000001</v>
      </c>
      <c r="I705" s="39">
        <v>18094.02</v>
      </c>
      <c r="J705" s="39">
        <v>17494.7</v>
      </c>
      <c r="K705" s="39">
        <v>0</v>
      </c>
      <c r="L705" s="39">
        <v>0</v>
      </c>
      <c r="M705" s="39">
        <v>0</v>
      </c>
      <c r="N705" s="39">
        <v>0</v>
      </c>
      <c r="O705" s="39">
        <v>0</v>
      </c>
      <c r="P705" s="39">
        <v>0</v>
      </c>
      <c r="Q705" s="39">
        <v>0</v>
      </c>
      <c r="R705" s="39">
        <v>0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0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0</v>
      </c>
      <c r="AI705" s="39">
        <v>18186.060000000001</v>
      </c>
      <c r="AJ705" s="39">
        <v>18094.02</v>
      </c>
      <c r="AK705" s="39">
        <v>17494.7</v>
      </c>
      <c r="AL705" s="39">
        <v>0</v>
      </c>
      <c r="AM705" s="39">
        <v>0</v>
      </c>
      <c r="AN705" s="39">
        <v>0</v>
      </c>
      <c r="AO705" s="39">
        <v>18186.060000000001</v>
      </c>
      <c r="AP705" s="39">
        <v>18094.02</v>
      </c>
      <c r="AQ705" s="39">
        <v>17494.7</v>
      </c>
      <c r="AR705" s="39">
        <v>18186.060000000001</v>
      </c>
    </row>
    <row r="706" spans="1:44" x14ac:dyDescent="0.35">
      <c r="A706" s="16" t="str">
        <f>TEXT(34,"00")</f>
        <v>34</v>
      </c>
      <c r="B706" s="19">
        <v>76505</v>
      </c>
      <c r="C706" s="16" t="str">
        <f t="shared" si="61"/>
        <v>0000000</v>
      </c>
      <c r="D706" s="17" t="s">
        <v>3663</v>
      </c>
      <c r="E706" s="16" t="s">
        <v>1865</v>
      </c>
      <c r="F706" s="16" t="s">
        <v>1866</v>
      </c>
      <c r="G706" s="35" t="s">
        <v>1866</v>
      </c>
      <c r="H706" s="39">
        <v>20649.98</v>
      </c>
      <c r="I706" s="39">
        <v>20235.87</v>
      </c>
      <c r="J706" s="39">
        <v>19844.87</v>
      </c>
      <c r="K706" s="39">
        <v>0</v>
      </c>
      <c r="L706" s="39">
        <v>0</v>
      </c>
      <c r="M706" s="39">
        <v>0</v>
      </c>
      <c r="N706" s="39">
        <v>0</v>
      </c>
      <c r="O706" s="39">
        <v>0</v>
      </c>
      <c r="P706" s="39">
        <v>0</v>
      </c>
      <c r="Q706" s="39">
        <v>0</v>
      </c>
      <c r="R706" s="39">
        <v>0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0</v>
      </c>
      <c r="AA706" s="39">
        <v>0</v>
      </c>
      <c r="AB706" s="39">
        <v>0</v>
      </c>
      <c r="AC706" s="39">
        <v>10914.41</v>
      </c>
      <c r="AD706" s="39">
        <v>11844.97</v>
      </c>
      <c r="AE706" s="39">
        <v>10294.09</v>
      </c>
      <c r="AF706" s="39">
        <v>0</v>
      </c>
      <c r="AG706" s="39">
        <v>0</v>
      </c>
      <c r="AH706" s="39">
        <v>0</v>
      </c>
      <c r="AI706" s="39">
        <v>31564.39</v>
      </c>
      <c r="AJ706" s="39">
        <v>32080.84</v>
      </c>
      <c r="AK706" s="39">
        <v>30138.959999999999</v>
      </c>
      <c r="AL706" s="39">
        <v>0</v>
      </c>
      <c r="AM706" s="39">
        <v>0</v>
      </c>
      <c r="AN706" s="39">
        <v>0</v>
      </c>
      <c r="AO706" s="39">
        <v>31564.39</v>
      </c>
      <c r="AP706" s="39">
        <v>32080.84</v>
      </c>
      <c r="AQ706" s="39">
        <v>30138.959999999999</v>
      </c>
      <c r="AR706" s="39">
        <v>32080.84</v>
      </c>
    </row>
    <row r="707" spans="1:44" x14ac:dyDescent="0.35">
      <c r="A707" s="16" t="str">
        <f>TEXT(34,"00")</f>
        <v>34</v>
      </c>
      <c r="B707" s="19">
        <v>75283</v>
      </c>
      <c r="C707" s="16" t="str">
        <f t="shared" si="61"/>
        <v>0000000</v>
      </c>
      <c r="D707" s="17" t="s">
        <v>3663</v>
      </c>
      <c r="E707" s="16" t="s">
        <v>1857</v>
      </c>
      <c r="F707" s="16" t="s">
        <v>1858</v>
      </c>
      <c r="G707" s="35" t="s">
        <v>1858</v>
      </c>
      <c r="H707" s="39">
        <v>10211.049999999999</v>
      </c>
      <c r="I707" s="39">
        <v>10373.719999999999</v>
      </c>
      <c r="J707" s="39">
        <v>10014.280000000001</v>
      </c>
      <c r="K707" s="39">
        <v>0</v>
      </c>
      <c r="L707" s="39">
        <v>0</v>
      </c>
      <c r="M707" s="39">
        <v>0</v>
      </c>
      <c r="N707" s="39">
        <v>0</v>
      </c>
      <c r="O707" s="39">
        <v>0</v>
      </c>
      <c r="P707" s="39">
        <v>0</v>
      </c>
      <c r="Q707" s="39">
        <v>0</v>
      </c>
      <c r="R707" s="39">
        <v>0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0</v>
      </c>
      <c r="AA707" s="39">
        <v>0</v>
      </c>
      <c r="AB707" s="39">
        <v>0</v>
      </c>
      <c r="AC707" s="39">
        <v>2316.02</v>
      </c>
      <c r="AD707" s="39">
        <v>2265.89</v>
      </c>
      <c r="AE707" s="39">
        <v>2215.48</v>
      </c>
      <c r="AF707" s="39">
        <v>0</v>
      </c>
      <c r="AG707" s="39">
        <v>0</v>
      </c>
      <c r="AH707" s="39">
        <v>0</v>
      </c>
      <c r="AI707" s="39">
        <v>12527.07</v>
      </c>
      <c r="AJ707" s="39">
        <v>12639.61</v>
      </c>
      <c r="AK707" s="39">
        <v>12229.76</v>
      </c>
      <c r="AL707" s="39">
        <v>0</v>
      </c>
      <c r="AM707" s="39">
        <v>0</v>
      </c>
      <c r="AN707" s="39">
        <v>0</v>
      </c>
      <c r="AO707" s="39">
        <v>12527.07</v>
      </c>
      <c r="AP707" s="39">
        <v>12639.61</v>
      </c>
      <c r="AQ707" s="39">
        <v>12229.76</v>
      </c>
      <c r="AR707" s="39">
        <v>12639.61</v>
      </c>
    </row>
    <row r="708" spans="1:44" x14ac:dyDescent="0.35">
      <c r="A708" s="16" t="str">
        <f t="shared" ref="A708:A738" si="62">TEXT(19,"00")</f>
        <v>19</v>
      </c>
      <c r="B708" s="19">
        <v>64857</v>
      </c>
      <c r="C708" s="16" t="str">
        <f t="shared" si="61"/>
        <v>0000000</v>
      </c>
      <c r="D708" s="17" t="s">
        <v>3663</v>
      </c>
      <c r="E708" s="16" t="s">
        <v>894</v>
      </c>
      <c r="F708" s="16" t="s">
        <v>895</v>
      </c>
      <c r="G708" s="35" t="s">
        <v>895</v>
      </c>
      <c r="H708" s="39">
        <v>15534.15</v>
      </c>
      <c r="I708" s="39">
        <v>15752.98</v>
      </c>
      <c r="J708" s="39">
        <v>15594.59</v>
      </c>
      <c r="K708" s="39">
        <v>0</v>
      </c>
      <c r="L708" s="39">
        <v>0</v>
      </c>
      <c r="M708" s="39">
        <v>0</v>
      </c>
      <c r="N708" s="39">
        <v>0</v>
      </c>
      <c r="O708" s="39">
        <v>0</v>
      </c>
      <c r="P708" s="39">
        <v>0</v>
      </c>
      <c r="Q708" s="39">
        <v>0</v>
      </c>
      <c r="R708" s="39">
        <v>0</v>
      </c>
      <c r="S708" s="39">
        <v>0</v>
      </c>
      <c r="T708" s="39">
        <v>31.73</v>
      </c>
      <c r="U708" s="39">
        <v>31.51</v>
      </c>
      <c r="V708" s="39">
        <v>28.79</v>
      </c>
      <c r="W708" s="39">
        <v>9.83</v>
      </c>
      <c r="X708" s="39">
        <v>11.02</v>
      </c>
      <c r="Y708" s="39">
        <v>11.77</v>
      </c>
      <c r="Z708" s="39">
        <v>0</v>
      </c>
      <c r="AA708" s="39">
        <v>0</v>
      </c>
      <c r="AB708" s="39">
        <v>0</v>
      </c>
      <c r="AC708" s="39">
        <v>919.65</v>
      </c>
      <c r="AD708" s="39">
        <v>687.68</v>
      </c>
      <c r="AE708" s="39">
        <v>476.08</v>
      </c>
      <c r="AF708" s="39">
        <v>0</v>
      </c>
      <c r="AG708" s="39">
        <v>0</v>
      </c>
      <c r="AH708" s="39">
        <v>0</v>
      </c>
      <c r="AI708" s="39">
        <v>16495.36</v>
      </c>
      <c r="AJ708" s="39">
        <v>16483.189999999999</v>
      </c>
      <c r="AK708" s="39">
        <v>16111.23</v>
      </c>
      <c r="AL708" s="39">
        <v>0</v>
      </c>
      <c r="AM708" s="39">
        <v>0</v>
      </c>
      <c r="AN708" s="39">
        <v>0</v>
      </c>
      <c r="AO708" s="39">
        <v>16495.36</v>
      </c>
      <c r="AP708" s="39">
        <v>16483.189999999999</v>
      </c>
      <c r="AQ708" s="39">
        <v>16111.23</v>
      </c>
      <c r="AR708" s="39">
        <v>16495.36</v>
      </c>
    </row>
    <row r="709" spans="1:44" x14ac:dyDescent="0.35">
      <c r="A709" s="16" t="str">
        <f t="shared" si="62"/>
        <v>19</v>
      </c>
      <c r="B709" s="19">
        <v>64246</v>
      </c>
      <c r="C709" s="16" t="str">
        <f t="shared" si="61"/>
        <v>0000000</v>
      </c>
      <c r="D709" s="17" t="s">
        <v>3663</v>
      </c>
      <c r="E709" s="16" t="s">
        <v>896</v>
      </c>
      <c r="F709" s="16" t="s">
        <v>895</v>
      </c>
      <c r="G709" s="35" t="s">
        <v>897</v>
      </c>
      <c r="H709" s="39">
        <v>18622.39</v>
      </c>
      <c r="I709" s="39">
        <v>19059.87</v>
      </c>
      <c r="J709" s="39">
        <v>19314.599999999999</v>
      </c>
      <c r="K709" s="39">
        <v>0</v>
      </c>
      <c r="L709" s="39">
        <v>0</v>
      </c>
      <c r="M709" s="39">
        <v>0</v>
      </c>
      <c r="N709" s="39">
        <v>0</v>
      </c>
      <c r="O709" s="39">
        <v>0</v>
      </c>
      <c r="P709" s="39">
        <v>0</v>
      </c>
      <c r="Q709" s="39">
        <v>0</v>
      </c>
      <c r="R709" s="39">
        <v>0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0</v>
      </c>
      <c r="AA709" s="39">
        <v>0</v>
      </c>
      <c r="AB709" s="39">
        <v>0</v>
      </c>
      <c r="AC709" s="39">
        <v>654.99</v>
      </c>
      <c r="AD709" s="39">
        <v>653.16</v>
      </c>
      <c r="AE709" s="39">
        <v>628.38</v>
      </c>
      <c r="AF709" s="39">
        <v>0</v>
      </c>
      <c r="AG709" s="39">
        <v>0</v>
      </c>
      <c r="AH709" s="39">
        <v>0</v>
      </c>
      <c r="AI709" s="39">
        <v>19277.38</v>
      </c>
      <c r="AJ709" s="39">
        <v>19713.03</v>
      </c>
      <c r="AK709" s="39">
        <v>19942.98</v>
      </c>
      <c r="AL709" s="39">
        <v>0</v>
      </c>
      <c r="AM709" s="39">
        <v>0</v>
      </c>
      <c r="AN709" s="39">
        <v>0</v>
      </c>
      <c r="AO709" s="39">
        <v>19277.38</v>
      </c>
      <c r="AP709" s="39">
        <v>19713.03</v>
      </c>
      <c r="AQ709" s="39">
        <v>19942.98</v>
      </c>
      <c r="AR709" s="39">
        <v>19942.98</v>
      </c>
    </row>
    <row r="710" spans="1:44" x14ac:dyDescent="0.35">
      <c r="A710" s="16" t="str">
        <f t="shared" si="62"/>
        <v>19</v>
      </c>
      <c r="B710" s="19">
        <v>64477</v>
      </c>
      <c r="C710" s="16" t="str">
        <f t="shared" si="61"/>
        <v>0000000</v>
      </c>
      <c r="D710" s="17" t="s">
        <v>3663</v>
      </c>
      <c r="E710" s="16" t="s">
        <v>952</v>
      </c>
      <c r="F710" s="16" t="s">
        <v>895</v>
      </c>
      <c r="G710" s="35" t="s">
        <v>953</v>
      </c>
      <c r="H710" s="39">
        <v>2690.77</v>
      </c>
      <c r="I710" s="39">
        <v>2674.58</v>
      </c>
      <c r="J710" s="39">
        <v>2748.62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2690.77</v>
      </c>
      <c r="AJ710" s="39">
        <v>2674.58</v>
      </c>
      <c r="AK710" s="39">
        <v>2748.62</v>
      </c>
      <c r="AL710" s="39">
        <v>0</v>
      </c>
      <c r="AM710" s="39">
        <v>0</v>
      </c>
      <c r="AN710" s="39">
        <v>0</v>
      </c>
      <c r="AO710" s="39">
        <v>2690.77</v>
      </c>
      <c r="AP710" s="39">
        <v>2674.58</v>
      </c>
      <c r="AQ710" s="39">
        <v>2748.62</v>
      </c>
      <c r="AR710" s="39">
        <v>2748.62</v>
      </c>
    </row>
    <row r="711" spans="1:44" x14ac:dyDescent="0.35">
      <c r="A711" s="16" t="str">
        <f t="shared" si="62"/>
        <v>19</v>
      </c>
      <c r="B711" s="19">
        <v>64626</v>
      </c>
      <c r="C711" s="16" t="str">
        <f t="shared" si="61"/>
        <v>0000000</v>
      </c>
      <c r="D711" s="17" t="s">
        <v>3663</v>
      </c>
      <c r="E711" s="16" t="s">
        <v>979</v>
      </c>
      <c r="F711" s="16" t="s">
        <v>895</v>
      </c>
      <c r="G711" s="35" t="s">
        <v>980</v>
      </c>
      <c r="H711" s="39">
        <v>182.73</v>
      </c>
      <c r="I711" s="39">
        <v>188.93</v>
      </c>
      <c r="J711" s="39">
        <v>157.15</v>
      </c>
      <c r="K711" s="39">
        <v>0</v>
      </c>
      <c r="L711" s="39">
        <v>0</v>
      </c>
      <c r="M711" s="39">
        <v>0</v>
      </c>
      <c r="N711" s="39">
        <v>0</v>
      </c>
      <c r="O711" s="39">
        <v>0</v>
      </c>
      <c r="P711" s="39">
        <v>0</v>
      </c>
      <c r="Q711" s="39">
        <v>0</v>
      </c>
      <c r="R711" s="39">
        <v>0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0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0</v>
      </c>
      <c r="AI711" s="39">
        <v>182.73</v>
      </c>
      <c r="AJ711" s="39">
        <v>188.93</v>
      </c>
      <c r="AK711" s="39">
        <v>157.15</v>
      </c>
      <c r="AL711" s="39">
        <v>0</v>
      </c>
      <c r="AM711" s="39">
        <v>0</v>
      </c>
      <c r="AN711" s="39">
        <v>0</v>
      </c>
      <c r="AO711" s="39">
        <v>182.73</v>
      </c>
      <c r="AP711" s="39">
        <v>188.93</v>
      </c>
      <c r="AQ711" s="39">
        <v>157.15</v>
      </c>
      <c r="AR711" s="39">
        <v>188.93</v>
      </c>
    </row>
    <row r="712" spans="1:44" x14ac:dyDescent="0.35">
      <c r="A712" s="16" t="str">
        <f t="shared" si="62"/>
        <v>19</v>
      </c>
      <c r="B712" s="19">
        <v>64642</v>
      </c>
      <c r="C712" s="16" t="str">
        <f t="shared" si="61"/>
        <v>0000000</v>
      </c>
      <c r="D712" s="17" t="s">
        <v>3663</v>
      </c>
      <c r="E712" s="16" t="s">
        <v>994</v>
      </c>
      <c r="F712" s="16" t="s">
        <v>895</v>
      </c>
      <c r="G712" s="35" t="s">
        <v>995</v>
      </c>
      <c r="H712" s="39">
        <v>2372.42</v>
      </c>
      <c r="I712" s="39">
        <v>2337.39</v>
      </c>
      <c r="J712" s="39">
        <v>2273.4899999999998</v>
      </c>
      <c r="K712" s="39">
        <v>0</v>
      </c>
      <c r="L712" s="39">
        <v>0</v>
      </c>
      <c r="M712" s="39">
        <v>0</v>
      </c>
      <c r="N712" s="39">
        <v>0</v>
      </c>
      <c r="O712" s="39">
        <v>0</v>
      </c>
      <c r="P712" s="39">
        <v>0</v>
      </c>
      <c r="Q712" s="39">
        <v>0</v>
      </c>
      <c r="R712" s="39">
        <v>0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0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0</v>
      </c>
      <c r="AI712" s="39">
        <v>2372.42</v>
      </c>
      <c r="AJ712" s="39">
        <v>2337.39</v>
      </c>
      <c r="AK712" s="39">
        <v>2273.4899999999998</v>
      </c>
      <c r="AL712" s="39">
        <v>0</v>
      </c>
      <c r="AM712" s="39">
        <v>0</v>
      </c>
      <c r="AN712" s="39">
        <v>0</v>
      </c>
      <c r="AO712" s="39">
        <v>2372.42</v>
      </c>
      <c r="AP712" s="39">
        <v>2337.39</v>
      </c>
      <c r="AQ712" s="39">
        <v>2273.4899999999998</v>
      </c>
      <c r="AR712" s="39">
        <v>2372.42</v>
      </c>
    </row>
    <row r="713" spans="1:44" x14ac:dyDescent="0.35">
      <c r="A713" s="16" t="str">
        <f t="shared" si="62"/>
        <v>19</v>
      </c>
      <c r="B713" s="19">
        <v>64667</v>
      </c>
      <c r="C713" s="16" t="str">
        <f t="shared" si="61"/>
        <v>0000000</v>
      </c>
      <c r="D713" s="17" t="s">
        <v>3663</v>
      </c>
      <c r="E713" s="16" t="s">
        <v>1000</v>
      </c>
      <c r="F713" s="16" t="s">
        <v>895</v>
      </c>
      <c r="G713" s="35" t="s">
        <v>1001</v>
      </c>
      <c r="H713" s="39">
        <v>12612.2</v>
      </c>
      <c r="I713" s="39">
        <v>12627.56</v>
      </c>
      <c r="J713" s="39">
        <v>12478.41</v>
      </c>
      <c r="K713" s="39">
        <v>0</v>
      </c>
      <c r="L713" s="39">
        <v>0</v>
      </c>
      <c r="M713" s="39">
        <v>0</v>
      </c>
      <c r="N713" s="39">
        <v>0</v>
      </c>
      <c r="O713" s="39">
        <v>0</v>
      </c>
      <c r="P713" s="39">
        <v>0</v>
      </c>
      <c r="Q713" s="39">
        <v>0</v>
      </c>
      <c r="R713" s="39">
        <v>0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0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0</v>
      </c>
      <c r="AI713" s="39">
        <v>12612.2</v>
      </c>
      <c r="AJ713" s="39">
        <v>12627.56</v>
      </c>
      <c r="AK713" s="39">
        <v>12478.41</v>
      </c>
      <c r="AL713" s="39">
        <v>0</v>
      </c>
      <c r="AM713" s="39">
        <v>0</v>
      </c>
      <c r="AN713" s="39">
        <v>0</v>
      </c>
      <c r="AO713" s="39">
        <v>12612.2</v>
      </c>
      <c r="AP713" s="39">
        <v>12627.56</v>
      </c>
      <c r="AQ713" s="39">
        <v>12478.41</v>
      </c>
      <c r="AR713" s="39">
        <v>12627.56</v>
      </c>
    </row>
    <row r="714" spans="1:44" x14ac:dyDescent="0.35">
      <c r="A714" s="16" t="str">
        <f t="shared" si="62"/>
        <v>19</v>
      </c>
      <c r="B714" s="19">
        <v>65102</v>
      </c>
      <c r="C714" s="16" t="str">
        <f t="shared" si="61"/>
        <v>0000000</v>
      </c>
      <c r="D714" s="17" t="s">
        <v>3663</v>
      </c>
      <c r="E714" s="16" t="s">
        <v>1126</v>
      </c>
      <c r="F714" s="16" t="s">
        <v>895</v>
      </c>
      <c r="G714" s="35" t="s">
        <v>1127</v>
      </c>
      <c r="H714" s="39">
        <v>8383.27</v>
      </c>
      <c r="I714" s="39">
        <v>8438.68</v>
      </c>
      <c r="J714" s="39">
        <v>8269.82</v>
      </c>
      <c r="K714" s="39">
        <v>0</v>
      </c>
      <c r="L714" s="39">
        <v>0</v>
      </c>
      <c r="M714" s="39">
        <v>0</v>
      </c>
      <c r="N714" s="39">
        <v>0</v>
      </c>
      <c r="O714" s="39">
        <v>0</v>
      </c>
      <c r="P714" s="39">
        <v>0</v>
      </c>
      <c r="Q714" s="39">
        <v>0</v>
      </c>
      <c r="R714" s="39">
        <v>0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0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0</v>
      </c>
      <c r="AI714" s="39">
        <v>8383.27</v>
      </c>
      <c r="AJ714" s="39">
        <v>8438.68</v>
      </c>
      <c r="AK714" s="39">
        <v>8269.82</v>
      </c>
      <c r="AL714" s="39">
        <v>0</v>
      </c>
      <c r="AM714" s="39">
        <v>0</v>
      </c>
      <c r="AN714" s="39">
        <v>0</v>
      </c>
      <c r="AO714" s="39">
        <v>8383.27</v>
      </c>
      <c r="AP714" s="39">
        <v>8438.68</v>
      </c>
      <c r="AQ714" s="39">
        <v>8269.82</v>
      </c>
      <c r="AR714" s="39">
        <v>8438.68</v>
      </c>
    </row>
    <row r="715" spans="1:44" x14ac:dyDescent="0.35">
      <c r="A715" s="16" t="str">
        <f t="shared" si="62"/>
        <v>19</v>
      </c>
      <c r="B715" s="19">
        <v>65151</v>
      </c>
      <c r="C715" s="16" t="str">
        <f t="shared" si="61"/>
        <v>0000000</v>
      </c>
      <c r="D715" s="17" t="s">
        <v>3663</v>
      </c>
      <c r="E715" s="16" t="s">
        <v>1139</v>
      </c>
      <c r="F715" s="16" t="s">
        <v>895</v>
      </c>
      <c r="G715" s="35" t="s">
        <v>1140</v>
      </c>
      <c r="H715" s="39">
        <v>1149.23</v>
      </c>
      <c r="I715" s="39">
        <v>1135.28</v>
      </c>
      <c r="J715" s="39">
        <v>1117.1300000000001</v>
      </c>
      <c r="K715" s="39">
        <v>0</v>
      </c>
      <c r="L715" s="39">
        <v>0</v>
      </c>
      <c r="M715" s="39">
        <v>0</v>
      </c>
      <c r="N715" s="39">
        <v>0</v>
      </c>
      <c r="O715" s="39">
        <v>0</v>
      </c>
      <c r="P715" s="39">
        <v>0</v>
      </c>
      <c r="Q715" s="39">
        <v>0</v>
      </c>
      <c r="R715" s="39">
        <v>0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0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0</v>
      </c>
      <c r="AI715" s="39">
        <v>1149.23</v>
      </c>
      <c r="AJ715" s="39">
        <v>1135.28</v>
      </c>
      <c r="AK715" s="39">
        <v>1117.1300000000001</v>
      </c>
      <c r="AL715" s="39">
        <v>0</v>
      </c>
      <c r="AM715" s="39">
        <v>0</v>
      </c>
      <c r="AN715" s="39">
        <v>0</v>
      </c>
      <c r="AO715" s="39">
        <v>1149.23</v>
      </c>
      <c r="AP715" s="39">
        <v>1135.28</v>
      </c>
      <c r="AQ715" s="39">
        <v>1117.1300000000001</v>
      </c>
      <c r="AR715" s="39">
        <v>1149.23</v>
      </c>
    </row>
    <row r="716" spans="1:44" x14ac:dyDescent="0.35">
      <c r="A716" s="16" t="str">
        <f t="shared" si="62"/>
        <v>19</v>
      </c>
      <c r="B716" s="19">
        <v>64584</v>
      </c>
      <c r="C716" s="16" t="str">
        <f t="shared" si="61"/>
        <v>0000000</v>
      </c>
      <c r="D716" s="17" t="s">
        <v>3663</v>
      </c>
      <c r="E716" s="16" t="s">
        <v>970</v>
      </c>
      <c r="F716" s="16" t="s">
        <v>895</v>
      </c>
      <c r="G716" s="35" t="s">
        <v>971</v>
      </c>
      <c r="H716" s="39">
        <v>109.56</v>
      </c>
      <c r="I716" s="39">
        <v>86.84</v>
      </c>
      <c r="J716" s="39">
        <v>78.31</v>
      </c>
      <c r="K716" s="39">
        <v>0</v>
      </c>
      <c r="L716" s="39">
        <v>0</v>
      </c>
      <c r="M716" s="39">
        <v>0</v>
      </c>
      <c r="N716" s="39">
        <v>0</v>
      </c>
      <c r="O716" s="39">
        <v>0</v>
      </c>
      <c r="P716" s="39">
        <v>0</v>
      </c>
      <c r="Q716" s="39">
        <v>0</v>
      </c>
      <c r="R716" s="39">
        <v>0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0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0</v>
      </c>
      <c r="AI716" s="39">
        <v>109.56</v>
      </c>
      <c r="AJ716" s="39">
        <v>86.84</v>
      </c>
      <c r="AK716" s="39">
        <v>78.31</v>
      </c>
      <c r="AL716" s="39">
        <v>0</v>
      </c>
      <c r="AM716" s="39">
        <v>0</v>
      </c>
      <c r="AN716" s="39">
        <v>0</v>
      </c>
      <c r="AO716" s="39">
        <v>109.56</v>
      </c>
      <c r="AP716" s="39">
        <v>86.84</v>
      </c>
      <c r="AQ716" s="39">
        <v>78.31</v>
      </c>
      <c r="AR716" s="39">
        <v>109.56</v>
      </c>
    </row>
    <row r="717" spans="1:44" x14ac:dyDescent="0.35">
      <c r="A717" s="16" t="str">
        <f t="shared" si="62"/>
        <v>19</v>
      </c>
      <c r="B717" s="19">
        <v>75309</v>
      </c>
      <c r="C717" s="16" t="str">
        <f t="shared" si="61"/>
        <v>0000000</v>
      </c>
      <c r="D717" s="17" t="s">
        <v>3663</v>
      </c>
      <c r="E717" s="16" t="s">
        <v>1168</v>
      </c>
      <c r="F717" s="16" t="s">
        <v>895</v>
      </c>
      <c r="G717" s="35" t="s">
        <v>1169</v>
      </c>
      <c r="H717" s="39">
        <v>950.96</v>
      </c>
      <c r="I717" s="39">
        <v>966.02</v>
      </c>
      <c r="J717" s="39">
        <v>890.81</v>
      </c>
      <c r="K717" s="39">
        <v>0</v>
      </c>
      <c r="L717" s="39">
        <v>0</v>
      </c>
      <c r="M717" s="39">
        <v>0</v>
      </c>
      <c r="N717" s="39">
        <v>0</v>
      </c>
      <c r="O717" s="39">
        <v>0</v>
      </c>
      <c r="P717" s="39">
        <v>0</v>
      </c>
      <c r="Q717" s="39">
        <v>0</v>
      </c>
      <c r="R717" s="39">
        <v>0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0</v>
      </c>
      <c r="AA717" s="39">
        <v>0</v>
      </c>
      <c r="AB717" s="39">
        <v>0</v>
      </c>
      <c r="AC717" s="39">
        <v>112.5</v>
      </c>
      <c r="AD717" s="39">
        <v>120.02</v>
      </c>
      <c r="AE717" s="39">
        <v>108.09</v>
      </c>
      <c r="AF717" s="39">
        <v>0</v>
      </c>
      <c r="AG717" s="39">
        <v>0</v>
      </c>
      <c r="AH717" s="39">
        <v>0</v>
      </c>
      <c r="AI717" s="39">
        <v>1063.46</v>
      </c>
      <c r="AJ717" s="39">
        <v>1086.04</v>
      </c>
      <c r="AK717" s="39">
        <v>998.9</v>
      </c>
      <c r="AL717" s="39">
        <v>0</v>
      </c>
      <c r="AM717" s="39">
        <v>0</v>
      </c>
      <c r="AN717" s="39">
        <v>0</v>
      </c>
      <c r="AO717" s="39">
        <v>1063.46</v>
      </c>
      <c r="AP717" s="39">
        <v>1086.04</v>
      </c>
      <c r="AQ717" s="39">
        <v>998.9</v>
      </c>
      <c r="AR717" s="39">
        <v>1086.04</v>
      </c>
    </row>
    <row r="718" spans="1:44" x14ac:dyDescent="0.35">
      <c r="A718" s="16" t="str">
        <f t="shared" si="62"/>
        <v>19</v>
      </c>
      <c r="B718" s="19">
        <v>64212</v>
      </c>
      <c r="C718" s="16" t="str">
        <f t="shared" si="61"/>
        <v>0000000</v>
      </c>
      <c r="D718" s="17" t="s">
        <v>3663</v>
      </c>
      <c r="E718" s="16" t="s">
        <v>892</v>
      </c>
      <c r="F718" s="16" t="s">
        <v>893</v>
      </c>
      <c r="G718" s="35" t="s">
        <v>893</v>
      </c>
      <c r="H718" s="39">
        <v>16750.849999999999</v>
      </c>
      <c r="I718" s="39">
        <v>17170.09</v>
      </c>
      <c r="J718" s="39">
        <v>17357.490000000002</v>
      </c>
      <c r="K718" s="39">
        <v>0</v>
      </c>
      <c r="L718" s="39">
        <v>0</v>
      </c>
      <c r="M718" s="39">
        <v>0</v>
      </c>
      <c r="N718" s="39">
        <v>0</v>
      </c>
      <c r="O718" s="39">
        <v>0</v>
      </c>
      <c r="P718" s="39">
        <v>0</v>
      </c>
      <c r="Q718" s="39">
        <v>0</v>
      </c>
      <c r="R718" s="39">
        <v>0</v>
      </c>
      <c r="S718" s="39">
        <v>0</v>
      </c>
      <c r="T718" s="39">
        <v>8.27</v>
      </c>
      <c r="U718" s="39">
        <v>8.36</v>
      </c>
      <c r="V718" s="39">
        <v>7.79</v>
      </c>
      <c r="W718" s="39">
        <v>7.72</v>
      </c>
      <c r="X718" s="39">
        <v>5.67</v>
      </c>
      <c r="Y718" s="39">
        <v>3.72</v>
      </c>
      <c r="Z718" s="39">
        <v>0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0</v>
      </c>
      <c r="AI718" s="39">
        <v>16766.84</v>
      </c>
      <c r="AJ718" s="39">
        <v>17184.12</v>
      </c>
      <c r="AK718" s="39">
        <v>17369</v>
      </c>
      <c r="AL718" s="39">
        <v>0</v>
      </c>
      <c r="AM718" s="39">
        <v>0</v>
      </c>
      <c r="AN718" s="39">
        <v>0</v>
      </c>
      <c r="AO718" s="39">
        <v>16766.84</v>
      </c>
      <c r="AP718" s="39">
        <v>17184.12</v>
      </c>
      <c r="AQ718" s="39">
        <v>17369</v>
      </c>
      <c r="AR718" s="39">
        <v>17369</v>
      </c>
    </row>
    <row r="719" spans="1:44" x14ac:dyDescent="0.35">
      <c r="A719" s="16" t="str">
        <f t="shared" si="62"/>
        <v>19</v>
      </c>
      <c r="B719" s="19">
        <v>64303</v>
      </c>
      <c r="C719" s="16" t="str">
        <f t="shared" si="61"/>
        <v>0000000</v>
      </c>
      <c r="D719" s="17" t="s">
        <v>3663</v>
      </c>
      <c r="E719" s="16" t="s">
        <v>916</v>
      </c>
      <c r="F719" s="16" t="s">
        <v>917</v>
      </c>
      <c r="G719" s="35" t="s">
        <v>917</v>
      </c>
      <c r="H719" s="39">
        <v>9047.76</v>
      </c>
      <c r="I719" s="39">
        <v>9199.0300000000007</v>
      </c>
      <c r="J719" s="39">
        <v>9301.86</v>
      </c>
      <c r="K719" s="39">
        <v>0</v>
      </c>
      <c r="L719" s="39">
        <v>0</v>
      </c>
      <c r="M719" s="39">
        <v>0</v>
      </c>
      <c r="N719" s="39">
        <v>0</v>
      </c>
      <c r="O719" s="39">
        <v>0</v>
      </c>
      <c r="P719" s="39">
        <v>0</v>
      </c>
      <c r="Q719" s="39">
        <v>0</v>
      </c>
      <c r="R719" s="39">
        <v>0</v>
      </c>
      <c r="S719" s="39">
        <v>0</v>
      </c>
      <c r="T719" s="39">
        <v>14.68</v>
      </c>
      <c r="U719" s="39">
        <v>14.94</v>
      </c>
      <c r="V719" s="39">
        <v>14.28</v>
      </c>
      <c r="W719" s="39">
        <v>11.48</v>
      </c>
      <c r="X719" s="39">
        <v>14.32</v>
      </c>
      <c r="Y719" s="39">
        <v>10.44</v>
      </c>
      <c r="Z719" s="39">
        <v>0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0</v>
      </c>
      <c r="AI719" s="39">
        <v>9073.92</v>
      </c>
      <c r="AJ719" s="39">
        <v>9228.2900000000009</v>
      </c>
      <c r="AK719" s="39">
        <v>9326.58</v>
      </c>
      <c r="AL719" s="39">
        <v>0</v>
      </c>
      <c r="AM719" s="39">
        <v>0</v>
      </c>
      <c r="AN719" s="39">
        <v>0</v>
      </c>
      <c r="AO719" s="39">
        <v>9073.92</v>
      </c>
      <c r="AP719" s="39">
        <v>9228.2900000000009</v>
      </c>
      <c r="AQ719" s="39">
        <v>9326.58</v>
      </c>
      <c r="AR719" s="39">
        <v>9326.58</v>
      </c>
    </row>
    <row r="720" spans="1:44" x14ac:dyDescent="0.35">
      <c r="A720" s="16" t="str">
        <f t="shared" si="62"/>
        <v>19</v>
      </c>
      <c r="B720" s="19">
        <v>64774</v>
      </c>
      <c r="C720" s="16" t="str">
        <f t="shared" si="61"/>
        <v>0000000</v>
      </c>
      <c r="D720" s="17" t="s">
        <v>3663</v>
      </c>
      <c r="E720" s="16" t="s">
        <v>1059</v>
      </c>
      <c r="F720" s="16" t="s">
        <v>917</v>
      </c>
      <c r="G720" s="35" t="s">
        <v>1060</v>
      </c>
      <c r="H720" s="39">
        <v>9874.8799999999992</v>
      </c>
      <c r="I720" s="39">
        <v>10316.1</v>
      </c>
      <c r="J720" s="39">
        <v>10638.44</v>
      </c>
      <c r="K720" s="39">
        <v>0</v>
      </c>
      <c r="L720" s="39">
        <v>0</v>
      </c>
      <c r="M720" s="39">
        <v>0</v>
      </c>
      <c r="N720" s="39">
        <v>0</v>
      </c>
      <c r="O720" s="39">
        <v>0</v>
      </c>
      <c r="P720" s="39">
        <v>0</v>
      </c>
      <c r="Q720" s="39">
        <v>0</v>
      </c>
      <c r="R720" s="39">
        <v>0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0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0</v>
      </c>
      <c r="AI720" s="39">
        <v>9874.8799999999992</v>
      </c>
      <c r="AJ720" s="39">
        <v>10316.1</v>
      </c>
      <c r="AK720" s="39">
        <v>10638.44</v>
      </c>
      <c r="AL720" s="39">
        <v>0</v>
      </c>
      <c r="AM720" s="39">
        <v>0</v>
      </c>
      <c r="AN720" s="39">
        <v>0</v>
      </c>
      <c r="AO720" s="39">
        <v>9874.8799999999992</v>
      </c>
      <c r="AP720" s="39">
        <v>10316.1</v>
      </c>
      <c r="AQ720" s="39">
        <v>10638.44</v>
      </c>
      <c r="AR720" s="39">
        <v>10638.44</v>
      </c>
    </row>
    <row r="721" spans="1:44" x14ac:dyDescent="0.35">
      <c r="A721" s="16" t="str">
        <f t="shared" si="62"/>
        <v>19</v>
      </c>
      <c r="B721" s="19">
        <v>64873</v>
      </c>
      <c r="C721" s="16" t="str">
        <f t="shared" si="61"/>
        <v>0000000</v>
      </c>
      <c r="D721" s="17" t="s">
        <v>3663</v>
      </c>
      <c r="E721" s="16" t="s">
        <v>1078</v>
      </c>
      <c r="F721" s="16" t="s">
        <v>917</v>
      </c>
      <c r="G721" s="35" t="s">
        <v>1079</v>
      </c>
      <c r="H721" s="39">
        <v>10828.65</v>
      </c>
      <c r="I721" s="39">
        <v>11156.01</v>
      </c>
      <c r="J721" s="39">
        <v>11749.78</v>
      </c>
      <c r="K721" s="39">
        <v>0</v>
      </c>
      <c r="L721" s="39">
        <v>0</v>
      </c>
      <c r="M721" s="39">
        <v>0</v>
      </c>
      <c r="N721" s="39">
        <v>0</v>
      </c>
      <c r="O721" s="39">
        <v>0</v>
      </c>
      <c r="P721" s="39">
        <v>0</v>
      </c>
      <c r="Q721" s="39">
        <v>0</v>
      </c>
      <c r="R721" s="39">
        <v>0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0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0</v>
      </c>
      <c r="AI721" s="39">
        <v>10828.65</v>
      </c>
      <c r="AJ721" s="39">
        <v>11156.01</v>
      </c>
      <c r="AK721" s="39">
        <v>11749.78</v>
      </c>
      <c r="AL721" s="39">
        <v>0</v>
      </c>
      <c r="AM721" s="39">
        <v>0</v>
      </c>
      <c r="AN721" s="39">
        <v>0</v>
      </c>
      <c r="AO721" s="39">
        <v>10828.65</v>
      </c>
      <c r="AP721" s="39">
        <v>11156.01</v>
      </c>
      <c r="AQ721" s="39">
        <v>11749.78</v>
      </c>
      <c r="AR721" s="39">
        <v>11749.78</v>
      </c>
    </row>
    <row r="722" spans="1:44" x14ac:dyDescent="0.35">
      <c r="A722" s="16" t="str">
        <f t="shared" si="62"/>
        <v>19</v>
      </c>
      <c r="B722" s="19">
        <v>64907</v>
      </c>
      <c r="C722" s="16" t="str">
        <f t="shared" si="61"/>
        <v>0000000</v>
      </c>
      <c r="D722" s="17" t="s">
        <v>3663</v>
      </c>
      <c r="E722" s="16" t="s">
        <v>1093</v>
      </c>
      <c r="F722" s="16" t="s">
        <v>1094</v>
      </c>
      <c r="G722" s="35" t="s">
        <v>1094</v>
      </c>
      <c r="H722" s="39">
        <v>17479.47</v>
      </c>
      <c r="I722" s="39">
        <v>17971.98</v>
      </c>
      <c r="J722" s="39">
        <v>18163.32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9.32</v>
      </c>
      <c r="U722" s="39">
        <v>9.42</v>
      </c>
      <c r="V722" s="39">
        <v>8.69</v>
      </c>
      <c r="W722" s="39">
        <v>113.53</v>
      </c>
      <c r="X722" s="39">
        <v>107.18</v>
      </c>
      <c r="Y722" s="39">
        <v>107.07</v>
      </c>
      <c r="Z722" s="39">
        <v>0</v>
      </c>
      <c r="AA722" s="39">
        <v>0</v>
      </c>
      <c r="AB722" s="39">
        <v>0</v>
      </c>
      <c r="AC722" s="39">
        <v>1402.91</v>
      </c>
      <c r="AD722" s="39">
        <v>1361.9</v>
      </c>
      <c r="AE722" s="39">
        <v>1197.27</v>
      </c>
      <c r="AF722" s="39">
        <v>0</v>
      </c>
      <c r="AG722" s="39">
        <v>0</v>
      </c>
      <c r="AH722" s="39">
        <v>0</v>
      </c>
      <c r="AI722" s="39">
        <v>19005.23</v>
      </c>
      <c r="AJ722" s="39">
        <v>19450.48</v>
      </c>
      <c r="AK722" s="39">
        <v>19476.349999999999</v>
      </c>
      <c r="AL722" s="39">
        <v>0</v>
      </c>
      <c r="AM722" s="39">
        <v>0</v>
      </c>
      <c r="AN722" s="39">
        <v>0</v>
      </c>
      <c r="AO722" s="39">
        <v>19005.23</v>
      </c>
      <c r="AP722" s="39">
        <v>19450.48</v>
      </c>
      <c r="AQ722" s="39">
        <v>19476.349999999999</v>
      </c>
      <c r="AR722" s="39">
        <v>19476.349999999999</v>
      </c>
    </row>
    <row r="723" spans="1:44" x14ac:dyDescent="0.35">
      <c r="A723" s="16" t="str">
        <f t="shared" si="62"/>
        <v>19</v>
      </c>
      <c r="B723" s="19">
        <v>65136</v>
      </c>
      <c r="C723" s="16" t="str">
        <f t="shared" si="61"/>
        <v>0000000</v>
      </c>
      <c r="D723" s="17" t="s">
        <v>3663</v>
      </c>
      <c r="E723" s="16" t="s">
        <v>928</v>
      </c>
      <c r="F723" s="16" t="s">
        <v>929</v>
      </c>
      <c r="G723" s="35" t="s">
        <v>929</v>
      </c>
      <c r="H723" s="39">
        <v>19378.89</v>
      </c>
      <c r="I723" s="39">
        <v>19467.04</v>
      </c>
      <c r="J723" s="39">
        <v>19593.47</v>
      </c>
      <c r="K723" s="39">
        <v>0</v>
      </c>
      <c r="L723" s="39">
        <v>0</v>
      </c>
      <c r="M723" s="39">
        <v>0</v>
      </c>
      <c r="N723" s="39">
        <v>0</v>
      </c>
      <c r="O723" s="39">
        <v>0</v>
      </c>
      <c r="P723" s="39">
        <v>0</v>
      </c>
      <c r="Q723" s="39">
        <v>0</v>
      </c>
      <c r="R723" s="39">
        <v>0</v>
      </c>
      <c r="S723" s="39">
        <v>0</v>
      </c>
      <c r="T723" s="39">
        <v>20.11</v>
      </c>
      <c r="U723" s="39">
        <v>19.86</v>
      </c>
      <c r="V723" s="39">
        <v>18.190000000000001</v>
      </c>
      <c r="W723" s="39">
        <v>17.28</v>
      </c>
      <c r="X723" s="39">
        <v>20.85</v>
      </c>
      <c r="Y723" s="39">
        <v>24.55</v>
      </c>
      <c r="Z723" s="39">
        <v>0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19416.28</v>
      </c>
      <c r="AJ723" s="39">
        <v>19507.75</v>
      </c>
      <c r="AK723" s="39">
        <v>19636.21</v>
      </c>
      <c r="AL723" s="39">
        <v>0</v>
      </c>
      <c r="AM723" s="39">
        <v>0</v>
      </c>
      <c r="AN723" s="39">
        <v>0</v>
      </c>
      <c r="AO723" s="39">
        <v>19416.28</v>
      </c>
      <c r="AP723" s="39">
        <v>19507.75</v>
      </c>
      <c r="AQ723" s="39">
        <v>19636.21</v>
      </c>
      <c r="AR723" s="39">
        <v>19636.21</v>
      </c>
    </row>
    <row r="724" spans="1:44" x14ac:dyDescent="0.35">
      <c r="A724" s="16" t="str">
        <f t="shared" si="62"/>
        <v>19</v>
      </c>
      <c r="B724" s="19">
        <v>64345</v>
      </c>
      <c r="C724" s="16" t="str">
        <f t="shared" si="61"/>
        <v>0000000</v>
      </c>
      <c r="D724" s="17" t="s">
        <v>3663</v>
      </c>
      <c r="E724" s="16" t="s">
        <v>930</v>
      </c>
      <c r="F724" s="16" t="s">
        <v>929</v>
      </c>
      <c r="G724" s="35" t="s">
        <v>931</v>
      </c>
      <c r="H724" s="39">
        <v>1815.92</v>
      </c>
      <c r="I724" s="39">
        <v>1836.14</v>
      </c>
      <c r="J724" s="39">
        <v>1763.03</v>
      </c>
      <c r="K724" s="39">
        <v>0</v>
      </c>
      <c r="L724" s="39">
        <v>0</v>
      </c>
      <c r="M724" s="39">
        <v>0</v>
      </c>
      <c r="N724" s="39">
        <v>0</v>
      </c>
      <c r="O724" s="39">
        <v>0</v>
      </c>
      <c r="P724" s="39">
        <v>0</v>
      </c>
      <c r="Q724" s="39">
        <v>0</v>
      </c>
      <c r="R724" s="39">
        <v>0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0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1815.92</v>
      </c>
      <c r="AJ724" s="39">
        <v>1836.14</v>
      </c>
      <c r="AK724" s="39">
        <v>1763.03</v>
      </c>
      <c r="AL724" s="39">
        <v>0</v>
      </c>
      <c r="AM724" s="39">
        <v>0</v>
      </c>
      <c r="AN724" s="39">
        <v>0</v>
      </c>
      <c r="AO724" s="39">
        <v>1815.92</v>
      </c>
      <c r="AP724" s="39">
        <v>1836.14</v>
      </c>
      <c r="AQ724" s="39">
        <v>1763.03</v>
      </c>
      <c r="AR724" s="39">
        <v>1836.14</v>
      </c>
    </row>
    <row r="725" spans="1:44" x14ac:dyDescent="0.35">
      <c r="A725" s="16" t="str">
        <f t="shared" si="62"/>
        <v>19</v>
      </c>
      <c r="B725" s="19">
        <v>64832</v>
      </c>
      <c r="C725" s="16" t="str">
        <f t="shared" si="61"/>
        <v>0000000</v>
      </c>
      <c r="D725" s="17" t="s">
        <v>3663</v>
      </c>
      <c r="E725" s="16" t="s">
        <v>1067</v>
      </c>
      <c r="F725" s="16" t="s">
        <v>929</v>
      </c>
      <c r="G725" s="35" t="s">
        <v>1068</v>
      </c>
      <c r="H725" s="39">
        <v>5761.93</v>
      </c>
      <c r="I725" s="39">
        <v>5665.84</v>
      </c>
      <c r="J725" s="39">
        <v>5601.11</v>
      </c>
      <c r="K725" s="39">
        <v>0</v>
      </c>
      <c r="L725" s="39">
        <v>0</v>
      </c>
      <c r="M725" s="39">
        <v>0</v>
      </c>
      <c r="N725" s="39">
        <v>0</v>
      </c>
      <c r="O725" s="39">
        <v>0</v>
      </c>
      <c r="P725" s="39">
        <v>0</v>
      </c>
      <c r="Q725" s="39">
        <v>0</v>
      </c>
      <c r="R725" s="39">
        <v>0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0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5761.93</v>
      </c>
      <c r="AJ725" s="39">
        <v>5665.84</v>
      </c>
      <c r="AK725" s="39">
        <v>5601.11</v>
      </c>
      <c r="AL725" s="39">
        <v>0</v>
      </c>
      <c r="AM725" s="39">
        <v>0</v>
      </c>
      <c r="AN725" s="39">
        <v>0</v>
      </c>
      <c r="AO725" s="39">
        <v>5761.93</v>
      </c>
      <c r="AP725" s="39">
        <v>5665.84</v>
      </c>
      <c r="AQ725" s="39">
        <v>5601.11</v>
      </c>
      <c r="AR725" s="39">
        <v>5761.93</v>
      </c>
    </row>
    <row r="726" spans="1:44" x14ac:dyDescent="0.35">
      <c r="A726" s="16" t="str">
        <f t="shared" si="62"/>
        <v>19</v>
      </c>
      <c r="B726" s="19">
        <v>65045</v>
      </c>
      <c r="C726" s="16" t="str">
        <f t="shared" si="61"/>
        <v>0000000</v>
      </c>
      <c r="D726" s="17" t="s">
        <v>3663</v>
      </c>
      <c r="E726" s="16" t="s">
        <v>1110</v>
      </c>
      <c r="F726" s="16" t="s">
        <v>929</v>
      </c>
      <c r="G726" s="35" t="s">
        <v>1111</v>
      </c>
      <c r="H726" s="39">
        <v>4917.1400000000003</v>
      </c>
      <c r="I726" s="39">
        <v>4950.09</v>
      </c>
      <c r="J726" s="39">
        <v>4896.1000000000004</v>
      </c>
      <c r="K726" s="39">
        <v>0</v>
      </c>
      <c r="L726" s="39">
        <v>0</v>
      </c>
      <c r="M726" s="39">
        <v>0</v>
      </c>
      <c r="N726" s="39">
        <v>0</v>
      </c>
      <c r="O726" s="39">
        <v>0</v>
      </c>
      <c r="P726" s="39">
        <v>0</v>
      </c>
      <c r="Q726" s="39">
        <v>0</v>
      </c>
      <c r="R726" s="39">
        <v>0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0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4917.1400000000003</v>
      </c>
      <c r="AJ726" s="39">
        <v>4950.09</v>
      </c>
      <c r="AK726" s="39">
        <v>4896.1000000000004</v>
      </c>
      <c r="AL726" s="39">
        <v>0</v>
      </c>
      <c r="AM726" s="39">
        <v>0</v>
      </c>
      <c r="AN726" s="39">
        <v>0</v>
      </c>
      <c r="AO726" s="39">
        <v>4917.1400000000003</v>
      </c>
      <c r="AP726" s="39">
        <v>4950.09</v>
      </c>
      <c r="AQ726" s="39">
        <v>4896.1000000000004</v>
      </c>
      <c r="AR726" s="39">
        <v>4950.09</v>
      </c>
    </row>
    <row r="727" spans="1:44" x14ac:dyDescent="0.35">
      <c r="A727" s="16" t="str">
        <f t="shared" si="62"/>
        <v>19</v>
      </c>
      <c r="B727" s="19">
        <v>64998</v>
      </c>
      <c r="C727" s="16" t="str">
        <f t="shared" si="61"/>
        <v>0000000</v>
      </c>
      <c r="D727" s="17" t="s">
        <v>3663</v>
      </c>
      <c r="E727" s="16" t="s">
        <v>1104</v>
      </c>
      <c r="F727" s="16" t="s">
        <v>929</v>
      </c>
      <c r="G727" s="35" t="s">
        <v>1105</v>
      </c>
      <c r="H727" s="39">
        <v>8885.99</v>
      </c>
      <c r="I727" s="39">
        <v>8864.77</v>
      </c>
      <c r="J727" s="39">
        <v>8673.61</v>
      </c>
      <c r="K727" s="39">
        <v>0</v>
      </c>
      <c r="L727" s="39">
        <v>0</v>
      </c>
      <c r="M727" s="39">
        <v>0</v>
      </c>
      <c r="N727" s="39">
        <v>0</v>
      </c>
      <c r="O727" s="39">
        <v>0</v>
      </c>
      <c r="P727" s="39">
        <v>0</v>
      </c>
      <c r="Q727" s="39">
        <v>0</v>
      </c>
      <c r="R727" s="39">
        <v>0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0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8885.99</v>
      </c>
      <c r="AJ727" s="39">
        <v>8864.77</v>
      </c>
      <c r="AK727" s="39">
        <v>8673.61</v>
      </c>
      <c r="AL727" s="39">
        <v>0</v>
      </c>
      <c r="AM727" s="39">
        <v>0</v>
      </c>
      <c r="AN727" s="39">
        <v>0</v>
      </c>
      <c r="AO727" s="39">
        <v>8885.99</v>
      </c>
      <c r="AP727" s="39">
        <v>8864.77</v>
      </c>
      <c r="AQ727" s="39">
        <v>8673.61</v>
      </c>
      <c r="AR727" s="39">
        <v>8885.99</v>
      </c>
    </row>
    <row r="728" spans="1:44" x14ac:dyDescent="0.35">
      <c r="A728" s="16" t="str">
        <f t="shared" si="62"/>
        <v>19</v>
      </c>
      <c r="B728" s="19">
        <v>64691</v>
      </c>
      <c r="C728" s="16" t="str">
        <f t="shared" si="61"/>
        <v>0000000</v>
      </c>
      <c r="D728" s="17" t="s">
        <v>3663</v>
      </c>
      <c r="E728" s="16" t="s">
        <v>932</v>
      </c>
      <c r="F728" s="16" t="s">
        <v>933</v>
      </c>
      <c r="G728" s="35" t="s">
        <v>933</v>
      </c>
      <c r="H728" s="39">
        <v>4059.28</v>
      </c>
      <c r="I728" s="39">
        <v>4151.3500000000004</v>
      </c>
      <c r="J728" s="39">
        <v>4164.95</v>
      </c>
      <c r="K728" s="39">
        <v>0</v>
      </c>
      <c r="L728" s="39">
        <v>0</v>
      </c>
      <c r="M728" s="39">
        <v>0</v>
      </c>
      <c r="N728" s="39">
        <v>0</v>
      </c>
      <c r="O728" s="39">
        <v>0</v>
      </c>
      <c r="P728" s="39">
        <v>0</v>
      </c>
      <c r="Q728" s="39">
        <v>0</v>
      </c>
      <c r="R728" s="39">
        <v>0</v>
      </c>
      <c r="S728" s="39">
        <v>0</v>
      </c>
      <c r="T728" s="39">
        <v>38.19</v>
      </c>
      <c r="U728" s="39">
        <v>38.29</v>
      </c>
      <c r="V728" s="39">
        <v>36.130000000000003</v>
      </c>
      <c r="W728" s="39">
        <v>59.46</v>
      </c>
      <c r="X728" s="39">
        <v>69.61</v>
      </c>
      <c r="Y728" s="39">
        <v>56.39</v>
      </c>
      <c r="Z728" s="39">
        <v>0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4156.93</v>
      </c>
      <c r="AJ728" s="39">
        <v>4259.25</v>
      </c>
      <c r="AK728" s="39">
        <v>4257.47</v>
      </c>
      <c r="AL728" s="39">
        <v>0</v>
      </c>
      <c r="AM728" s="39">
        <v>0</v>
      </c>
      <c r="AN728" s="39">
        <v>0</v>
      </c>
      <c r="AO728" s="39">
        <v>4156.93</v>
      </c>
      <c r="AP728" s="39">
        <v>4259.25</v>
      </c>
      <c r="AQ728" s="39">
        <v>4257.47</v>
      </c>
      <c r="AR728" s="39">
        <v>4259.25</v>
      </c>
    </row>
    <row r="729" spans="1:44" x14ac:dyDescent="0.35">
      <c r="A729" s="16" t="str">
        <f t="shared" si="62"/>
        <v>19</v>
      </c>
      <c r="B729" s="19">
        <v>64352</v>
      </c>
      <c r="C729" s="16" t="str">
        <f t="shared" si="61"/>
        <v>0000000</v>
      </c>
      <c r="D729" s="17" t="s">
        <v>3663</v>
      </c>
      <c r="E729" s="16" t="s">
        <v>934</v>
      </c>
      <c r="F729" s="16" t="s">
        <v>933</v>
      </c>
      <c r="G729" s="35" t="s">
        <v>935</v>
      </c>
      <c r="H729" s="39">
        <v>4920.93</v>
      </c>
      <c r="I729" s="39">
        <v>5165.54</v>
      </c>
      <c r="J729" s="39">
        <v>5333.08</v>
      </c>
      <c r="K729" s="39">
        <v>0</v>
      </c>
      <c r="L729" s="39">
        <v>0</v>
      </c>
      <c r="M729" s="39">
        <v>0</v>
      </c>
      <c r="N729" s="39">
        <v>0</v>
      </c>
      <c r="O729" s="39">
        <v>0</v>
      </c>
      <c r="P729" s="39">
        <v>0</v>
      </c>
      <c r="Q729" s="39">
        <v>0</v>
      </c>
      <c r="R729" s="39">
        <v>0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0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4920.93</v>
      </c>
      <c r="AJ729" s="39">
        <v>5165.54</v>
      </c>
      <c r="AK729" s="39">
        <v>5333.08</v>
      </c>
      <c r="AL729" s="39">
        <v>0</v>
      </c>
      <c r="AM729" s="39">
        <v>0</v>
      </c>
      <c r="AN729" s="39">
        <v>0</v>
      </c>
      <c r="AO729" s="39">
        <v>4920.93</v>
      </c>
      <c r="AP729" s="39">
        <v>5165.54</v>
      </c>
      <c r="AQ729" s="39">
        <v>5333.08</v>
      </c>
      <c r="AR729" s="39">
        <v>5333.08</v>
      </c>
    </row>
    <row r="730" spans="1:44" x14ac:dyDescent="0.35">
      <c r="A730" s="16" t="str">
        <f t="shared" si="62"/>
        <v>19</v>
      </c>
      <c r="B730" s="19">
        <v>64535</v>
      </c>
      <c r="C730" s="16" t="str">
        <f t="shared" si="61"/>
        <v>0000000</v>
      </c>
      <c r="D730" s="17" t="s">
        <v>3663</v>
      </c>
      <c r="E730" s="16" t="s">
        <v>964</v>
      </c>
      <c r="F730" s="16" t="s">
        <v>933</v>
      </c>
      <c r="G730" s="35" t="s">
        <v>965</v>
      </c>
      <c r="H730" s="39">
        <v>3321.79</v>
      </c>
      <c r="I730" s="39">
        <v>3397.03</v>
      </c>
      <c r="J730" s="39">
        <v>3328.66</v>
      </c>
      <c r="K730" s="39">
        <v>0</v>
      </c>
      <c r="L730" s="39">
        <v>0</v>
      </c>
      <c r="M730" s="39">
        <v>0</v>
      </c>
      <c r="N730" s="39">
        <v>0</v>
      </c>
      <c r="O730" s="39">
        <v>0</v>
      </c>
      <c r="P730" s="39">
        <v>0</v>
      </c>
      <c r="Q730" s="39">
        <v>0</v>
      </c>
      <c r="R730" s="39">
        <v>0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0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3321.79</v>
      </c>
      <c r="AJ730" s="39">
        <v>3397.03</v>
      </c>
      <c r="AK730" s="39">
        <v>3328.66</v>
      </c>
      <c r="AL730" s="39">
        <v>0</v>
      </c>
      <c r="AM730" s="39">
        <v>0</v>
      </c>
      <c r="AN730" s="39">
        <v>0</v>
      </c>
      <c r="AO730" s="39">
        <v>3321.79</v>
      </c>
      <c r="AP730" s="39">
        <v>3397.03</v>
      </c>
      <c r="AQ730" s="39">
        <v>3328.66</v>
      </c>
      <c r="AR730" s="39">
        <v>3397.03</v>
      </c>
    </row>
    <row r="731" spans="1:44" x14ac:dyDescent="0.35">
      <c r="A731" s="16" t="str">
        <f t="shared" si="62"/>
        <v>19</v>
      </c>
      <c r="B731" s="19">
        <v>64592</v>
      </c>
      <c r="C731" s="16" t="str">
        <f t="shared" si="61"/>
        <v>0000000</v>
      </c>
      <c r="D731" s="17" t="s">
        <v>3663</v>
      </c>
      <c r="E731" s="16" t="s">
        <v>975</v>
      </c>
      <c r="F731" s="16" t="s">
        <v>933</v>
      </c>
      <c r="G731" s="35" t="s">
        <v>976</v>
      </c>
      <c r="H731" s="39">
        <v>5916.55</v>
      </c>
      <c r="I731" s="39">
        <v>6008.34</v>
      </c>
      <c r="J731" s="39">
        <v>5985.92</v>
      </c>
      <c r="K731" s="39">
        <v>0</v>
      </c>
      <c r="L731" s="39">
        <v>0</v>
      </c>
      <c r="M731" s="39">
        <v>0</v>
      </c>
      <c r="N731" s="39">
        <v>0</v>
      </c>
      <c r="O731" s="39">
        <v>0</v>
      </c>
      <c r="P731" s="39">
        <v>0</v>
      </c>
      <c r="Q731" s="39">
        <v>0</v>
      </c>
      <c r="R731" s="39">
        <v>0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0</v>
      </c>
      <c r="AA731" s="39">
        <v>0</v>
      </c>
      <c r="AB731" s="39">
        <v>0</v>
      </c>
      <c r="AC731" s="39">
        <v>540.88</v>
      </c>
      <c r="AD731" s="39">
        <v>524.89</v>
      </c>
      <c r="AE731" s="39">
        <v>507.77</v>
      </c>
      <c r="AF731" s="39">
        <v>0</v>
      </c>
      <c r="AG731" s="39">
        <v>0</v>
      </c>
      <c r="AH731" s="39">
        <v>0</v>
      </c>
      <c r="AI731" s="39">
        <v>6457.43</v>
      </c>
      <c r="AJ731" s="39">
        <v>6533.23</v>
      </c>
      <c r="AK731" s="39">
        <v>6493.69</v>
      </c>
      <c r="AL731" s="39">
        <v>0</v>
      </c>
      <c r="AM731" s="39">
        <v>0</v>
      </c>
      <c r="AN731" s="39">
        <v>0</v>
      </c>
      <c r="AO731" s="39">
        <v>6457.43</v>
      </c>
      <c r="AP731" s="39">
        <v>6533.23</v>
      </c>
      <c r="AQ731" s="39">
        <v>6493.69</v>
      </c>
      <c r="AR731" s="39">
        <v>6533.23</v>
      </c>
    </row>
    <row r="732" spans="1:44" x14ac:dyDescent="0.35">
      <c r="A732" s="16" t="str">
        <f t="shared" si="62"/>
        <v>19</v>
      </c>
      <c r="B732" s="19">
        <v>64600</v>
      </c>
      <c r="C732" s="16" t="str">
        <f t="shared" si="61"/>
        <v>0000000</v>
      </c>
      <c r="D732" s="17" t="s">
        <v>3663</v>
      </c>
      <c r="E732" s="16" t="s">
        <v>977</v>
      </c>
      <c r="F732" s="16" t="s">
        <v>933</v>
      </c>
      <c r="G732" s="35" t="s">
        <v>978</v>
      </c>
      <c r="H732" s="39">
        <v>1345.8</v>
      </c>
      <c r="I732" s="39">
        <v>1267.06</v>
      </c>
      <c r="J732" s="39">
        <v>1194.55</v>
      </c>
      <c r="K732" s="39">
        <v>0</v>
      </c>
      <c r="L732" s="39">
        <v>0</v>
      </c>
      <c r="M732" s="39">
        <v>0</v>
      </c>
      <c r="N732" s="39">
        <v>0</v>
      </c>
      <c r="O732" s="39">
        <v>0</v>
      </c>
      <c r="P732" s="39">
        <v>0</v>
      </c>
      <c r="Q732" s="39">
        <v>0</v>
      </c>
      <c r="R732" s="39">
        <v>0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0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1345.8</v>
      </c>
      <c r="AJ732" s="39">
        <v>1267.06</v>
      </c>
      <c r="AK732" s="39">
        <v>1194.55</v>
      </c>
      <c r="AL732" s="39">
        <v>0</v>
      </c>
      <c r="AM732" s="39">
        <v>0</v>
      </c>
      <c r="AN732" s="39">
        <v>0</v>
      </c>
      <c r="AO732" s="39">
        <v>1345.8</v>
      </c>
      <c r="AP732" s="39">
        <v>1267.06</v>
      </c>
      <c r="AQ732" s="39">
        <v>1194.55</v>
      </c>
      <c r="AR732" s="39">
        <v>1345.8</v>
      </c>
    </row>
    <row r="733" spans="1:44" x14ac:dyDescent="0.35">
      <c r="A733" s="16" t="str">
        <f t="shared" si="62"/>
        <v>19</v>
      </c>
      <c r="B733" s="19">
        <v>64634</v>
      </c>
      <c r="C733" s="16" t="str">
        <f t="shared" si="61"/>
        <v>0000000</v>
      </c>
      <c r="D733" s="17" t="s">
        <v>3663</v>
      </c>
      <c r="E733" s="16" t="s">
        <v>981</v>
      </c>
      <c r="F733" s="16" t="s">
        <v>933</v>
      </c>
      <c r="G733" s="35" t="s">
        <v>982</v>
      </c>
      <c r="H733" s="39">
        <v>5086.45</v>
      </c>
      <c r="I733" s="39">
        <v>5389</v>
      </c>
      <c r="J733" s="39">
        <v>5695.37</v>
      </c>
      <c r="K733" s="39">
        <v>0</v>
      </c>
      <c r="L733" s="39">
        <v>0</v>
      </c>
      <c r="M733" s="39">
        <v>0</v>
      </c>
      <c r="N733" s="39">
        <v>0</v>
      </c>
      <c r="O733" s="39">
        <v>0</v>
      </c>
      <c r="P733" s="39">
        <v>0</v>
      </c>
      <c r="Q733" s="39">
        <v>0</v>
      </c>
      <c r="R733" s="39">
        <v>0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0</v>
      </c>
      <c r="AA733" s="39">
        <v>0</v>
      </c>
      <c r="AB733" s="39">
        <v>0</v>
      </c>
      <c r="AC733" s="39">
        <v>812.5</v>
      </c>
      <c r="AD733" s="39">
        <v>827.53</v>
      </c>
      <c r="AE733" s="39">
        <v>904.83</v>
      </c>
      <c r="AF733" s="39">
        <v>0</v>
      </c>
      <c r="AG733" s="39">
        <v>0</v>
      </c>
      <c r="AH733" s="39">
        <v>0</v>
      </c>
      <c r="AI733" s="39">
        <v>5898.95</v>
      </c>
      <c r="AJ733" s="39">
        <v>6216.53</v>
      </c>
      <c r="AK733" s="39">
        <v>6600.2</v>
      </c>
      <c r="AL733" s="39">
        <v>0</v>
      </c>
      <c r="AM733" s="39">
        <v>0</v>
      </c>
      <c r="AN733" s="39">
        <v>-66.34</v>
      </c>
      <c r="AO733" s="39">
        <v>5898.95</v>
      </c>
      <c r="AP733" s="39">
        <v>6216.53</v>
      </c>
      <c r="AQ733" s="39">
        <v>6533.86</v>
      </c>
      <c r="AR733" s="39">
        <v>6533.86</v>
      </c>
    </row>
    <row r="734" spans="1:44" x14ac:dyDescent="0.35">
      <c r="A734" s="16" t="str">
        <f t="shared" si="62"/>
        <v>19</v>
      </c>
      <c r="B734" s="19">
        <v>64709</v>
      </c>
      <c r="C734" s="16" t="str">
        <f t="shared" si="61"/>
        <v>0000000</v>
      </c>
      <c r="D734" s="17" t="s">
        <v>3663</v>
      </c>
      <c r="E734" s="16" t="s">
        <v>1013</v>
      </c>
      <c r="F734" s="16" t="s">
        <v>933</v>
      </c>
      <c r="G734" s="35" t="s">
        <v>1014</v>
      </c>
      <c r="H734" s="39">
        <v>3692.29</v>
      </c>
      <c r="I734" s="39">
        <v>3764.39</v>
      </c>
      <c r="J734" s="39">
        <v>3819.64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3692.29</v>
      </c>
      <c r="AJ734" s="39">
        <v>3764.39</v>
      </c>
      <c r="AK734" s="39">
        <v>3819.64</v>
      </c>
      <c r="AL734" s="39">
        <v>0</v>
      </c>
      <c r="AM734" s="39">
        <v>0</v>
      </c>
      <c r="AN734" s="39">
        <v>0</v>
      </c>
      <c r="AO734" s="39">
        <v>3692.29</v>
      </c>
      <c r="AP734" s="39">
        <v>3764.39</v>
      </c>
      <c r="AQ734" s="39">
        <v>3819.64</v>
      </c>
      <c r="AR734" s="39">
        <v>3819.64</v>
      </c>
    </row>
    <row r="735" spans="1:44" x14ac:dyDescent="0.35">
      <c r="A735" s="16" t="str">
        <f t="shared" si="62"/>
        <v>19</v>
      </c>
      <c r="B735" s="19">
        <v>64865</v>
      </c>
      <c r="C735" s="16" t="str">
        <f t="shared" si="61"/>
        <v>0000000</v>
      </c>
      <c r="D735" s="17" t="s">
        <v>3663</v>
      </c>
      <c r="E735" s="16" t="s">
        <v>1076</v>
      </c>
      <c r="F735" s="16" t="s">
        <v>933</v>
      </c>
      <c r="G735" s="35" t="s">
        <v>1077</v>
      </c>
      <c r="H735" s="39">
        <v>9686.49</v>
      </c>
      <c r="I735" s="39">
        <v>9906.2099999999991</v>
      </c>
      <c r="J735" s="39">
        <v>9924.57</v>
      </c>
      <c r="K735" s="39">
        <v>0</v>
      </c>
      <c r="L735" s="39">
        <v>0</v>
      </c>
      <c r="M735" s="39">
        <v>0</v>
      </c>
      <c r="N735" s="39">
        <v>0</v>
      </c>
      <c r="O735" s="39">
        <v>0</v>
      </c>
      <c r="P735" s="39">
        <v>0</v>
      </c>
      <c r="Q735" s="39">
        <v>0</v>
      </c>
      <c r="R735" s="39">
        <v>0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0</v>
      </c>
      <c r="Z735" s="39">
        <v>0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9686.49</v>
      </c>
      <c r="AJ735" s="39">
        <v>9906.2099999999991</v>
      </c>
      <c r="AK735" s="39">
        <v>9924.57</v>
      </c>
      <c r="AL735" s="39">
        <v>0</v>
      </c>
      <c r="AM735" s="39">
        <v>0</v>
      </c>
      <c r="AN735" s="39">
        <v>0</v>
      </c>
      <c r="AO735" s="39">
        <v>9686.49</v>
      </c>
      <c r="AP735" s="39">
        <v>9906.2099999999991</v>
      </c>
      <c r="AQ735" s="39">
        <v>9924.57</v>
      </c>
      <c r="AR735" s="39">
        <v>9924.57</v>
      </c>
    </row>
    <row r="736" spans="1:44" x14ac:dyDescent="0.35">
      <c r="A736" s="16" t="str">
        <f t="shared" si="62"/>
        <v>19</v>
      </c>
      <c r="B736" s="19">
        <v>65060</v>
      </c>
      <c r="C736" s="16" t="str">
        <f t="shared" si="61"/>
        <v>0000000</v>
      </c>
      <c r="D736" s="17" t="s">
        <v>3663</v>
      </c>
      <c r="E736" s="16" t="s">
        <v>1114</v>
      </c>
      <c r="F736" s="16" t="s">
        <v>933</v>
      </c>
      <c r="G736" s="35" t="s">
        <v>1115</v>
      </c>
      <c r="H736" s="39">
        <v>20920.25</v>
      </c>
      <c r="I736" s="39">
        <v>20982.17</v>
      </c>
      <c r="J736" s="39">
        <v>20533.650000000001</v>
      </c>
      <c r="K736" s="39">
        <v>0</v>
      </c>
      <c r="L736" s="39">
        <v>0</v>
      </c>
      <c r="M736" s="39">
        <v>0</v>
      </c>
      <c r="N736" s="39">
        <v>0</v>
      </c>
      <c r="O736" s="39">
        <v>0</v>
      </c>
      <c r="P736" s="39">
        <v>0</v>
      </c>
      <c r="Q736" s="39">
        <v>0</v>
      </c>
      <c r="R736" s="39">
        <v>0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0</v>
      </c>
      <c r="Z736" s="39">
        <v>0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20920.25</v>
      </c>
      <c r="AJ736" s="39">
        <v>20982.17</v>
      </c>
      <c r="AK736" s="39">
        <v>20533.650000000001</v>
      </c>
      <c r="AL736" s="39">
        <v>0</v>
      </c>
      <c r="AM736" s="39">
        <v>0</v>
      </c>
      <c r="AN736" s="39">
        <v>0</v>
      </c>
      <c r="AO736" s="39">
        <v>20920.25</v>
      </c>
      <c r="AP736" s="39">
        <v>20982.17</v>
      </c>
      <c r="AQ736" s="39">
        <v>20533.650000000001</v>
      </c>
      <c r="AR736" s="39">
        <v>20982.17</v>
      </c>
    </row>
    <row r="737" spans="1:44" x14ac:dyDescent="0.35">
      <c r="A737" s="16" t="str">
        <f t="shared" si="62"/>
        <v>19</v>
      </c>
      <c r="B737" s="19">
        <v>75333</v>
      </c>
      <c r="C737" s="16" t="str">
        <f t="shared" si="61"/>
        <v>0000000</v>
      </c>
      <c r="D737" s="17" t="s">
        <v>3663</v>
      </c>
      <c r="E737" s="16" t="s">
        <v>1190</v>
      </c>
      <c r="F737" s="16" t="s">
        <v>933</v>
      </c>
      <c r="G737" s="35" t="s">
        <v>1191</v>
      </c>
      <c r="H737" s="39">
        <v>5673.92</v>
      </c>
      <c r="I737" s="39">
        <v>5672.27</v>
      </c>
      <c r="J737" s="39">
        <v>5616.47</v>
      </c>
      <c r="K737" s="39">
        <v>0</v>
      </c>
      <c r="L737" s="39">
        <v>0</v>
      </c>
      <c r="M737" s="39">
        <v>0</v>
      </c>
      <c r="N737" s="39">
        <v>0</v>
      </c>
      <c r="O737" s="39">
        <v>0</v>
      </c>
      <c r="P737" s="39">
        <v>0</v>
      </c>
      <c r="Q737" s="39">
        <v>0</v>
      </c>
      <c r="R737" s="39">
        <v>0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0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5673.92</v>
      </c>
      <c r="AJ737" s="39">
        <v>5672.27</v>
      </c>
      <c r="AK737" s="39">
        <v>5616.47</v>
      </c>
      <c r="AL737" s="39">
        <v>0</v>
      </c>
      <c r="AM737" s="39">
        <v>0</v>
      </c>
      <c r="AN737" s="39">
        <v>0</v>
      </c>
      <c r="AO737" s="39">
        <v>5673.92</v>
      </c>
      <c r="AP737" s="39">
        <v>5672.27</v>
      </c>
      <c r="AQ737" s="39">
        <v>5616.47</v>
      </c>
      <c r="AR737" s="39">
        <v>5673.92</v>
      </c>
    </row>
    <row r="738" spans="1:44" x14ac:dyDescent="0.35">
      <c r="A738" s="16" t="str">
        <f t="shared" si="62"/>
        <v>19</v>
      </c>
      <c r="B738" s="19">
        <v>75341</v>
      </c>
      <c r="C738" s="16" t="str">
        <f t="shared" si="61"/>
        <v>0000000</v>
      </c>
      <c r="D738" s="17" t="s">
        <v>3663</v>
      </c>
      <c r="E738" s="16" t="s">
        <v>1192</v>
      </c>
      <c r="F738" s="16" t="s">
        <v>933</v>
      </c>
      <c r="G738" s="35" t="s">
        <v>1193</v>
      </c>
      <c r="H738" s="39">
        <v>9003.92</v>
      </c>
      <c r="I738" s="39">
        <v>9057.23</v>
      </c>
      <c r="J738" s="39">
        <v>9021.4</v>
      </c>
      <c r="K738" s="39">
        <v>0</v>
      </c>
      <c r="L738" s="39">
        <v>0</v>
      </c>
      <c r="M738" s="39">
        <v>0</v>
      </c>
      <c r="N738" s="39">
        <v>0</v>
      </c>
      <c r="O738" s="39">
        <v>0</v>
      </c>
      <c r="P738" s="39">
        <v>0</v>
      </c>
      <c r="Q738" s="39">
        <v>0</v>
      </c>
      <c r="R738" s="39">
        <v>0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0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9003.92</v>
      </c>
      <c r="AJ738" s="39">
        <v>9057.23</v>
      </c>
      <c r="AK738" s="39">
        <v>9021.4</v>
      </c>
      <c r="AL738" s="39">
        <v>0</v>
      </c>
      <c r="AM738" s="39">
        <v>0</v>
      </c>
      <c r="AN738" s="39">
        <v>0</v>
      </c>
      <c r="AO738" s="39">
        <v>9003.92</v>
      </c>
      <c r="AP738" s="39">
        <v>9057.23</v>
      </c>
      <c r="AQ738" s="39">
        <v>9021.4</v>
      </c>
      <c r="AR738" s="39">
        <v>9057.23</v>
      </c>
    </row>
    <row r="739" spans="1:44" x14ac:dyDescent="0.35">
      <c r="A739" s="16" t="str">
        <f>TEXT(30,"00")</f>
        <v>30</v>
      </c>
      <c r="B739" s="19">
        <v>66464</v>
      </c>
      <c r="C739" s="16" t="str">
        <f>TEXT(6120356,"0000000")</f>
        <v>6120356</v>
      </c>
      <c r="D739" s="17" t="s">
        <v>1560</v>
      </c>
      <c r="E739" s="16" t="s">
        <v>1558</v>
      </c>
      <c r="F739" s="16" t="s">
        <v>933</v>
      </c>
      <c r="G739" s="35" t="s">
        <v>1559</v>
      </c>
      <c r="H739" s="39">
        <v>0</v>
      </c>
      <c r="I739" s="39">
        <v>0</v>
      </c>
      <c r="J739" s="39">
        <v>0</v>
      </c>
      <c r="K739" s="39">
        <v>0</v>
      </c>
      <c r="L739" s="39">
        <v>0</v>
      </c>
      <c r="M739" s="39">
        <v>0</v>
      </c>
      <c r="N739" s="39">
        <v>0</v>
      </c>
      <c r="O739" s="39">
        <v>0</v>
      </c>
      <c r="P739" s="39">
        <v>0</v>
      </c>
      <c r="Q739" s="39">
        <v>0</v>
      </c>
      <c r="R739" s="39">
        <v>0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0</v>
      </c>
      <c r="AA739" s="39">
        <v>0</v>
      </c>
      <c r="AB739" s="39">
        <v>0</v>
      </c>
      <c r="AC739" s="39">
        <v>286.36</v>
      </c>
      <c r="AD739" s="39">
        <v>289.98</v>
      </c>
      <c r="AE739" s="39">
        <v>178.22</v>
      </c>
      <c r="AF739" s="39">
        <v>0</v>
      </c>
      <c r="AG739" s="39">
        <v>0</v>
      </c>
      <c r="AH739" s="39">
        <v>0</v>
      </c>
      <c r="AI739" s="39">
        <v>286.36</v>
      </c>
      <c r="AJ739" s="39">
        <v>289.98</v>
      </c>
      <c r="AK739" s="39">
        <v>178.22</v>
      </c>
      <c r="AL739" s="39">
        <v>0</v>
      </c>
      <c r="AM739" s="39">
        <v>0</v>
      </c>
      <c r="AN739" s="39">
        <v>0</v>
      </c>
      <c r="AO739" s="39">
        <v>286.36</v>
      </c>
      <c r="AP739" s="39">
        <v>289.98</v>
      </c>
      <c r="AQ739" s="39">
        <v>178.22</v>
      </c>
      <c r="AR739" s="39">
        <v>289.98</v>
      </c>
    </row>
    <row r="740" spans="1:44" x14ac:dyDescent="0.35">
      <c r="A740" s="16" t="str">
        <f t="shared" ref="A740:A752" si="63">TEXT(19,"00")</f>
        <v>19</v>
      </c>
      <c r="B740" s="19">
        <v>76869</v>
      </c>
      <c r="C740" s="16" t="str">
        <f>TEXT(,"0000000")</f>
        <v>0000000</v>
      </c>
      <c r="D740" s="17" t="s">
        <v>3663</v>
      </c>
      <c r="E740" s="16" t="s">
        <v>1197</v>
      </c>
      <c r="F740" s="16" t="s">
        <v>933</v>
      </c>
      <c r="G740" s="35" t="s">
        <v>1198</v>
      </c>
      <c r="H740" s="39">
        <v>2397.34</v>
      </c>
      <c r="I740" s="39">
        <v>2412.04</v>
      </c>
      <c r="J740" s="39">
        <v>2343.2800000000002</v>
      </c>
      <c r="K740" s="39">
        <v>0</v>
      </c>
      <c r="L740" s="39">
        <v>0</v>
      </c>
      <c r="M740" s="39">
        <v>0</v>
      </c>
      <c r="N740" s="39">
        <v>0</v>
      </c>
      <c r="O740" s="39">
        <v>0</v>
      </c>
      <c r="P740" s="39">
        <v>0</v>
      </c>
      <c r="Q740" s="39">
        <v>0</v>
      </c>
      <c r="R740" s="39">
        <v>0</v>
      </c>
      <c r="S740" s="39">
        <v>0</v>
      </c>
      <c r="T740" s="39">
        <v>0</v>
      </c>
      <c r="U740" s="39">
        <v>0</v>
      </c>
      <c r="V740" s="39">
        <v>0</v>
      </c>
      <c r="W740" s="39">
        <v>0</v>
      </c>
      <c r="X740" s="39">
        <v>0</v>
      </c>
      <c r="Y740" s="39">
        <v>0</v>
      </c>
      <c r="Z740" s="39">
        <v>0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0</v>
      </c>
      <c r="AI740" s="39">
        <v>2397.34</v>
      </c>
      <c r="AJ740" s="39">
        <v>2412.04</v>
      </c>
      <c r="AK740" s="39">
        <v>2343.2800000000002</v>
      </c>
      <c r="AL740" s="39">
        <v>0</v>
      </c>
      <c r="AM740" s="39">
        <v>0</v>
      </c>
      <c r="AN740" s="39">
        <v>0</v>
      </c>
      <c r="AO740" s="39">
        <v>2397.34</v>
      </c>
      <c r="AP740" s="39">
        <v>2412.04</v>
      </c>
      <c r="AQ740" s="39">
        <v>2343.2800000000002</v>
      </c>
      <c r="AR740" s="39">
        <v>2412.04</v>
      </c>
    </row>
    <row r="741" spans="1:44" ht="31" x14ac:dyDescent="0.35">
      <c r="A741" s="16" t="str">
        <f t="shared" si="63"/>
        <v>19</v>
      </c>
      <c r="B741" s="19">
        <v>64709</v>
      </c>
      <c r="C741" s="16" t="str">
        <f>TEXT(100602,"0000000")</f>
        <v>0100602</v>
      </c>
      <c r="D741" s="17" t="s">
        <v>1017</v>
      </c>
      <c r="E741" s="16" t="s">
        <v>1015</v>
      </c>
      <c r="F741" s="16" t="s">
        <v>933</v>
      </c>
      <c r="G741" s="35" t="s">
        <v>1016</v>
      </c>
      <c r="H741" s="39">
        <v>0</v>
      </c>
      <c r="I741" s="39">
        <v>0</v>
      </c>
      <c r="J741" s="39">
        <v>0</v>
      </c>
      <c r="K741" s="39">
        <v>0</v>
      </c>
      <c r="L741" s="39">
        <v>0</v>
      </c>
      <c r="M741" s="39">
        <v>0</v>
      </c>
      <c r="N741" s="39">
        <v>0</v>
      </c>
      <c r="O741" s="39">
        <v>0</v>
      </c>
      <c r="P741" s="39">
        <v>0</v>
      </c>
      <c r="Q741" s="39">
        <v>0</v>
      </c>
      <c r="R741" s="39">
        <v>0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0</v>
      </c>
      <c r="AA741" s="39">
        <v>0</v>
      </c>
      <c r="AB741" s="39">
        <v>0</v>
      </c>
      <c r="AC741" s="39">
        <v>564.54999999999995</v>
      </c>
      <c r="AD741" s="39">
        <v>559.51</v>
      </c>
      <c r="AE741" s="39">
        <v>561.86</v>
      </c>
      <c r="AF741" s="39">
        <v>0</v>
      </c>
      <c r="AG741" s="39">
        <v>0</v>
      </c>
      <c r="AH741" s="39">
        <v>0</v>
      </c>
      <c r="AI741" s="39">
        <v>564.54999999999995</v>
      </c>
      <c r="AJ741" s="39">
        <v>559.51</v>
      </c>
      <c r="AK741" s="39">
        <v>561.86</v>
      </c>
      <c r="AL741" s="39">
        <v>0</v>
      </c>
      <c r="AM741" s="39">
        <v>0</v>
      </c>
      <c r="AN741" s="39">
        <v>0</v>
      </c>
      <c r="AO741" s="39">
        <v>564.54999999999995</v>
      </c>
      <c r="AP741" s="39">
        <v>559.51</v>
      </c>
      <c r="AQ741" s="39">
        <v>561.86</v>
      </c>
      <c r="AR741" s="39">
        <v>564.54999999999995</v>
      </c>
    </row>
    <row r="742" spans="1:44" x14ac:dyDescent="0.35">
      <c r="A742" s="16" t="str">
        <f t="shared" si="63"/>
        <v>19</v>
      </c>
      <c r="B742" s="19">
        <v>64352</v>
      </c>
      <c r="C742" s="16" t="str">
        <f>TEXT(128488,"0000000")</f>
        <v>0128488</v>
      </c>
      <c r="D742" s="19">
        <v>1558</v>
      </c>
      <c r="E742" s="16" t="s">
        <v>936</v>
      </c>
      <c r="F742" s="16" t="s">
        <v>933</v>
      </c>
      <c r="G742" s="35" t="s">
        <v>937</v>
      </c>
      <c r="H742" s="39">
        <v>0</v>
      </c>
      <c r="I742" s="39">
        <v>0</v>
      </c>
      <c r="J742" s="39">
        <v>0</v>
      </c>
      <c r="K742" s="39">
        <v>0</v>
      </c>
      <c r="L742" s="39">
        <v>0</v>
      </c>
      <c r="M742" s="39">
        <v>0</v>
      </c>
      <c r="N742" s="39">
        <v>0</v>
      </c>
      <c r="O742" s="39">
        <v>0</v>
      </c>
      <c r="P742" s="39">
        <v>0</v>
      </c>
      <c r="Q742" s="39">
        <v>0</v>
      </c>
      <c r="R742" s="39">
        <v>0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0</v>
      </c>
      <c r="AA742" s="39">
        <v>0</v>
      </c>
      <c r="AB742" s="39">
        <v>0</v>
      </c>
      <c r="AC742" s="39">
        <v>345.43</v>
      </c>
      <c r="AD742" s="39">
        <v>337.59</v>
      </c>
      <c r="AE742" s="39">
        <v>275.74</v>
      </c>
      <c r="AF742" s="39">
        <v>0</v>
      </c>
      <c r="AG742" s="39">
        <v>0</v>
      </c>
      <c r="AH742" s="39">
        <v>0</v>
      </c>
      <c r="AI742" s="39">
        <v>345.43</v>
      </c>
      <c r="AJ742" s="39">
        <v>337.59</v>
      </c>
      <c r="AK742" s="39">
        <v>275.74</v>
      </c>
      <c r="AL742" s="39">
        <v>0</v>
      </c>
      <c r="AM742" s="39">
        <v>0</v>
      </c>
      <c r="AN742" s="39">
        <v>0</v>
      </c>
      <c r="AO742" s="39">
        <v>345.43</v>
      </c>
      <c r="AP742" s="39">
        <v>337.59</v>
      </c>
      <c r="AQ742" s="39">
        <v>275.74</v>
      </c>
      <c r="AR742" s="39">
        <v>345.43</v>
      </c>
    </row>
    <row r="743" spans="1:44" x14ac:dyDescent="0.35">
      <c r="A743" s="16" t="str">
        <f t="shared" si="63"/>
        <v>19</v>
      </c>
      <c r="B743" s="19">
        <v>64352</v>
      </c>
      <c r="C743" s="16" t="str">
        <f>TEXT(128496,"0000000")</f>
        <v>0128496</v>
      </c>
      <c r="D743" s="19">
        <v>1557</v>
      </c>
      <c r="E743" s="16" t="s">
        <v>938</v>
      </c>
      <c r="F743" s="16" t="s">
        <v>933</v>
      </c>
      <c r="G743" s="35" t="s">
        <v>939</v>
      </c>
      <c r="H743" s="39">
        <v>0</v>
      </c>
      <c r="I743" s="39">
        <v>0</v>
      </c>
      <c r="J743" s="39">
        <v>0</v>
      </c>
      <c r="K743" s="39">
        <v>0</v>
      </c>
      <c r="L743" s="39">
        <v>0</v>
      </c>
      <c r="M743" s="39">
        <v>0</v>
      </c>
      <c r="N743" s="39">
        <v>0</v>
      </c>
      <c r="O743" s="39">
        <v>0</v>
      </c>
      <c r="P743" s="39">
        <v>0</v>
      </c>
      <c r="Q743" s="39">
        <v>0</v>
      </c>
      <c r="R743" s="39">
        <v>0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0</v>
      </c>
      <c r="AA743" s="39">
        <v>0</v>
      </c>
      <c r="AB743" s="39">
        <v>0</v>
      </c>
      <c r="AC743" s="39">
        <v>251.63</v>
      </c>
      <c r="AD743" s="39">
        <v>238.77</v>
      </c>
      <c r="AE743" s="39">
        <v>249.68</v>
      </c>
      <c r="AF743" s="39">
        <v>0</v>
      </c>
      <c r="AG743" s="39">
        <v>0</v>
      </c>
      <c r="AH743" s="39">
        <v>0</v>
      </c>
      <c r="AI743" s="39">
        <v>251.63</v>
      </c>
      <c r="AJ743" s="39">
        <v>238.77</v>
      </c>
      <c r="AK743" s="39">
        <v>249.68</v>
      </c>
      <c r="AL743" s="39">
        <v>0</v>
      </c>
      <c r="AM743" s="39">
        <v>0</v>
      </c>
      <c r="AN743" s="39">
        <v>0</v>
      </c>
      <c r="AO743" s="39">
        <v>251.63</v>
      </c>
      <c r="AP743" s="39">
        <v>238.77</v>
      </c>
      <c r="AQ743" s="39">
        <v>249.68</v>
      </c>
      <c r="AR743" s="39">
        <v>251.63</v>
      </c>
    </row>
    <row r="744" spans="1:44" x14ac:dyDescent="0.35">
      <c r="A744" s="16" t="str">
        <f t="shared" si="63"/>
        <v>19</v>
      </c>
      <c r="B744" s="19">
        <v>64709</v>
      </c>
      <c r="C744" s="16" t="str">
        <f>TEXT(107508,"0000000")</f>
        <v>0107508</v>
      </c>
      <c r="D744" s="17" t="s">
        <v>1020</v>
      </c>
      <c r="E744" s="16" t="s">
        <v>1018</v>
      </c>
      <c r="F744" s="16" t="s">
        <v>933</v>
      </c>
      <c r="G744" s="35" t="s">
        <v>1019</v>
      </c>
      <c r="H744" s="39">
        <v>0</v>
      </c>
      <c r="I744" s="39">
        <v>0</v>
      </c>
      <c r="J744" s="39">
        <v>0</v>
      </c>
      <c r="K744" s="39">
        <v>0</v>
      </c>
      <c r="L744" s="39">
        <v>0</v>
      </c>
      <c r="M744" s="39">
        <v>0</v>
      </c>
      <c r="N744" s="39">
        <v>0</v>
      </c>
      <c r="O744" s="39">
        <v>0</v>
      </c>
      <c r="P744" s="39">
        <v>0</v>
      </c>
      <c r="Q744" s="39">
        <v>0</v>
      </c>
      <c r="R744" s="39">
        <v>0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>
        <v>0</v>
      </c>
      <c r="Y744" s="39">
        <v>0</v>
      </c>
      <c r="Z744" s="39">
        <v>0</v>
      </c>
      <c r="AA744" s="39">
        <v>0</v>
      </c>
      <c r="AB744" s="39">
        <v>0</v>
      </c>
      <c r="AC744" s="39">
        <v>418.79</v>
      </c>
      <c r="AD744" s="39">
        <v>421.8</v>
      </c>
      <c r="AE744" s="39">
        <v>429.9</v>
      </c>
      <c r="AF744" s="39">
        <v>0</v>
      </c>
      <c r="AG744" s="39">
        <v>0</v>
      </c>
      <c r="AH744" s="39">
        <v>0</v>
      </c>
      <c r="AI744" s="39">
        <v>418.79</v>
      </c>
      <c r="AJ744" s="39">
        <v>421.8</v>
      </c>
      <c r="AK744" s="39">
        <v>429.9</v>
      </c>
      <c r="AL744" s="39">
        <v>0</v>
      </c>
      <c r="AM744" s="39">
        <v>0</v>
      </c>
      <c r="AN744" s="39">
        <v>0</v>
      </c>
      <c r="AO744" s="39">
        <v>418.79</v>
      </c>
      <c r="AP744" s="39">
        <v>421.8</v>
      </c>
      <c r="AQ744" s="39">
        <v>429.9</v>
      </c>
      <c r="AR744" s="39">
        <v>429.9</v>
      </c>
    </row>
    <row r="745" spans="1:44" x14ac:dyDescent="0.35">
      <c r="A745" s="16" t="str">
        <f t="shared" si="63"/>
        <v>19</v>
      </c>
      <c r="B745" s="19">
        <v>64568</v>
      </c>
      <c r="C745" s="16" t="str">
        <f t="shared" ref="C745:C755" si="64">TEXT(,"0000000")</f>
        <v>0000000</v>
      </c>
      <c r="D745" s="17" t="s">
        <v>3663</v>
      </c>
      <c r="E745" s="16" t="s">
        <v>924</v>
      </c>
      <c r="F745" s="16" t="s">
        <v>925</v>
      </c>
      <c r="G745" s="35" t="s">
        <v>925</v>
      </c>
      <c r="H745" s="39">
        <v>24152.6</v>
      </c>
      <c r="I745" s="39">
        <v>23746.86</v>
      </c>
      <c r="J745" s="39">
        <v>23071.95</v>
      </c>
      <c r="K745" s="39">
        <v>0</v>
      </c>
      <c r="L745" s="39">
        <v>0</v>
      </c>
      <c r="M745" s="39">
        <v>0</v>
      </c>
      <c r="N745" s="39">
        <v>0</v>
      </c>
      <c r="O745" s="39">
        <v>0</v>
      </c>
      <c r="P745" s="39">
        <v>0</v>
      </c>
      <c r="Q745" s="39">
        <v>0</v>
      </c>
      <c r="R745" s="39">
        <v>0</v>
      </c>
      <c r="S745" s="39">
        <v>0</v>
      </c>
      <c r="T745" s="39">
        <v>20.420000000000002</v>
      </c>
      <c r="U745" s="39">
        <v>19.97</v>
      </c>
      <c r="V745" s="39">
        <v>18.07</v>
      </c>
      <c r="W745" s="39">
        <v>45.51</v>
      </c>
      <c r="X745" s="39">
        <v>33.409999999999997</v>
      </c>
      <c r="Y745" s="39">
        <v>35.74</v>
      </c>
      <c r="Z745" s="39">
        <v>0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24218.53</v>
      </c>
      <c r="AJ745" s="39">
        <v>23800.240000000002</v>
      </c>
      <c r="AK745" s="39">
        <v>23125.759999999998</v>
      </c>
      <c r="AL745" s="39">
        <v>0</v>
      </c>
      <c r="AM745" s="39">
        <v>0</v>
      </c>
      <c r="AN745" s="39">
        <v>0</v>
      </c>
      <c r="AO745" s="39">
        <v>24218.53</v>
      </c>
      <c r="AP745" s="39">
        <v>23800.240000000002</v>
      </c>
      <c r="AQ745" s="39">
        <v>23125.759999999998</v>
      </c>
      <c r="AR745" s="39">
        <v>24218.53</v>
      </c>
    </row>
    <row r="746" spans="1:44" x14ac:dyDescent="0.35">
      <c r="A746" s="16" t="str">
        <f t="shared" si="63"/>
        <v>19</v>
      </c>
      <c r="B746" s="19">
        <v>64337</v>
      </c>
      <c r="C746" s="16" t="str">
        <f t="shared" si="64"/>
        <v>0000000</v>
      </c>
      <c r="D746" s="17" t="s">
        <v>3663</v>
      </c>
      <c r="E746" s="16" t="s">
        <v>926</v>
      </c>
      <c r="F746" s="16" t="s">
        <v>925</v>
      </c>
      <c r="G746" s="35" t="s">
        <v>927</v>
      </c>
      <c r="H746" s="39">
        <v>13408.27</v>
      </c>
      <c r="I746" s="39">
        <v>13455.84</v>
      </c>
      <c r="J746" s="39">
        <v>13447.7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13408.27</v>
      </c>
      <c r="AJ746" s="39">
        <v>13455.84</v>
      </c>
      <c r="AK746" s="39">
        <v>13447.7</v>
      </c>
      <c r="AL746" s="39">
        <v>0</v>
      </c>
      <c r="AM746" s="39">
        <v>0</v>
      </c>
      <c r="AN746" s="39">
        <v>0</v>
      </c>
      <c r="AO746" s="39">
        <v>13408.27</v>
      </c>
      <c r="AP746" s="39">
        <v>13455.84</v>
      </c>
      <c r="AQ746" s="39">
        <v>13447.7</v>
      </c>
      <c r="AR746" s="39">
        <v>13455.84</v>
      </c>
    </row>
    <row r="747" spans="1:44" x14ac:dyDescent="0.35">
      <c r="A747" s="16" t="str">
        <f t="shared" si="63"/>
        <v>19</v>
      </c>
      <c r="B747" s="19">
        <v>64659</v>
      </c>
      <c r="C747" s="16" t="str">
        <f t="shared" si="64"/>
        <v>0000000</v>
      </c>
      <c r="D747" s="17" t="s">
        <v>3663</v>
      </c>
      <c r="E747" s="16" t="s">
        <v>998</v>
      </c>
      <c r="F747" s="16" t="s">
        <v>925</v>
      </c>
      <c r="G747" s="35" t="s">
        <v>999</v>
      </c>
      <c r="H747" s="39">
        <v>3815.16</v>
      </c>
      <c r="I747" s="39">
        <v>3804.37</v>
      </c>
      <c r="J747" s="39">
        <v>3737.88</v>
      </c>
      <c r="K747" s="39">
        <v>0</v>
      </c>
      <c r="L747" s="39">
        <v>0</v>
      </c>
      <c r="M747" s="39">
        <v>0</v>
      </c>
      <c r="N747" s="39">
        <v>0</v>
      </c>
      <c r="O747" s="39">
        <v>0</v>
      </c>
      <c r="P747" s="39">
        <v>0</v>
      </c>
      <c r="Q747" s="39">
        <v>0</v>
      </c>
      <c r="R747" s="39">
        <v>0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0</v>
      </c>
      <c r="Z747" s="39">
        <v>0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3815.16</v>
      </c>
      <c r="AJ747" s="39">
        <v>3804.37</v>
      </c>
      <c r="AK747" s="39">
        <v>3737.88</v>
      </c>
      <c r="AL747" s="39">
        <v>0</v>
      </c>
      <c r="AM747" s="39">
        <v>0</v>
      </c>
      <c r="AN747" s="39">
        <v>0</v>
      </c>
      <c r="AO747" s="39">
        <v>3815.16</v>
      </c>
      <c r="AP747" s="39">
        <v>3804.37</v>
      </c>
      <c r="AQ747" s="39">
        <v>3737.88</v>
      </c>
      <c r="AR747" s="39">
        <v>3815.16</v>
      </c>
    </row>
    <row r="748" spans="1:44" x14ac:dyDescent="0.35">
      <c r="A748" s="16" t="str">
        <f t="shared" si="63"/>
        <v>19</v>
      </c>
      <c r="B748" s="19">
        <v>64725</v>
      </c>
      <c r="C748" s="16" t="str">
        <f t="shared" si="64"/>
        <v>0000000</v>
      </c>
      <c r="D748" s="17" t="s">
        <v>3663</v>
      </c>
      <c r="E748" s="16" t="s">
        <v>1026</v>
      </c>
      <c r="F748" s="16" t="s">
        <v>1027</v>
      </c>
      <c r="G748" s="35" t="s">
        <v>1027</v>
      </c>
      <c r="H748" s="39">
        <v>57535.23</v>
      </c>
      <c r="I748" s="39">
        <v>58734.58</v>
      </c>
      <c r="J748" s="39">
        <v>59288.7</v>
      </c>
      <c r="K748" s="39">
        <v>0</v>
      </c>
      <c r="L748" s="39">
        <v>0</v>
      </c>
      <c r="M748" s="39">
        <v>0</v>
      </c>
      <c r="N748" s="39">
        <v>0</v>
      </c>
      <c r="O748" s="39">
        <v>0</v>
      </c>
      <c r="P748" s="39">
        <v>0</v>
      </c>
      <c r="Q748" s="39">
        <v>0</v>
      </c>
      <c r="R748" s="39">
        <v>0</v>
      </c>
      <c r="S748" s="39">
        <v>0</v>
      </c>
      <c r="T748" s="39">
        <v>28.53</v>
      </c>
      <c r="U748" s="39">
        <v>28.74</v>
      </c>
      <c r="V748" s="39">
        <v>26.74</v>
      </c>
      <c r="W748" s="39">
        <v>10.52</v>
      </c>
      <c r="X748" s="39">
        <v>11.67</v>
      </c>
      <c r="Y748" s="39">
        <v>13.58</v>
      </c>
      <c r="Z748" s="39">
        <v>0</v>
      </c>
      <c r="AA748" s="39">
        <v>0</v>
      </c>
      <c r="AB748" s="39">
        <v>0</v>
      </c>
      <c r="AC748" s="39">
        <v>287.36</v>
      </c>
      <c r="AD748" s="39">
        <v>286.60000000000002</v>
      </c>
      <c r="AE748" s="39">
        <v>265.62</v>
      </c>
      <c r="AF748" s="39">
        <v>0</v>
      </c>
      <c r="AG748" s="39">
        <v>0</v>
      </c>
      <c r="AH748" s="39">
        <v>0</v>
      </c>
      <c r="AI748" s="39">
        <v>57861.64</v>
      </c>
      <c r="AJ748" s="39">
        <v>59061.59</v>
      </c>
      <c r="AK748" s="39">
        <v>59594.64</v>
      </c>
      <c r="AL748" s="39">
        <v>0</v>
      </c>
      <c r="AM748" s="39">
        <v>0</v>
      </c>
      <c r="AN748" s="39">
        <v>0</v>
      </c>
      <c r="AO748" s="39">
        <v>57861.64</v>
      </c>
      <c r="AP748" s="39">
        <v>59061.59</v>
      </c>
      <c r="AQ748" s="39">
        <v>59594.64</v>
      </c>
      <c r="AR748" s="39">
        <v>59594.64</v>
      </c>
    </row>
    <row r="749" spans="1:44" x14ac:dyDescent="0.35">
      <c r="A749" s="16" t="str">
        <f t="shared" si="63"/>
        <v>19</v>
      </c>
      <c r="B749" s="19">
        <v>64451</v>
      </c>
      <c r="C749" s="16" t="str">
        <f t="shared" si="64"/>
        <v>0000000</v>
      </c>
      <c r="D749" s="17" t="s">
        <v>3663</v>
      </c>
      <c r="E749" s="16" t="s">
        <v>944</v>
      </c>
      <c r="F749" s="16" t="s">
        <v>945</v>
      </c>
      <c r="G749" s="35" t="s">
        <v>945</v>
      </c>
      <c r="H749" s="39">
        <v>21093.64</v>
      </c>
      <c r="I749" s="39">
        <v>20918.830000000002</v>
      </c>
      <c r="J749" s="39">
        <v>20602.64</v>
      </c>
      <c r="K749" s="39">
        <v>0</v>
      </c>
      <c r="L749" s="39">
        <v>0</v>
      </c>
      <c r="M749" s="39">
        <v>0</v>
      </c>
      <c r="N749" s="39">
        <v>0</v>
      </c>
      <c r="O749" s="39">
        <v>0</v>
      </c>
      <c r="P749" s="39">
        <v>0</v>
      </c>
      <c r="Q749" s="39">
        <v>0</v>
      </c>
      <c r="R749" s="39">
        <v>0</v>
      </c>
      <c r="S749" s="39">
        <v>0</v>
      </c>
      <c r="T749" s="39">
        <v>19.190000000000001</v>
      </c>
      <c r="U749" s="39">
        <v>19.12</v>
      </c>
      <c r="V749" s="39">
        <v>17.63</v>
      </c>
      <c r="W749" s="39">
        <v>14.68</v>
      </c>
      <c r="X749" s="39">
        <v>21.38</v>
      </c>
      <c r="Y749" s="39">
        <v>22.45</v>
      </c>
      <c r="Z749" s="39">
        <v>0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21127.51</v>
      </c>
      <c r="AJ749" s="39">
        <v>20959.330000000002</v>
      </c>
      <c r="AK749" s="39">
        <v>20642.72</v>
      </c>
      <c r="AL749" s="39">
        <v>0</v>
      </c>
      <c r="AM749" s="39">
        <v>0</v>
      </c>
      <c r="AN749" s="39">
        <v>0</v>
      </c>
      <c r="AO749" s="39">
        <v>21127.51</v>
      </c>
      <c r="AP749" s="39">
        <v>20959.330000000002</v>
      </c>
      <c r="AQ749" s="39">
        <v>20642.72</v>
      </c>
      <c r="AR749" s="39">
        <v>21127.51</v>
      </c>
    </row>
    <row r="750" spans="1:44" x14ac:dyDescent="0.35">
      <c r="A750" s="16" t="str">
        <f t="shared" si="63"/>
        <v>19</v>
      </c>
      <c r="B750" s="19">
        <v>64808</v>
      </c>
      <c r="C750" s="16" t="str">
        <f t="shared" si="64"/>
        <v>0000000</v>
      </c>
      <c r="D750" s="17" t="s">
        <v>3663</v>
      </c>
      <c r="E750" s="16" t="s">
        <v>1063</v>
      </c>
      <c r="F750" s="16" t="s">
        <v>945</v>
      </c>
      <c r="G750" s="35" t="s">
        <v>1064</v>
      </c>
      <c r="H750" s="39">
        <v>17787.75</v>
      </c>
      <c r="I750" s="39">
        <v>18336.400000000001</v>
      </c>
      <c r="J750" s="39">
        <v>18665.97</v>
      </c>
      <c r="K750" s="39">
        <v>0</v>
      </c>
      <c r="L750" s="39">
        <v>0</v>
      </c>
      <c r="M750" s="39">
        <v>0</v>
      </c>
      <c r="N750" s="39">
        <v>0</v>
      </c>
      <c r="O750" s="39">
        <v>0</v>
      </c>
      <c r="P750" s="39">
        <v>0</v>
      </c>
      <c r="Q750" s="39">
        <v>0</v>
      </c>
      <c r="R750" s="39">
        <v>0</v>
      </c>
      <c r="S750" s="39">
        <v>0</v>
      </c>
      <c r="T750" s="39">
        <v>0</v>
      </c>
      <c r="U750" s="39">
        <v>0</v>
      </c>
      <c r="V750" s="39">
        <v>0</v>
      </c>
      <c r="W750" s="39">
        <v>0</v>
      </c>
      <c r="X750" s="39">
        <v>0</v>
      </c>
      <c r="Y750" s="39">
        <v>0</v>
      </c>
      <c r="Z750" s="39">
        <v>0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17787.75</v>
      </c>
      <c r="AJ750" s="39">
        <v>18336.400000000001</v>
      </c>
      <c r="AK750" s="39">
        <v>18665.97</v>
      </c>
      <c r="AL750" s="39">
        <v>0</v>
      </c>
      <c r="AM750" s="39">
        <v>0</v>
      </c>
      <c r="AN750" s="39">
        <v>0</v>
      </c>
      <c r="AO750" s="39">
        <v>17787.75</v>
      </c>
      <c r="AP750" s="39">
        <v>18336.400000000001</v>
      </c>
      <c r="AQ750" s="39">
        <v>18665.97</v>
      </c>
      <c r="AR750" s="39">
        <v>18665.97</v>
      </c>
    </row>
    <row r="751" spans="1:44" x14ac:dyDescent="0.35">
      <c r="A751" s="16" t="str">
        <f t="shared" si="63"/>
        <v>19</v>
      </c>
      <c r="B751" s="19">
        <v>64881</v>
      </c>
      <c r="C751" s="16" t="str">
        <f t="shared" si="64"/>
        <v>0000000</v>
      </c>
      <c r="D751" s="17" t="s">
        <v>3663</v>
      </c>
      <c r="E751" s="16" t="s">
        <v>1080</v>
      </c>
      <c r="F751" s="16" t="s">
        <v>1081</v>
      </c>
      <c r="G751" s="35" t="s">
        <v>1081</v>
      </c>
      <c r="H751" s="39">
        <v>12708.49</v>
      </c>
      <c r="I751" s="39">
        <v>12916.14</v>
      </c>
      <c r="J751" s="39">
        <v>12920.45</v>
      </c>
      <c r="K751" s="39">
        <v>0</v>
      </c>
      <c r="L751" s="39">
        <v>0</v>
      </c>
      <c r="M751" s="39">
        <v>0</v>
      </c>
      <c r="N751" s="39">
        <v>0</v>
      </c>
      <c r="O751" s="39">
        <v>0</v>
      </c>
      <c r="P751" s="39">
        <v>0</v>
      </c>
      <c r="Q751" s="39">
        <v>0</v>
      </c>
      <c r="R751" s="39">
        <v>0</v>
      </c>
      <c r="S751" s="39">
        <v>0</v>
      </c>
      <c r="T751" s="39">
        <v>6.37</v>
      </c>
      <c r="U751" s="39">
        <v>6.38</v>
      </c>
      <c r="V751" s="39">
        <v>5.88</v>
      </c>
      <c r="W751" s="39">
        <v>36.47</v>
      </c>
      <c r="X751" s="39">
        <v>39.520000000000003</v>
      </c>
      <c r="Y751" s="39">
        <v>39.94</v>
      </c>
      <c r="Z751" s="39">
        <v>0</v>
      </c>
      <c r="AA751" s="39">
        <v>0</v>
      </c>
      <c r="AB751" s="39">
        <v>0</v>
      </c>
      <c r="AC751" s="39">
        <v>208.51</v>
      </c>
      <c r="AD751" s="39">
        <v>178.58</v>
      </c>
      <c r="AE751" s="39">
        <v>173.2</v>
      </c>
      <c r="AF751" s="39">
        <v>0</v>
      </c>
      <c r="AG751" s="39">
        <v>0</v>
      </c>
      <c r="AH751" s="39">
        <v>0</v>
      </c>
      <c r="AI751" s="39">
        <v>12959.84</v>
      </c>
      <c r="AJ751" s="39">
        <v>13140.62</v>
      </c>
      <c r="AK751" s="39">
        <v>13139.47</v>
      </c>
      <c r="AL751" s="39">
        <v>0</v>
      </c>
      <c r="AM751" s="39">
        <v>0</v>
      </c>
      <c r="AN751" s="39">
        <v>0</v>
      </c>
      <c r="AO751" s="39">
        <v>12959.84</v>
      </c>
      <c r="AP751" s="39">
        <v>13140.62</v>
      </c>
      <c r="AQ751" s="39">
        <v>13139.47</v>
      </c>
      <c r="AR751" s="39">
        <v>13140.62</v>
      </c>
    </row>
    <row r="752" spans="1:44" x14ac:dyDescent="0.35">
      <c r="A752" s="16" t="str">
        <f t="shared" si="63"/>
        <v>19</v>
      </c>
      <c r="B752" s="19">
        <v>10199</v>
      </c>
      <c r="C752" s="16" t="str">
        <f t="shared" si="64"/>
        <v>0000000</v>
      </c>
      <c r="D752" s="17" t="s">
        <v>3663</v>
      </c>
      <c r="E752" s="16" t="s">
        <v>827</v>
      </c>
      <c r="F752" s="16" t="s">
        <v>3511</v>
      </c>
      <c r="G752" s="35" t="s">
        <v>3511</v>
      </c>
      <c r="H752" s="39">
        <v>0</v>
      </c>
      <c r="I752" s="39">
        <v>0</v>
      </c>
      <c r="J752" s="39">
        <v>0</v>
      </c>
      <c r="K752" s="39">
        <v>0</v>
      </c>
      <c r="L752" s="39">
        <v>0</v>
      </c>
      <c r="M752" s="39">
        <v>0</v>
      </c>
      <c r="N752" s="39">
        <v>0</v>
      </c>
      <c r="O752" s="39">
        <v>0</v>
      </c>
      <c r="P752" s="39">
        <v>0</v>
      </c>
      <c r="Q752" s="39">
        <v>0</v>
      </c>
      <c r="R752" s="39">
        <v>0</v>
      </c>
      <c r="S752" s="39">
        <v>0</v>
      </c>
      <c r="T752" s="39">
        <v>0</v>
      </c>
      <c r="U752" s="39">
        <v>0</v>
      </c>
      <c r="V752" s="39">
        <v>0</v>
      </c>
      <c r="W752" s="39">
        <v>0</v>
      </c>
      <c r="X752" s="39">
        <v>0</v>
      </c>
      <c r="Y752" s="39">
        <v>0</v>
      </c>
      <c r="Z752" s="39">
        <v>0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1193147.07</v>
      </c>
      <c r="AJ752" s="39">
        <v>1208242.02</v>
      </c>
      <c r="AK752" s="39">
        <v>1208647.43</v>
      </c>
      <c r="AL752" s="39">
        <v>0</v>
      </c>
      <c r="AM752" s="39">
        <v>0</v>
      </c>
      <c r="AN752" s="39">
        <v>0</v>
      </c>
      <c r="AO752" s="39">
        <v>1193147.07</v>
      </c>
      <c r="AP752" s="39">
        <v>1208242.02</v>
      </c>
      <c r="AQ752" s="39">
        <v>1208647.43</v>
      </c>
      <c r="AR752" s="39">
        <v>1208647.43</v>
      </c>
    </row>
    <row r="753" spans="1:44" x14ac:dyDescent="0.35">
      <c r="A753" s="16" t="str">
        <f>TEXT(39,"00")</f>
        <v>39</v>
      </c>
      <c r="B753" s="19">
        <v>68585</v>
      </c>
      <c r="C753" s="16" t="str">
        <f t="shared" si="64"/>
        <v>0000000</v>
      </c>
      <c r="D753" s="17" t="s">
        <v>3663</v>
      </c>
      <c r="E753" s="16" t="s">
        <v>2419</v>
      </c>
      <c r="F753" s="16" t="s">
        <v>2420</v>
      </c>
      <c r="G753" s="35" t="s">
        <v>2420</v>
      </c>
      <c r="H753" s="39">
        <v>24562.55</v>
      </c>
      <c r="I753" s="39">
        <v>24697.040000000001</v>
      </c>
      <c r="J753" s="39">
        <v>24428.39</v>
      </c>
      <c r="K753" s="39">
        <v>0</v>
      </c>
      <c r="L753" s="39">
        <v>0</v>
      </c>
      <c r="M753" s="39">
        <v>0</v>
      </c>
      <c r="N753" s="39">
        <v>0</v>
      </c>
      <c r="O753" s="39">
        <v>0</v>
      </c>
      <c r="P753" s="39">
        <v>0</v>
      </c>
      <c r="Q753" s="39">
        <v>0</v>
      </c>
      <c r="R753" s="39">
        <v>0</v>
      </c>
      <c r="S753" s="39">
        <v>0</v>
      </c>
      <c r="T753" s="39">
        <v>0</v>
      </c>
      <c r="U753" s="39">
        <v>0</v>
      </c>
      <c r="V753" s="39">
        <v>0</v>
      </c>
      <c r="W753" s="39">
        <v>0</v>
      </c>
      <c r="X753" s="39">
        <v>0</v>
      </c>
      <c r="Y753" s="39">
        <v>0</v>
      </c>
      <c r="Z753" s="39">
        <v>0</v>
      </c>
      <c r="AA753" s="39">
        <v>0</v>
      </c>
      <c r="AB753" s="39">
        <v>0</v>
      </c>
      <c r="AC753" s="39">
        <v>347.75</v>
      </c>
      <c r="AD753" s="39">
        <v>347.08</v>
      </c>
      <c r="AE753" s="39">
        <v>337.34</v>
      </c>
      <c r="AF753" s="39">
        <v>0</v>
      </c>
      <c r="AG753" s="39">
        <v>0</v>
      </c>
      <c r="AH753" s="39">
        <v>0</v>
      </c>
      <c r="AI753" s="39">
        <v>24910.3</v>
      </c>
      <c r="AJ753" s="39">
        <v>25044.12</v>
      </c>
      <c r="AK753" s="39">
        <v>24765.73</v>
      </c>
      <c r="AL753" s="39">
        <v>0</v>
      </c>
      <c r="AM753" s="39">
        <v>0</v>
      </c>
      <c r="AN753" s="39">
        <v>0</v>
      </c>
      <c r="AO753" s="39">
        <v>24910.3</v>
      </c>
      <c r="AP753" s="39">
        <v>25044.12</v>
      </c>
      <c r="AQ753" s="39">
        <v>24765.73</v>
      </c>
      <c r="AR753" s="39">
        <v>25044.12</v>
      </c>
    </row>
    <row r="754" spans="1:44" x14ac:dyDescent="0.35">
      <c r="A754" s="16" t="str">
        <f>TEXT(39,"00")</f>
        <v>39</v>
      </c>
      <c r="B754" s="19">
        <v>68619</v>
      </c>
      <c r="C754" s="16" t="str">
        <f t="shared" si="64"/>
        <v>0000000</v>
      </c>
      <c r="D754" s="17" t="s">
        <v>3663</v>
      </c>
      <c r="E754" s="16" t="s">
        <v>2436</v>
      </c>
      <c r="F754" s="16" t="s">
        <v>2420</v>
      </c>
      <c r="G754" s="35" t="s">
        <v>2437</v>
      </c>
      <c r="H754" s="39">
        <v>154.27000000000001</v>
      </c>
      <c r="I754" s="39">
        <v>158.06</v>
      </c>
      <c r="J754" s="39">
        <v>166.34</v>
      </c>
      <c r="K754" s="39">
        <v>0</v>
      </c>
      <c r="L754" s="39">
        <v>0</v>
      </c>
      <c r="M754" s="39">
        <v>0</v>
      </c>
      <c r="N754" s="39">
        <v>0</v>
      </c>
      <c r="O754" s="39">
        <v>0</v>
      </c>
      <c r="P754" s="39">
        <v>0</v>
      </c>
      <c r="Q754" s="39">
        <v>0</v>
      </c>
      <c r="R754" s="39">
        <v>0</v>
      </c>
      <c r="S754" s="39">
        <v>0</v>
      </c>
      <c r="T754" s="39">
        <v>0</v>
      </c>
      <c r="U754" s="39">
        <v>0</v>
      </c>
      <c r="V754" s="39">
        <v>0</v>
      </c>
      <c r="W754" s="39">
        <v>0</v>
      </c>
      <c r="X754" s="39">
        <v>0</v>
      </c>
      <c r="Y754" s="39">
        <v>0</v>
      </c>
      <c r="Z754" s="39">
        <v>0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0</v>
      </c>
      <c r="AI754" s="39">
        <v>154.27000000000001</v>
      </c>
      <c r="AJ754" s="39">
        <v>158.06</v>
      </c>
      <c r="AK754" s="39">
        <v>166.34</v>
      </c>
      <c r="AL754" s="39">
        <v>0</v>
      </c>
      <c r="AM754" s="39">
        <v>0</v>
      </c>
      <c r="AN754" s="39">
        <v>0</v>
      </c>
      <c r="AO754" s="39">
        <v>154.27000000000001</v>
      </c>
      <c r="AP754" s="39">
        <v>158.06</v>
      </c>
      <c r="AQ754" s="39">
        <v>166.34</v>
      </c>
      <c r="AR754" s="39">
        <v>166.34</v>
      </c>
    </row>
    <row r="755" spans="1:44" x14ac:dyDescent="0.35">
      <c r="A755" s="16" t="str">
        <f>TEXT(39,"00")</f>
        <v>39</v>
      </c>
      <c r="B755" s="19">
        <v>68635</v>
      </c>
      <c r="C755" s="16" t="str">
        <f t="shared" si="64"/>
        <v>0000000</v>
      </c>
      <c r="D755" s="17" t="s">
        <v>3663</v>
      </c>
      <c r="E755" s="16" t="s">
        <v>2461</v>
      </c>
      <c r="F755" s="16" t="s">
        <v>2420</v>
      </c>
      <c r="G755" s="35" t="s">
        <v>2462</v>
      </c>
      <c r="H755" s="39">
        <v>350.07</v>
      </c>
      <c r="I755" s="39">
        <v>362.7</v>
      </c>
      <c r="J755" s="39">
        <v>357.55</v>
      </c>
      <c r="K755" s="39">
        <v>0</v>
      </c>
      <c r="L755" s="39">
        <v>0</v>
      </c>
      <c r="M755" s="39">
        <v>0</v>
      </c>
      <c r="N755" s="39">
        <v>0</v>
      </c>
      <c r="O755" s="39">
        <v>0</v>
      </c>
      <c r="P755" s="39">
        <v>0</v>
      </c>
      <c r="Q755" s="39">
        <v>0</v>
      </c>
      <c r="R755" s="39">
        <v>0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0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0</v>
      </c>
      <c r="AI755" s="39">
        <v>350.07</v>
      </c>
      <c r="AJ755" s="39">
        <v>362.7</v>
      </c>
      <c r="AK755" s="39">
        <v>357.55</v>
      </c>
      <c r="AL755" s="39">
        <v>0</v>
      </c>
      <c r="AM755" s="39">
        <v>0</v>
      </c>
      <c r="AN755" s="39">
        <v>0</v>
      </c>
      <c r="AO755" s="39">
        <v>350.07</v>
      </c>
      <c r="AP755" s="39">
        <v>362.7</v>
      </c>
      <c r="AQ755" s="39">
        <v>357.55</v>
      </c>
      <c r="AR755" s="39">
        <v>362.7</v>
      </c>
    </row>
    <row r="756" spans="1:44" x14ac:dyDescent="0.35">
      <c r="A756" s="16" t="str">
        <f>TEXT(39,"00")</f>
        <v>39</v>
      </c>
      <c r="B756" s="19">
        <v>68585</v>
      </c>
      <c r="C756" s="16" t="str">
        <f>TEXT(122580,"0000000")</f>
        <v>0122580</v>
      </c>
      <c r="D756" s="19">
        <v>1229</v>
      </c>
      <c r="E756" s="16" t="s">
        <v>2424</v>
      </c>
      <c r="F756" s="16" t="s">
        <v>2420</v>
      </c>
      <c r="G756" s="35" t="s">
        <v>2425</v>
      </c>
      <c r="H756" s="39">
        <v>0</v>
      </c>
      <c r="I756" s="39">
        <v>0</v>
      </c>
      <c r="J756" s="39">
        <v>0</v>
      </c>
      <c r="K756" s="39">
        <v>0</v>
      </c>
      <c r="L756" s="39">
        <v>0</v>
      </c>
      <c r="M756" s="39">
        <v>0</v>
      </c>
      <c r="N756" s="39">
        <v>0</v>
      </c>
      <c r="O756" s="39">
        <v>0</v>
      </c>
      <c r="P756" s="39">
        <v>0</v>
      </c>
      <c r="Q756" s="39">
        <v>0</v>
      </c>
      <c r="R756" s="39">
        <v>0</v>
      </c>
      <c r="S756" s="39">
        <v>0</v>
      </c>
      <c r="T756" s="39">
        <v>0</v>
      </c>
      <c r="U756" s="39">
        <v>0</v>
      </c>
      <c r="V756" s="39">
        <v>0</v>
      </c>
      <c r="W756" s="39">
        <v>0</v>
      </c>
      <c r="X756" s="39">
        <v>0</v>
      </c>
      <c r="Y756" s="39">
        <v>0</v>
      </c>
      <c r="Z756" s="39">
        <v>0</v>
      </c>
      <c r="AA756" s="39">
        <v>0</v>
      </c>
      <c r="AB756" s="39">
        <v>0</v>
      </c>
      <c r="AC756" s="39">
        <v>696.6</v>
      </c>
      <c r="AD756" s="39">
        <v>723.21</v>
      </c>
      <c r="AE756" s="39">
        <v>779.5</v>
      </c>
      <c r="AF756" s="39">
        <v>0</v>
      </c>
      <c r="AG756" s="39">
        <v>0</v>
      </c>
      <c r="AH756" s="39">
        <v>0</v>
      </c>
      <c r="AI756" s="39">
        <v>696.6</v>
      </c>
      <c r="AJ756" s="39">
        <v>723.21</v>
      </c>
      <c r="AK756" s="39">
        <v>779.5</v>
      </c>
      <c r="AL756" s="39">
        <v>0</v>
      </c>
      <c r="AM756" s="39">
        <v>0</v>
      </c>
      <c r="AN756" s="39">
        <v>0</v>
      </c>
      <c r="AO756" s="39">
        <v>696.6</v>
      </c>
      <c r="AP756" s="39">
        <v>723.21</v>
      </c>
      <c r="AQ756" s="39">
        <v>779.5</v>
      </c>
      <c r="AR756" s="39">
        <v>779.5</v>
      </c>
    </row>
    <row r="757" spans="1:44" x14ac:dyDescent="0.35">
      <c r="A757" s="16" t="str">
        <f t="shared" ref="A757:A767" si="65">TEXT(19,"00")</f>
        <v>19</v>
      </c>
      <c r="B757" s="19">
        <v>64840</v>
      </c>
      <c r="C757" s="16" t="str">
        <f t="shared" ref="C757:C767" si="66">TEXT(,"0000000")</f>
        <v>0000000</v>
      </c>
      <c r="D757" s="17" t="s">
        <v>3663</v>
      </c>
      <c r="E757" s="16" t="s">
        <v>1069</v>
      </c>
      <c r="F757" s="16" t="s">
        <v>1070</v>
      </c>
      <c r="G757" s="35" t="s">
        <v>1070</v>
      </c>
      <c r="H757" s="39">
        <v>13590.27</v>
      </c>
      <c r="I757" s="39">
        <v>13953.05</v>
      </c>
      <c r="J757" s="39">
        <v>14080.86</v>
      </c>
      <c r="K757" s="39">
        <v>0</v>
      </c>
      <c r="L757" s="39">
        <v>0</v>
      </c>
      <c r="M757" s="39">
        <v>0</v>
      </c>
      <c r="N757" s="39">
        <v>0</v>
      </c>
      <c r="O757" s="39">
        <v>0</v>
      </c>
      <c r="P757" s="39">
        <v>0</v>
      </c>
      <c r="Q757" s="39">
        <v>0</v>
      </c>
      <c r="R757" s="39">
        <v>0</v>
      </c>
      <c r="S757" s="39">
        <v>0</v>
      </c>
      <c r="T757" s="39">
        <v>6.71</v>
      </c>
      <c r="U757" s="39">
        <v>6.8</v>
      </c>
      <c r="V757" s="39">
        <v>6.32</v>
      </c>
      <c r="W757" s="39">
        <v>3.78</v>
      </c>
      <c r="X757" s="39">
        <v>2.38</v>
      </c>
      <c r="Y757" s="39">
        <v>3.47</v>
      </c>
      <c r="Z757" s="39">
        <v>0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0</v>
      </c>
      <c r="AI757" s="39">
        <v>13600.76</v>
      </c>
      <c r="AJ757" s="39">
        <v>13962.23</v>
      </c>
      <c r="AK757" s="39">
        <v>14090.65</v>
      </c>
      <c r="AL757" s="39">
        <v>0</v>
      </c>
      <c r="AM757" s="39">
        <v>0</v>
      </c>
      <c r="AN757" s="39">
        <v>0</v>
      </c>
      <c r="AO757" s="39">
        <v>13600.76</v>
      </c>
      <c r="AP757" s="39">
        <v>13962.23</v>
      </c>
      <c r="AQ757" s="39">
        <v>14090.65</v>
      </c>
      <c r="AR757" s="39">
        <v>14090.65</v>
      </c>
    </row>
    <row r="758" spans="1:44" x14ac:dyDescent="0.35">
      <c r="A758" s="16" t="str">
        <f t="shared" si="65"/>
        <v>19</v>
      </c>
      <c r="B758" s="19">
        <v>64436</v>
      </c>
      <c r="C758" s="16" t="str">
        <f t="shared" si="66"/>
        <v>0000000</v>
      </c>
      <c r="D758" s="17" t="s">
        <v>3663</v>
      </c>
      <c r="E758" s="16" t="s">
        <v>905</v>
      </c>
      <c r="F758" s="16" t="s">
        <v>906</v>
      </c>
      <c r="G758" s="35" t="s">
        <v>906</v>
      </c>
      <c r="H758" s="39">
        <v>10484.36</v>
      </c>
      <c r="I758" s="39">
        <v>10543.98</v>
      </c>
      <c r="J758" s="39">
        <v>10377.89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36.58</v>
      </c>
      <c r="U758" s="39">
        <v>36.26</v>
      </c>
      <c r="V758" s="39">
        <v>36.630000000000003</v>
      </c>
      <c r="W758" s="39">
        <v>128.65</v>
      </c>
      <c r="X758" s="39">
        <v>128.15</v>
      </c>
      <c r="Y758" s="39">
        <v>145.87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10649.59</v>
      </c>
      <c r="AJ758" s="39">
        <v>10708.39</v>
      </c>
      <c r="AK758" s="39">
        <v>10560.39</v>
      </c>
      <c r="AL758" s="39">
        <v>0</v>
      </c>
      <c r="AM758" s="39">
        <v>0</v>
      </c>
      <c r="AN758" s="39">
        <v>0</v>
      </c>
      <c r="AO758" s="39">
        <v>10649.59</v>
      </c>
      <c r="AP758" s="39">
        <v>10708.39</v>
      </c>
      <c r="AQ758" s="39">
        <v>10560.39</v>
      </c>
      <c r="AR758" s="39">
        <v>10708.39</v>
      </c>
    </row>
    <row r="759" spans="1:44" x14ac:dyDescent="0.35">
      <c r="A759" s="16" t="str">
        <f t="shared" si="65"/>
        <v>19</v>
      </c>
      <c r="B759" s="19">
        <v>64279</v>
      </c>
      <c r="C759" s="16" t="str">
        <f t="shared" si="66"/>
        <v>0000000</v>
      </c>
      <c r="D759" s="17" t="s">
        <v>3663</v>
      </c>
      <c r="E759" s="16" t="s">
        <v>907</v>
      </c>
      <c r="F759" s="16" t="s">
        <v>906</v>
      </c>
      <c r="G759" s="35" t="s">
        <v>908</v>
      </c>
      <c r="H759" s="39">
        <v>5671.27</v>
      </c>
      <c r="I759" s="39">
        <v>5844.61</v>
      </c>
      <c r="J759" s="39">
        <v>6055.93</v>
      </c>
      <c r="K759" s="39">
        <v>0</v>
      </c>
      <c r="L759" s="39">
        <v>0</v>
      </c>
      <c r="M759" s="39">
        <v>0</v>
      </c>
      <c r="N759" s="39">
        <v>0</v>
      </c>
      <c r="O759" s="39">
        <v>0</v>
      </c>
      <c r="P759" s="39">
        <v>0</v>
      </c>
      <c r="Q759" s="39">
        <v>0</v>
      </c>
      <c r="R759" s="39">
        <v>0</v>
      </c>
      <c r="S759" s="39">
        <v>0</v>
      </c>
      <c r="T759" s="39">
        <v>0</v>
      </c>
      <c r="U759" s="39">
        <v>0</v>
      </c>
      <c r="V759" s="39">
        <v>0</v>
      </c>
      <c r="W759" s="39">
        <v>0</v>
      </c>
      <c r="X759" s="39">
        <v>0</v>
      </c>
      <c r="Y759" s="39">
        <v>0</v>
      </c>
      <c r="Z759" s="39">
        <v>0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0</v>
      </c>
      <c r="AI759" s="39">
        <v>5671.27</v>
      </c>
      <c r="AJ759" s="39">
        <v>5844.61</v>
      </c>
      <c r="AK759" s="39">
        <v>6055.93</v>
      </c>
      <c r="AL759" s="39">
        <v>0</v>
      </c>
      <c r="AM759" s="39">
        <v>0</v>
      </c>
      <c r="AN759" s="39">
        <v>0</v>
      </c>
      <c r="AO759" s="39">
        <v>5671.27</v>
      </c>
      <c r="AP759" s="39">
        <v>5844.61</v>
      </c>
      <c r="AQ759" s="39">
        <v>6055.93</v>
      </c>
      <c r="AR759" s="39">
        <v>6055.93</v>
      </c>
    </row>
    <row r="760" spans="1:44" x14ac:dyDescent="0.35">
      <c r="A760" s="16" t="str">
        <f t="shared" si="65"/>
        <v>19</v>
      </c>
      <c r="B760" s="19">
        <v>64287</v>
      </c>
      <c r="C760" s="16" t="str">
        <f t="shared" si="66"/>
        <v>0000000</v>
      </c>
      <c r="D760" s="17" t="s">
        <v>3663</v>
      </c>
      <c r="E760" s="16" t="s">
        <v>909</v>
      </c>
      <c r="F760" s="16" t="s">
        <v>906</v>
      </c>
      <c r="G760" s="35" t="s">
        <v>910</v>
      </c>
      <c r="H760" s="39">
        <v>8864.64</v>
      </c>
      <c r="I760" s="39">
        <v>9314.42</v>
      </c>
      <c r="J760" s="39">
        <v>9599.44</v>
      </c>
      <c r="K760" s="39">
        <v>0</v>
      </c>
      <c r="L760" s="39">
        <v>0</v>
      </c>
      <c r="M760" s="39">
        <v>0</v>
      </c>
      <c r="N760" s="39">
        <v>0</v>
      </c>
      <c r="O760" s="39">
        <v>0</v>
      </c>
      <c r="P760" s="39">
        <v>0</v>
      </c>
      <c r="Q760" s="39">
        <v>0</v>
      </c>
      <c r="R760" s="39">
        <v>0</v>
      </c>
      <c r="S760" s="39">
        <v>0</v>
      </c>
      <c r="T760" s="39">
        <v>0</v>
      </c>
      <c r="U760" s="39">
        <v>0</v>
      </c>
      <c r="V760" s="39">
        <v>0</v>
      </c>
      <c r="W760" s="39">
        <v>0</v>
      </c>
      <c r="X760" s="39">
        <v>0</v>
      </c>
      <c r="Y760" s="39">
        <v>0</v>
      </c>
      <c r="Z760" s="39">
        <v>0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0</v>
      </c>
      <c r="AI760" s="39">
        <v>8864.64</v>
      </c>
      <c r="AJ760" s="39">
        <v>9314.42</v>
      </c>
      <c r="AK760" s="39">
        <v>9599.44</v>
      </c>
      <c r="AL760" s="39">
        <v>0</v>
      </c>
      <c r="AM760" s="39">
        <v>0</v>
      </c>
      <c r="AN760" s="39">
        <v>0</v>
      </c>
      <c r="AO760" s="39">
        <v>8864.64</v>
      </c>
      <c r="AP760" s="39">
        <v>9314.42</v>
      </c>
      <c r="AQ760" s="39">
        <v>9599.44</v>
      </c>
      <c r="AR760" s="39">
        <v>9599.44</v>
      </c>
    </row>
    <row r="761" spans="1:44" x14ac:dyDescent="0.35">
      <c r="A761" s="16" t="str">
        <f t="shared" si="65"/>
        <v>19</v>
      </c>
      <c r="B761" s="19">
        <v>64295</v>
      </c>
      <c r="C761" s="16" t="str">
        <f t="shared" si="66"/>
        <v>0000000</v>
      </c>
      <c r="D761" s="17" t="s">
        <v>3663</v>
      </c>
      <c r="E761" s="16" t="s">
        <v>914</v>
      </c>
      <c r="F761" s="16" t="s">
        <v>906</v>
      </c>
      <c r="G761" s="35" t="s">
        <v>915</v>
      </c>
      <c r="H761" s="39">
        <v>2644.16</v>
      </c>
      <c r="I761" s="39">
        <v>2701.04</v>
      </c>
      <c r="J761" s="39">
        <v>2629.6</v>
      </c>
      <c r="K761" s="39">
        <v>0</v>
      </c>
      <c r="L761" s="39">
        <v>0</v>
      </c>
      <c r="M761" s="39">
        <v>0</v>
      </c>
      <c r="N761" s="39">
        <v>0</v>
      </c>
      <c r="O761" s="39">
        <v>0</v>
      </c>
      <c r="P761" s="39">
        <v>0</v>
      </c>
      <c r="Q761" s="39">
        <v>0</v>
      </c>
      <c r="R761" s="39">
        <v>0</v>
      </c>
      <c r="S761" s="39">
        <v>0</v>
      </c>
      <c r="T761" s="39">
        <v>0</v>
      </c>
      <c r="U761" s="39">
        <v>0</v>
      </c>
      <c r="V761" s="39">
        <v>0</v>
      </c>
      <c r="W761" s="39">
        <v>0</v>
      </c>
      <c r="X761" s="39">
        <v>0</v>
      </c>
      <c r="Y761" s="39">
        <v>0</v>
      </c>
      <c r="Z761" s="39">
        <v>0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0</v>
      </c>
      <c r="AI761" s="39">
        <v>2644.16</v>
      </c>
      <c r="AJ761" s="39">
        <v>2701.04</v>
      </c>
      <c r="AK761" s="39">
        <v>2629.6</v>
      </c>
      <c r="AL761" s="39">
        <v>0</v>
      </c>
      <c r="AM761" s="39">
        <v>0</v>
      </c>
      <c r="AN761" s="39">
        <v>0</v>
      </c>
      <c r="AO761" s="39">
        <v>2644.16</v>
      </c>
      <c r="AP761" s="39">
        <v>2701.04</v>
      </c>
      <c r="AQ761" s="39">
        <v>2629.6</v>
      </c>
      <c r="AR761" s="39">
        <v>2701.04</v>
      </c>
    </row>
    <row r="762" spans="1:44" x14ac:dyDescent="0.35">
      <c r="A762" s="16" t="str">
        <f t="shared" si="65"/>
        <v>19</v>
      </c>
      <c r="B762" s="19">
        <v>64329</v>
      </c>
      <c r="C762" s="16" t="str">
        <f t="shared" si="66"/>
        <v>0000000</v>
      </c>
      <c r="D762" s="17" t="s">
        <v>3663</v>
      </c>
      <c r="E762" s="16" t="s">
        <v>922</v>
      </c>
      <c r="F762" s="16" t="s">
        <v>906</v>
      </c>
      <c r="G762" s="35" t="s">
        <v>923</v>
      </c>
      <c r="H762" s="39">
        <v>9399.4699999999993</v>
      </c>
      <c r="I762" s="39">
        <v>9303.84</v>
      </c>
      <c r="J762" s="39">
        <v>9099.9699999999993</v>
      </c>
      <c r="K762" s="39">
        <v>0</v>
      </c>
      <c r="L762" s="39">
        <v>0</v>
      </c>
      <c r="M762" s="39">
        <v>0</v>
      </c>
      <c r="N762" s="39">
        <v>0</v>
      </c>
      <c r="O762" s="39">
        <v>0</v>
      </c>
      <c r="P762" s="39">
        <v>0</v>
      </c>
      <c r="Q762" s="39">
        <v>0</v>
      </c>
      <c r="R762" s="39">
        <v>0</v>
      </c>
      <c r="S762" s="39">
        <v>0</v>
      </c>
      <c r="T762" s="39">
        <v>0</v>
      </c>
      <c r="U762" s="39">
        <v>0</v>
      </c>
      <c r="V762" s="39">
        <v>0</v>
      </c>
      <c r="W762" s="39">
        <v>0</v>
      </c>
      <c r="X762" s="39">
        <v>0</v>
      </c>
      <c r="Y762" s="39">
        <v>0</v>
      </c>
      <c r="Z762" s="39">
        <v>0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0</v>
      </c>
      <c r="AI762" s="39">
        <v>9399.4699999999993</v>
      </c>
      <c r="AJ762" s="39">
        <v>9303.84</v>
      </c>
      <c r="AK762" s="39">
        <v>9099.9699999999993</v>
      </c>
      <c r="AL762" s="39">
        <v>0</v>
      </c>
      <c r="AM762" s="39">
        <v>0</v>
      </c>
      <c r="AN762" s="39">
        <v>0</v>
      </c>
      <c r="AO762" s="39">
        <v>9399.4699999999993</v>
      </c>
      <c r="AP762" s="39">
        <v>9303.84</v>
      </c>
      <c r="AQ762" s="39">
        <v>9099.9699999999993</v>
      </c>
      <c r="AR762" s="39">
        <v>9399.4699999999993</v>
      </c>
    </row>
    <row r="763" spans="1:44" x14ac:dyDescent="0.35">
      <c r="A763" s="16" t="str">
        <f t="shared" si="65"/>
        <v>19</v>
      </c>
      <c r="B763" s="19">
        <v>64378</v>
      </c>
      <c r="C763" s="16" t="str">
        <f t="shared" si="66"/>
        <v>0000000</v>
      </c>
      <c r="D763" s="17" t="s">
        <v>3663</v>
      </c>
      <c r="E763" s="16" t="s">
        <v>940</v>
      </c>
      <c r="F763" s="16" t="s">
        <v>906</v>
      </c>
      <c r="G763" s="35" t="s">
        <v>941</v>
      </c>
      <c r="H763" s="39">
        <v>3986.72</v>
      </c>
      <c r="I763" s="39">
        <v>3999.69</v>
      </c>
      <c r="J763" s="39">
        <v>3958.03</v>
      </c>
      <c r="K763" s="39">
        <v>0</v>
      </c>
      <c r="L763" s="39">
        <v>0</v>
      </c>
      <c r="M763" s="39">
        <v>0</v>
      </c>
      <c r="N763" s="39">
        <v>0</v>
      </c>
      <c r="O763" s="39">
        <v>0</v>
      </c>
      <c r="P763" s="39">
        <v>0</v>
      </c>
      <c r="Q763" s="39">
        <v>0</v>
      </c>
      <c r="R763" s="39">
        <v>0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0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0</v>
      </c>
      <c r="AI763" s="39">
        <v>3986.72</v>
      </c>
      <c r="AJ763" s="39">
        <v>3999.69</v>
      </c>
      <c r="AK763" s="39">
        <v>3958.03</v>
      </c>
      <c r="AL763" s="39">
        <v>0</v>
      </c>
      <c r="AM763" s="39">
        <v>0</v>
      </c>
      <c r="AN763" s="39">
        <v>0</v>
      </c>
      <c r="AO763" s="39">
        <v>3986.72</v>
      </c>
      <c r="AP763" s="39">
        <v>3999.69</v>
      </c>
      <c r="AQ763" s="39">
        <v>3958.03</v>
      </c>
      <c r="AR763" s="39">
        <v>3999.69</v>
      </c>
    </row>
    <row r="764" spans="1:44" x14ac:dyDescent="0.35">
      <c r="A764" s="16" t="str">
        <f t="shared" si="65"/>
        <v>19</v>
      </c>
      <c r="B764" s="19">
        <v>64394</v>
      </c>
      <c r="C764" s="16" t="str">
        <f t="shared" si="66"/>
        <v>0000000</v>
      </c>
      <c r="D764" s="17" t="s">
        <v>3663</v>
      </c>
      <c r="E764" s="16" t="s">
        <v>942</v>
      </c>
      <c r="F764" s="16" t="s">
        <v>906</v>
      </c>
      <c r="G764" s="35" t="s">
        <v>943</v>
      </c>
      <c r="H764" s="39">
        <v>5810.92</v>
      </c>
      <c r="I764" s="39">
        <v>5886.68</v>
      </c>
      <c r="J764" s="39">
        <v>5952.66</v>
      </c>
      <c r="K764" s="39">
        <v>0</v>
      </c>
      <c r="L764" s="39">
        <v>0</v>
      </c>
      <c r="M764" s="39">
        <v>0</v>
      </c>
      <c r="N764" s="39">
        <v>0</v>
      </c>
      <c r="O764" s="39">
        <v>0</v>
      </c>
      <c r="P764" s="39">
        <v>0</v>
      </c>
      <c r="Q764" s="39">
        <v>0</v>
      </c>
      <c r="R764" s="39">
        <v>0</v>
      </c>
      <c r="S764" s="39">
        <v>0</v>
      </c>
      <c r="T764" s="39">
        <v>0</v>
      </c>
      <c r="U764" s="39">
        <v>0</v>
      </c>
      <c r="V764" s="39">
        <v>0</v>
      </c>
      <c r="W764" s="39">
        <v>0</v>
      </c>
      <c r="X764" s="39">
        <v>0</v>
      </c>
      <c r="Y764" s="39">
        <v>0</v>
      </c>
      <c r="Z764" s="39">
        <v>0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0</v>
      </c>
      <c r="AI764" s="39">
        <v>5810.92</v>
      </c>
      <c r="AJ764" s="39">
        <v>5886.68</v>
      </c>
      <c r="AK764" s="39">
        <v>5952.66</v>
      </c>
      <c r="AL764" s="39">
        <v>0</v>
      </c>
      <c r="AM764" s="39">
        <v>0</v>
      </c>
      <c r="AN764" s="39">
        <v>0</v>
      </c>
      <c r="AO764" s="39">
        <v>5810.92</v>
      </c>
      <c r="AP764" s="39">
        <v>5886.68</v>
      </c>
      <c r="AQ764" s="39">
        <v>5952.66</v>
      </c>
      <c r="AR764" s="39">
        <v>5952.66</v>
      </c>
    </row>
    <row r="765" spans="1:44" x14ac:dyDescent="0.35">
      <c r="A765" s="16" t="str">
        <f t="shared" si="65"/>
        <v>19</v>
      </c>
      <c r="B765" s="19">
        <v>64576</v>
      </c>
      <c r="C765" s="16" t="str">
        <f t="shared" si="66"/>
        <v>0000000</v>
      </c>
      <c r="D765" s="17" t="s">
        <v>3663</v>
      </c>
      <c r="E765" s="16" t="s">
        <v>968</v>
      </c>
      <c r="F765" s="16" t="s">
        <v>906</v>
      </c>
      <c r="G765" s="35" t="s">
        <v>969</v>
      </c>
      <c r="H765" s="39">
        <v>6114.18</v>
      </c>
      <c r="I765" s="39">
        <v>6123.89</v>
      </c>
      <c r="J765" s="39">
        <v>6156.33</v>
      </c>
      <c r="K765" s="39">
        <v>0</v>
      </c>
      <c r="L765" s="39">
        <v>0</v>
      </c>
      <c r="M765" s="39">
        <v>0</v>
      </c>
      <c r="N765" s="39">
        <v>0</v>
      </c>
      <c r="O765" s="39">
        <v>0</v>
      </c>
      <c r="P765" s="39">
        <v>0</v>
      </c>
      <c r="Q765" s="39">
        <v>0</v>
      </c>
      <c r="R765" s="39">
        <v>0</v>
      </c>
      <c r="S765" s="39">
        <v>0</v>
      </c>
      <c r="T765" s="39">
        <v>0</v>
      </c>
      <c r="U765" s="39">
        <v>0</v>
      </c>
      <c r="V765" s="39">
        <v>0</v>
      </c>
      <c r="W765" s="39">
        <v>0</v>
      </c>
      <c r="X765" s="39">
        <v>0</v>
      </c>
      <c r="Y765" s="39">
        <v>0</v>
      </c>
      <c r="Z765" s="39">
        <v>0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0</v>
      </c>
      <c r="AI765" s="39">
        <v>6114.18</v>
      </c>
      <c r="AJ765" s="39">
        <v>6123.89</v>
      </c>
      <c r="AK765" s="39">
        <v>6156.33</v>
      </c>
      <c r="AL765" s="39">
        <v>0</v>
      </c>
      <c r="AM765" s="39">
        <v>0</v>
      </c>
      <c r="AN765" s="39">
        <v>0</v>
      </c>
      <c r="AO765" s="39">
        <v>6114.18</v>
      </c>
      <c r="AP765" s="39">
        <v>6123.89</v>
      </c>
      <c r="AQ765" s="39">
        <v>6156.33</v>
      </c>
      <c r="AR765" s="39">
        <v>6156.33</v>
      </c>
    </row>
    <row r="766" spans="1:44" x14ac:dyDescent="0.35">
      <c r="A766" s="16" t="str">
        <f t="shared" si="65"/>
        <v>19</v>
      </c>
      <c r="B766" s="19">
        <v>73460</v>
      </c>
      <c r="C766" s="16" t="str">
        <f t="shared" si="66"/>
        <v>0000000</v>
      </c>
      <c r="D766" s="17" t="s">
        <v>3663</v>
      </c>
      <c r="E766" s="16" t="s">
        <v>1164</v>
      </c>
      <c r="F766" s="16" t="s">
        <v>906</v>
      </c>
      <c r="G766" s="35" t="s">
        <v>1165</v>
      </c>
      <c r="H766" s="39">
        <v>13718.29</v>
      </c>
      <c r="I766" s="39">
        <v>13350.23</v>
      </c>
      <c r="J766" s="39">
        <v>13001.95</v>
      </c>
      <c r="K766" s="39">
        <v>0</v>
      </c>
      <c r="L766" s="39">
        <v>0</v>
      </c>
      <c r="M766" s="39">
        <v>0</v>
      </c>
      <c r="N766" s="39">
        <v>0</v>
      </c>
      <c r="O766" s="39">
        <v>0</v>
      </c>
      <c r="P766" s="39">
        <v>0</v>
      </c>
      <c r="Q766" s="39">
        <v>0</v>
      </c>
      <c r="R766" s="39">
        <v>0</v>
      </c>
      <c r="S766" s="39">
        <v>0</v>
      </c>
      <c r="T766" s="39">
        <v>0</v>
      </c>
      <c r="U766" s="39">
        <v>0</v>
      </c>
      <c r="V766" s="39">
        <v>0</v>
      </c>
      <c r="W766" s="39">
        <v>0</v>
      </c>
      <c r="X766" s="39">
        <v>0</v>
      </c>
      <c r="Y766" s="39">
        <v>0</v>
      </c>
      <c r="Z766" s="39">
        <v>0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0</v>
      </c>
      <c r="AI766" s="39">
        <v>13718.29</v>
      </c>
      <c r="AJ766" s="39">
        <v>13350.23</v>
      </c>
      <c r="AK766" s="39">
        <v>13001.95</v>
      </c>
      <c r="AL766" s="39">
        <v>0</v>
      </c>
      <c r="AM766" s="39">
        <v>0</v>
      </c>
      <c r="AN766" s="39">
        <v>0</v>
      </c>
      <c r="AO766" s="39">
        <v>13718.29</v>
      </c>
      <c r="AP766" s="39">
        <v>13350.23</v>
      </c>
      <c r="AQ766" s="39">
        <v>13001.95</v>
      </c>
      <c r="AR766" s="39">
        <v>13718.29</v>
      </c>
    </row>
    <row r="767" spans="1:44" x14ac:dyDescent="0.35">
      <c r="A767" s="16" t="str">
        <f t="shared" si="65"/>
        <v>19</v>
      </c>
      <c r="B767" s="19">
        <v>65094</v>
      </c>
      <c r="C767" s="16" t="str">
        <f t="shared" si="66"/>
        <v>0000000</v>
      </c>
      <c r="D767" s="17" t="s">
        <v>3663</v>
      </c>
      <c r="E767" s="16" t="s">
        <v>1118</v>
      </c>
      <c r="F767" s="16" t="s">
        <v>906</v>
      </c>
      <c r="G767" s="35" t="s">
        <v>1119</v>
      </c>
      <c r="H767" s="39">
        <v>7438.64</v>
      </c>
      <c r="I767" s="39">
        <v>7457.14</v>
      </c>
      <c r="J767" s="39">
        <v>7446.89</v>
      </c>
      <c r="K767" s="39">
        <v>0</v>
      </c>
      <c r="L767" s="39">
        <v>0</v>
      </c>
      <c r="M767" s="39">
        <v>0</v>
      </c>
      <c r="N767" s="39">
        <v>0</v>
      </c>
      <c r="O767" s="39">
        <v>0</v>
      </c>
      <c r="P767" s="39">
        <v>0</v>
      </c>
      <c r="Q767" s="39">
        <v>0</v>
      </c>
      <c r="R767" s="39">
        <v>0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0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0</v>
      </c>
      <c r="AI767" s="39">
        <v>7438.64</v>
      </c>
      <c r="AJ767" s="39">
        <v>7457.14</v>
      </c>
      <c r="AK767" s="39">
        <v>7446.89</v>
      </c>
      <c r="AL767" s="39">
        <v>0</v>
      </c>
      <c r="AM767" s="39">
        <v>0</v>
      </c>
      <c r="AN767" s="39">
        <v>0</v>
      </c>
      <c r="AO767" s="39">
        <v>7438.64</v>
      </c>
      <c r="AP767" s="39">
        <v>7457.14</v>
      </c>
      <c r="AQ767" s="39">
        <v>7446.89</v>
      </c>
      <c r="AR767" s="39">
        <v>7457.14</v>
      </c>
    </row>
    <row r="768" spans="1:44" x14ac:dyDescent="0.35">
      <c r="A768" s="16" t="str">
        <f>TEXT(36,"00")</f>
        <v>36</v>
      </c>
      <c r="B768" s="19">
        <v>67876</v>
      </c>
      <c r="C768" s="16" t="str">
        <f>TEXT(120568,"0000000")</f>
        <v>0120568</v>
      </c>
      <c r="D768" s="19">
        <v>1132</v>
      </c>
      <c r="E768" s="16" t="s">
        <v>1984</v>
      </c>
      <c r="F768" s="16" t="s">
        <v>906</v>
      </c>
      <c r="G768" s="35" t="s">
        <v>1985</v>
      </c>
      <c r="H768" s="39">
        <v>0</v>
      </c>
      <c r="I768" s="39">
        <v>0</v>
      </c>
      <c r="J768" s="39">
        <v>0</v>
      </c>
      <c r="K768" s="39">
        <v>0</v>
      </c>
      <c r="L768" s="39">
        <v>0</v>
      </c>
      <c r="M768" s="39">
        <v>0</v>
      </c>
      <c r="N768" s="39">
        <v>0</v>
      </c>
      <c r="O768" s="39">
        <v>0</v>
      </c>
      <c r="P768" s="39">
        <v>0</v>
      </c>
      <c r="Q768" s="39">
        <v>0</v>
      </c>
      <c r="R768" s="39">
        <v>0</v>
      </c>
      <c r="S768" s="39">
        <v>0</v>
      </c>
      <c r="T768" s="39">
        <v>0</v>
      </c>
      <c r="U768" s="39">
        <v>0</v>
      </c>
      <c r="V768" s="39">
        <v>0</v>
      </c>
      <c r="W768" s="39">
        <v>0</v>
      </c>
      <c r="X768" s="39">
        <v>0</v>
      </c>
      <c r="Y768" s="39">
        <v>0</v>
      </c>
      <c r="Z768" s="39">
        <v>0</v>
      </c>
      <c r="AA768" s="39">
        <v>0</v>
      </c>
      <c r="AB768" s="39">
        <v>0</v>
      </c>
      <c r="AC768" s="39">
        <v>1447.93</v>
      </c>
      <c r="AD768" s="39">
        <v>1426.85</v>
      </c>
      <c r="AE768" s="39">
        <v>1206.18</v>
      </c>
      <c r="AF768" s="39">
        <v>0</v>
      </c>
      <c r="AG768" s="39">
        <v>0</v>
      </c>
      <c r="AH768" s="39">
        <v>0</v>
      </c>
      <c r="AI768" s="39">
        <v>1447.93</v>
      </c>
      <c r="AJ768" s="39">
        <v>1426.85</v>
      </c>
      <c r="AK768" s="39">
        <v>1206.18</v>
      </c>
      <c r="AL768" s="39">
        <v>0</v>
      </c>
      <c r="AM768" s="39">
        <v>0</v>
      </c>
      <c r="AN768" s="39">
        <v>0</v>
      </c>
      <c r="AO768" s="39">
        <v>1447.93</v>
      </c>
      <c r="AP768" s="39">
        <v>1426.85</v>
      </c>
      <c r="AQ768" s="39">
        <v>1206.18</v>
      </c>
      <c r="AR768" s="39">
        <v>1447.93</v>
      </c>
    </row>
    <row r="769" spans="1:44" x14ac:dyDescent="0.35">
      <c r="A769" s="16" t="str">
        <f t="shared" ref="A769:A787" si="67">TEXT(19,"00")</f>
        <v>19</v>
      </c>
      <c r="B769" s="19">
        <v>73452</v>
      </c>
      <c r="C769" s="16" t="str">
        <f>TEXT(120600,"0000000")</f>
        <v>0120600</v>
      </c>
      <c r="D769" s="19">
        <v>1135</v>
      </c>
      <c r="E769" s="16" t="s">
        <v>1162</v>
      </c>
      <c r="F769" s="16" t="s">
        <v>906</v>
      </c>
      <c r="G769" s="35" t="s">
        <v>1163</v>
      </c>
      <c r="H769" s="39">
        <v>0</v>
      </c>
      <c r="I769" s="39">
        <v>0</v>
      </c>
      <c r="J769" s="39">
        <v>0</v>
      </c>
      <c r="K769" s="39">
        <v>0</v>
      </c>
      <c r="L769" s="39">
        <v>0</v>
      </c>
      <c r="M769" s="39">
        <v>0</v>
      </c>
      <c r="N769" s="39">
        <v>0</v>
      </c>
      <c r="O769" s="39">
        <v>0</v>
      </c>
      <c r="P769" s="39">
        <v>0</v>
      </c>
      <c r="Q769" s="39">
        <v>0</v>
      </c>
      <c r="R769" s="39">
        <v>0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0</v>
      </c>
      <c r="AA769" s="39">
        <v>0</v>
      </c>
      <c r="AB769" s="39">
        <v>0</v>
      </c>
      <c r="AC769" s="39">
        <v>1884</v>
      </c>
      <c r="AD769" s="39">
        <v>1406.74</v>
      </c>
      <c r="AE769" s="39">
        <v>1274.1400000000001</v>
      </c>
      <c r="AF769" s="39">
        <v>0</v>
      </c>
      <c r="AG769" s="39">
        <v>0</v>
      </c>
      <c r="AH769" s="39">
        <v>0</v>
      </c>
      <c r="AI769" s="39">
        <v>1884</v>
      </c>
      <c r="AJ769" s="39">
        <v>1406.74</v>
      </c>
      <c r="AK769" s="39">
        <v>1274.1400000000001</v>
      </c>
      <c r="AL769" s="39">
        <v>0</v>
      </c>
      <c r="AM769" s="39">
        <v>0</v>
      </c>
      <c r="AN769" s="39">
        <v>0</v>
      </c>
      <c r="AO769" s="39">
        <v>1884</v>
      </c>
      <c r="AP769" s="39">
        <v>1406.74</v>
      </c>
      <c r="AQ769" s="39">
        <v>1274.1400000000001</v>
      </c>
      <c r="AR769" s="39">
        <v>1884</v>
      </c>
    </row>
    <row r="770" spans="1:44" x14ac:dyDescent="0.35">
      <c r="A770" s="16" t="str">
        <f t="shared" si="67"/>
        <v>19</v>
      </c>
      <c r="B770" s="19">
        <v>65094</v>
      </c>
      <c r="C770" s="16" t="str">
        <f>TEXT(112706,"0000000")</f>
        <v>0112706</v>
      </c>
      <c r="D770" s="17" t="s">
        <v>1122</v>
      </c>
      <c r="E770" s="16" t="s">
        <v>1120</v>
      </c>
      <c r="F770" s="16" t="s">
        <v>906</v>
      </c>
      <c r="G770" s="35" t="s">
        <v>1121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5640.99</v>
      </c>
      <c r="AD770" s="39">
        <v>5557.81</v>
      </c>
      <c r="AE770" s="39">
        <v>5340.77</v>
      </c>
      <c r="AF770" s="39">
        <v>0</v>
      </c>
      <c r="AG770" s="39">
        <v>0</v>
      </c>
      <c r="AH770" s="39">
        <v>0</v>
      </c>
      <c r="AI770" s="39">
        <v>5640.99</v>
      </c>
      <c r="AJ770" s="39">
        <v>5557.81</v>
      </c>
      <c r="AK770" s="39">
        <v>5340.77</v>
      </c>
      <c r="AL770" s="39">
        <v>0</v>
      </c>
      <c r="AM770" s="39">
        <v>0</v>
      </c>
      <c r="AN770" s="39">
        <v>0</v>
      </c>
      <c r="AO770" s="39">
        <v>5640.99</v>
      </c>
      <c r="AP770" s="39">
        <v>5557.81</v>
      </c>
      <c r="AQ770" s="39">
        <v>5340.77</v>
      </c>
      <c r="AR770" s="39">
        <v>5640.99</v>
      </c>
    </row>
    <row r="771" spans="1:44" x14ac:dyDescent="0.35">
      <c r="A771" s="16" t="str">
        <f t="shared" si="67"/>
        <v>19</v>
      </c>
      <c r="B771" s="19">
        <v>64287</v>
      </c>
      <c r="C771" s="16" t="str">
        <f>TEXT(1996479,"0000000")</f>
        <v>1996479</v>
      </c>
      <c r="D771" s="17" t="s">
        <v>913</v>
      </c>
      <c r="E771" s="16" t="s">
        <v>911</v>
      </c>
      <c r="F771" s="16" t="s">
        <v>906</v>
      </c>
      <c r="G771" s="35" t="s">
        <v>912</v>
      </c>
      <c r="H771" s="39">
        <v>0</v>
      </c>
      <c r="I771" s="39">
        <v>0</v>
      </c>
      <c r="J771" s="39">
        <v>0</v>
      </c>
      <c r="K771" s="39">
        <v>0</v>
      </c>
      <c r="L771" s="39">
        <v>0</v>
      </c>
      <c r="M771" s="39">
        <v>0</v>
      </c>
      <c r="N771" s="39">
        <v>0</v>
      </c>
      <c r="O771" s="39">
        <v>0</v>
      </c>
      <c r="P771" s="39">
        <v>0</v>
      </c>
      <c r="Q771" s="39">
        <v>0</v>
      </c>
      <c r="R771" s="39">
        <v>0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>
        <v>0</v>
      </c>
      <c r="Y771" s="39">
        <v>0</v>
      </c>
      <c r="Z771" s="39">
        <v>0</v>
      </c>
      <c r="AA771" s="39">
        <v>0</v>
      </c>
      <c r="AB771" s="39">
        <v>0</v>
      </c>
      <c r="AC771" s="39">
        <v>391.19</v>
      </c>
      <c r="AD771" s="39">
        <v>394.18</v>
      </c>
      <c r="AE771" s="39">
        <v>779.86</v>
      </c>
      <c r="AF771" s="39">
        <v>0</v>
      </c>
      <c r="AG771" s="39">
        <v>0</v>
      </c>
      <c r="AH771" s="39">
        <v>0</v>
      </c>
      <c r="AI771" s="39">
        <v>391.19</v>
      </c>
      <c r="AJ771" s="39">
        <v>394.18</v>
      </c>
      <c r="AK771" s="39">
        <v>779.86</v>
      </c>
      <c r="AL771" s="39">
        <v>0</v>
      </c>
      <c r="AM771" s="39">
        <v>0</v>
      </c>
      <c r="AN771" s="39">
        <v>0</v>
      </c>
      <c r="AO771" s="39">
        <v>391.19</v>
      </c>
      <c r="AP771" s="39">
        <v>394.18</v>
      </c>
      <c r="AQ771" s="39">
        <v>779.86</v>
      </c>
      <c r="AR771" s="39">
        <v>779.86</v>
      </c>
    </row>
    <row r="772" spans="1:44" x14ac:dyDescent="0.35">
      <c r="A772" s="16" t="str">
        <f t="shared" si="67"/>
        <v>19</v>
      </c>
      <c r="B772" s="19">
        <v>65094</v>
      </c>
      <c r="C772" s="16" t="str">
        <f>TEXT(6023527,"0000000")</f>
        <v>6023527</v>
      </c>
      <c r="D772" s="17" t="s">
        <v>1125</v>
      </c>
      <c r="E772" s="16" t="s">
        <v>1123</v>
      </c>
      <c r="F772" s="16" t="s">
        <v>906</v>
      </c>
      <c r="G772" s="35" t="s">
        <v>1124</v>
      </c>
      <c r="H772" s="39">
        <v>0</v>
      </c>
      <c r="I772" s="39">
        <v>0</v>
      </c>
      <c r="J772" s="39">
        <v>0</v>
      </c>
      <c r="K772" s="39">
        <v>0</v>
      </c>
      <c r="L772" s="39">
        <v>0</v>
      </c>
      <c r="M772" s="39">
        <v>0</v>
      </c>
      <c r="N772" s="39">
        <v>0</v>
      </c>
      <c r="O772" s="39">
        <v>0</v>
      </c>
      <c r="P772" s="39">
        <v>0</v>
      </c>
      <c r="Q772" s="39">
        <v>0</v>
      </c>
      <c r="R772" s="39">
        <v>0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0</v>
      </c>
      <c r="AA772" s="39">
        <v>0</v>
      </c>
      <c r="AB772" s="39">
        <v>0</v>
      </c>
      <c r="AC772" s="39">
        <v>1220.3699999999999</v>
      </c>
      <c r="AD772" s="39">
        <v>1207.69</v>
      </c>
      <c r="AE772" s="39">
        <v>1190.99</v>
      </c>
      <c r="AF772" s="39">
        <v>0</v>
      </c>
      <c r="AG772" s="39">
        <v>0</v>
      </c>
      <c r="AH772" s="39">
        <v>0</v>
      </c>
      <c r="AI772" s="39">
        <v>1220.3699999999999</v>
      </c>
      <c r="AJ772" s="39">
        <v>1207.69</v>
      </c>
      <c r="AK772" s="39">
        <v>1190.99</v>
      </c>
      <c r="AL772" s="39">
        <v>0</v>
      </c>
      <c r="AM772" s="39">
        <v>0</v>
      </c>
      <c r="AN772" s="39">
        <v>0</v>
      </c>
      <c r="AO772" s="39">
        <v>1220.3699999999999</v>
      </c>
      <c r="AP772" s="39">
        <v>1207.69</v>
      </c>
      <c r="AQ772" s="39">
        <v>1190.99</v>
      </c>
      <c r="AR772" s="39">
        <v>1220.3699999999999</v>
      </c>
    </row>
    <row r="773" spans="1:44" x14ac:dyDescent="0.35">
      <c r="A773" s="16" t="str">
        <f t="shared" si="67"/>
        <v>19</v>
      </c>
      <c r="B773" s="19">
        <v>64469</v>
      </c>
      <c r="C773" s="16" t="str">
        <f>TEXT(139535,"0000000")</f>
        <v>0139535</v>
      </c>
      <c r="D773" s="19">
        <v>2060</v>
      </c>
      <c r="E773" s="16" t="s">
        <v>3563</v>
      </c>
      <c r="F773" s="16" t="s">
        <v>906</v>
      </c>
      <c r="G773" s="35" t="s">
        <v>3564</v>
      </c>
      <c r="H773" s="39">
        <v>0</v>
      </c>
      <c r="I773" s="39">
        <v>0</v>
      </c>
      <c r="J773" s="39">
        <v>0</v>
      </c>
      <c r="K773" s="39">
        <v>0</v>
      </c>
      <c r="L773" s="39">
        <v>0</v>
      </c>
      <c r="M773" s="39">
        <v>0</v>
      </c>
      <c r="N773" s="39">
        <v>0</v>
      </c>
      <c r="O773" s="39">
        <v>0</v>
      </c>
      <c r="P773" s="39">
        <v>0</v>
      </c>
      <c r="Q773" s="39">
        <v>0</v>
      </c>
      <c r="R773" s="39">
        <v>0</v>
      </c>
      <c r="S773" s="39">
        <v>0</v>
      </c>
      <c r="T773" s="39">
        <v>0</v>
      </c>
      <c r="U773" s="39">
        <v>0</v>
      </c>
      <c r="V773" s="39">
        <v>0</v>
      </c>
      <c r="W773" s="39">
        <v>0</v>
      </c>
      <c r="X773" s="39">
        <v>0</v>
      </c>
      <c r="Y773" s="39">
        <v>0</v>
      </c>
      <c r="Z773" s="39">
        <v>0</v>
      </c>
      <c r="AA773" s="39">
        <v>0</v>
      </c>
      <c r="AB773" s="39">
        <v>0</v>
      </c>
      <c r="AC773" s="39">
        <v>4276.68</v>
      </c>
      <c r="AD773" s="39">
        <v>0</v>
      </c>
      <c r="AE773" s="39">
        <v>0</v>
      </c>
      <c r="AF773" s="39">
        <v>0</v>
      </c>
      <c r="AG773" s="39">
        <v>0</v>
      </c>
      <c r="AH773" s="39">
        <v>0</v>
      </c>
      <c r="AI773" s="39">
        <v>4276.68</v>
      </c>
      <c r="AJ773" s="39">
        <v>0</v>
      </c>
      <c r="AK773" s="39">
        <v>0</v>
      </c>
      <c r="AL773" s="39">
        <v>0</v>
      </c>
      <c r="AM773" s="39">
        <v>4096.7299999999996</v>
      </c>
      <c r="AN773" s="39">
        <v>2911.84</v>
      </c>
      <c r="AO773" s="39">
        <v>4276.68</v>
      </c>
      <c r="AP773" s="39">
        <v>4096.7299999999996</v>
      </c>
      <c r="AQ773" s="39">
        <v>2911.84</v>
      </c>
      <c r="AR773" s="39">
        <v>4276.68</v>
      </c>
    </row>
    <row r="774" spans="1:44" x14ac:dyDescent="0.35">
      <c r="A774" s="16" t="str">
        <f t="shared" si="67"/>
        <v>19</v>
      </c>
      <c r="B774" s="19">
        <v>75713</v>
      </c>
      <c r="C774" s="16" t="str">
        <f t="shared" ref="C774:C789" si="68">TEXT(,"0000000")</f>
        <v>0000000</v>
      </c>
      <c r="D774" s="17" t="s">
        <v>3663</v>
      </c>
      <c r="E774" s="16" t="s">
        <v>901</v>
      </c>
      <c r="F774" s="16" t="s">
        <v>902</v>
      </c>
      <c r="G774" s="35" t="s">
        <v>902</v>
      </c>
      <c r="H774" s="39">
        <v>13863.22</v>
      </c>
      <c r="I774" s="39">
        <v>13885.08</v>
      </c>
      <c r="J774" s="39">
        <v>13978.82</v>
      </c>
      <c r="K774" s="39">
        <v>0</v>
      </c>
      <c r="L774" s="39">
        <v>0</v>
      </c>
      <c r="M774" s="39">
        <v>0</v>
      </c>
      <c r="N774" s="39">
        <v>0</v>
      </c>
      <c r="O774" s="39">
        <v>0</v>
      </c>
      <c r="P774" s="39">
        <v>0</v>
      </c>
      <c r="Q774" s="39">
        <v>0</v>
      </c>
      <c r="R774" s="39">
        <v>0</v>
      </c>
      <c r="S774" s="39">
        <v>0</v>
      </c>
      <c r="T774" s="39">
        <v>35.81</v>
      </c>
      <c r="U774" s="39">
        <v>37.14</v>
      </c>
      <c r="V774" s="39">
        <v>33.89</v>
      </c>
      <c r="W774" s="39">
        <v>87.16</v>
      </c>
      <c r="X774" s="39">
        <v>97.29</v>
      </c>
      <c r="Y774" s="39">
        <v>105.27</v>
      </c>
      <c r="Z774" s="39">
        <v>0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0</v>
      </c>
      <c r="AI774" s="39">
        <v>13986.19</v>
      </c>
      <c r="AJ774" s="39">
        <v>14019.51</v>
      </c>
      <c r="AK774" s="39">
        <v>14117.98</v>
      </c>
      <c r="AL774" s="39">
        <v>0</v>
      </c>
      <c r="AM774" s="39">
        <v>0</v>
      </c>
      <c r="AN774" s="39">
        <v>0</v>
      </c>
      <c r="AO774" s="39">
        <v>13986.19</v>
      </c>
      <c r="AP774" s="39">
        <v>14019.51</v>
      </c>
      <c r="AQ774" s="39">
        <v>14117.98</v>
      </c>
      <c r="AR774" s="39">
        <v>14117.98</v>
      </c>
    </row>
    <row r="775" spans="1:44" x14ac:dyDescent="0.35">
      <c r="A775" s="16" t="str">
        <f t="shared" si="67"/>
        <v>19</v>
      </c>
      <c r="B775" s="19">
        <v>64261</v>
      </c>
      <c r="C775" s="16" t="str">
        <f t="shared" si="68"/>
        <v>0000000</v>
      </c>
      <c r="D775" s="17" t="s">
        <v>3663</v>
      </c>
      <c r="E775" s="16" t="s">
        <v>903</v>
      </c>
      <c r="F775" s="16" t="s">
        <v>902</v>
      </c>
      <c r="G775" s="35" t="s">
        <v>904</v>
      </c>
      <c r="H775" s="39">
        <v>8835.83</v>
      </c>
      <c r="I775" s="39">
        <v>8674.44</v>
      </c>
      <c r="J775" s="39">
        <v>8512.0300000000007</v>
      </c>
      <c r="K775" s="39">
        <v>0</v>
      </c>
      <c r="L775" s="39">
        <v>0</v>
      </c>
      <c r="M775" s="39">
        <v>0</v>
      </c>
      <c r="N775" s="39">
        <v>0</v>
      </c>
      <c r="O775" s="39">
        <v>0</v>
      </c>
      <c r="P775" s="39">
        <v>0</v>
      </c>
      <c r="Q775" s="39">
        <v>0</v>
      </c>
      <c r="R775" s="39">
        <v>0</v>
      </c>
      <c r="S775" s="39">
        <v>0</v>
      </c>
      <c r="T775" s="39">
        <v>0</v>
      </c>
      <c r="U775" s="39">
        <v>0</v>
      </c>
      <c r="V775" s="39">
        <v>0</v>
      </c>
      <c r="W775" s="39">
        <v>0</v>
      </c>
      <c r="X775" s="39">
        <v>0</v>
      </c>
      <c r="Y775" s="39">
        <v>0</v>
      </c>
      <c r="Z775" s="39">
        <v>0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0</v>
      </c>
      <c r="AI775" s="39">
        <v>8835.83</v>
      </c>
      <c r="AJ775" s="39">
        <v>8674.44</v>
      </c>
      <c r="AK775" s="39">
        <v>8512.0300000000007</v>
      </c>
      <c r="AL775" s="39">
        <v>0</v>
      </c>
      <c r="AM775" s="39">
        <v>0</v>
      </c>
      <c r="AN775" s="39">
        <v>0</v>
      </c>
      <c r="AO775" s="39">
        <v>8835.83</v>
      </c>
      <c r="AP775" s="39">
        <v>8674.44</v>
      </c>
      <c r="AQ775" s="39">
        <v>8512.0300000000007</v>
      </c>
      <c r="AR775" s="39">
        <v>8835.83</v>
      </c>
    </row>
    <row r="776" spans="1:44" x14ac:dyDescent="0.35">
      <c r="A776" s="16" t="str">
        <f t="shared" si="67"/>
        <v>19</v>
      </c>
      <c r="B776" s="19">
        <v>64469</v>
      </c>
      <c r="C776" s="16" t="str">
        <f t="shared" si="68"/>
        <v>0000000</v>
      </c>
      <c r="D776" s="17" t="s">
        <v>3663</v>
      </c>
      <c r="E776" s="16" t="s">
        <v>946</v>
      </c>
      <c r="F776" s="16" t="s">
        <v>902</v>
      </c>
      <c r="G776" s="35" t="s">
        <v>947</v>
      </c>
      <c r="H776" s="39">
        <v>2776.45</v>
      </c>
      <c r="I776" s="39">
        <v>2782.64</v>
      </c>
      <c r="J776" s="39">
        <v>2808.99</v>
      </c>
      <c r="K776" s="39">
        <v>0</v>
      </c>
      <c r="L776" s="39">
        <v>0</v>
      </c>
      <c r="M776" s="39">
        <v>0</v>
      </c>
      <c r="N776" s="39">
        <v>0</v>
      </c>
      <c r="O776" s="39">
        <v>0</v>
      </c>
      <c r="P776" s="39">
        <v>0</v>
      </c>
      <c r="Q776" s="39">
        <v>0</v>
      </c>
      <c r="R776" s="39">
        <v>0</v>
      </c>
      <c r="S776" s="39">
        <v>0</v>
      </c>
      <c r="T776" s="39">
        <v>0</v>
      </c>
      <c r="U776" s="39">
        <v>0</v>
      </c>
      <c r="V776" s="39">
        <v>0</v>
      </c>
      <c r="W776" s="39">
        <v>0</v>
      </c>
      <c r="X776" s="39">
        <v>0</v>
      </c>
      <c r="Y776" s="39">
        <v>0</v>
      </c>
      <c r="Z776" s="39">
        <v>0</v>
      </c>
      <c r="AA776" s="39">
        <v>0</v>
      </c>
      <c r="AB776" s="39">
        <v>0</v>
      </c>
      <c r="AC776" s="39">
        <v>0</v>
      </c>
      <c r="AD776" s="39">
        <v>4096.7299999999996</v>
      </c>
      <c r="AE776" s="39">
        <v>2911.84</v>
      </c>
      <c r="AF776" s="39">
        <v>0</v>
      </c>
      <c r="AG776" s="39">
        <v>0</v>
      </c>
      <c r="AH776" s="39">
        <v>0</v>
      </c>
      <c r="AI776" s="39">
        <v>2776.45</v>
      </c>
      <c r="AJ776" s="39">
        <v>6879.37</v>
      </c>
      <c r="AK776" s="39">
        <v>5720.83</v>
      </c>
      <c r="AL776" s="39">
        <v>0</v>
      </c>
      <c r="AM776" s="39">
        <v>-4096.7299999999996</v>
      </c>
      <c r="AN776" s="39">
        <v>-2911.84</v>
      </c>
      <c r="AO776" s="39">
        <v>2776.45</v>
      </c>
      <c r="AP776" s="39">
        <v>2782.64</v>
      </c>
      <c r="AQ776" s="39">
        <v>2808.99</v>
      </c>
      <c r="AR776" s="39">
        <v>2808.99</v>
      </c>
    </row>
    <row r="777" spans="1:44" x14ac:dyDescent="0.35">
      <c r="A777" s="16" t="str">
        <f t="shared" si="67"/>
        <v>19</v>
      </c>
      <c r="B777" s="19">
        <v>64501</v>
      </c>
      <c r="C777" s="16" t="str">
        <f t="shared" si="68"/>
        <v>0000000</v>
      </c>
      <c r="D777" s="17" t="s">
        <v>3663</v>
      </c>
      <c r="E777" s="16" t="s">
        <v>958</v>
      </c>
      <c r="F777" s="16" t="s">
        <v>902</v>
      </c>
      <c r="G777" s="35" t="s">
        <v>959</v>
      </c>
      <c r="H777" s="39">
        <v>6618.48</v>
      </c>
      <c r="I777" s="39">
        <v>6822.39</v>
      </c>
      <c r="J777" s="39">
        <v>6817.63</v>
      </c>
      <c r="K777" s="39">
        <v>0</v>
      </c>
      <c r="L777" s="39">
        <v>0</v>
      </c>
      <c r="M777" s="39">
        <v>0</v>
      </c>
      <c r="N777" s="39">
        <v>0</v>
      </c>
      <c r="O777" s="39">
        <v>0</v>
      </c>
      <c r="P777" s="39">
        <v>0</v>
      </c>
      <c r="Q777" s="39">
        <v>0</v>
      </c>
      <c r="R777" s="39">
        <v>0</v>
      </c>
      <c r="S777" s="39">
        <v>0</v>
      </c>
      <c r="T777" s="39">
        <v>0</v>
      </c>
      <c r="U777" s="39">
        <v>0</v>
      </c>
      <c r="V777" s="39">
        <v>0</v>
      </c>
      <c r="W777" s="39">
        <v>0</v>
      </c>
      <c r="X777" s="39">
        <v>0</v>
      </c>
      <c r="Y777" s="39">
        <v>0</v>
      </c>
      <c r="Z777" s="39">
        <v>0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0</v>
      </c>
      <c r="AI777" s="39">
        <v>6618.48</v>
      </c>
      <c r="AJ777" s="39">
        <v>6822.39</v>
      </c>
      <c r="AK777" s="39">
        <v>6817.63</v>
      </c>
      <c r="AL777" s="39">
        <v>0</v>
      </c>
      <c r="AM777" s="39">
        <v>0</v>
      </c>
      <c r="AN777" s="39">
        <v>0</v>
      </c>
      <c r="AO777" s="39">
        <v>6618.48</v>
      </c>
      <c r="AP777" s="39">
        <v>6822.39</v>
      </c>
      <c r="AQ777" s="39">
        <v>6817.63</v>
      </c>
      <c r="AR777" s="39">
        <v>6822.39</v>
      </c>
    </row>
    <row r="778" spans="1:44" x14ac:dyDescent="0.35">
      <c r="A778" s="16" t="str">
        <f t="shared" si="67"/>
        <v>19</v>
      </c>
      <c r="B778" s="19">
        <v>64519</v>
      </c>
      <c r="C778" s="16" t="str">
        <f t="shared" si="68"/>
        <v>0000000</v>
      </c>
      <c r="D778" s="17" t="s">
        <v>3663</v>
      </c>
      <c r="E778" s="16" t="s">
        <v>960</v>
      </c>
      <c r="F778" s="16" t="s">
        <v>902</v>
      </c>
      <c r="G778" s="35" t="s">
        <v>961</v>
      </c>
      <c r="H778" s="39">
        <v>6713.35</v>
      </c>
      <c r="I778" s="39">
        <v>6719.9</v>
      </c>
      <c r="J778" s="39">
        <v>7237.99</v>
      </c>
      <c r="K778" s="39">
        <v>0</v>
      </c>
      <c r="L778" s="39">
        <v>0</v>
      </c>
      <c r="M778" s="39">
        <v>0</v>
      </c>
      <c r="N778" s="39">
        <v>0</v>
      </c>
      <c r="O778" s="39">
        <v>0</v>
      </c>
      <c r="P778" s="39">
        <v>0</v>
      </c>
      <c r="Q778" s="39">
        <v>0</v>
      </c>
      <c r="R778" s="39">
        <v>0</v>
      </c>
      <c r="S778" s="39">
        <v>0</v>
      </c>
      <c r="T778" s="39">
        <v>0</v>
      </c>
      <c r="U778" s="39">
        <v>0</v>
      </c>
      <c r="V778" s="39">
        <v>0</v>
      </c>
      <c r="W778" s="39">
        <v>0</v>
      </c>
      <c r="X778" s="39">
        <v>0</v>
      </c>
      <c r="Y778" s="39">
        <v>0</v>
      </c>
      <c r="Z778" s="39">
        <v>0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0</v>
      </c>
      <c r="AI778" s="39">
        <v>6713.35</v>
      </c>
      <c r="AJ778" s="39">
        <v>6719.9</v>
      </c>
      <c r="AK778" s="39">
        <v>7237.99</v>
      </c>
      <c r="AL778" s="39">
        <v>0</v>
      </c>
      <c r="AM778" s="39">
        <v>0</v>
      </c>
      <c r="AN778" s="39">
        <v>0</v>
      </c>
      <c r="AO778" s="39">
        <v>6713.35</v>
      </c>
      <c r="AP778" s="39">
        <v>6719.9</v>
      </c>
      <c r="AQ778" s="39">
        <v>7237.99</v>
      </c>
      <c r="AR778" s="39">
        <v>7237.99</v>
      </c>
    </row>
    <row r="779" spans="1:44" x14ac:dyDescent="0.35">
      <c r="A779" s="16" t="str">
        <f t="shared" si="67"/>
        <v>19</v>
      </c>
      <c r="B779" s="19">
        <v>64550</v>
      </c>
      <c r="C779" s="16" t="str">
        <f t="shared" si="68"/>
        <v>0000000</v>
      </c>
      <c r="D779" s="17" t="s">
        <v>3663</v>
      </c>
      <c r="E779" s="16" t="s">
        <v>966</v>
      </c>
      <c r="F779" s="16" t="s">
        <v>902</v>
      </c>
      <c r="G779" s="35" t="s">
        <v>967</v>
      </c>
      <c r="H779" s="39">
        <v>4072.24</v>
      </c>
      <c r="I779" s="39">
        <v>4066.04</v>
      </c>
      <c r="J779" s="39">
        <v>4023.99</v>
      </c>
      <c r="K779" s="39">
        <v>0</v>
      </c>
      <c r="L779" s="39">
        <v>0</v>
      </c>
      <c r="M779" s="39">
        <v>0</v>
      </c>
      <c r="N779" s="39">
        <v>0</v>
      </c>
      <c r="O779" s="39">
        <v>0</v>
      </c>
      <c r="P779" s="39">
        <v>0</v>
      </c>
      <c r="Q779" s="39">
        <v>0</v>
      </c>
      <c r="R779" s="39">
        <v>0</v>
      </c>
      <c r="S779" s="39">
        <v>0</v>
      </c>
      <c r="T779" s="39">
        <v>0</v>
      </c>
      <c r="U779" s="39">
        <v>0</v>
      </c>
      <c r="V779" s="39">
        <v>0</v>
      </c>
      <c r="W779" s="39">
        <v>0</v>
      </c>
      <c r="X779" s="39">
        <v>0</v>
      </c>
      <c r="Y779" s="39">
        <v>0</v>
      </c>
      <c r="Z779" s="39">
        <v>0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0</v>
      </c>
      <c r="AI779" s="39">
        <v>4072.24</v>
      </c>
      <c r="AJ779" s="39">
        <v>4066.04</v>
      </c>
      <c r="AK779" s="39">
        <v>4023.99</v>
      </c>
      <c r="AL779" s="39">
        <v>0</v>
      </c>
      <c r="AM779" s="39">
        <v>0</v>
      </c>
      <c r="AN779" s="39">
        <v>0</v>
      </c>
      <c r="AO779" s="39">
        <v>4072.24</v>
      </c>
      <c r="AP779" s="39">
        <v>4066.04</v>
      </c>
      <c r="AQ779" s="39">
        <v>4023.99</v>
      </c>
      <c r="AR779" s="39">
        <v>4072.24</v>
      </c>
    </row>
    <row r="780" spans="1:44" x14ac:dyDescent="0.35">
      <c r="A780" s="16" t="str">
        <f t="shared" si="67"/>
        <v>19</v>
      </c>
      <c r="B780" s="19">
        <v>64790</v>
      </c>
      <c r="C780" s="16" t="str">
        <f t="shared" si="68"/>
        <v>0000000</v>
      </c>
      <c r="D780" s="17" t="s">
        <v>3663</v>
      </c>
      <c r="E780" s="16" t="s">
        <v>1061</v>
      </c>
      <c r="F780" s="16" t="s">
        <v>902</v>
      </c>
      <c r="G780" s="35" t="s">
        <v>1062</v>
      </c>
      <c r="H780" s="39">
        <v>5002.96</v>
      </c>
      <c r="I780" s="39">
        <v>4622.78</v>
      </c>
      <c r="J780" s="39">
        <v>4611.9799999999996</v>
      </c>
      <c r="K780" s="39">
        <v>0</v>
      </c>
      <c r="L780" s="39">
        <v>0</v>
      </c>
      <c r="M780" s="39">
        <v>0</v>
      </c>
      <c r="N780" s="39">
        <v>0</v>
      </c>
      <c r="O780" s="39">
        <v>0</v>
      </c>
      <c r="P780" s="39">
        <v>0</v>
      </c>
      <c r="Q780" s="39">
        <v>0</v>
      </c>
      <c r="R780" s="39">
        <v>0</v>
      </c>
      <c r="S780" s="39">
        <v>0</v>
      </c>
      <c r="T780" s="39">
        <v>0</v>
      </c>
      <c r="U780" s="39">
        <v>0</v>
      </c>
      <c r="V780" s="39">
        <v>0</v>
      </c>
      <c r="W780" s="39">
        <v>0</v>
      </c>
      <c r="X780" s="39">
        <v>0</v>
      </c>
      <c r="Y780" s="39">
        <v>0</v>
      </c>
      <c r="Z780" s="39">
        <v>0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0</v>
      </c>
      <c r="AI780" s="39">
        <v>5002.96</v>
      </c>
      <c r="AJ780" s="39">
        <v>4622.78</v>
      </c>
      <c r="AK780" s="39">
        <v>4611.9799999999996</v>
      </c>
      <c r="AL780" s="39">
        <v>0</v>
      </c>
      <c r="AM780" s="39">
        <v>0</v>
      </c>
      <c r="AN780" s="39">
        <v>0</v>
      </c>
      <c r="AO780" s="39">
        <v>5002.96</v>
      </c>
      <c r="AP780" s="39">
        <v>4622.78</v>
      </c>
      <c r="AQ780" s="39">
        <v>4611.9799999999996</v>
      </c>
      <c r="AR780" s="39">
        <v>5002.96</v>
      </c>
    </row>
    <row r="781" spans="1:44" x14ac:dyDescent="0.35">
      <c r="A781" s="16" t="str">
        <f t="shared" si="67"/>
        <v>19</v>
      </c>
      <c r="B781" s="19">
        <v>64816</v>
      </c>
      <c r="C781" s="16" t="str">
        <f t="shared" si="68"/>
        <v>0000000</v>
      </c>
      <c r="D781" s="17" t="s">
        <v>3663</v>
      </c>
      <c r="E781" s="16" t="s">
        <v>1065</v>
      </c>
      <c r="F781" s="16" t="s">
        <v>902</v>
      </c>
      <c r="G781" s="35" t="s">
        <v>1066</v>
      </c>
      <c r="H781" s="39">
        <v>4201.2700000000004</v>
      </c>
      <c r="I781" s="39">
        <v>4349.9799999999996</v>
      </c>
      <c r="J781" s="39">
        <v>4516</v>
      </c>
      <c r="K781" s="39">
        <v>0</v>
      </c>
      <c r="L781" s="39">
        <v>0</v>
      </c>
      <c r="M781" s="39">
        <v>0</v>
      </c>
      <c r="N781" s="39">
        <v>0</v>
      </c>
      <c r="O781" s="39">
        <v>0</v>
      </c>
      <c r="P781" s="39">
        <v>0</v>
      </c>
      <c r="Q781" s="39">
        <v>0</v>
      </c>
      <c r="R781" s="39">
        <v>0</v>
      </c>
      <c r="S781" s="39">
        <v>0</v>
      </c>
      <c r="T781" s="39">
        <v>0</v>
      </c>
      <c r="U781" s="39">
        <v>0</v>
      </c>
      <c r="V781" s="39">
        <v>0</v>
      </c>
      <c r="W781" s="39">
        <v>0</v>
      </c>
      <c r="X781" s="39">
        <v>0</v>
      </c>
      <c r="Y781" s="39">
        <v>0</v>
      </c>
      <c r="Z781" s="39">
        <v>0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0</v>
      </c>
      <c r="AI781" s="39">
        <v>4201.2700000000004</v>
      </c>
      <c r="AJ781" s="39">
        <v>4349.9799999999996</v>
      </c>
      <c r="AK781" s="39">
        <v>4516</v>
      </c>
      <c r="AL781" s="39">
        <v>0</v>
      </c>
      <c r="AM781" s="39">
        <v>0</v>
      </c>
      <c r="AN781" s="39">
        <v>0</v>
      </c>
      <c r="AO781" s="39">
        <v>4201.2700000000004</v>
      </c>
      <c r="AP781" s="39">
        <v>4349.9799999999996</v>
      </c>
      <c r="AQ781" s="39">
        <v>4516</v>
      </c>
      <c r="AR781" s="39">
        <v>4516</v>
      </c>
    </row>
    <row r="782" spans="1:44" x14ac:dyDescent="0.35">
      <c r="A782" s="16" t="str">
        <f t="shared" si="67"/>
        <v>19</v>
      </c>
      <c r="B782" s="19">
        <v>64931</v>
      </c>
      <c r="C782" s="16" t="str">
        <f t="shared" si="68"/>
        <v>0000000</v>
      </c>
      <c r="D782" s="17" t="s">
        <v>3663</v>
      </c>
      <c r="E782" s="16" t="s">
        <v>1098</v>
      </c>
      <c r="F782" s="16" t="s">
        <v>902</v>
      </c>
      <c r="G782" s="35" t="s">
        <v>1099</v>
      </c>
      <c r="H782" s="39">
        <v>2225.35</v>
      </c>
      <c r="I782" s="39">
        <v>2220.54</v>
      </c>
      <c r="J782" s="39">
        <v>2200.3200000000002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2225.35</v>
      </c>
      <c r="AJ782" s="39">
        <v>2220.54</v>
      </c>
      <c r="AK782" s="39">
        <v>2200.3200000000002</v>
      </c>
      <c r="AL782" s="39">
        <v>0</v>
      </c>
      <c r="AM782" s="39">
        <v>0</v>
      </c>
      <c r="AN782" s="39">
        <v>0</v>
      </c>
      <c r="AO782" s="39">
        <v>2225.35</v>
      </c>
      <c r="AP782" s="39">
        <v>2220.54</v>
      </c>
      <c r="AQ782" s="39">
        <v>2200.3200000000002</v>
      </c>
      <c r="AR782" s="39">
        <v>2225.35</v>
      </c>
    </row>
    <row r="783" spans="1:44" x14ac:dyDescent="0.35">
      <c r="A783" s="16" t="str">
        <f t="shared" si="67"/>
        <v>19</v>
      </c>
      <c r="B783" s="19">
        <v>64964</v>
      </c>
      <c r="C783" s="16" t="str">
        <f t="shared" si="68"/>
        <v>0000000</v>
      </c>
      <c r="D783" s="17" t="s">
        <v>3663</v>
      </c>
      <c r="E783" s="16" t="s">
        <v>1100</v>
      </c>
      <c r="F783" s="16" t="s">
        <v>902</v>
      </c>
      <c r="G783" s="35" t="s">
        <v>1101</v>
      </c>
      <c r="H783" s="39">
        <v>3009.03</v>
      </c>
      <c r="I783" s="39">
        <v>2838.76</v>
      </c>
      <c r="J783" s="39">
        <v>2646.61</v>
      </c>
      <c r="K783" s="39">
        <v>0</v>
      </c>
      <c r="L783" s="39">
        <v>0</v>
      </c>
      <c r="M783" s="39">
        <v>0</v>
      </c>
      <c r="N783" s="39">
        <v>0</v>
      </c>
      <c r="O783" s="39">
        <v>0</v>
      </c>
      <c r="P783" s="39">
        <v>0</v>
      </c>
      <c r="Q783" s="39">
        <v>0</v>
      </c>
      <c r="R783" s="39">
        <v>0</v>
      </c>
      <c r="S783" s="39">
        <v>0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0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0</v>
      </c>
      <c r="AI783" s="39">
        <v>3009.03</v>
      </c>
      <c r="AJ783" s="39">
        <v>2838.76</v>
      </c>
      <c r="AK783" s="39">
        <v>2646.61</v>
      </c>
      <c r="AL783" s="39">
        <v>0</v>
      </c>
      <c r="AM783" s="39">
        <v>0</v>
      </c>
      <c r="AN783" s="39">
        <v>0</v>
      </c>
      <c r="AO783" s="39">
        <v>3009.03</v>
      </c>
      <c r="AP783" s="39">
        <v>2838.76</v>
      </c>
      <c r="AQ783" s="39">
        <v>2646.61</v>
      </c>
      <c r="AR783" s="39">
        <v>3009.03</v>
      </c>
    </row>
    <row r="784" spans="1:44" x14ac:dyDescent="0.35">
      <c r="A784" s="16" t="str">
        <f t="shared" si="67"/>
        <v>19</v>
      </c>
      <c r="B784" s="19">
        <v>65029</v>
      </c>
      <c r="C784" s="16" t="str">
        <f t="shared" si="68"/>
        <v>0000000</v>
      </c>
      <c r="D784" s="17" t="s">
        <v>3663</v>
      </c>
      <c r="E784" s="16" t="s">
        <v>1106</v>
      </c>
      <c r="F784" s="16" t="s">
        <v>902</v>
      </c>
      <c r="G784" s="35" t="s">
        <v>1107</v>
      </c>
      <c r="H784" s="39">
        <v>4514.97</v>
      </c>
      <c r="I784" s="39">
        <v>4511.87</v>
      </c>
      <c r="J784" s="39">
        <v>4456.5</v>
      </c>
      <c r="K784" s="39">
        <v>0</v>
      </c>
      <c r="L784" s="39">
        <v>0</v>
      </c>
      <c r="M784" s="39">
        <v>0</v>
      </c>
      <c r="N784" s="39">
        <v>0</v>
      </c>
      <c r="O784" s="39">
        <v>0</v>
      </c>
      <c r="P784" s="39">
        <v>0</v>
      </c>
      <c r="Q784" s="39">
        <v>0</v>
      </c>
      <c r="R784" s="39">
        <v>0</v>
      </c>
      <c r="S784" s="39">
        <v>0</v>
      </c>
      <c r="T784" s="39">
        <v>0</v>
      </c>
      <c r="U784" s="39">
        <v>0</v>
      </c>
      <c r="V784" s="39">
        <v>0</v>
      </c>
      <c r="W784" s="39">
        <v>0</v>
      </c>
      <c r="X784" s="39">
        <v>0</v>
      </c>
      <c r="Y784" s="39">
        <v>0</v>
      </c>
      <c r="Z784" s="39">
        <v>0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0</v>
      </c>
      <c r="AI784" s="39">
        <v>4514.97</v>
      </c>
      <c r="AJ784" s="39">
        <v>4511.87</v>
      </c>
      <c r="AK784" s="39">
        <v>4456.5</v>
      </c>
      <c r="AL784" s="39">
        <v>0</v>
      </c>
      <c r="AM784" s="39">
        <v>0</v>
      </c>
      <c r="AN784" s="39">
        <v>0</v>
      </c>
      <c r="AO784" s="39">
        <v>4514.97</v>
      </c>
      <c r="AP784" s="39">
        <v>4511.87</v>
      </c>
      <c r="AQ784" s="39">
        <v>4456.5</v>
      </c>
      <c r="AR784" s="39">
        <v>4514.97</v>
      </c>
    </row>
    <row r="785" spans="1:44" x14ac:dyDescent="0.35">
      <c r="A785" s="16" t="str">
        <f t="shared" si="67"/>
        <v>19</v>
      </c>
      <c r="B785" s="19">
        <v>65052</v>
      </c>
      <c r="C785" s="16" t="str">
        <f t="shared" si="68"/>
        <v>0000000</v>
      </c>
      <c r="D785" s="17" t="s">
        <v>3663</v>
      </c>
      <c r="E785" s="16" t="s">
        <v>1112</v>
      </c>
      <c r="F785" s="16" t="s">
        <v>902</v>
      </c>
      <c r="G785" s="35" t="s">
        <v>1113</v>
      </c>
      <c r="H785" s="39">
        <v>5125.83</v>
      </c>
      <c r="I785" s="39">
        <v>5059.5200000000004</v>
      </c>
      <c r="J785" s="39">
        <v>4998.07</v>
      </c>
      <c r="K785" s="39">
        <v>0</v>
      </c>
      <c r="L785" s="39">
        <v>0</v>
      </c>
      <c r="M785" s="39">
        <v>0</v>
      </c>
      <c r="N785" s="39">
        <v>0</v>
      </c>
      <c r="O785" s="39">
        <v>0</v>
      </c>
      <c r="P785" s="39">
        <v>0</v>
      </c>
      <c r="Q785" s="39">
        <v>0</v>
      </c>
      <c r="R785" s="39">
        <v>0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0</v>
      </c>
      <c r="Y785" s="39">
        <v>0</v>
      </c>
      <c r="Z785" s="39">
        <v>0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0</v>
      </c>
      <c r="AI785" s="39">
        <v>5125.83</v>
      </c>
      <c r="AJ785" s="39">
        <v>5059.5200000000004</v>
      </c>
      <c r="AK785" s="39">
        <v>4998.07</v>
      </c>
      <c r="AL785" s="39">
        <v>0</v>
      </c>
      <c r="AM785" s="39">
        <v>0</v>
      </c>
      <c r="AN785" s="39">
        <v>0</v>
      </c>
      <c r="AO785" s="39">
        <v>5125.83</v>
      </c>
      <c r="AP785" s="39">
        <v>5059.5200000000004</v>
      </c>
      <c r="AQ785" s="39">
        <v>4998.07</v>
      </c>
      <c r="AR785" s="39">
        <v>5125.83</v>
      </c>
    </row>
    <row r="786" spans="1:44" x14ac:dyDescent="0.35">
      <c r="A786" s="16" t="str">
        <f t="shared" si="67"/>
        <v>19</v>
      </c>
      <c r="B786" s="19">
        <v>65078</v>
      </c>
      <c r="C786" s="16" t="str">
        <f t="shared" si="68"/>
        <v>0000000</v>
      </c>
      <c r="D786" s="17" t="s">
        <v>3663</v>
      </c>
      <c r="E786" s="16" t="s">
        <v>1116</v>
      </c>
      <c r="F786" s="16" t="s">
        <v>902</v>
      </c>
      <c r="G786" s="35" t="s">
        <v>1117</v>
      </c>
      <c r="H786" s="39">
        <v>845.71</v>
      </c>
      <c r="I786" s="39">
        <v>817.77</v>
      </c>
      <c r="J786" s="39">
        <v>810.81</v>
      </c>
      <c r="K786" s="39">
        <v>0</v>
      </c>
      <c r="L786" s="39">
        <v>0</v>
      </c>
      <c r="M786" s="39">
        <v>0</v>
      </c>
      <c r="N786" s="39">
        <v>0</v>
      </c>
      <c r="O786" s="39">
        <v>0</v>
      </c>
      <c r="P786" s="39">
        <v>0</v>
      </c>
      <c r="Q786" s="39">
        <v>0</v>
      </c>
      <c r="R786" s="39">
        <v>0</v>
      </c>
      <c r="S786" s="39">
        <v>0</v>
      </c>
      <c r="T786" s="39">
        <v>0</v>
      </c>
      <c r="U786" s="39">
        <v>0</v>
      </c>
      <c r="V786" s="39">
        <v>0</v>
      </c>
      <c r="W786" s="39">
        <v>0</v>
      </c>
      <c r="X786" s="39">
        <v>0</v>
      </c>
      <c r="Y786" s="39">
        <v>0</v>
      </c>
      <c r="Z786" s="39">
        <v>0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0</v>
      </c>
      <c r="AI786" s="39">
        <v>845.71</v>
      </c>
      <c r="AJ786" s="39">
        <v>817.77</v>
      </c>
      <c r="AK786" s="39">
        <v>810.81</v>
      </c>
      <c r="AL786" s="39">
        <v>0</v>
      </c>
      <c r="AM786" s="39">
        <v>0</v>
      </c>
      <c r="AN786" s="39">
        <v>0</v>
      </c>
      <c r="AO786" s="39">
        <v>845.71</v>
      </c>
      <c r="AP786" s="39">
        <v>817.77</v>
      </c>
      <c r="AQ786" s="39">
        <v>810.81</v>
      </c>
      <c r="AR786" s="39">
        <v>845.71</v>
      </c>
    </row>
    <row r="787" spans="1:44" x14ac:dyDescent="0.35">
      <c r="A787" s="16" t="str">
        <f t="shared" si="67"/>
        <v>19</v>
      </c>
      <c r="B787" s="19">
        <v>75291</v>
      </c>
      <c r="C787" s="16" t="str">
        <f t="shared" si="68"/>
        <v>0000000</v>
      </c>
      <c r="D787" s="17" t="s">
        <v>3663</v>
      </c>
      <c r="E787" s="16" t="s">
        <v>1166</v>
      </c>
      <c r="F787" s="16" t="s">
        <v>902</v>
      </c>
      <c r="G787" s="35" t="s">
        <v>1167</v>
      </c>
      <c r="H787" s="39">
        <v>4264.34</v>
      </c>
      <c r="I787" s="39">
        <v>4323.08</v>
      </c>
      <c r="J787" s="39">
        <v>4283.34</v>
      </c>
      <c r="K787" s="39">
        <v>0</v>
      </c>
      <c r="L787" s="39">
        <v>0</v>
      </c>
      <c r="M787" s="39">
        <v>0</v>
      </c>
      <c r="N787" s="39">
        <v>0</v>
      </c>
      <c r="O787" s="39">
        <v>0</v>
      </c>
      <c r="P787" s="39">
        <v>0</v>
      </c>
      <c r="Q787" s="39">
        <v>0</v>
      </c>
      <c r="R787" s="39">
        <v>0</v>
      </c>
      <c r="S787" s="39">
        <v>0</v>
      </c>
      <c r="T787" s="39">
        <v>0</v>
      </c>
      <c r="U787" s="39">
        <v>0</v>
      </c>
      <c r="V787" s="39">
        <v>0</v>
      </c>
      <c r="W787" s="39">
        <v>0</v>
      </c>
      <c r="X787" s="39">
        <v>0</v>
      </c>
      <c r="Y787" s="39">
        <v>0</v>
      </c>
      <c r="Z787" s="39">
        <v>0</v>
      </c>
      <c r="AA787" s="39">
        <v>0</v>
      </c>
      <c r="AB787" s="39">
        <v>0</v>
      </c>
      <c r="AC787" s="39">
        <v>490.22</v>
      </c>
      <c r="AD787" s="39">
        <v>499.33</v>
      </c>
      <c r="AE787" s="39">
        <v>673.28</v>
      </c>
      <c r="AF787" s="39">
        <v>0</v>
      </c>
      <c r="AG787" s="39">
        <v>0</v>
      </c>
      <c r="AH787" s="39">
        <v>0</v>
      </c>
      <c r="AI787" s="39">
        <v>4754.5600000000004</v>
      </c>
      <c r="AJ787" s="39">
        <v>4822.41</v>
      </c>
      <c r="AK787" s="39">
        <v>4956.62</v>
      </c>
      <c r="AL787" s="39">
        <v>0</v>
      </c>
      <c r="AM787" s="39">
        <v>0</v>
      </c>
      <c r="AN787" s="39">
        <v>0</v>
      </c>
      <c r="AO787" s="39">
        <v>4754.5600000000004</v>
      </c>
      <c r="AP787" s="39">
        <v>4822.41</v>
      </c>
      <c r="AQ787" s="39">
        <v>4956.62</v>
      </c>
      <c r="AR787" s="39">
        <v>4956.62</v>
      </c>
    </row>
    <row r="788" spans="1:44" x14ac:dyDescent="0.35">
      <c r="A788" s="16" t="str">
        <f>TEXT(34,"00")</f>
        <v>34</v>
      </c>
      <c r="B788" s="19">
        <v>67314</v>
      </c>
      <c r="C788" s="16" t="str">
        <f t="shared" si="68"/>
        <v>0000000</v>
      </c>
      <c r="D788" s="17" t="s">
        <v>3663</v>
      </c>
      <c r="E788" s="16" t="s">
        <v>1793</v>
      </c>
      <c r="F788" s="16" t="s">
        <v>1794</v>
      </c>
      <c r="G788" s="35" t="s">
        <v>1794</v>
      </c>
      <c r="H788" s="39">
        <v>59269.98</v>
      </c>
      <c r="I788" s="39">
        <v>58621.61</v>
      </c>
      <c r="J788" s="39">
        <v>57218.42</v>
      </c>
      <c r="K788" s="39">
        <v>0</v>
      </c>
      <c r="L788" s="39">
        <v>0</v>
      </c>
      <c r="M788" s="39">
        <v>0</v>
      </c>
      <c r="N788" s="39">
        <v>0</v>
      </c>
      <c r="O788" s="39">
        <v>0</v>
      </c>
      <c r="P788" s="39">
        <v>0</v>
      </c>
      <c r="Q788" s="39">
        <v>0</v>
      </c>
      <c r="R788" s="39">
        <v>0</v>
      </c>
      <c r="S788" s="39">
        <v>0</v>
      </c>
      <c r="T788" s="39">
        <v>0</v>
      </c>
      <c r="U788" s="39">
        <v>0</v>
      </c>
      <c r="V788" s="39">
        <v>0</v>
      </c>
      <c r="W788" s="39">
        <v>0</v>
      </c>
      <c r="X788" s="39">
        <v>0</v>
      </c>
      <c r="Y788" s="39">
        <v>0</v>
      </c>
      <c r="Z788" s="39">
        <v>0</v>
      </c>
      <c r="AA788" s="39">
        <v>0</v>
      </c>
      <c r="AB788" s="39">
        <v>0</v>
      </c>
      <c r="AC788" s="39">
        <v>218.92</v>
      </c>
      <c r="AD788" s="39">
        <v>232.31</v>
      </c>
      <c r="AE788" s="39">
        <v>273.26</v>
      </c>
      <c r="AF788" s="39">
        <v>0</v>
      </c>
      <c r="AG788" s="39">
        <v>0</v>
      </c>
      <c r="AH788" s="39">
        <v>0</v>
      </c>
      <c r="AI788" s="39">
        <v>59488.9</v>
      </c>
      <c r="AJ788" s="39">
        <v>58853.919999999998</v>
      </c>
      <c r="AK788" s="39">
        <v>57491.68</v>
      </c>
      <c r="AL788" s="39">
        <v>0</v>
      </c>
      <c r="AM788" s="39">
        <v>0</v>
      </c>
      <c r="AN788" s="39">
        <v>0</v>
      </c>
      <c r="AO788" s="39">
        <v>59488.9</v>
      </c>
      <c r="AP788" s="39">
        <v>58853.919999999998</v>
      </c>
      <c r="AQ788" s="39">
        <v>57491.68</v>
      </c>
      <c r="AR788" s="39">
        <v>59488.9</v>
      </c>
    </row>
    <row r="789" spans="1:44" x14ac:dyDescent="0.35">
      <c r="A789" s="16" t="str">
        <f>TEXT(9,"00")</f>
        <v>09</v>
      </c>
      <c r="B789" s="19">
        <v>10090</v>
      </c>
      <c r="C789" s="16" t="str">
        <f t="shared" si="68"/>
        <v>0000000</v>
      </c>
      <c r="D789" s="17" t="s">
        <v>3663</v>
      </c>
      <c r="E789" s="16" t="s">
        <v>4</v>
      </c>
      <c r="F789" s="16" t="s">
        <v>5</v>
      </c>
      <c r="G789" s="35" t="s">
        <v>5</v>
      </c>
      <c r="H789" s="39">
        <v>0</v>
      </c>
      <c r="I789" s="39">
        <v>0</v>
      </c>
      <c r="J789" s="39">
        <v>0</v>
      </c>
      <c r="K789" s="39">
        <v>0</v>
      </c>
      <c r="L789" s="39">
        <v>0</v>
      </c>
      <c r="M789" s="39">
        <v>0</v>
      </c>
      <c r="N789" s="39">
        <v>0</v>
      </c>
      <c r="O789" s="39">
        <v>0</v>
      </c>
      <c r="P789" s="39">
        <v>0</v>
      </c>
      <c r="Q789" s="39">
        <v>0</v>
      </c>
      <c r="R789" s="39">
        <v>0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0</v>
      </c>
      <c r="Z789" s="39">
        <v>0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0</v>
      </c>
      <c r="AI789" s="39">
        <v>0</v>
      </c>
      <c r="AJ789" s="39">
        <v>0</v>
      </c>
      <c r="AK789" s="39">
        <v>0</v>
      </c>
      <c r="AL789" s="39">
        <v>0</v>
      </c>
      <c r="AM789" s="39">
        <v>0</v>
      </c>
      <c r="AN789" s="39">
        <v>0</v>
      </c>
      <c r="AO789" s="39">
        <v>0</v>
      </c>
      <c r="AP789" s="39">
        <v>0</v>
      </c>
      <c r="AQ789" s="39">
        <v>0</v>
      </c>
      <c r="AR789" s="39">
        <v>0</v>
      </c>
    </row>
    <row r="790" spans="1:44" x14ac:dyDescent="0.35">
      <c r="A790" s="16" t="str">
        <f t="shared" ref="A790:A799" si="69">TEXT(1,"00")</f>
        <v>01</v>
      </c>
      <c r="B790" s="19">
        <v>10017</v>
      </c>
      <c r="C790" s="16" t="str">
        <f>TEXT(112607,"0000000")</f>
        <v>0112607</v>
      </c>
      <c r="D790" s="17" t="s">
        <v>8</v>
      </c>
      <c r="E790" s="16" t="s">
        <v>6</v>
      </c>
      <c r="F790" s="16" t="s">
        <v>5</v>
      </c>
      <c r="G790" s="35" t="s">
        <v>7</v>
      </c>
      <c r="H790" s="39">
        <v>0</v>
      </c>
      <c r="I790" s="39">
        <v>0</v>
      </c>
      <c r="J790" s="39">
        <v>0</v>
      </c>
      <c r="K790" s="39">
        <v>0</v>
      </c>
      <c r="L790" s="39">
        <v>0</v>
      </c>
      <c r="M790" s="39">
        <v>0</v>
      </c>
      <c r="N790" s="39">
        <v>0</v>
      </c>
      <c r="O790" s="39">
        <v>0</v>
      </c>
      <c r="P790" s="39">
        <v>0</v>
      </c>
      <c r="Q790" s="39">
        <v>0</v>
      </c>
      <c r="R790" s="39">
        <v>0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0</v>
      </c>
      <c r="AA790" s="39">
        <v>0</v>
      </c>
      <c r="AB790" s="39">
        <v>0</v>
      </c>
      <c r="AC790" s="39">
        <v>165.23</v>
      </c>
      <c r="AD790" s="39">
        <v>191.67</v>
      </c>
      <c r="AE790" s="39">
        <v>231.45</v>
      </c>
      <c r="AF790" s="39">
        <v>0</v>
      </c>
      <c r="AG790" s="39">
        <v>0</v>
      </c>
      <c r="AH790" s="39">
        <v>0</v>
      </c>
      <c r="AI790" s="39">
        <v>165.23</v>
      </c>
      <c r="AJ790" s="39">
        <v>191.67</v>
      </c>
      <c r="AK790" s="39">
        <v>231.45</v>
      </c>
      <c r="AL790" s="39">
        <v>0</v>
      </c>
      <c r="AM790" s="39">
        <v>0</v>
      </c>
      <c r="AN790" s="39">
        <v>0</v>
      </c>
      <c r="AO790" s="39">
        <v>165.23</v>
      </c>
      <c r="AP790" s="39">
        <v>191.67</v>
      </c>
      <c r="AQ790" s="39">
        <v>231.45</v>
      </c>
      <c r="AR790" s="39">
        <v>231.45</v>
      </c>
    </row>
    <row r="791" spans="1:44" x14ac:dyDescent="0.35">
      <c r="A791" s="16" t="str">
        <f t="shared" si="69"/>
        <v>01</v>
      </c>
      <c r="B791" s="19">
        <v>10017</v>
      </c>
      <c r="C791" s="16" t="str">
        <f>TEXT(123968,"0000000")</f>
        <v>0123968</v>
      </c>
      <c r="D791" s="19">
        <v>1284</v>
      </c>
      <c r="E791" s="16" t="s">
        <v>9</v>
      </c>
      <c r="F791" s="16" t="s">
        <v>5</v>
      </c>
      <c r="G791" s="35" t="s">
        <v>10</v>
      </c>
      <c r="H791" s="39">
        <v>0</v>
      </c>
      <c r="I791" s="39">
        <v>0</v>
      </c>
      <c r="J791" s="39">
        <v>0</v>
      </c>
      <c r="K791" s="39">
        <v>0</v>
      </c>
      <c r="L791" s="39">
        <v>0</v>
      </c>
      <c r="M791" s="39">
        <v>0</v>
      </c>
      <c r="N791" s="39">
        <v>0</v>
      </c>
      <c r="O791" s="39">
        <v>0</v>
      </c>
      <c r="P791" s="39">
        <v>0</v>
      </c>
      <c r="Q791" s="39">
        <v>0</v>
      </c>
      <c r="R791" s="39">
        <v>0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0</v>
      </c>
      <c r="Y791" s="39">
        <v>0</v>
      </c>
      <c r="Z791" s="39">
        <v>0</v>
      </c>
      <c r="AA791" s="39">
        <v>0</v>
      </c>
      <c r="AB791" s="39">
        <v>0</v>
      </c>
      <c r="AC791" s="39">
        <v>157.86000000000001</v>
      </c>
      <c r="AD791" s="39">
        <v>165.6</v>
      </c>
      <c r="AE791" s="39">
        <v>166</v>
      </c>
      <c r="AF791" s="39">
        <v>0</v>
      </c>
      <c r="AG791" s="39">
        <v>0</v>
      </c>
      <c r="AH791" s="39">
        <v>0</v>
      </c>
      <c r="AI791" s="39">
        <v>157.86000000000001</v>
      </c>
      <c r="AJ791" s="39">
        <v>165.6</v>
      </c>
      <c r="AK791" s="39">
        <v>166</v>
      </c>
      <c r="AL791" s="39">
        <v>0</v>
      </c>
      <c r="AM791" s="39">
        <v>0</v>
      </c>
      <c r="AN791" s="39">
        <v>0</v>
      </c>
      <c r="AO791" s="39">
        <v>157.86000000000001</v>
      </c>
      <c r="AP791" s="39">
        <v>165.6</v>
      </c>
      <c r="AQ791" s="39">
        <v>166</v>
      </c>
      <c r="AR791" s="39">
        <v>166</v>
      </c>
    </row>
    <row r="792" spans="1:44" x14ac:dyDescent="0.35">
      <c r="A792" s="16" t="str">
        <f t="shared" si="69"/>
        <v>01</v>
      </c>
      <c r="B792" s="19">
        <v>10017</v>
      </c>
      <c r="C792" s="16" t="str">
        <f>TEXT(124172,"0000000")</f>
        <v>0124172</v>
      </c>
      <c r="D792" s="19">
        <v>1296</v>
      </c>
      <c r="E792" s="16" t="s">
        <v>11</v>
      </c>
      <c r="F792" s="16" t="s">
        <v>5</v>
      </c>
      <c r="G792" s="35" t="s">
        <v>12</v>
      </c>
      <c r="H792" s="39">
        <v>0</v>
      </c>
      <c r="I792" s="39">
        <v>0</v>
      </c>
      <c r="J792" s="39">
        <v>0</v>
      </c>
      <c r="K792" s="39">
        <v>0</v>
      </c>
      <c r="L792" s="39">
        <v>0</v>
      </c>
      <c r="M792" s="39">
        <v>0</v>
      </c>
      <c r="N792" s="39">
        <v>0</v>
      </c>
      <c r="O792" s="39">
        <v>0</v>
      </c>
      <c r="P792" s="39">
        <v>0</v>
      </c>
      <c r="Q792" s="39">
        <v>0</v>
      </c>
      <c r="R792" s="39">
        <v>0</v>
      </c>
      <c r="S792" s="39">
        <v>0</v>
      </c>
      <c r="T792" s="39">
        <v>0</v>
      </c>
      <c r="U792" s="39">
        <v>0</v>
      </c>
      <c r="V792" s="39">
        <v>0</v>
      </c>
      <c r="W792" s="39">
        <v>0</v>
      </c>
      <c r="X792" s="39">
        <v>0</v>
      </c>
      <c r="Y792" s="39">
        <v>0</v>
      </c>
      <c r="Z792" s="39">
        <v>923.11</v>
      </c>
      <c r="AA792" s="39">
        <v>835.05</v>
      </c>
      <c r="AB792" s="39">
        <v>741.66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0</v>
      </c>
      <c r="AI792" s="39">
        <v>923.11</v>
      </c>
      <c r="AJ792" s="39">
        <v>835.05</v>
      </c>
      <c r="AK792" s="39">
        <v>741.66</v>
      </c>
      <c r="AL792" s="39">
        <v>0</v>
      </c>
      <c r="AM792" s="39">
        <v>0</v>
      </c>
      <c r="AN792" s="39">
        <v>0</v>
      </c>
      <c r="AO792" s="39">
        <v>923.11</v>
      </c>
      <c r="AP792" s="39">
        <v>835.05</v>
      </c>
      <c r="AQ792" s="39">
        <v>741.66</v>
      </c>
      <c r="AR792" s="39">
        <v>923.11</v>
      </c>
    </row>
    <row r="793" spans="1:44" x14ac:dyDescent="0.35">
      <c r="A793" s="16" t="str">
        <f t="shared" si="69"/>
        <v>01</v>
      </c>
      <c r="B793" s="19">
        <v>10017</v>
      </c>
      <c r="C793" s="16" t="str">
        <f>TEXT(125567,"0000000")</f>
        <v>0125567</v>
      </c>
      <c r="D793" s="19">
        <v>1383</v>
      </c>
      <c r="E793" s="16" t="s">
        <v>13</v>
      </c>
      <c r="F793" s="16" t="s">
        <v>5</v>
      </c>
      <c r="G793" s="35" t="s">
        <v>14</v>
      </c>
      <c r="H793" s="39">
        <v>0</v>
      </c>
      <c r="I793" s="39">
        <v>0</v>
      </c>
      <c r="J793" s="39">
        <v>0</v>
      </c>
      <c r="K793" s="39">
        <v>0</v>
      </c>
      <c r="L793" s="39">
        <v>0</v>
      </c>
      <c r="M793" s="39">
        <v>0</v>
      </c>
      <c r="N793" s="39">
        <v>0</v>
      </c>
      <c r="O793" s="39">
        <v>0</v>
      </c>
      <c r="P793" s="39">
        <v>0</v>
      </c>
      <c r="Q793" s="39">
        <v>0</v>
      </c>
      <c r="R793" s="39">
        <v>0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>
        <v>0</v>
      </c>
      <c r="Y793" s="39">
        <v>0</v>
      </c>
      <c r="Z793" s="39">
        <v>0</v>
      </c>
      <c r="AA793" s="39">
        <v>0</v>
      </c>
      <c r="AB793" s="39">
        <v>0</v>
      </c>
      <c r="AC793" s="39">
        <v>302.33</v>
      </c>
      <c r="AD793" s="39">
        <v>318.22000000000003</v>
      </c>
      <c r="AE793" s="39">
        <v>296.20999999999998</v>
      </c>
      <c r="AF793" s="39">
        <v>0</v>
      </c>
      <c r="AG793" s="39">
        <v>0</v>
      </c>
      <c r="AH793" s="39">
        <v>0</v>
      </c>
      <c r="AI793" s="39">
        <v>302.33</v>
      </c>
      <c r="AJ793" s="39">
        <v>318.22000000000003</v>
      </c>
      <c r="AK793" s="39">
        <v>296.20999999999998</v>
      </c>
      <c r="AL793" s="39">
        <v>0</v>
      </c>
      <c r="AM793" s="39">
        <v>0</v>
      </c>
      <c r="AN793" s="39">
        <v>0</v>
      </c>
      <c r="AO793" s="39">
        <v>302.33</v>
      </c>
      <c r="AP793" s="39">
        <v>318.22000000000003</v>
      </c>
      <c r="AQ793" s="39">
        <v>296.20999999999998</v>
      </c>
      <c r="AR793" s="39">
        <v>318.22000000000003</v>
      </c>
    </row>
    <row r="794" spans="1:44" x14ac:dyDescent="0.35">
      <c r="A794" s="16" t="str">
        <f t="shared" si="69"/>
        <v>01</v>
      </c>
      <c r="B794" s="19">
        <v>10017</v>
      </c>
      <c r="C794" s="16" t="str">
        <f>TEXT(129403,"0000000")</f>
        <v>0129403</v>
      </c>
      <c r="D794" s="19">
        <v>1632</v>
      </c>
      <c r="E794" s="16" t="s">
        <v>15</v>
      </c>
      <c r="F794" s="16" t="s">
        <v>5</v>
      </c>
      <c r="G794" s="35" t="s">
        <v>16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</row>
    <row r="795" spans="1:44" x14ac:dyDescent="0.35">
      <c r="A795" s="16" t="str">
        <f t="shared" si="69"/>
        <v>01</v>
      </c>
      <c r="B795" s="19">
        <v>10017</v>
      </c>
      <c r="C795" s="16" t="str">
        <f>TEXT(130625,"0000000")</f>
        <v>0130625</v>
      </c>
      <c r="D795" s="17" t="s">
        <v>19</v>
      </c>
      <c r="E795" s="16" t="s">
        <v>17</v>
      </c>
      <c r="F795" s="16" t="s">
        <v>5</v>
      </c>
      <c r="G795" s="35" t="s">
        <v>18</v>
      </c>
      <c r="H795" s="39">
        <v>0</v>
      </c>
      <c r="I795" s="39">
        <v>0</v>
      </c>
      <c r="J795" s="39">
        <v>0</v>
      </c>
      <c r="K795" s="39">
        <v>0</v>
      </c>
      <c r="L795" s="39">
        <v>0</v>
      </c>
      <c r="M795" s="39">
        <v>0</v>
      </c>
      <c r="N795" s="39">
        <v>0</v>
      </c>
      <c r="O795" s="39">
        <v>0</v>
      </c>
      <c r="P795" s="39">
        <v>0</v>
      </c>
      <c r="Q795" s="39">
        <v>0</v>
      </c>
      <c r="R795" s="39">
        <v>0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0</v>
      </c>
      <c r="AA795" s="39">
        <v>0</v>
      </c>
      <c r="AB795" s="39">
        <v>0</v>
      </c>
      <c r="AC795" s="39">
        <v>96.23</v>
      </c>
      <c r="AD795" s="39">
        <v>110.01</v>
      </c>
      <c r="AE795" s="39">
        <v>131.55000000000001</v>
      </c>
      <c r="AF795" s="39">
        <v>0</v>
      </c>
      <c r="AG795" s="39">
        <v>0</v>
      </c>
      <c r="AH795" s="39">
        <v>0</v>
      </c>
      <c r="AI795" s="39">
        <v>96.23</v>
      </c>
      <c r="AJ795" s="39">
        <v>110.01</v>
      </c>
      <c r="AK795" s="39">
        <v>131.55000000000001</v>
      </c>
      <c r="AL795" s="39">
        <v>0</v>
      </c>
      <c r="AM795" s="39">
        <v>0</v>
      </c>
      <c r="AN795" s="39">
        <v>0</v>
      </c>
      <c r="AO795" s="39">
        <v>96.23</v>
      </c>
      <c r="AP795" s="39">
        <v>110.01</v>
      </c>
      <c r="AQ795" s="39">
        <v>131.55000000000001</v>
      </c>
      <c r="AR795" s="39">
        <v>131.55000000000001</v>
      </c>
    </row>
    <row r="796" spans="1:44" x14ac:dyDescent="0.35">
      <c r="A796" s="16" t="str">
        <f t="shared" si="69"/>
        <v>01</v>
      </c>
      <c r="B796" s="19">
        <v>10017</v>
      </c>
      <c r="C796" s="16" t="str">
        <f>TEXT(136101,"0000000")</f>
        <v>0136101</v>
      </c>
      <c r="D796" s="19">
        <v>1881</v>
      </c>
      <c r="E796" s="16" t="s">
        <v>24</v>
      </c>
      <c r="F796" s="16" t="s">
        <v>5</v>
      </c>
      <c r="G796" s="35" t="s">
        <v>25</v>
      </c>
      <c r="H796" s="39">
        <v>0</v>
      </c>
      <c r="I796" s="39">
        <v>0</v>
      </c>
      <c r="J796" s="39">
        <v>0</v>
      </c>
      <c r="K796" s="39">
        <v>0</v>
      </c>
      <c r="L796" s="39">
        <v>0</v>
      </c>
      <c r="M796" s="39">
        <v>0</v>
      </c>
      <c r="N796" s="39">
        <v>0</v>
      </c>
      <c r="O796" s="39">
        <v>0</v>
      </c>
      <c r="P796" s="39">
        <v>0</v>
      </c>
      <c r="Q796" s="39">
        <v>0</v>
      </c>
      <c r="R796" s="39">
        <v>0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>
        <v>0</v>
      </c>
      <c r="Y796" s="39">
        <v>0</v>
      </c>
      <c r="Z796" s="39">
        <v>0</v>
      </c>
      <c r="AA796" s="39">
        <v>0</v>
      </c>
      <c r="AB796" s="39">
        <v>0</v>
      </c>
      <c r="AC796" s="39">
        <v>530.9</v>
      </c>
      <c r="AD796" s="39">
        <v>503.91</v>
      </c>
      <c r="AE796" s="39">
        <v>497.62</v>
      </c>
      <c r="AF796" s="39">
        <v>0</v>
      </c>
      <c r="AG796" s="39">
        <v>0</v>
      </c>
      <c r="AH796" s="39">
        <v>0</v>
      </c>
      <c r="AI796" s="39">
        <v>530.9</v>
      </c>
      <c r="AJ796" s="39">
        <v>503.91</v>
      </c>
      <c r="AK796" s="39">
        <v>497.62</v>
      </c>
      <c r="AL796" s="39">
        <v>0</v>
      </c>
      <c r="AM796" s="39">
        <v>0</v>
      </c>
      <c r="AN796" s="39">
        <v>0</v>
      </c>
      <c r="AO796" s="39">
        <v>530.9</v>
      </c>
      <c r="AP796" s="39">
        <v>503.91</v>
      </c>
      <c r="AQ796" s="39">
        <v>497.62</v>
      </c>
      <c r="AR796" s="39">
        <v>530.9</v>
      </c>
    </row>
    <row r="797" spans="1:44" x14ac:dyDescent="0.35">
      <c r="A797" s="16" t="str">
        <f t="shared" si="69"/>
        <v>01</v>
      </c>
      <c r="B797" s="19">
        <v>10017</v>
      </c>
      <c r="C797" s="16" t="str">
        <f>TEXT(137448,"0000000")</f>
        <v>0137448</v>
      </c>
      <c r="D797" s="19">
        <v>1908</v>
      </c>
      <c r="E797" s="16" t="s">
        <v>26</v>
      </c>
      <c r="F797" s="16" t="s">
        <v>5</v>
      </c>
      <c r="G797" s="35" t="s">
        <v>27</v>
      </c>
      <c r="H797" s="39">
        <v>0</v>
      </c>
      <c r="I797" s="39">
        <v>0</v>
      </c>
      <c r="J797" s="39">
        <v>0</v>
      </c>
      <c r="K797" s="39">
        <v>0</v>
      </c>
      <c r="L797" s="39">
        <v>0</v>
      </c>
      <c r="M797" s="39">
        <v>0</v>
      </c>
      <c r="N797" s="39">
        <v>0</v>
      </c>
      <c r="O797" s="39">
        <v>0</v>
      </c>
      <c r="P797" s="39">
        <v>0</v>
      </c>
      <c r="Q797" s="39">
        <v>0</v>
      </c>
      <c r="R797" s="39">
        <v>0</v>
      </c>
      <c r="S797" s="39">
        <v>0</v>
      </c>
      <c r="T797" s="39">
        <v>0</v>
      </c>
      <c r="U797" s="39">
        <v>0</v>
      </c>
      <c r="V797" s="39">
        <v>0</v>
      </c>
      <c r="W797" s="39">
        <v>0</v>
      </c>
      <c r="X797" s="39">
        <v>0</v>
      </c>
      <c r="Y797" s="39">
        <v>0</v>
      </c>
      <c r="Z797" s="39">
        <v>0</v>
      </c>
      <c r="AA797" s="39">
        <v>0</v>
      </c>
      <c r="AB797" s="39">
        <v>0</v>
      </c>
      <c r="AC797" s="39">
        <v>82.38</v>
      </c>
      <c r="AD797" s="39">
        <v>122.23</v>
      </c>
      <c r="AE797" s="39">
        <v>129.88</v>
      </c>
      <c r="AF797" s="39">
        <v>0</v>
      </c>
      <c r="AG797" s="39">
        <v>0</v>
      </c>
      <c r="AH797" s="39">
        <v>0</v>
      </c>
      <c r="AI797" s="39">
        <v>82.38</v>
      </c>
      <c r="AJ797" s="39">
        <v>122.23</v>
      </c>
      <c r="AK797" s="39">
        <v>129.88</v>
      </c>
      <c r="AL797" s="39">
        <v>0</v>
      </c>
      <c r="AM797" s="39">
        <v>0</v>
      </c>
      <c r="AN797" s="39">
        <v>0</v>
      </c>
      <c r="AO797" s="39">
        <v>82.38</v>
      </c>
      <c r="AP797" s="39">
        <v>122.23</v>
      </c>
      <c r="AQ797" s="39">
        <v>129.88</v>
      </c>
      <c r="AR797" s="39">
        <v>129.88</v>
      </c>
    </row>
    <row r="798" spans="1:44" x14ac:dyDescent="0.35">
      <c r="A798" s="16" t="str">
        <f t="shared" si="69"/>
        <v>01</v>
      </c>
      <c r="B798" s="19">
        <v>10017</v>
      </c>
      <c r="C798" s="16" t="str">
        <f>TEXT(138867,"0000000")</f>
        <v>0138867</v>
      </c>
      <c r="D798" s="19">
        <v>2027</v>
      </c>
      <c r="E798" s="16" t="s">
        <v>28</v>
      </c>
      <c r="F798" s="16" t="s">
        <v>5</v>
      </c>
      <c r="G798" s="35" t="s">
        <v>29</v>
      </c>
      <c r="H798" s="39">
        <v>0</v>
      </c>
      <c r="I798" s="39">
        <v>0</v>
      </c>
      <c r="J798" s="39">
        <v>0</v>
      </c>
      <c r="K798" s="39">
        <v>0</v>
      </c>
      <c r="L798" s="39">
        <v>0</v>
      </c>
      <c r="M798" s="39">
        <v>0</v>
      </c>
      <c r="N798" s="39">
        <v>0</v>
      </c>
      <c r="O798" s="39">
        <v>0</v>
      </c>
      <c r="P798" s="39">
        <v>0</v>
      </c>
      <c r="Q798" s="39">
        <v>0</v>
      </c>
      <c r="R798" s="39">
        <v>0</v>
      </c>
      <c r="S798" s="39">
        <v>0</v>
      </c>
      <c r="T798" s="39">
        <v>0</v>
      </c>
      <c r="U798" s="39">
        <v>0</v>
      </c>
      <c r="V798" s="39">
        <v>0</v>
      </c>
      <c r="W798" s="39">
        <v>0</v>
      </c>
      <c r="X798" s="39">
        <v>0</v>
      </c>
      <c r="Y798" s="39">
        <v>0</v>
      </c>
      <c r="Z798" s="39">
        <v>0</v>
      </c>
      <c r="AA798" s="39">
        <v>0</v>
      </c>
      <c r="AB798" s="39">
        <v>0</v>
      </c>
      <c r="AC798" s="39">
        <v>224.88</v>
      </c>
      <c r="AD798" s="39">
        <v>184.93</v>
      </c>
      <c r="AE798" s="39">
        <v>141.15</v>
      </c>
      <c r="AF798" s="39">
        <v>0</v>
      </c>
      <c r="AG798" s="39">
        <v>0</v>
      </c>
      <c r="AH798" s="39">
        <v>0</v>
      </c>
      <c r="AI798" s="39">
        <v>224.88</v>
      </c>
      <c r="AJ798" s="39">
        <v>184.93</v>
      </c>
      <c r="AK798" s="39">
        <v>141.15</v>
      </c>
      <c r="AL798" s="39">
        <v>0</v>
      </c>
      <c r="AM798" s="39">
        <v>0</v>
      </c>
      <c r="AN798" s="39">
        <v>0</v>
      </c>
      <c r="AO798" s="39">
        <v>224.88</v>
      </c>
      <c r="AP798" s="39">
        <v>184.93</v>
      </c>
      <c r="AQ798" s="39">
        <v>141.15</v>
      </c>
      <c r="AR798" s="39">
        <v>224.88</v>
      </c>
    </row>
    <row r="799" spans="1:44" x14ac:dyDescent="0.35">
      <c r="A799" s="16" t="str">
        <f t="shared" si="69"/>
        <v>01</v>
      </c>
      <c r="B799" s="19">
        <v>10017</v>
      </c>
      <c r="C799" s="16" t="str">
        <f>TEXT(6001788,"0000000")</f>
        <v>6001788</v>
      </c>
      <c r="D799" s="17" t="s">
        <v>32</v>
      </c>
      <c r="E799" s="16" t="s">
        <v>30</v>
      </c>
      <c r="F799" s="16" t="s">
        <v>5</v>
      </c>
      <c r="G799" s="35" t="s">
        <v>31</v>
      </c>
      <c r="H799" s="39">
        <v>0</v>
      </c>
      <c r="I799" s="39">
        <v>0</v>
      </c>
      <c r="J799" s="39">
        <v>0</v>
      </c>
      <c r="K799" s="39">
        <v>0</v>
      </c>
      <c r="L799" s="39">
        <v>0</v>
      </c>
      <c r="M799" s="39">
        <v>0</v>
      </c>
      <c r="N799" s="39">
        <v>0</v>
      </c>
      <c r="O799" s="39">
        <v>0</v>
      </c>
      <c r="P799" s="39">
        <v>0</v>
      </c>
      <c r="Q799" s="39">
        <v>0</v>
      </c>
      <c r="R799" s="39">
        <v>0</v>
      </c>
      <c r="S799" s="39">
        <v>0</v>
      </c>
      <c r="T799" s="39">
        <v>0</v>
      </c>
      <c r="U799" s="39">
        <v>0</v>
      </c>
      <c r="V799" s="39">
        <v>0</v>
      </c>
      <c r="W799" s="39">
        <v>0</v>
      </c>
      <c r="X799" s="39">
        <v>0</v>
      </c>
      <c r="Y799" s="39">
        <v>0</v>
      </c>
      <c r="Z799" s="39">
        <v>0</v>
      </c>
      <c r="AA799" s="39">
        <v>0</v>
      </c>
      <c r="AB799" s="39">
        <v>0</v>
      </c>
      <c r="AC799" s="39">
        <v>420.07</v>
      </c>
      <c r="AD799" s="39">
        <v>438.59</v>
      </c>
      <c r="AE799" s="39">
        <v>446.03</v>
      </c>
      <c r="AF799" s="39">
        <v>0</v>
      </c>
      <c r="AG799" s="39">
        <v>0</v>
      </c>
      <c r="AH799" s="39">
        <v>0</v>
      </c>
      <c r="AI799" s="39">
        <v>420.07</v>
      </c>
      <c r="AJ799" s="39">
        <v>438.59</v>
      </c>
      <c r="AK799" s="39">
        <v>446.03</v>
      </c>
      <c r="AL799" s="39">
        <v>0</v>
      </c>
      <c r="AM799" s="39">
        <v>0</v>
      </c>
      <c r="AN799" s="39">
        <v>0</v>
      </c>
      <c r="AO799" s="39">
        <v>420.07</v>
      </c>
      <c r="AP799" s="39">
        <v>438.59</v>
      </c>
      <c r="AQ799" s="39">
        <v>446.03</v>
      </c>
      <c r="AR799" s="39">
        <v>446.03</v>
      </c>
    </row>
    <row r="800" spans="1:44" x14ac:dyDescent="0.35">
      <c r="A800" s="16" t="str">
        <f t="shared" ref="A800:A807" si="70">TEXT(19,"00")</f>
        <v>19</v>
      </c>
      <c r="B800" s="19">
        <v>10199</v>
      </c>
      <c r="C800" s="16" t="str">
        <f>TEXT(135368,"0000000")</f>
        <v>0135368</v>
      </c>
      <c r="D800" s="19">
        <v>1859</v>
      </c>
      <c r="E800" s="16" t="s">
        <v>859</v>
      </c>
      <c r="F800" s="16" t="s">
        <v>5</v>
      </c>
      <c r="G800" s="35" t="s">
        <v>860</v>
      </c>
      <c r="H800" s="39">
        <v>0</v>
      </c>
      <c r="I800" s="39">
        <v>0</v>
      </c>
      <c r="J800" s="39">
        <v>0</v>
      </c>
      <c r="K800" s="39">
        <v>0</v>
      </c>
      <c r="L800" s="39">
        <v>0</v>
      </c>
      <c r="M800" s="39">
        <v>0</v>
      </c>
      <c r="N800" s="39">
        <v>0</v>
      </c>
      <c r="O800" s="39">
        <v>0</v>
      </c>
      <c r="P800" s="39">
        <v>0</v>
      </c>
      <c r="Q800" s="39">
        <v>0</v>
      </c>
      <c r="R800" s="39">
        <v>0</v>
      </c>
      <c r="S800" s="39">
        <v>0</v>
      </c>
      <c r="T800" s="39">
        <v>0</v>
      </c>
      <c r="U800" s="39">
        <v>0</v>
      </c>
      <c r="V800" s="39">
        <v>0</v>
      </c>
      <c r="W800" s="39">
        <v>0</v>
      </c>
      <c r="X800" s="39">
        <v>0</v>
      </c>
      <c r="Y800" s="39">
        <v>0</v>
      </c>
      <c r="Z800" s="39">
        <v>0</v>
      </c>
      <c r="AA800" s="39">
        <v>0</v>
      </c>
      <c r="AB800" s="39">
        <v>0</v>
      </c>
      <c r="AC800" s="39">
        <v>207.36</v>
      </c>
      <c r="AD800" s="39">
        <v>175.78</v>
      </c>
      <c r="AE800" s="39">
        <v>139.13999999999999</v>
      </c>
      <c r="AF800" s="39">
        <v>0</v>
      </c>
      <c r="AG800" s="39">
        <v>0</v>
      </c>
      <c r="AH800" s="39">
        <v>0</v>
      </c>
      <c r="AI800" s="39">
        <v>207.36</v>
      </c>
      <c r="AJ800" s="39">
        <v>175.78</v>
      </c>
      <c r="AK800" s="39">
        <v>139.13999999999999</v>
      </c>
      <c r="AL800" s="39">
        <v>0</v>
      </c>
      <c r="AM800" s="39">
        <v>0</v>
      </c>
      <c r="AN800" s="39">
        <v>0</v>
      </c>
      <c r="AO800" s="39">
        <v>207.36</v>
      </c>
      <c r="AP800" s="39">
        <v>175.78</v>
      </c>
      <c r="AQ800" s="39">
        <v>139.13999999999999</v>
      </c>
      <c r="AR800" s="39">
        <v>207.36</v>
      </c>
    </row>
    <row r="801" spans="1:44" x14ac:dyDescent="0.35">
      <c r="A801" s="16" t="str">
        <f t="shared" si="70"/>
        <v>19</v>
      </c>
      <c r="B801" s="19">
        <v>10199</v>
      </c>
      <c r="C801" s="16" t="str">
        <f>TEXT(136119,"0000000")</f>
        <v>0136119</v>
      </c>
      <c r="D801" s="19">
        <v>1874</v>
      </c>
      <c r="E801" s="16" t="s">
        <v>863</v>
      </c>
      <c r="F801" s="16" t="s">
        <v>5</v>
      </c>
      <c r="G801" s="35" t="s">
        <v>864</v>
      </c>
      <c r="H801" s="39">
        <v>0</v>
      </c>
      <c r="I801" s="39">
        <v>0</v>
      </c>
      <c r="J801" s="39">
        <v>0</v>
      </c>
      <c r="K801" s="39">
        <v>0</v>
      </c>
      <c r="L801" s="39">
        <v>0</v>
      </c>
      <c r="M801" s="39">
        <v>0</v>
      </c>
      <c r="N801" s="39">
        <v>0</v>
      </c>
      <c r="O801" s="39">
        <v>0</v>
      </c>
      <c r="P801" s="39">
        <v>0</v>
      </c>
      <c r="Q801" s="39">
        <v>0</v>
      </c>
      <c r="R801" s="39">
        <v>0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0</v>
      </c>
      <c r="AA801" s="39">
        <v>0</v>
      </c>
      <c r="AB801" s="39">
        <v>0</v>
      </c>
      <c r="AC801" s="39">
        <v>268.92</v>
      </c>
      <c r="AD801" s="39">
        <v>275.16000000000003</v>
      </c>
      <c r="AE801" s="39">
        <v>283.14</v>
      </c>
      <c r="AF801" s="39">
        <v>0</v>
      </c>
      <c r="AG801" s="39">
        <v>0</v>
      </c>
      <c r="AH801" s="39">
        <v>0</v>
      </c>
      <c r="AI801" s="39">
        <v>268.92</v>
      </c>
      <c r="AJ801" s="39">
        <v>275.16000000000003</v>
      </c>
      <c r="AK801" s="39">
        <v>283.14</v>
      </c>
      <c r="AL801" s="39">
        <v>0</v>
      </c>
      <c r="AM801" s="39">
        <v>0</v>
      </c>
      <c r="AN801" s="39">
        <v>0</v>
      </c>
      <c r="AO801" s="39">
        <v>268.92</v>
      </c>
      <c r="AP801" s="39">
        <v>275.16000000000003</v>
      </c>
      <c r="AQ801" s="39">
        <v>283.14</v>
      </c>
      <c r="AR801" s="39">
        <v>283.14</v>
      </c>
    </row>
    <row r="802" spans="1:44" x14ac:dyDescent="0.35">
      <c r="A802" s="16" t="str">
        <f t="shared" si="70"/>
        <v>19</v>
      </c>
      <c r="B802" s="19">
        <v>10199</v>
      </c>
      <c r="C802" s="16" t="str">
        <f>TEXT(137679,"0000000")</f>
        <v>0137679</v>
      </c>
      <c r="D802" s="17" t="s">
        <v>869</v>
      </c>
      <c r="E802" s="16" t="s">
        <v>867</v>
      </c>
      <c r="F802" s="16" t="s">
        <v>5</v>
      </c>
      <c r="G802" s="35" t="s">
        <v>868</v>
      </c>
      <c r="H802" s="39">
        <v>0</v>
      </c>
      <c r="I802" s="39">
        <v>0</v>
      </c>
      <c r="J802" s="39">
        <v>0</v>
      </c>
      <c r="K802" s="39">
        <v>0</v>
      </c>
      <c r="L802" s="39">
        <v>0</v>
      </c>
      <c r="M802" s="39">
        <v>0</v>
      </c>
      <c r="N802" s="39">
        <v>0</v>
      </c>
      <c r="O802" s="39">
        <v>0</v>
      </c>
      <c r="P802" s="39">
        <v>0</v>
      </c>
      <c r="Q802" s="39">
        <v>0</v>
      </c>
      <c r="R802" s="39">
        <v>0</v>
      </c>
      <c r="S802" s="39">
        <v>0</v>
      </c>
      <c r="T802" s="39">
        <v>0</v>
      </c>
      <c r="U802" s="39">
        <v>0</v>
      </c>
      <c r="V802" s="39">
        <v>0</v>
      </c>
      <c r="W802" s="39">
        <v>0</v>
      </c>
      <c r="X802" s="39">
        <v>0</v>
      </c>
      <c r="Y802" s="39">
        <v>0</v>
      </c>
      <c r="Z802" s="39">
        <v>0</v>
      </c>
      <c r="AA802" s="39">
        <v>0</v>
      </c>
      <c r="AB802" s="39">
        <v>0</v>
      </c>
      <c r="AC802" s="39">
        <v>195.44</v>
      </c>
      <c r="AD802" s="39">
        <v>196.2</v>
      </c>
      <c r="AE802" s="39">
        <v>211.94</v>
      </c>
      <c r="AF802" s="39">
        <v>0</v>
      </c>
      <c r="AG802" s="39">
        <v>0</v>
      </c>
      <c r="AH802" s="39">
        <v>0</v>
      </c>
      <c r="AI802" s="39">
        <v>195.44</v>
      </c>
      <c r="AJ802" s="39">
        <v>196.2</v>
      </c>
      <c r="AK802" s="39">
        <v>211.94</v>
      </c>
      <c r="AL802" s="39">
        <v>0</v>
      </c>
      <c r="AM802" s="39">
        <v>0</v>
      </c>
      <c r="AN802" s="39">
        <v>0</v>
      </c>
      <c r="AO802" s="39">
        <v>195.44</v>
      </c>
      <c r="AP802" s="39">
        <v>196.2</v>
      </c>
      <c r="AQ802" s="39">
        <v>211.94</v>
      </c>
      <c r="AR802" s="39">
        <v>211.94</v>
      </c>
    </row>
    <row r="803" spans="1:44" x14ac:dyDescent="0.35">
      <c r="A803" s="16" t="str">
        <f t="shared" si="70"/>
        <v>19</v>
      </c>
      <c r="B803" s="19">
        <v>10199</v>
      </c>
      <c r="C803" s="16" t="str">
        <f>TEXT(140681,"0000000")</f>
        <v>0140681</v>
      </c>
      <c r="D803" s="19">
        <v>2098</v>
      </c>
      <c r="E803" s="16" t="s">
        <v>876</v>
      </c>
      <c r="F803" s="16" t="s">
        <v>5</v>
      </c>
      <c r="G803" s="35" t="s">
        <v>877</v>
      </c>
      <c r="H803" s="39">
        <v>0</v>
      </c>
      <c r="I803" s="39">
        <v>0</v>
      </c>
      <c r="J803" s="39">
        <v>0</v>
      </c>
      <c r="K803" s="39">
        <v>0</v>
      </c>
      <c r="L803" s="39">
        <v>0</v>
      </c>
      <c r="M803" s="39">
        <v>0</v>
      </c>
      <c r="N803" s="39">
        <v>0</v>
      </c>
      <c r="O803" s="39">
        <v>0</v>
      </c>
      <c r="P803" s="39">
        <v>0</v>
      </c>
      <c r="Q803" s="39">
        <v>0</v>
      </c>
      <c r="R803" s="39">
        <v>0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0</v>
      </c>
      <c r="AA803" s="39">
        <v>0</v>
      </c>
      <c r="AB803" s="39">
        <v>0</v>
      </c>
      <c r="AC803" s="39">
        <v>417.63</v>
      </c>
      <c r="AD803" s="39">
        <v>312.68</v>
      </c>
      <c r="AE803" s="39">
        <v>204.17</v>
      </c>
      <c r="AF803" s="39">
        <v>0</v>
      </c>
      <c r="AG803" s="39">
        <v>0</v>
      </c>
      <c r="AH803" s="39">
        <v>0</v>
      </c>
      <c r="AI803" s="39">
        <v>417.63</v>
      </c>
      <c r="AJ803" s="39">
        <v>312.68</v>
      </c>
      <c r="AK803" s="39">
        <v>204.17</v>
      </c>
      <c r="AL803" s="39">
        <v>0</v>
      </c>
      <c r="AM803" s="39">
        <v>0</v>
      </c>
      <c r="AN803" s="39">
        <v>0</v>
      </c>
      <c r="AO803" s="39">
        <v>417.63</v>
      </c>
      <c r="AP803" s="39">
        <v>312.68</v>
      </c>
      <c r="AQ803" s="39">
        <v>204.17</v>
      </c>
      <c r="AR803" s="39">
        <v>417.63</v>
      </c>
    </row>
    <row r="804" spans="1:44" x14ac:dyDescent="0.35">
      <c r="A804" s="16" t="str">
        <f t="shared" si="70"/>
        <v>19</v>
      </c>
      <c r="B804" s="19">
        <v>10199</v>
      </c>
      <c r="C804" s="16" t="str">
        <f>TEXT(6119945,"0000000")</f>
        <v>6119945</v>
      </c>
      <c r="D804" s="17" t="s">
        <v>891</v>
      </c>
      <c r="E804" s="16" t="s">
        <v>889</v>
      </c>
      <c r="F804" s="16" t="s">
        <v>5</v>
      </c>
      <c r="G804" s="35" t="s">
        <v>890</v>
      </c>
      <c r="H804" s="39">
        <v>0</v>
      </c>
      <c r="I804" s="39">
        <v>0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>
        <v>0</v>
      </c>
      <c r="P804" s="39">
        <v>0</v>
      </c>
      <c r="Q804" s="39">
        <v>0</v>
      </c>
      <c r="R804" s="39">
        <v>0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0</v>
      </c>
      <c r="AA804" s="39">
        <v>0</v>
      </c>
      <c r="AB804" s="39">
        <v>0</v>
      </c>
      <c r="AC804" s="39">
        <v>684.85</v>
      </c>
      <c r="AD804" s="39">
        <v>664.75</v>
      </c>
      <c r="AE804" s="39">
        <v>649.11</v>
      </c>
      <c r="AF804" s="39">
        <v>0</v>
      </c>
      <c r="AG804" s="39">
        <v>0</v>
      </c>
      <c r="AH804" s="39">
        <v>0</v>
      </c>
      <c r="AI804" s="39">
        <v>684.85</v>
      </c>
      <c r="AJ804" s="39">
        <v>664.75</v>
      </c>
      <c r="AK804" s="39">
        <v>649.11</v>
      </c>
      <c r="AL804" s="39">
        <v>0</v>
      </c>
      <c r="AM804" s="39">
        <v>0</v>
      </c>
      <c r="AN804" s="39">
        <v>0</v>
      </c>
      <c r="AO804" s="39">
        <v>684.85</v>
      </c>
      <c r="AP804" s="39">
        <v>664.75</v>
      </c>
      <c r="AQ804" s="39">
        <v>649.11</v>
      </c>
      <c r="AR804" s="39">
        <v>684.85</v>
      </c>
    </row>
    <row r="805" spans="1:44" x14ac:dyDescent="0.35">
      <c r="A805" s="16" t="str">
        <f t="shared" si="70"/>
        <v>19</v>
      </c>
      <c r="B805" s="19">
        <v>64246</v>
      </c>
      <c r="C805" s="16" t="str">
        <f>TEXT(1996537,"0000000")</f>
        <v>1996537</v>
      </c>
      <c r="D805" s="17" t="s">
        <v>900</v>
      </c>
      <c r="E805" s="16" t="s">
        <v>898</v>
      </c>
      <c r="F805" s="16" t="s">
        <v>5</v>
      </c>
      <c r="G805" s="35" t="s">
        <v>899</v>
      </c>
      <c r="H805" s="39">
        <v>0</v>
      </c>
      <c r="I805" s="39">
        <v>0</v>
      </c>
      <c r="J805" s="39">
        <v>0</v>
      </c>
      <c r="K805" s="39">
        <v>0</v>
      </c>
      <c r="L805" s="39">
        <v>0</v>
      </c>
      <c r="M805" s="39">
        <v>0</v>
      </c>
      <c r="N805" s="39">
        <v>0</v>
      </c>
      <c r="O805" s="39">
        <v>0</v>
      </c>
      <c r="P805" s="39">
        <v>0</v>
      </c>
      <c r="Q805" s="39">
        <v>0</v>
      </c>
      <c r="R805" s="39">
        <v>0</v>
      </c>
      <c r="S805" s="39">
        <v>0</v>
      </c>
      <c r="T805" s="39">
        <v>0</v>
      </c>
      <c r="U805" s="39">
        <v>0</v>
      </c>
      <c r="V805" s="39">
        <v>0</v>
      </c>
      <c r="W805" s="39">
        <v>0</v>
      </c>
      <c r="X805" s="39">
        <v>0</v>
      </c>
      <c r="Y805" s="39">
        <v>0</v>
      </c>
      <c r="Z805" s="39">
        <v>0</v>
      </c>
      <c r="AA805" s="39">
        <v>0</v>
      </c>
      <c r="AB805" s="39">
        <v>0</v>
      </c>
      <c r="AC805" s="39">
        <v>1833.25</v>
      </c>
      <c r="AD805" s="39">
        <v>1997.52</v>
      </c>
      <c r="AE805" s="39">
        <v>1654.9</v>
      </c>
      <c r="AF805" s="39">
        <v>0</v>
      </c>
      <c r="AG805" s="39">
        <v>0</v>
      </c>
      <c r="AH805" s="39">
        <v>0</v>
      </c>
      <c r="AI805" s="39">
        <v>1833.25</v>
      </c>
      <c r="AJ805" s="39">
        <v>1997.52</v>
      </c>
      <c r="AK805" s="39">
        <v>1654.9</v>
      </c>
      <c r="AL805" s="39">
        <v>0</v>
      </c>
      <c r="AM805" s="39">
        <v>0</v>
      </c>
      <c r="AN805" s="39">
        <v>0</v>
      </c>
      <c r="AO805" s="39">
        <v>1833.25</v>
      </c>
      <c r="AP805" s="39">
        <v>1997.52</v>
      </c>
      <c r="AQ805" s="39">
        <v>1654.9</v>
      </c>
      <c r="AR805" s="39">
        <v>1997.52</v>
      </c>
    </row>
    <row r="806" spans="1:44" ht="31" x14ac:dyDescent="0.35">
      <c r="A806" s="16" t="str">
        <f t="shared" si="70"/>
        <v>19</v>
      </c>
      <c r="B806" s="19">
        <v>64469</v>
      </c>
      <c r="C806" s="16" t="str">
        <f>TEXT(134858,"0000000")</f>
        <v>0134858</v>
      </c>
      <c r="D806" s="19">
        <v>1838</v>
      </c>
      <c r="E806" s="16" t="s">
        <v>950</v>
      </c>
      <c r="F806" s="16" t="s">
        <v>5</v>
      </c>
      <c r="G806" s="35" t="s">
        <v>951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919.8</v>
      </c>
      <c r="AD806" s="39">
        <v>881.71</v>
      </c>
      <c r="AE806" s="39">
        <v>883.18</v>
      </c>
      <c r="AF806" s="39">
        <v>0</v>
      </c>
      <c r="AG806" s="39">
        <v>0</v>
      </c>
      <c r="AH806" s="39">
        <v>0</v>
      </c>
      <c r="AI806" s="39">
        <v>919.8</v>
      </c>
      <c r="AJ806" s="39">
        <v>881.71</v>
      </c>
      <c r="AK806" s="39">
        <v>883.18</v>
      </c>
      <c r="AL806" s="39">
        <v>0</v>
      </c>
      <c r="AM806" s="39">
        <v>0</v>
      </c>
      <c r="AN806" s="39">
        <v>0</v>
      </c>
      <c r="AO806" s="39">
        <v>919.8</v>
      </c>
      <c r="AP806" s="39">
        <v>881.71</v>
      </c>
      <c r="AQ806" s="39">
        <v>883.18</v>
      </c>
      <c r="AR806" s="39">
        <v>919.8</v>
      </c>
    </row>
    <row r="807" spans="1:44" x14ac:dyDescent="0.35">
      <c r="A807" s="16" t="str">
        <f t="shared" si="70"/>
        <v>19</v>
      </c>
      <c r="B807" s="19">
        <v>64584</v>
      </c>
      <c r="C807" s="16" t="str">
        <f>TEXT(1996305,"0000000")</f>
        <v>1996305</v>
      </c>
      <c r="D807" s="17" t="s">
        <v>974</v>
      </c>
      <c r="E807" s="16" t="s">
        <v>972</v>
      </c>
      <c r="F807" s="16" t="s">
        <v>5</v>
      </c>
      <c r="G807" s="35" t="s">
        <v>973</v>
      </c>
      <c r="H807" s="39">
        <v>0</v>
      </c>
      <c r="I807" s="39">
        <v>0</v>
      </c>
      <c r="J807" s="39">
        <v>0</v>
      </c>
      <c r="K807" s="39">
        <v>0</v>
      </c>
      <c r="L807" s="39">
        <v>0</v>
      </c>
      <c r="M807" s="39">
        <v>0</v>
      </c>
      <c r="N807" s="39">
        <v>0</v>
      </c>
      <c r="O807" s="39">
        <v>0</v>
      </c>
      <c r="P807" s="39">
        <v>0</v>
      </c>
      <c r="Q807" s="39">
        <v>0</v>
      </c>
      <c r="R807" s="39">
        <v>0</v>
      </c>
      <c r="S807" s="39">
        <v>0</v>
      </c>
      <c r="T807" s="39">
        <v>0</v>
      </c>
      <c r="U807" s="39">
        <v>0</v>
      </c>
      <c r="V807" s="39">
        <v>0</v>
      </c>
      <c r="W807" s="39">
        <v>0</v>
      </c>
      <c r="X807" s="39">
        <v>0</v>
      </c>
      <c r="Y807" s="39">
        <v>0</v>
      </c>
      <c r="Z807" s="39">
        <v>0</v>
      </c>
      <c r="AA807" s="39">
        <v>0</v>
      </c>
      <c r="AB807" s="39">
        <v>0</v>
      </c>
      <c r="AC807" s="39">
        <v>1191.71</v>
      </c>
      <c r="AD807" s="39">
        <v>1099.6400000000001</v>
      </c>
      <c r="AE807" s="39">
        <v>1156.6300000000001</v>
      </c>
      <c r="AF807" s="39">
        <v>0</v>
      </c>
      <c r="AG807" s="39">
        <v>0</v>
      </c>
      <c r="AH807" s="39">
        <v>0</v>
      </c>
      <c r="AI807" s="39">
        <v>1191.71</v>
      </c>
      <c r="AJ807" s="39">
        <v>1099.6400000000001</v>
      </c>
      <c r="AK807" s="39">
        <v>1156.6300000000001</v>
      </c>
      <c r="AL807" s="39">
        <v>0</v>
      </c>
      <c r="AM807" s="39">
        <v>0</v>
      </c>
      <c r="AN807" s="39">
        <v>0</v>
      </c>
      <c r="AO807" s="39">
        <v>1191.71</v>
      </c>
      <c r="AP807" s="39">
        <v>1099.6400000000001</v>
      </c>
      <c r="AQ807" s="39">
        <v>1156.6300000000001</v>
      </c>
      <c r="AR807" s="39">
        <v>1191.71</v>
      </c>
    </row>
    <row r="808" spans="1:44" x14ac:dyDescent="0.35">
      <c r="A808" s="16" t="str">
        <f>TEXT(1,"00")</f>
        <v>01</v>
      </c>
      <c r="B808" s="19">
        <v>10017</v>
      </c>
      <c r="C808" s="16" t="str">
        <f>TEXT(6002000,"0000000")</f>
        <v>6002000</v>
      </c>
      <c r="D808" s="19">
        <v>1464</v>
      </c>
      <c r="E808" s="16" t="s">
        <v>33</v>
      </c>
      <c r="F808" s="16" t="s">
        <v>5</v>
      </c>
      <c r="G808" s="35" t="s">
        <v>34</v>
      </c>
      <c r="H808" s="39">
        <v>0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39">
        <v>0</v>
      </c>
      <c r="Q808" s="39">
        <v>0</v>
      </c>
      <c r="R808" s="39">
        <v>0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0</v>
      </c>
      <c r="Z808" s="39">
        <v>0</v>
      </c>
      <c r="AA808" s="39">
        <v>0</v>
      </c>
      <c r="AB808" s="39">
        <v>0</v>
      </c>
      <c r="AC808" s="39">
        <v>466.05</v>
      </c>
      <c r="AD808" s="39">
        <v>450.73</v>
      </c>
      <c r="AE808" s="39">
        <v>434.27</v>
      </c>
      <c r="AF808" s="39">
        <v>0</v>
      </c>
      <c r="AG808" s="39">
        <v>0</v>
      </c>
      <c r="AH808" s="39">
        <v>0</v>
      </c>
      <c r="AI808" s="39">
        <v>466.05</v>
      </c>
      <c r="AJ808" s="39">
        <v>450.73</v>
      </c>
      <c r="AK808" s="39">
        <v>434.27</v>
      </c>
      <c r="AL808" s="39">
        <v>0</v>
      </c>
      <c r="AM808" s="39">
        <v>0</v>
      </c>
      <c r="AN808" s="39">
        <v>0</v>
      </c>
      <c r="AO808" s="39">
        <v>466.05</v>
      </c>
      <c r="AP808" s="39">
        <v>450.73</v>
      </c>
      <c r="AQ808" s="39">
        <v>434.27</v>
      </c>
      <c r="AR808" s="39">
        <v>466.05</v>
      </c>
    </row>
    <row r="809" spans="1:44" x14ac:dyDescent="0.35">
      <c r="A809" s="16" t="str">
        <f t="shared" ref="A809:A818" si="71">TEXT(19,"00")</f>
        <v>19</v>
      </c>
      <c r="B809" s="19">
        <v>64634</v>
      </c>
      <c r="C809" s="16" t="str">
        <f>TEXT(1996586,"0000000")</f>
        <v>1996586</v>
      </c>
      <c r="D809" s="17" t="s">
        <v>993</v>
      </c>
      <c r="E809" s="16" t="s">
        <v>991</v>
      </c>
      <c r="F809" s="16" t="s">
        <v>5</v>
      </c>
      <c r="G809" s="35" t="s">
        <v>992</v>
      </c>
      <c r="H809" s="39">
        <v>0</v>
      </c>
      <c r="I809" s="39">
        <v>0</v>
      </c>
      <c r="J809" s="39">
        <v>0</v>
      </c>
      <c r="K809" s="39">
        <v>0</v>
      </c>
      <c r="L809" s="39">
        <v>0</v>
      </c>
      <c r="M809" s="39">
        <v>0</v>
      </c>
      <c r="N809" s="39">
        <v>0</v>
      </c>
      <c r="O809" s="39">
        <v>0</v>
      </c>
      <c r="P809" s="39">
        <v>0</v>
      </c>
      <c r="Q809" s="39">
        <v>0</v>
      </c>
      <c r="R809" s="39">
        <v>0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0</v>
      </c>
      <c r="Z809" s="39">
        <v>0</v>
      </c>
      <c r="AA809" s="39">
        <v>0</v>
      </c>
      <c r="AB809" s="39">
        <v>0</v>
      </c>
      <c r="AC809" s="39">
        <v>545.54</v>
      </c>
      <c r="AD809" s="39">
        <v>564.71</v>
      </c>
      <c r="AE809" s="39">
        <v>574.97</v>
      </c>
      <c r="AF809" s="39">
        <v>0</v>
      </c>
      <c r="AG809" s="39">
        <v>0</v>
      </c>
      <c r="AH809" s="39">
        <v>0</v>
      </c>
      <c r="AI809" s="39">
        <v>545.54</v>
      </c>
      <c r="AJ809" s="39">
        <v>564.71</v>
      </c>
      <c r="AK809" s="39">
        <v>574.97</v>
      </c>
      <c r="AL809" s="39">
        <v>0</v>
      </c>
      <c r="AM809" s="39">
        <v>0</v>
      </c>
      <c r="AN809" s="39">
        <v>0</v>
      </c>
      <c r="AO809" s="39">
        <v>545.54</v>
      </c>
      <c r="AP809" s="39">
        <v>564.71</v>
      </c>
      <c r="AQ809" s="39">
        <v>574.97</v>
      </c>
      <c r="AR809" s="39">
        <v>574.97</v>
      </c>
    </row>
    <row r="810" spans="1:44" x14ac:dyDescent="0.35">
      <c r="A810" s="16" t="str">
        <f t="shared" si="71"/>
        <v>19</v>
      </c>
      <c r="B810" s="19">
        <v>64667</v>
      </c>
      <c r="C810" s="16" t="str">
        <f>TEXT(123174,"0000000")</f>
        <v>0123174</v>
      </c>
      <c r="D810" s="19">
        <v>1225</v>
      </c>
      <c r="E810" s="16" t="s">
        <v>1002</v>
      </c>
      <c r="F810" s="16" t="s">
        <v>5</v>
      </c>
      <c r="G810" s="35" t="s">
        <v>1003</v>
      </c>
      <c r="H810" s="39">
        <v>0</v>
      </c>
      <c r="I810" s="39">
        <v>0</v>
      </c>
      <c r="J810" s="39">
        <v>0</v>
      </c>
      <c r="K810" s="39">
        <v>0</v>
      </c>
      <c r="L810" s="39">
        <v>0</v>
      </c>
      <c r="M810" s="39">
        <v>0</v>
      </c>
      <c r="N810" s="39">
        <v>0</v>
      </c>
      <c r="O810" s="39">
        <v>0</v>
      </c>
      <c r="P810" s="39">
        <v>0</v>
      </c>
      <c r="Q810" s="39">
        <v>0</v>
      </c>
      <c r="R810" s="39">
        <v>0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0</v>
      </c>
      <c r="Z810" s="39">
        <v>0</v>
      </c>
      <c r="AA810" s="39">
        <v>0</v>
      </c>
      <c r="AB810" s="39">
        <v>0</v>
      </c>
      <c r="AC810" s="39">
        <v>125.74</v>
      </c>
      <c r="AD810" s="39">
        <v>187.3</v>
      </c>
      <c r="AE810" s="39">
        <v>241.12</v>
      </c>
      <c r="AF810" s="39">
        <v>0</v>
      </c>
      <c r="AG810" s="39">
        <v>0</v>
      </c>
      <c r="AH810" s="39">
        <v>0</v>
      </c>
      <c r="AI810" s="39">
        <v>125.74</v>
      </c>
      <c r="AJ810" s="39">
        <v>187.3</v>
      </c>
      <c r="AK810" s="39">
        <v>241.12</v>
      </c>
      <c r="AL810" s="39">
        <v>0</v>
      </c>
      <c r="AM810" s="39">
        <v>0</v>
      </c>
      <c r="AN810" s="39">
        <v>0</v>
      </c>
      <c r="AO810" s="39">
        <v>125.74</v>
      </c>
      <c r="AP810" s="39">
        <v>187.3</v>
      </c>
      <c r="AQ810" s="39">
        <v>241.12</v>
      </c>
      <c r="AR810" s="39">
        <v>241.12</v>
      </c>
    </row>
    <row r="811" spans="1:44" x14ac:dyDescent="0.35">
      <c r="A811" s="16" t="str">
        <f t="shared" si="71"/>
        <v>19</v>
      </c>
      <c r="B811" s="19">
        <v>64667</v>
      </c>
      <c r="C811" s="16" t="str">
        <f>TEXT(125559,"0000000")</f>
        <v>0125559</v>
      </c>
      <c r="D811" s="19">
        <v>1376</v>
      </c>
      <c r="E811" s="16" t="s">
        <v>1004</v>
      </c>
      <c r="F811" s="16" t="s">
        <v>5</v>
      </c>
      <c r="G811" s="35" t="s">
        <v>1005</v>
      </c>
      <c r="H811" s="39">
        <v>0</v>
      </c>
      <c r="I811" s="39">
        <v>0</v>
      </c>
      <c r="J811" s="39">
        <v>0</v>
      </c>
      <c r="K811" s="39">
        <v>0</v>
      </c>
      <c r="L811" s="39">
        <v>0</v>
      </c>
      <c r="M811" s="39">
        <v>0</v>
      </c>
      <c r="N811" s="39">
        <v>0</v>
      </c>
      <c r="O811" s="39">
        <v>0</v>
      </c>
      <c r="P811" s="39">
        <v>0</v>
      </c>
      <c r="Q811" s="39">
        <v>0</v>
      </c>
      <c r="R811" s="39">
        <v>0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0</v>
      </c>
      <c r="Z811" s="39">
        <v>0</v>
      </c>
      <c r="AA811" s="39">
        <v>0</v>
      </c>
      <c r="AB811" s="39">
        <v>0</v>
      </c>
      <c r="AC811" s="39">
        <v>684.06</v>
      </c>
      <c r="AD811" s="39">
        <v>700.35</v>
      </c>
      <c r="AE811" s="39">
        <v>670.67</v>
      </c>
      <c r="AF811" s="39">
        <v>0</v>
      </c>
      <c r="AG811" s="39">
        <v>0</v>
      </c>
      <c r="AH811" s="39">
        <v>0</v>
      </c>
      <c r="AI811" s="39">
        <v>684.06</v>
      </c>
      <c r="AJ811" s="39">
        <v>700.35</v>
      </c>
      <c r="AK811" s="39">
        <v>670.67</v>
      </c>
      <c r="AL811" s="39">
        <v>0</v>
      </c>
      <c r="AM811" s="39">
        <v>0</v>
      </c>
      <c r="AN811" s="39">
        <v>0</v>
      </c>
      <c r="AO811" s="39">
        <v>684.06</v>
      </c>
      <c r="AP811" s="39">
        <v>700.35</v>
      </c>
      <c r="AQ811" s="39">
        <v>670.67</v>
      </c>
      <c r="AR811" s="39">
        <v>700.35</v>
      </c>
    </row>
    <row r="812" spans="1:44" x14ac:dyDescent="0.35">
      <c r="A812" s="16" t="str">
        <f t="shared" si="71"/>
        <v>19</v>
      </c>
      <c r="B812" s="19">
        <v>64691</v>
      </c>
      <c r="C812" s="16" t="str">
        <f>TEXT(1996438,"0000000")</f>
        <v>1996438</v>
      </c>
      <c r="D812" s="17" t="s">
        <v>1012</v>
      </c>
      <c r="E812" s="16" t="s">
        <v>1010</v>
      </c>
      <c r="F812" s="16" t="s">
        <v>5</v>
      </c>
      <c r="G812" s="35" t="s">
        <v>1011</v>
      </c>
      <c r="H812" s="39">
        <v>0</v>
      </c>
      <c r="I812" s="39">
        <v>0</v>
      </c>
      <c r="J812" s="39">
        <v>0</v>
      </c>
      <c r="K812" s="39">
        <v>0</v>
      </c>
      <c r="L812" s="39">
        <v>0</v>
      </c>
      <c r="M812" s="39">
        <v>0</v>
      </c>
      <c r="N812" s="39">
        <v>0</v>
      </c>
      <c r="O812" s="39">
        <v>0</v>
      </c>
      <c r="P812" s="39">
        <v>0</v>
      </c>
      <c r="Q812" s="39">
        <v>0</v>
      </c>
      <c r="R812" s="39">
        <v>0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0</v>
      </c>
      <c r="AA812" s="39">
        <v>0</v>
      </c>
      <c r="AB812" s="39">
        <v>0</v>
      </c>
      <c r="AC812" s="39">
        <v>463.35</v>
      </c>
      <c r="AD812" s="39">
        <v>454.17</v>
      </c>
      <c r="AE812" s="39">
        <v>475.86</v>
      </c>
      <c r="AF812" s="39">
        <v>0</v>
      </c>
      <c r="AG812" s="39">
        <v>0</v>
      </c>
      <c r="AH812" s="39">
        <v>0</v>
      </c>
      <c r="AI812" s="39">
        <v>463.35</v>
      </c>
      <c r="AJ812" s="39">
        <v>454.17</v>
      </c>
      <c r="AK812" s="39">
        <v>475.86</v>
      </c>
      <c r="AL812" s="39">
        <v>0</v>
      </c>
      <c r="AM812" s="39">
        <v>0</v>
      </c>
      <c r="AN812" s="39">
        <v>0</v>
      </c>
      <c r="AO812" s="39">
        <v>463.35</v>
      </c>
      <c r="AP812" s="39">
        <v>454.17</v>
      </c>
      <c r="AQ812" s="39">
        <v>475.86</v>
      </c>
      <c r="AR812" s="39">
        <v>475.86</v>
      </c>
    </row>
    <row r="813" spans="1:44" x14ac:dyDescent="0.35">
      <c r="A813" s="16" t="str">
        <f t="shared" si="71"/>
        <v>19</v>
      </c>
      <c r="B813" s="19">
        <v>64709</v>
      </c>
      <c r="C813" s="16" t="str">
        <f>TEXT(1996313,"0000000")</f>
        <v>1996313</v>
      </c>
      <c r="D813" s="17" t="s">
        <v>1023</v>
      </c>
      <c r="E813" s="16" t="s">
        <v>1021</v>
      </c>
      <c r="F813" s="16" t="s">
        <v>5</v>
      </c>
      <c r="G813" s="35" t="s">
        <v>1022</v>
      </c>
      <c r="H813" s="39">
        <v>0</v>
      </c>
      <c r="I813" s="39">
        <v>0</v>
      </c>
      <c r="J813" s="39">
        <v>0</v>
      </c>
      <c r="K813" s="39">
        <v>0</v>
      </c>
      <c r="L813" s="39">
        <v>0</v>
      </c>
      <c r="M813" s="39">
        <v>0</v>
      </c>
      <c r="N813" s="39">
        <v>0</v>
      </c>
      <c r="O813" s="39">
        <v>0</v>
      </c>
      <c r="P813" s="39">
        <v>0</v>
      </c>
      <c r="Q813" s="39">
        <v>0</v>
      </c>
      <c r="R813" s="39">
        <v>0</v>
      </c>
      <c r="S813" s="39">
        <v>0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0</v>
      </c>
      <c r="AA813" s="39">
        <v>0</v>
      </c>
      <c r="AB813" s="39">
        <v>0</v>
      </c>
      <c r="AC813" s="39">
        <v>599.41</v>
      </c>
      <c r="AD813" s="39">
        <v>587.77</v>
      </c>
      <c r="AE813" s="39">
        <v>605.5</v>
      </c>
      <c r="AF813" s="39">
        <v>0</v>
      </c>
      <c r="AG813" s="39">
        <v>0</v>
      </c>
      <c r="AH813" s="39">
        <v>0</v>
      </c>
      <c r="AI813" s="39">
        <v>599.41</v>
      </c>
      <c r="AJ813" s="39">
        <v>587.77</v>
      </c>
      <c r="AK813" s="39">
        <v>605.5</v>
      </c>
      <c r="AL813" s="39">
        <v>0</v>
      </c>
      <c r="AM813" s="39">
        <v>0</v>
      </c>
      <c r="AN813" s="39">
        <v>0</v>
      </c>
      <c r="AO813" s="39">
        <v>599.41</v>
      </c>
      <c r="AP813" s="39">
        <v>587.77</v>
      </c>
      <c r="AQ813" s="39">
        <v>605.5</v>
      </c>
      <c r="AR813" s="39">
        <v>605.5</v>
      </c>
    </row>
    <row r="814" spans="1:44" x14ac:dyDescent="0.35">
      <c r="A814" s="16" t="str">
        <f t="shared" si="71"/>
        <v>19</v>
      </c>
      <c r="B814" s="19">
        <v>64733</v>
      </c>
      <c r="C814" s="16" t="str">
        <f>TEXT(101444,"0000000")</f>
        <v>0101444</v>
      </c>
      <c r="D814" s="17" t="s">
        <v>1032</v>
      </c>
      <c r="E814" s="16" t="s">
        <v>1030</v>
      </c>
      <c r="F814" s="16" t="s">
        <v>5</v>
      </c>
      <c r="G814" s="35" t="s">
        <v>1031</v>
      </c>
      <c r="H814" s="39">
        <v>0</v>
      </c>
      <c r="I814" s="39">
        <v>0</v>
      </c>
      <c r="J814" s="39">
        <v>0</v>
      </c>
      <c r="K814" s="39">
        <v>0</v>
      </c>
      <c r="L814" s="39">
        <v>0</v>
      </c>
      <c r="M814" s="39">
        <v>0</v>
      </c>
      <c r="N814" s="39">
        <v>0</v>
      </c>
      <c r="O814" s="39">
        <v>0</v>
      </c>
      <c r="P814" s="39">
        <v>0</v>
      </c>
      <c r="Q814" s="39">
        <v>0</v>
      </c>
      <c r="R814" s="39">
        <v>0</v>
      </c>
      <c r="S814" s="39">
        <v>0</v>
      </c>
      <c r="T814" s="39">
        <v>0</v>
      </c>
      <c r="U814" s="39">
        <v>0</v>
      </c>
      <c r="V814" s="39">
        <v>0</v>
      </c>
      <c r="W814" s="39">
        <v>0</v>
      </c>
      <c r="X814" s="39">
        <v>0</v>
      </c>
      <c r="Y814" s="39">
        <v>0</v>
      </c>
      <c r="Z814" s="39">
        <v>0</v>
      </c>
      <c r="AA814" s="39">
        <v>0</v>
      </c>
      <c r="AB814" s="39">
        <v>0</v>
      </c>
      <c r="AC814" s="39">
        <v>422.73</v>
      </c>
      <c r="AD814" s="39">
        <v>413.15</v>
      </c>
      <c r="AE814" s="39">
        <v>417.95</v>
      </c>
      <c r="AF814" s="39">
        <v>0</v>
      </c>
      <c r="AG814" s="39">
        <v>0</v>
      </c>
      <c r="AH814" s="39">
        <v>0</v>
      </c>
      <c r="AI814" s="39">
        <v>422.73</v>
      </c>
      <c r="AJ814" s="39">
        <v>413.15</v>
      </c>
      <c r="AK814" s="39">
        <v>417.95</v>
      </c>
      <c r="AL814" s="39">
        <v>0</v>
      </c>
      <c r="AM814" s="39">
        <v>0</v>
      </c>
      <c r="AN814" s="39">
        <v>0</v>
      </c>
      <c r="AO814" s="39">
        <v>422.73</v>
      </c>
      <c r="AP814" s="39">
        <v>413.15</v>
      </c>
      <c r="AQ814" s="39">
        <v>417.95</v>
      </c>
      <c r="AR814" s="39">
        <v>422.73</v>
      </c>
    </row>
    <row r="815" spans="1:44" x14ac:dyDescent="0.35">
      <c r="A815" s="16" t="str">
        <f t="shared" si="71"/>
        <v>19</v>
      </c>
      <c r="B815" s="19">
        <v>64733</v>
      </c>
      <c r="C815" s="16" t="str">
        <f>TEXT(117903,"0000000")</f>
        <v>0117903</v>
      </c>
      <c r="D815" s="19">
        <v>1010</v>
      </c>
      <c r="E815" s="16" t="s">
        <v>1033</v>
      </c>
      <c r="F815" s="16" t="s">
        <v>5</v>
      </c>
      <c r="G815" s="35" t="s">
        <v>1034</v>
      </c>
      <c r="H815" s="39">
        <v>0</v>
      </c>
      <c r="I815" s="39">
        <v>0</v>
      </c>
      <c r="J815" s="39">
        <v>0</v>
      </c>
      <c r="K815" s="39">
        <v>0</v>
      </c>
      <c r="L815" s="39">
        <v>0</v>
      </c>
      <c r="M815" s="39">
        <v>0</v>
      </c>
      <c r="N815" s="39">
        <v>0</v>
      </c>
      <c r="O815" s="39">
        <v>0</v>
      </c>
      <c r="P815" s="39">
        <v>0</v>
      </c>
      <c r="Q815" s="39">
        <v>0</v>
      </c>
      <c r="R815" s="39">
        <v>0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0</v>
      </c>
      <c r="AA815" s="39">
        <v>0</v>
      </c>
      <c r="AB815" s="39">
        <v>0</v>
      </c>
      <c r="AC815" s="39">
        <v>567.75</v>
      </c>
      <c r="AD815" s="39">
        <v>531.67999999999995</v>
      </c>
      <c r="AE815" s="39">
        <v>501.17</v>
      </c>
      <c r="AF815" s="39">
        <v>0</v>
      </c>
      <c r="AG815" s="39">
        <v>0</v>
      </c>
      <c r="AH815" s="39">
        <v>0</v>
      </c>
      <c r="AI815" s="39">
        <v>567.75</v>
      </c>
      <c r="AJ815" s="39">
        <v>531.67999999999995</v>
      </c>
      <c r="AK815" s="39">
        <v>501.17</v>
      </c>
      <c r="AL815" s="39">
        <v>0</v>
      </c>
      <c r="AM815" s="39">
        <v>0</v>
      </c>
      <c r="AN815" s="39">
        <v>0</v>
      </c>
      <c r="AO815" s="39">
        <v>567.75</v>
      </c>
      <c r="AP815" s="39">
        <v>531.67999999999995</v>
      </c>
      <c r="AQ815" s="39">
        <v>501.17</v>
      </c>
      <c r="AR815" s="39">
        <v>567.75</v>
      </c>
    </row>
    <row r="816" spans="1:44" x14ac:dyDescent="0.35">
      <c r="A816" s="16" t="str">
        <f t="shared" si="71"/>
        <v>19</v>
      </c>
      <c r="B816" s="19">
        <v>64733</v>
      </c>
      <c r="C816" s="16" t="str">
        <f>TEXT(121707,"0000000")</f>
        <v>0121707</v>
      </c>
      <c r="D816" s="19">
        <v>1196</v>
      </c>
      <c r="E816" s="16" t="s">
        <v>1037</v>
      </c>
      <c r="F816" s="16" t="s">
        <v>5</v>
      </c>
      <c r="G816" s="35" t="s">
        <v>1038</v>
      </c>
      <c r="H816" s="39">
        <v>0</v>
      </c>
      <c r="I816" s="39">
        <v>0</v>
      </c>
      <c r="J816" s="39">
        <v>0</v>
      </c>
      <c r="K816" s="39">
        <v>0</v>
      </c>
      <c r="L816" s="39">
        <v>0</v>
      </c>
      <c r="M816" s="39">
        <v>0</v>
      </c>
      <c r="N816" s="39">
        <v>0</v>
      </c>
      <c r="O816" s="39">
        <v>0</v>
      </c>
      <c r="P816" s="39">
        <v>0</v>
      </c>
      <c r="Q816" s="39">
        <v>0</v>
      </c>
      <c r="R816" s="39">
        <v>0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0</v>
      </c>
      <c r="AA816" s="39">
        <v>0</v>
      </c>
      <c r="AB816" s="39">
        <v>0</v>
      </c>
      <c r="AC816" s="39">
        <v>996.3</v>
      </c>
      <c r="AD816" s="39">
        <v>961.26</v>
      </c>
      <c r="AE816" s="39">
        <v>973.14</v>
      </c>
      <c r="AF816" s="39">
        <v>0</v>
      </c>
      <c r="AG816" s="39">
        <v>0</v>
      </c>
      <c r="AH816" s="39">
        <v>0</v>
      </c>
      <c r="AI816" s="39">
        <v>996.3</v>
      </c>
      <c r="AJ816" s="39">
        <v>961.26</v>
      </c>
      <c r="AK816" s="39">
        <v>973.14</v>
      </c>
      <c r="AL816" s="39">
        <v>0</v>
      </c>
      <c r="AM816" s="39">
        <v>0</v>
      </c>
      <c r="AN816" s="39">
        <v>0</v>
      </c>
      <c r="AO816" s="39">
        <v>996.3</v>
      </c>
      <c r="AP816" s="39">
        <v>961.26</v>
      </c>
      <c r="AQ816" s="39">
        <v>973.14</v>
      </c>
      <c r="AR816" s="39">
        <v>996.3</v>
      </c>
    </row>
    <row r="817" spans="1:44" x14ac:dyDescent="0.35">
      <c r="A817" s="16" t="str">
        <f t="shared" si="71"/>
        <v>19</v>
      </c>
      <c r="B817" s="19">
        <v>64733</v>
      </c>
      <c r="C817" s="16" t="str">
        <f>TEXT(125625,"0000000")</f>
        <v>0125625</v>
      </c>
      <c r="D817" s="19">
        <v>1377</v>
      </c>
      <c r="E817" s="16" t="s">
        <v>1039</v>
      </c>
      <c r="F817" s="16" t="s">
        <v>5</v>
      </c>
      <c r="G817" s="35" t="s">
        <v>1040</v>
      </c>
      <c r="H817" s="39">
        <v>0</v>
      </c>
      <c r="I817" s="39">
        <v>0</v>
      </c>
      <c r="J817" s="39">
        <v>0</v>
      </c>
      <c r="K817" s="39">
        <v>0</v>
      </c>
      <c r="L817" s="39">
        <v>0</v>
      </c>
      <c r="M817" s="39">
        <v>0</v>
      </c>
      <c r="N817" s="39">
        <v>0</v>
      </c>
      <c r="O817" s="39">
        <v>0</v>
      </c>
      <c r="P817" s="39">
        <v>0</v>
      </c>
      <c r="Q817" s="39">
        <v>0</v>
      </c>
      <c r="R817" s="39">
        <v>0</v>
      </c>
      <c r="S817" s="39">
        <v>0</v>
      </c>
      <c r="T817" s="39">
        <v>0</v>
      </c>
      <c r="U817" s="39">
        <v>0</v>
      </c>
      <c r="V817" s="39">
        <v>0</v>
      </c>
      <c r="W817" s="39">
        <v>0</v>
      </c>
      <c r="X817" s="39">
        <v>0</v>
      </c>
      <c r="Y817" s="39">
        <v>0</v>
      </c>
      <c r="Z817" s="39">
        <v>0</v>
      </c>
      <c r="AA817" s="39">
        <v>0</v>
      </c>
      <c r="AB817" s="39">
        <v>0</v>
      </c>
      <c r="AC817" s="39">
        <v>382.7</v>
      </c>
      <c r="AD817" s="39">
        <v>270.45</v>
      </c>
      <c r="AE817" s="39">
        <v>323.05</v>
      </c>
      <c r="AF817" s="39">
        <v>0</v>
      </c>
      <c r="AG817" s="39">
        <v>0</v>
      </c>
      <c r="AH817" s="39">
        <v>0</v>
      </c>
      <c r="AI817" s="39">
        <v>382.7</v>
      </c>
      <c r="AJ817" s="39">
        <v>270.45</v>
      </c>
      <c r="AK817" s="39">
        <v>323.05</v>
      </c>
      <c r="AL817" s="39">
        <v>0</v>
      </c>
      <c r="AM817" s="39">
        <v>0</v>
      </c>
      <c r="AN817" s="39">
        <v>0</v>
      </c>
      <c r="AO817" s="39">
        <v>382.7</v>
      </c>
      <c r="AP817" s="39">
        <v>270.45</v>
      </c>
      <c r="AQ817" s="39">
        <v>323.05</v>
      </c>
      <c r="AR817" s="39">
        <v>382.7</v>
      </c>
    </row>
    <row r="818" spans="1:44" x14ac:dyDescent="0.35">
      <c r="A818" s="16" t="str">
        <f t="shared" si="71"/>
        <v>19</v>
      </c>
      <c r="B818" s="19">
        <v>64733</v>
      </c>
      <c r="C818" s="16" t="str">
        <f>TEXT(125641,"0000000")</f>
        <v>0125641</v>
      </c>
      <c r="D818" s="19">
        <v>1379</v>
      </c>
      <c r="E818" s="16" t="s">
        <v>1041</v>
      </c>
      <c r="F818" s="16" t="s">
        <v>5</v>
      </c>
      <c r="G818" s="35" t="s">
        <v>1042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423.44</v>
      </c>
      <c r="AD818" s="39">
        <v>445.19</v>
      </c>
      <c r="AE818" s="39">
        <v>446.88</v>
      </c>
      <c r="AF818" s="39">
        <v>0</v>
      </c>
      <c r="AG818" s="39">
        <v>0</v>
      </c>
      <c r="AH818" s="39">
        <v>0</v>
      </c>
      <c r="AI818" s="39">
        <v>423.44</v>
      </c>
      <c r="AJ818" s="39">
        <v>445.19</v>
      </c>
      <c r="AK818" s="39">
        <v>446.88</v>
      </c>
      <c r="AL818" s="39">
        <v>0</v>
      </c>
      <c r="AM818" s="39">
        <v>0</v>
      </c>
      <c r="AN818" s="39">
        <v>0</v>
      </c>
      <c r="AO818" s="39">
        <v>423.44</v>
      </c>
      <c r="AP818" s="39">
        <v>445.19</v>
      </c>
      <c r="AQ818" s="39">
        <v>446.88</v>
      </c>
      <c r="AR818" s="39">
        <v>446.88</v>
      </c>
    </row>
    <row r="819" spans="1:44" x14ac:dyDescent="0.35">
      <c r="A819" s="16" t="str">
        <f>TEXT(1,"00")</f>
        <v>01</v>
      </c>
      <c r="B819" s="19">
        <v>61119</v>
      </c>
      <c r="C819" s="16" t="str">
        <f>TEXT(119222,"0000000")</f>
        <v>0119222</v>
      </c>
      <c r="D819" s="19">
        <v>1066</v>
      </c>
      <c r="E819" s="16" t="s">
        <v>39</v>
      </c>
      <c r="F819" s="16" t="s">
        <v>5</v>
      </c>
      <c r="G819" s="35" t="s">
        <v>40</v>
      </c>
      <c r="H819" s="39">
        <v>0</v>
      </c>
      <c r="I819" s="39">
        <v>0</v>
      </c>
      <c r="J819" s="39">
        <v>0</v>
      </c>
      <c r="K819" s="39">
        <v>0</v>
      </c>
      <c r="L819" s="39">
        <v>0</v>
      </c>
      <c r="M819" s="39">
        <v>0</v>
      </c>
      <c r="N819" s="39">
        <v>0</v>
      </c>
      <c r="O819" s="39">
        <v>0</v>
      </c>
      <c r="P819" s="39">
        <v>0</v>
      </c>
      <c r="Q819" s="39">
        <v>0</v>
      </c>
      <c r="R819" s="39">
        <v>0</v>
      </c>
      <c r="S819" s="39">
        <v>0</v>
      </c>
      <c r="T819" s="39">
        <v>0</v>
      </c>
      <c r="U819" s="39">
        <v>0</v>
      </c>
      <c r="V819" s="39">
        <v>0</v>
      </c>
      <c r="W819" s="39">
        <v>0</v>
      </c>
      <c r="X819" s="39">
        <v>0</v>
      </c>
      <c r="Y819" s="39">
        <v>0</v>
      </c>
      <c r="Z819" s="39">
        <v>0</v>
      </c>
      <c r="AA819" s="39">
        <v>0</v>
      </c>
      <c r="AB819" s="39">
        <v>0</v>
      </c>
      <c r="AC819" s="39">
        <v>445.35</v>
      </c>
      <c r="AD819" s="39">
        <v>456.47</v>
      </c>
      <c r="AE819" s="39">
        <v>481.72</v>
      </c>
      <c r="AF819" s="39">
        <v>0</v>
      </c>
      <c r="AG819" s="39">
        <v>0</v>
      </c>
      <c r="AH819" s="39">
        <v>0</v>
      </c>
      <c r="AI819" s="39">
        <v>445.35</v>
      </c>
      <c r="AJ819" s="39">
        <v>456.47</v>
      </c>
      <c r="AK819" s="39">
        <v>481.72</v>
      </c>
      <c r="AL819" s="39">
        <v>0</v>
      </c>
      <c r="AM819" s="39">
        <v>0</v>
      </c>
      <c r="AN819" s="39">
        <v>0</v>
      </c>
      <c r="AO819" s="39">
        <v>445.35</v>
      </c>
      <c r="AP819" s="39">
        <v>456.47</v>
      </c>
      <c r="AQ819" s="39">
        <v>481.72</v>
      </c>
      <c r="AR819" s="39">
        <v>481.72</v>
      </c>
    </row>
    <row r="820" spans="1:44" x14ac:dyDescent="0.35">
      <c r="A820" s="16" t="str">
        <f t="shared" ref="A820:A829" si="72">TEXT(19,"00")</f>
        <v>19</v>
      </c>
      <c r="B820" s="19">
        <v>64733</v>
      </c>
      <c r="C820" s="16" t="str">
        <f>TEXT(127670,"0000000")</f>
        <v>0127670</v>
      </c>
      <c r="D820" s="19">
        <v>1508</v>
      </c>
      <c r="E820" s="16" t="s">
        <v>1043</v>
      </c>
      <c r="F820" s="16" t="s">
        <v>5</v>
      </c>
      <c r="G820" s="35" t="s">
        <v>1044</v>
      </c>
      <c r="H820" s="39">
        <v>0</v>
      </c>
      <c r="I820" s="39">
        <v>0</v>
      </c>
      <c r="J820" s="39">
        <v>0</v>
      </c>
      <c r="K820" s="39">
        <v>0</v>
      </c>
      <c r="L820" s="39">
        <v>0</v>
      </c>
      <c r="M820" s="39">
        <v>0</v>
      </c>
      <c r="N820" s="39">
        <v>0</v>
      </c>
      <c r="O820" s="39">
        <v>0</v>
      </c>
      <c r="P820" s="39">
        <v>0</v>
      </c>
      <c r="Q820" s="39">
        <v>0</v>
      </c>
      <c r="R820" s="39">
        <v>0</v>
      </c>
      <c r="S820" s="39">
        <v>0</v>
      </c>
      <c r="T820" s="39">
        <v>0</v>
      </c>
      <c r="U820" s="39">
        <v>0</v>
      </c>
      <c r="V820" s="39">
        <v>0</v>
      </c>
      <c r="W820" s="39">
        <v>0</v>
      </c>
      <c r="X820" s="39">
        <v>0</v>
      </c>
      <c r="Y820" s="39">
        <v>0</v>
      </c>
      <c r="Z820" s="39">
        <v>0</v>
      </c>
      <c r="AA820" s="39">
        <v>0</v>
      </c>
      <c r="AB820" s="39">
        <v>0</v>
      </c>
      <c r="AC820" s="39">
        <v>549.76</v>
      </c>
      <c r="AD820" s="39">
        <v>540.27</v>
      </c>
      <c r="AE820" s="39">
        <v>488.83</v>
      </c>
      <c r="AF820" s="39">
        <v>0</v>
      </c>
      <c r="AG820" s="39">
        <v>0</v>
      </c>
      <c r="AH820" s="39">
        <v>0</v>
      </c>
      <c r="AI820" s="39">
        <v>549.76</v>
      </c>
      <c r="AJ820" s="39">
        <v>540.27</v>
      </c>
      <c r="AK820" s="39">
        <v>488.83</v>
      </c>
      <c r="AL820" s="39">
        <v>0</v>
      </c>
      <c r="AM820" s="39">
        <v>0</v>
      </c>
      <c r="AN820" s="39">
        <v>0</v>
      </c>
      <c r="AO820" s="39">
        <v>549.76</v>
      </c>
      <c r="AP820" s="39">
        <v>540.27</v>
      </c>
      <c r="AQ820" s="39">
        <v>488.83</v>
      </c>
      <c r="AR820" s="39">
        <v>549.76</v>
      </c>
    </row>
    <row r="821" spans="1:44" x14ac:dyDescent="0.35">
      <c r="A821" s="16" t="str">
        <f t="shared" si="72"/>
        <v>19</v>
      </c>
      <c r="B821" s="19">
        <v>64733</v>
      </c>
      <c r="C821" s="16" t="str">
        <f>TEXT(131797,"0000000")</f>
        <v>0131797</v>
      </c>
      <c r="D821" s="19">
        <v>1721</v>
      </c>
      <c r="E821" s="16" t="s">
        <v>1049</v>
      </c>
      <c r="F821" s="16" t="s">
        <v>5</v>
      </c>
      <c r="G821" s="35" t="s">
        <v>1050</v>
      </c>
      <c r="H821" s="39">
        <v>0</v>
      </c>
      <c r="I821" s="39">
        <v>0</v>
      </c>
      <c r="J821" s="39">
        <v>0</v>
      </c>
      <c r="K821" s="39">
        <v>0</v>
      </c>
      <c r="L821" s="39">
        <v>0</v>
      </c>
      <c r="M821" s="39">
        <v>0</v>
      </c>
      <c r="N821" s="39">
        <v>0</v>
      </c>
      <c r="O821" s="39">
        <v>0</v>
      </c>
      <c r="P821" s="39">
        <v>0</v>
      </c>
      <c r="Q821" s="39">
        <v>0</v>
      </c>
      <c r="R821" s="39">
        <v>0</v>
      </c>
      <c r="S821" s="39">
        <v>0</v>
      </c>
      <c r="T821" s="39">
        <v>0</v>
      </c>
      <c r="U821" s="39">
        <v>0</v>
      </c>
      <c r="V821" s="39">
        <v>0</v>
      </c>
      <c r="W821" s="39">
        <v>0</v>
      </c>
      <c r="X821" s="39">
        <v>0</v>
      </c>
      <c r="Y821" s="39">
        <v>0</v>
      </c>
      <c r="Z821" s="39">
        <v>0</v>
      </c>
      <c r="AA821" s="39">
        <v>0</v>
      </c>
      <c r="AB821" s="39">
        <v>0</v>
      </c>
      <c r="AC821" s="39">
        <v>449.02</v>
      </c>
      <c r="AD821" s="39">
        <v>392.7</v>
      </c>
      <c r="AE821" s="39">
        <v>422.85</v>
      </c>
      <c r="AF821" s="39">
        <v>0</v>
      </c>
      <c r="AG821" s="39">
        <v>0</v>
      </c>
      <c r="AH821" s="39">
        <v>0</v>
      </c>
      <c r="AI821" s="39">
        <v>449.02</v>
      </c>
      <c r="AJ821" s="39">
        <v>392.7</v>
      </c>
      <c r="AK821" s="39">
        <v>422.85</v>
      </c>
      <c r="AL821" s="39">
        <v>0</v>
      </c>
      <c r="AM821" s="39">
        <v>0</v>
      </c>
      <c r="AN821" s="39">
        <v>0</v>
      </c>
      <c r="AO821" s="39">
        <v>449.02</v>
      </c>
      <c r="AP821" s="39">
        <v>392.7</v>
      </c>
      <c r="AQ821" s="39">
        <v>422.85</v>
      </c>
      <c r="AR821" s="39">
        <v>449.02</v>
      </c>
    </row>
    <row r="822" spans="1:44" ht="31" x14ac:dyDescent="0.35">
      <c r="A822" s="16" t="str">
        <f t="shared" si="72"/>
        <v>19</v>
      </c>
      <c r="B822" s="19">
        <v>64733</v>
      </c>
      <c r="C822" s="16" t="str">
        <f>TEXT(132928,"0000000")</f>
        <v>0132928</v>
      </c>
      <c r="D822" s="19">
        <v>1685</v>
      </c>
      <c r="E822" s="16" t="s">
        <v>1051</v>
      </c>
      <c r="F822" s="16" t="s">
        <v>5</v>
      </c>
      <c r="G822" s="35" t="s">
        <v>1052</v>
      </c>
      <c r="H822" s="39">
        <v>0</v>
      </c>
      <c r="I822" s="39">
        <v>0</v>
      </c>
      <c r="J822" s="39">
        <v>0</v>
      </c>
      <c r="K822" s="39">
        <v>0</v>
      </c>
      <c r="L822" s="39">
        <v>0</v>
      </c>
      <c r="M822" s="39">
        <v>0</v>
      </c>
      <c r="N822" s="39">
        <v>0</v>
      </c>
      <c r="O822" s="39">
        <v>0</v>
      </c>
      <c r="P822" s="39">
        <v>0</v>
      </c>
      <c r="Q822" s="39">
        <v>0</v>
      </c>
      <c r="R822" s="39">
        <v>0</v>
      </c>
      <c r="S822" s="39">
        <v>0</v>
      </c>
      <c r="T822" s="39">
        <v>0</v>
      </c>
      <c r="U822" s="39">
        <v>0</v>
      </c>
      <c r="V822" s="39">
        <v>0</v>
      </c>
      <c r="W822" s="39">
        <v>0</v>
      </c>
      <c r="X822" s="39">
        <v>0</v>
      </c>
      <c r="Y822" s="39">
        <v>0</v>
      </c>
      <c r="Z822" s="39">
        <v>0</v>
      </c>
      <c r="AA822" s="39">
        <v>0</v>
      </c>
      <c r="AB822" s="39">
        <v>0</v>
      </c>
      <c r="AC822" s="39">
        <v>230.45</v>
      </c>
      <c r="AD822" s="39">
        <v>245.85</v>
      </c>
      <c r="AE822" s="39">
        <v>232.44</v>
      </c>
      <c r="AF822" s="39">
        <v>0</v>
      </c>
      <c r="AG822" s="39">
        <v>0</v>
      </c>
      <c r="AH822" s="39">
        <v>0</v>
      </c>
      <c r="AI822" s="39">
        <v>230.45</v>
      </c>
      <c r="AJ822" s="39">
        <v>245.85</v>
      </c>
      <c r="AK822" s="39">
        <v>232.44</v>
      </c>
      <c r="AL822" s="39">
        <v>0</v>
      </c>
      <c r="AM822" s="39">
        <v>0</v>
      </c>
      <c r="AN822" s="39">
        <v>0</v>
      </c>
      <c r="AO822" s="39">
        <v>230.45</v>
      </c>
      <c r="AP822" s="39">
        <v>245.85</v>
      </c>
      <c r="AQ822" s="39">
        <v>232.44</v>
      </c>
      <c r="AR822" s="39">
        <v>245.85</v>
      </c>
    </row>
    <row r="823" spans="1:44" x14ac:dyDescent="0.35">
      <c r="A823" s="16" t="str">
        <f t="shared" si="72"/>
        <v>19</v>
      </c>
      <c r="B823" s="19">
        <v>64733</v>
      </c>
      <c r="C823" s="16" t="str">
        <f>TEXT(135517,"0000000")</f>
        <v>0135517</v>
      </c>
      <c r="D823" s="19">
        <v>1855</v>
      </c>
      <c r="E823" s="16" t="s">
        <v>1053</v>
      </c>
      <c r="F823" s="16" t="s">
        <v>5</v>
      </c>
      <c r="G823" s="35" t="s">
        <v>1054</v>
      </c>
      <c r="H823" s="39">
        <v>0</v>
      </c>
      <c r="I823" s="39">
        <v>0</v>
      </c>
      <c r="J823" s="39">
        <v>0</v>
      </c>
      <c r="K823" s="39">
        <v>0</v>
      </c>
      <c r="L823" s="39">
        <v>0</v>
      </c>
      <c r="M823" s="39">
        <v>0</v>
      </c>
      <c r="N823" s="39">
        <v>0</v>
      </c>
      <c r="O823" s="39">
        <v>0</v>
      </c>
      <c r="P823" s="39">
        <v>0</v>
      </c>
      <c r="Q823" s="39">
        <v>0</v>
      </c>
      <c r="R823" s="39">
        <v>0</v>
      </c>
      <c r="S823" s="39">
        <v>0</v>
      </c>
      <c r="T823" s="39">
        <v>0</v>
      </c>
      <c r="U823" s="39">
        <v>0</v>
      </c>
      <c r="V823" s="39">
        <v>0</v>
      </c>
      <c r="W823" s="39">
        <v>0</v>
      </c>
      <c r="X823" s="39">
        <v>0</v>
      </c>
      <c r="Y823" s="39">
        <v>0</v>
      </c>
      <c r="Z823" s="39">
        <v>0</v>
      </c>
      <c r="AA823" s="39">
        <v>0</v>
      </c>
      <c r="AB823" s="39">
        <v>0</v>
      </c>
      <c r="AC823" s="39">
        <v>962.29</v>
      </c>
      <c r="AD823" s="39">
        <v>974.99</v>
      </c>
      <c r="AE823" s="39">
        <v>949.94</v>
      </c>
      <c r="AF823" s="39">
        <v>0</v>
      </c>
      <c r="AG823" s="39">
        <v>0</v>
      </c>
      <c r="AH823" s="39">
        <v>0</v>
      </c>
      <c r="AI823" s="39">
        <v>962.29</v>
      </c>
      <c r="AJ823" s="39">
        <v>974.99</v>
      </c>
      <c r="AK823" s="39">
        <v>949.94</v>
      </c>
      <c r="AL823" s="39">
        <v>0</v>
      </c>
      <c r="AM823" s="39">
        <v>0</v>
      </c>
      <c r="AN823" s="39">
        <v>0</v>
      </c>
      <c r="AO823" s="39">
        <v>962.29</v>
      </c>
      <c r="AP823" s="39">
        <v>974.99</v>
      </c>
      <c r="AQ823" s="39">
        <v>949.94</v>
      </c>
      <c r="AR823" s="39">
        <v>974.99</v>
      </c>
    </row>
    <row r="824" spans="1:44" x14ac:dyDescent="0.35">
      <c r="A824" s="16" t="str">
        <f t="shared" si="72"/>
        <v>19</v>
      </c>
      <c r="B824" s="19">
        <v>64733</v>
      </c>
      <c r="C824" s="16" t="str">
        <f>TEXT(140111,"0000000")</f>
        <v>0140111</v>
      </c>
      <c r="D824" s="19">
        <v>2088</v>
      </c>
      <c r="E824" s="16" t="s">
        <v>1055</v>
      </c>
      <c r="F824" s="16" t="s">
        <v>5</v>
      </c>
      <c r="G824" s="35" t="s">
        <v>1056</v>
      </c>
      <c r="H824" s="39">
        <v>0</v>
      </c>
      <c r="I824" s="39">
        <v>0</v>
      </c>
      <c r="J824" s="39">
        <v>0</v>
      </c>
      <c r="K824" s="39">
        <v>0</v>
      </c>
      <c r="L824" s="39">
        <v>0</v>
      </c>
      <c r="M824" s="39">
        <v>0</v>
      </c>
      <c r="N824" s="39">
        <v>0</v>
      </c>
      <c r="O824" s="39">
        <v>0</v>
      </c>
      <c r="P824" s="39">
        <v>0</v>
      </c>
      <c r="Q824" s="39">
        <v>0</v>
      </c>
      <c r="R824" s="39">
        <v>0</v>
      </c>
      <c r="S824" s="39">
        <v>0</v>
      </c>
      <c r="T824" s="39">
        <v>0</v>
      </c>
      <c r="U824" s="39">
        <v>0</v>
      </c>
      <c r="V824" s="39">
        <v>0</v>
      </c>
      <c r="W824" s="39">
        <v>0</v>
      </c>
      <c r="X824" s="39">
        <v>0</v>
      </c>
      <c r="Y824" s="39">
        <v>0</v>
      </c>
      <c r="Z824" s="39">
        <v>0</v>
      </c>
      <c r="AA824" s="39">
        <v>0</v>
      </c>
      <c r="AB824" s="39">
        <v>0</v>
      </c>
      <c r="AC824" s="39">
        <v>142.87</v>
      </c>
      <c r="AD824" s="39">
        <v>105.19</v>
      </c>
      <c r="AE824" s="39">
        <v>78.03</v>
      </c>
      <c r="AF824" s="39">
        <v>0</v>
      </c>
      <c r="AG824" s="39">
        <v>0</v>
      </c>
      <c r="AH824" s="39">
        <v>0</v>
      </c>
      <c r="AI824" s="39">
        <v>142.87</v>
      </c>
      <c r="AJ824" s="39">
        <v>105.19</v>
      </c>
      <c r="AK824" s="39">
        <v>78.03</v>
      </c>
      <c r="AL824" s="39">
        <v>0</v>
      </c>
      <c r="AM824" s="39">
        <v>0</v>
      </c>
      <c r="AN824" s="39">
        <v>0</v>
      </c>
      <c r="AO824" s="39">
        <v>142.87</v>
      </c>
      <c r="AP824" s="39">
        <v>105.19</v>
      </c>
      <c r="AQ824" s="39">
        <v>78.03</v>
      </c>
      <c r="AR824" s="39">
        <v>142.87</v>
      </c>
    </row>
    <row r="825" spans="1:44" x14ac:dyDescent="0.35">
      <c r="A825" s="16" t="str">
        <f t="shared" si="72"/>
        <v>19</v>
      </c>
      <c r="B825" s="19">
        <v>64857</v>
      </c>
      <c r="C825" s="16" t="str">
        <f>TEXT(112714,"0000000")</f>
        <v>0112714</v>
      </c>
      <c r="D825" s="17" t="s">
        <v>1073</v>
      </c>
      <c r="E825" s="16" t="s">
        <v>1071</v>
      </c>
      <c r="F825" s="16" t="s">
        <v>5</v>
      </c>
      <c r="G825" s="35" t="s">
        <v>1072</v>
      </c>
      <c r="H825" s="39">
        <v>0</v>
      </c>
      <c r="I825" s="39">
        <v>0</v>
      </c>
      <c r="J825" s="39">
        <v>0</v>
      </c>
      <c r="K825" s="39">
        <v>0</v>
      </c>
      <c r="L825" s="39">
        <v>0</v>
      </c>
      <c r="M825" s="39">
        <v>0</v>
      </c>
      <c r="N825" s="39">
        <v>0</v>
      </c>
      <c r="O825" s="39">
        <v>0</v>
      </c>
      <c r="P825" s="39">
        <v>0</v>
      </c>
      <c r="Q825" s="39">
        <v>0</v>
      </c>
      <c r="R825" s="39">
        <v>0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0</v>
      </c>
      <c r="Z825" s="39">
        <v>0</v>
      </c>
      <c r="AA825" s="39">
        <v>0</v>
      </c>
      <c r="AB825" s="39">
        <v>0</v>
      </c>
      <c r="AC825" s="39">
        <v>1537.33</v>
      </c>
      <c r="AD825" s="39">
        <v>1518.03</v>
      </c>
      <c r="AE825" s="39">
        <v>1351.62</v>
      </c>
      <c r="AF825" s="39">
        <v>0</v>
      </c>
      <c r="AG825" s="39">
        <v>0</v>
      </c>
      <c r="AH825" s="39">
        <v>0</v>
      </c>
      <c r="AI825" s="39">
        <v>1537.33</v>
      </c>
      <c r="AJ825" s="39">
        <v>1518.03</v>
      </c>
      <c r="AK825" s="39">
        <v>1351.62</v>
      </c>
      <c r="AL825" s="39">
        <v>0</v>
      </c>
      <c r="AM825" s="39">
        <v>0</v>
      </c>
      <c r="AN825" s="39">
        <v>0</v>
      </c>
      <c r="AO825" s="39">
        <v>1537.33</v>
      </c>
      <c r="AP825" s="39">
        <v>1518.03</v>
      </c>
      <c r="AQ825" s="39">
        <v>1351.62</v>
      </c>
      <c r="AR825" s="39">
        <v>1537.33</v>
      </c>
    </row>
    <row r="826" spans="1:44" x14ac:dyDescent="0.35">
      <c r="A826" s="16" t="str">
        <f t="shared" si="72"/>
        <v>19</v>
      </c>
      <c r="B826" s="19">
        <v>64857</v>
      </c>
      <c r="C826" s="16" t="str">
        <f>TEXT(125377,"0000000")</f>
        <v>0125377</v>
      </c>
      <c r="D826" s="19">
        <v>1367</v>
      </c>
      <c r="E826" s="16" t="s">
        <v>1074</v>
      </c>
      <c r="F826" s="16" t="s">
        <v>5</v>
      </c>
      <c r="G826" s="35" t="s">
        <v>1075</v>
      </c>
      <c r="H826" s="39">
        <v>0</v>
      </c>
      <c r="I826" s="39">
        <v>0</v>
      </c>
      <c r="J826" s="39">
        <v>0</v>
      </c>
      <c r="K826" s="39">
        <v>0</v>
      </c>
      <c r="L826" s="39">
        <v>0</v>
      </c>
      <c r="M826" s="39">
        <v>0</v>
      </c>
      <c r="N826" s="39">
        <v>0</v>
      </c>
      <c r="O826" s="39">
        <v>0</v>
      </c>
      <c r="P826" s="39">
        <v>0</v>
      </c>
      <c r="Q826" s="39">
        <v>0</v>
      </c>
      <c r="R826" s="39">
        <v>0</v>
      </c>
      <c r="S826" s="39">
        <v>0</v>
      </c>
      <c r="T826" s="39">
        <v>0</v>
      </c>
      <c r="U826" s="39">
        <v>0</v>
      </c>
      <c r="V826" s="39">
        <v>0</v>
      </c>
      <c r="W826" s="39">
        <v>0</v>
      </c>
      <c r="X826" s="39">
        <v>0</v>
      </c>
      <c r="Y826" s="39">
        <v>0</v>
      </c>
      <c r="Z826" s="39">
        <v>0</v>
      </c>
      <c r="AA826" s="39">
        <v>0</v>
      </c>
      <c r="AB826" s="39">
        <v>0</v>
      </c>
      <c r="AC826" s="39">
        <v>2124.36</v>
      </c>
      <c r="AD826" s="39">
        <v>2031.59</v>
      </c>
      <c r="AE826" s="39">
        <v>2096.36</v>
      </c>
      <c r="AF826" s="39">
        <v>0</v>
      </c>
      <c r="AG826" s="39">
        <v>0</v>
      </c>
      <c r="AH826" s="39">
        <v>0</v>
      </c>
      <c r="AI826" s="39">
        <v>2124.36</v>
      </c>
      <c r="AJ826" s="39">
        <v>2031.59</v>
      </c>
      <c r="AK826" s="39">
        <v>2096.36</v>
      </c>
      <c r="AL826" s="39">
        <v>0</v>
      </c>
      <c r="AM826" s="39">
        <v>0</v>
      </c>
      <c r="AN826" s="39">
        <v>0</v>
      </c>
      <c r="AO826" s="39">
        <v>2124.36</v>
      </c>
      <c r="AP826" s="39">
        <v>2031.59</v>
      </c>
      <c r="AQ826" s="39">
        <v>2096.36</v>
      </c>
      <c r="AR826" s="39">
        <v>2124.36</v>
      </c>
    </row>
    <row r="827" spans="1:44" x14ac:dyDescent="0.35">
      <c r="A827" s="16" t="str">
        <f t="shared" si="72"/>
        <v>19</v>
      </c>
      <c r="B827" s="19">
        <v>64907</v>
      </c>
      <c r="C827" s="16" t="str">
        <f>TEXT(1996693,"0000000")</f>
        <v>1996693</v>
      </c>
      <c r="D827" s="17" t="s">
        <v>1097</v>
      </c>
      <c r="E827" s="16" t="s">
        <v>1095</v>
      </c>
      <c r="F827" s="16" t="s">
        <v>5</v>
      </c>
      <c r="G827" s="35" t="s">
        <v>1096</v>
      </c>
      <c r="H827" s="39">
        <v>0</v>
      </c>
      <c r="I827" s="39">
        <v>0</v>
      </c>
      <c r="J827" s="39">
        <v>0</v>
      </c>
      <c r="K827" s="39">
        <v>0</v>
      </c>
      <c r="L827" s="39">
        <v>0</v>
      </c>
      <c r="M827" s="39">
        <v>0</v>
      </c>
      <c r="N827" s="39">
        <v>0</v>
      </c>
      <c r="O827" s="39">
        <v>0</v>
      </c>
      <c r="P827" s="39">
        <v>0</v>
      </c>
      <c r="Q827" s="39">
        <v>0</v>
      </c>
      <c r="R827" s="39">
        <v>0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0</v>
      </c>
      <c r="AA827" s="39">
        <v>0</v>
      </c>
      <c r="AB827" s="39">
        <v>0</v>
      </c>
      <c r="AC827" s="39">
        <v>594.26</v>
      </c>
      <c r="AD827" s="39">
        <v>603.05999999999995</v>
      </c>
      <c r="AE827" s="39">
        <v>598.42999999999995</v>
      </c>
      <c r="AF827" s="39">
        <v>0</v>
      </c>
      <c r="AG827" s="39">
        <v>0</v>
      </c>
      <c r="AH827" s="39">
        <v>0</v>
      </c>
      <c r="AI827" s="39">
        <v>594.26</v>
      </c>
      <c r="AJ827" s="39">
        <v>603.05999999999995</v>
      </c>
      <c r="AK827" s="39">
        <v>598.42999999999995</v>
      </c>
      <c r="AL827" s="39">
        <v>0</v>
      </c>
      <c r="AM827" s="39">
        <v>0</v>
      </c>
      <c r="AN827" s="39">
        <v>0</v>
      </c>
      <c r="AO827" s="39">
        <v>594.26</v>
      </c>
      <c r="AP827" s="39">
        <v>603.05999999999995</v>
      </c>
      <c r="AQ827" s="39">
        <v>598.42999999999995</v>
      </c>
      <c r="AR827" s="39">
        <v>603.05999999999995</v>
      </c>
    </row>
    <row r="828" spans="1:44" x14ac:dyDescent="0.35">
      <c r="A828" s="16" t="str">
        <f t="shared" si="72"/>
        <v>19</v>
      </c>
      <c r="B828" s="19">
        <v>65136</v>
      </c>
      <c r="C828" s="16" t="str">
        <f>TEXT(114439,"0000000")</f>
        <v>0114439</v>
      </c>
      <c r="D828" s="17" t="s">
        <v>1132</v>
      </c>
      <c r="E828" s="16" t="s">
        <v>1130</v>
      </c>
      <c r="F828" s="16" t="s">
        <v>5</v>
      </c>
      <c r="G828" s="35" t="s">
        <v>1131</v>
      </c>
      <c r="H828" s="39">
        <v>0</v>
      </c>
      <c r="I828" s="39">
        <v>0</v>
      </c>
      <c r="J828" s="39">
        <v>0</v>
      </c>
      <c r="K828" s="39">
        <v>0</v>
      </c>
      <c r="L828" s="39">
        <v>0</v>
      </c>
      <c r="M828" s="39">
        <v>0</v>
      </c>
      <c r="N828" s="39">
        <v>0</v>
      </c>
      <c r="O828" s="39">
        <v>0</v>
      </c>
      <c r="P828" s="39">
        <v>0</v>
      </c>
      <c r="Q828" s="39">
        <v>0</v>
      </c>
      <c r="R828" s="39">
        <v>0</v>
      </c>
      <c r="S828" s="39">
        <v>0</v>
      </c>
      <c r="T828" s="39">
        <v>0</v>
      </c>
      <c r="U828" s="39">
        <v>0</v>
      </c>
      <c r="V828" s="39">
        <v>0</v>
      </c>
      <c r="W828" s="39">
        <v>0</v>
      </c>
      <c r="X828" s="39">
        <v>0</v>
      </c>
      <c r="Y828" s="39">
        <v>0</v>
      </c>
      <c r="Z828" s="39">
        <v>0</v>
      </c>
      <c r="AA828" s="39">
        <v>0</v>
      </c>
      <c r="AB828" s="39">
        <v>0</v>
      </c>
      <c r="AC828" s="39">
        <v>467.98</v>
      </c>
      <c r="AD828" s="39">
        <v>453.76</v>
      </c>
      <c r="AE828" s="39">
        <v>395.24</v>
      </c>
      <c r="AF828" s="39">
        <v>0</v>
      </c>
      <c r="AG828" s="39">
        <v>0</v>
      </c>
      <c r="AH828" s="39">
        <v>0</v>
      </c>
      <c r="AI828" s="39">
        <v>467.98</v>
      </c>
      <c r="AJ828" s="39">
        <v>453.76</v>
      </c>
      <c r="AK828" s="39">
        <v>395.24</v>
      </c>
      <c r="AL828" s="39">
        <v>0</v>
      </c>
      <c r="AM828" s="39">
        <v>0</v>
      </c>
      <c r="AN828" s="39">
        <v>0</v>
      </c>
      <c r="AO828" s="39">
        <v>467.98</v>
      </c>
      <c r="AP828" s="39">
        <v>453.76</v>
      </c>
      <c r="AQ828" s="39">
        <v>395.24</v>
      </c>
      <c r="AR828" s="39">
        <v>467.98</v>
      </c>
    </row>
    <row r="829" spans="1:44" x14ac:dyDescent="0.35">
      <c r="A829" s="16" t="str">
        <f t="shared" si="72"/>
        <v>19</v>
      </c>
      <c r="B829" s="19">
        <v>65136</v>
      </c>
      <c r="C829" s="16" t="str">
        <f>TEXT(117234,"0000000")</f>
        <v>0117234</v>
      </c>
      <c r="D829" s="17" t="s">
        <v>1135</v>
      </c>
      <c r="E829" s="16" t="s">
        <v>1133</v>
      </c>
      <c r="F829" s="16" t="s">
        <v>5</v>
      </c>
      <c r="G829" s="35" t="s">
        <v>1134</v>
      </c>
      <c r="H829" s="39">
        <v>0</v>
      </c>
      <c r="I829" s="39">
        <v>0</v>
      </c>
      <c r="J829" s="39">
        <v>0</v>
      </c>
      <c r="K829" s="39">
        <v>0</v>
      </c>
      <c r="L829" s="39">
        <v>0</v>
      </c>
      <c r="M829" s="39">
        <v>0</v>
      </c>
      <c r="N829" s="39">
        <v>0</v>
      </c>
      <c r="O829" s="39">
        <v>0</v>
      </c>
      <c r="P829" s="39">
        <v>0</v>
      </c>
      <c r="Q829" s="39">
        <v>0</v>
      </c>
      <c r="R829" s="39">
        <v>0</v>
      </c>
      <c r="S829" s="39">
        <v>0</v>
      </c>
      <c r="T829" s="39">
        <v>0</v>
      </c>
      <c r="U829" s="39">
        <v>0</v>
      </c>
      <c r="V829" s="39">
        <v>0</v>
      </c>
      <c r="W829" s="39">
        <v>0</v>
      </c>
      <c r="X829" s="39">
        <v>0</v>
      </c>
      <c r="Y829" s="39">
        <v>0</v>
      </c>
      <c r="Z829" s="39">
        <v>0</v>
      </c>
      <c r="AA829" s="39">
        <v>0</v>
      </c>
      <c r="AB829" s="39">
        <v>0</v>
      </c>
      <c r="AC829" s="39">
        <v>524.80999999999995</v>
      </c>
      <c r="AD829" s="39">
        <v>612.72</v>
      </c>
      <c r="AE829" s="39">
        <v>678.81</v>
      </c>
      <c r="AF829" s="39">
        <v>0</v>
      </c>
      <c r="AG829" s="39">
        <v>0</v>
      </c>
      <c r="AH829" s="39">
        <v>0</v>
      </c>
      <c r="AI829" s="39">
        <v>524.80999999999995</v>
      </c>
      <c r="AJ829" s="39">
        <v>612.72</v>
      </c>
      <c r="AK829" s="39">
        <v>678.81</v>
      </c>
      <c r="AL829" s="39">
        <v>0</v>
      </c>
      <c r="AM829" s="39">
        <v>0</v>
      </c>
      <c r="AN829" s="39">
        <v>0</v>
      </c>
      <c r="AO829" s="39">
        <v>524.80999999999995</v>
      </c>
      <c r="AP829" s="39">
        <v>612.72</v>
      </c>
      <c r="AQ829" s="39">
        <v>678.81</v>
      </c>
      <c r="AR829" s="39">
        <v>678.81</v>
      </c>
    </row>
    <row r="830" spans="1:44" x14ac:dyDescent="0.35">
      <c r="A830" s="16" t="str">
        <f>TEXT(1,"00")</f>
        <v>01</v>
      </c>
      <c r="B830" s="19">
        <v>61119</v>
      </c>
      <c r="C830" s="16" t="str">
        <f>TEXT(130609,"0000000")</f>
        <v>0130609</v>
      </c>
      <c r="D830" s="17" t="s">
        <v>45</v>
      </c>
      <c r="E830" s="16" t="s">
        <v>43</v>
      </c>
      <c r="F830" s="16" t="s">
        <v>5</v>
      </c>
      <c r="G830" s="35" t="s">
        <v>44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331.42</v>
      </c>
      <c r="AD830" s="39">
        <v>363.78</v>
      </c>
      <c r="AE830" s="39">
        <v>369.2</v>
      </c>
      <c r="AF830" s="39">
        <v>0</v>
      </c>
      <c r="AG830" s="39">
        <v>0</v>
      </c>
      <c r="AH830" s="39">
        <v>0</v>
      </c>
      <c r="AI830" s="39">
        <v>331.42</v>
      </c>
      <c r="AJ830" s="39">
        <v>363.78</v>
      </c>
      <c r="AK830" s="39">
        <v>369.2</v>
      </c>
      <c r="AL830" s="39">
        <v>0</v>
      </c>
      <c r="AM830" s="39">
        <v>0</v>
      </c>
      <c r="AN830" s="39">
        <v>0</v>
      </c>
      <c r="AO830" s="39">
        <v>331.42</v>
      </c>
      <c r="AP830" s="39">
        <v>363.78</v>
      </c>
      <c r="AQ830" s="39">
        <v>369.2</v>
      </c>
      <c r="AR830" s="39">
        <v>369.2</v>
      </c>
    </row>
    <row r="831" spans="1:44" x14ac:dyDescent="0.35">
      <c r="A831" s="16" t="str">
        <f t="shared" ref="A831:A839" si="73">TEXT(19,"00")</f>
        <v>19</v>
      </c>
      <c r="B831" s="19">
        <v>73437</v>
      </c>
      <c r="C831" s="16" t="str">
        <f>TEXT(115725,"0000000")</f>
        <v>0115725</v>
      </c>
      <c r="D831" s="17" t="s">
        <v>1145</v>
      </c>
      <c r="E831" s="16" t="s">
        <v>1143</v>
      </c>
      <c r="F831" s="16" t="s">
        <v>5</v>
      </c>
      <c r="G831" s="35" t="s">
        <v>1144</v>
      </c>
      <c r="H831" s="39">
        <v>0</v>
      </c>
      <c r="I831" s="39">
        <v>0</v>
      </c>
      <c r="J831" s="39">
        <v>0</v>
      </c>
      <c r="K831" s="39">
        <v>0</v>
      </c>
      <c r="L831" s="39">
        <v>0</v>
      </c>
      <c r="M831" s="39">
        <v>0</v>
      </c>
      <c r="N831" s="39">
        <v>0</v>
      </c>
      <c r="O831" s="39">
        <v>0</v>
      </c>
      <c r="P831" s="39">
        <v>0</v>
      </c>
      <c r="Q831" s="39">
        <v>0</v>
      </c>
      <c r="R831" s="39">
        <v>0</v>
      </c>
      <c r="S831" s="39">
        <v>0</v>
      </c>
      <c r="T831" s="39">
        <v>0</v>
      </c>
      <c r="U831" s="39">
        <v>0</v>
      </c>
      <c r="V831" s="39">
        <v>0</v>
      </c>
      <c r="W831" s="39">
        <v>0</v>
      </c>
      <c r="X831" s="39">
        <v>0</v>
      </c>
      <c r="Y831" s="39">
        <v>0</v>
      </c>
      <c r="Z831" s="39">
        <v>0</v>
      </c>
      <c r="AA831" s="39">
        <v>0</v>
      </c>
      <c r="AB831" s="39">
        <v>0</v>
      </c>
      <c r="AC831" s="39">
        <v>676.44</v>
      </c>
      <c r="AD831" s="39">
        <v>674.92</v>
      </c>
      <c r="AE831" s="39">
        <v>667.41</v>
      </c>
      <c r="AF831" s="39">
        <v>0</v>
      </c>
      <c r="AG831" s="39">
        <v>0</v>
      </c>
      <c r="AH831" s="39">
        <v>0</v>
      </c>
      <c r="AI831" s="39">
        <v>676.44</v>
      </c>
      <c r="AJ831" s="39">
        <v>674.92</v>
      </c>
      <c r="AK831" s="39">
        <v>667.41</v>
      </c>
      <c r="AL831" s="39">
        <v>0</v>
      </c>
      <c r="AM831" s="39">
        <v>0</v>
      </c>
      <c r="AN831" s="39">
        <v>0</v>
      </c>
      <c r="AO831" s="39">
        <v>676.44</v>
      </c>
      <c r="AP831" s="39">
        <v>674.92</v>
      </c>
      <c r="AQ831" s="39">
        <v>667.41</v>
      </c>
      <c r="AR831" s="39">
        <v>676.44</v>
      </c>
    </row>
    <row r="832" spans="1:44" x14ac:dyDescent="0.35">
      <c r="A832" s="16" t="str">
        <f t="shared" si="73"/>
        <v>19</v>
      </c>
      <c r="B832" s="19">
        <v>73437</v>
      </c>
      <c r="C832" s="16" t="str">
        <f>TEXT(118760,"0000000")</f>
        <v>0118760</v>
      </c>
      <c r="D832" s="19">
        <v>1062</v>
      </c>
      <c r="E832" s="16" t="s">
        <v>1146</v>
      </c>
      <c r="F832" s="16" t="s">
        <v>5</v>
      </c>
      <c r="G832" s="35" t="s">
        <v>1147</v>
      </c>
      <c r="H832" s="39">
        <v>0</v>
      </c>
      <c r="I832" s="39">
        <v>0</v>
      </c>
      <c r="J832" s="39">
        <v>0</v>
      </c>
      <c r="K832" s="39">
        <v>0</v>
      </c>
      <c r="L832" s="39">
        <v>0</v>
      </c>
      <c r="M832" s="39">
        <v>0</v>
      </c>
      <c r="N832" s="39">
        <v>0</v>
      </c>
      <c r="O832" s="39">
        <v>0</v>
      </c>
      <c r="P832" s="39">
        <v>0</v>
      </c>
      <c r="Q832" s="39">
        <v>0</v>
      </c>
      <c r="R832" s="39">
        <v>0</v>
      </c>
      <c r="S832" s="39">
        <v>0</v>
      </c>
      <c r="T832" s="39">
        <v>0</v>
      </c>
      <c r="U832" s="39">
        <v>0</v>
      </c>
      <c r="V832" s="39">
        <v>0</v>
      </c>
      <c r="W832" s="39">
        <v>0</v>
      </c>
      <c r="X832" s="39">
        <v>0</v>
      </c>
      <c r="Y832" s="39">
        <v>0</v>
      </c>
      <c r="Z832" s="39">
        <v>0</v>
      </c>
      <c r="AA832" s="39">
        <v>0</v>
      </c>
      <c r="AB832" s="39">
        <v>0</v>
      </c>
      <c r="AC832" s="39">
        <v>295.26</v>
      </c>
      <c r="AD832" s="39">
        <v>328.31</v>
      </c>
      <c r="AE832" s="39">
        <v>351.24</v>
      </c>
      <c r="AF832" s="39">
        <v>0</v>
      </c>
      <c r="AG832" s="39">
        <v>0</v>
      </c>
      <c r="AH832" s="39">
        <v>0</v>
      </c>
      <c r="AI832" s="39">
        <v>295.26</v>
      </c>
      <c r="AJ832" s="39">
        <v>328.31</v>
      </c>
      <c r="AK832" s="39">
        <v>351.24</v>
      </c>
      <c r="AL832" s="39">
        <v>0</v>
      </c>
      <c r="AM832" s="39">
        <v>0</v>
      </c>
      <c r="AN832" s="39">
        <v>0</v>
      </c>
      <c r="AO832" s="39">
        <v>295.26</v>
      </c>
      <c r="AP832" s="39">
        <v>328.31</v>
      </c>
      <c r="AQ832" s="39">
        <v>351.24</v>
      </c>
      <c r="AR832" s="39">
        <v>351.24</v>
      </c>
    </row>
    <row r="833" spans="1:44" x14ac:dyDescent="0.35">
      <c r="A833" s="16" t="str">
        <f t="shared" si="73"/>
        <v>19</v>
      </c>
      <c r="B833" s="19">
        <v>73437</v>
      </c>
      <c r="C833" s="16" t="str">
        <f>TEXT(132845,"0000000")</f>
        <v>0132845</v>
      </c>
      <c r="D833" s="19">
        <v>1772</v>
      </c>
      <c r="E833" s="16" t="s">
        <v>1148</v>
      </c>
      <c r="F833" s="16" t="s">
        <v>5</v>
      </c>
      <c r="G833" s="35" t="s">
        <v>1149</v>
      </c>
      <c r="H833" s="39">
        <v>0</v>
      </c>
      <c r="I833" s="39">
        <v>0</v>
      </c>
      <c r="J833" s="39">
        <v>0</v>
      </c>
      <c r="K833" s="39">
        <v>0</v>
      </c>
      <c r="L833" s="39">
        <v>0</v>
      </c>
      <c r="M833" s="39">
        <v>0</v>
      </c>
      <c r="N833" s="39">
        <v>0</v>
      </c>
      <c r="O833" s="39">
        <v>0</v>
      </c>
      <c r="P833" s="39">
        <v>0</v>
      </c>
      <c r="Q833" s="39">
        <v>0</v>
      </c>
      <c r="R833" s="39">
        <v>0</v>
      </c>
      <c r="S833" s="39">
        <v>0</v>
      </c>
      <c r="T833" s="39">
        <v>0</v>
      </c>
      <c r="U833" s="39">
        <v>0</v>
      </c>
      <c r="V833" s="39">
        <v>0</v>
      </c>
      <c r="W833" s="39">
        <v>0</v>
      </c>
      <c r="X833" s="39">
        <v>0</v>
      </c>
      <c r="Y833" s="39">
        <v>0</v>
      </c>
      <c r="Z833" s="39">
        <v>0</v>
      </c>
      <c r="AA833" s="39">
        <v>0</v>
      </c>
      <c r="AB833" s="39">
        <v>0</v>
      </c>
      <c r="AC833" s="39">
        <v>334.99</v>
      </c>
      <c r="AD833" s="39">
        <v>366.99</v>
      </c>
      <c r="AE833" s="39">
        <v>377.82</v>
      </c>
      <c r="AF833" s="39">
        <v>0</v>
      </c>
      <c r="AG833" s="39">
        <v>0</v>
      </c>
      <c r="AH833" s="39">
        <v>0</v>
      </c>
      <c r="AI833" s="39">
        <v>334.99</v>
      </c>
      <c r="AJ833" s="39">
        <v>366.99</v>
      </c>
      <c r="AK833" s="39">
        <v>377.82</v>
      </c>
      <c r="AL833" s="39">
        <v>0</v>
      </c>
      <c r="AM833" s="39">
        <v>0</v>
      </c>
      <c r="AN833" s="39">
        <v>0</v>
      </c>
      <c r="AO833" s="39">
        <v>334.99</v>
      </c>
      <c r="AP833" s="39">
        <v>366.99</v>
      </c>
      <c r="AQ833" s="39">
        <v>377.82</v>
      </c>
      <c r="AR833" s="39">
        <v>377.82</v>
      </c>
    </row>
    <row r="834" spans="1:44" x14ac:dyDescent="0.35">
      <c r="A834" s="16" t="str">
        <f t="shared" si="73"/>
        <v>19</v>
      </c>
      <c r="B834" s="19">
        <v>73437</v>
      </c>
      <c r="C834" s="16" t="str">
        <f>TEXT(137893,"0000000")</f>
        <v>0137893</v>
      </c>
      <c r="D834" s="19">
        <v>1996</v>
      </c>
      <c r="E834" s="16" t="s">
        <v>1154</v>
      </c>
      <c r="F834" s="16" t="s">
        <v>5</v>
      </c>
      <c r="G834" s="35" t="s">
        <v>1155</v>
      </c>
      <c r="H834" s="39">
        <v>0</v>
      </c>
      <c r="I834" s="39">
        <v>0</v>
      </c>
      <c r="J834" s="39">
        <v>0</v>
      </c>
      <c r="K834" s="39">
        <v>0</v>
      </c>
      <c r="L834" s="39">
        <v>0</v>
      </c>
      <c r="M834" s="39">
        <v>0</v>
      </c>
      <c r="N834" s="39">
        <v>0</v>
      </c>
      <c r="O834" s="39">
        <v>0</v>
      </c>
      <c r="P834" s="39">
        <v>0</v>
      </c>
      <c r="Q834" s="39">
        <v>0</v>
      </c>
      <c r="R834" s="39">
        <v>0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0</v>
      </c>
      <c r="Z834" s="39">
        <v>0</v>
      </c>
      <c r="AA834" s="39">
        <v>0</v>
      </c>
      <c r="AB834" s="39">
        <v>0</v>
      </c>
      <c r="AC834" s="39">
        <v>687.92</v>
      </c>
      <c r="AD834" s="39">
        <v>579.20000000000005</v>
      </c>
      <c r="AE834" s="39">
        <v>468.49</v>
      </c>
      <c r="AF834" s="39">
        <v>0</v>
      </c>
      <c r="AG834" s="39">
        <v>0</v>
      </c>
      <c r="AH834" s="39">
        <v>0</v>
      </c>
      <c r="AI834" s="39">
        <v>687.92</v>
      </c>
      <c r="AJ834" s="39">
        <v>579.20000000000005</v>
      </c>
      <c r="AK834" s="39">
        <v>468.49</v>
      </c>
      <c r="AL834" s="39">
        <v>0</v>
      </c>
      <c r="AM834" s="39">
        <v>0</v>
      </c>
      <c r="AN834" s="39">
        <v>0</v>
      </c>
      <c r="AO834" s="39">
        <v>687.92</v>
      </c>
      <c r="AP834" s="39">
        <v>579.20000000000005</v>
      </c>
      <c r="AQ834" s="39">
        <v>468.49</v>
      </c>
      <c r="AR834" s="39">
        <v>687.92</v>
      </c>
    </row>
    <row r="835" spans="1:44" x14ac:dyDescent="0.35">
      <c r="A835" s="16" t="str">
        <f t="shared" si="73"/>
        <v>19</v>
      </c>
      <c r="B835" s="19">
        <v>73437</v>
      </c>
      <c r="C835" s="16" t="str">
        <f>TEXT(137984,"0000000")</f>
        <v>0137984</v>
      </c>
      <c r="D835" s="19">
        <v>1990</v>
      </c>
      <c r="E835" s="16" t="s">
        <v>1156</v>
      </c>
      <c r="F835" s="16" t="s">
        <v>5</v>
      </c>
      <c r="G835" s="35" t="s">
        <v>1157</v>
      </c>
      <c r="H835" s="39">
        <v>0</v>
      </c>
      <c r="I835" s="39">
        <v>0</v>
      </c>
      <c r="J835" s="39">
        <v>0</v>
      </c>
      <c r="K835" s="39">
        <v>0</v>
      </c>
      <c r="L835" s="39">
        <v>0</v>
      </c>
      <c r="M835" s="39">
        <v>0</v>
      </c>
      <c r="N835" s="39">
        <v>0</v>
      </c>
      <c r="O835" s="39">
        <v>0</v>
      </c>
      <c r="P835" s="39">
        <v>0</v>
      </c>
      <c r="Q835" s="39">
        <v>0</v>
      </c>
      <c r="R835" s="39">
        <v>0</v>
      </c>
      <c r="S835" s="39">
        <v>0</v>
      </c>
      <c r="T835" s="39">
        <v>0</v>
      </c>
      <c r="U835" s="39">
        <v>0</v>
      </c>
      <c r="V835" s="39">
        <v>0</v>
      </c>
      <c r="W835" s="39">
        <v>0</v>
      </c>
      <c r="X835" s="39">
        <v>0</v>
      </c>
      <c r="Y835" s="39">
        <v>0</v>
      </c>
      <c r="Z835" s="39">
        <v>0</v>
      </c>
      <c r="AA835" s="39">
        <v>0</v>
      </c>
      <c r="AB835" s="39">
        <v>0</v>
      </c>
      <c r="AC835" s="39">
        <v>332.67</v>
      </c>
      <c r="AD835" s="39">
        <v>298.63</v>
      </c>
      <c r="AE835" s="39">
        <v>294.63</v>
      </c>
      <c r="AF835" s="39">
        <v>0</v>
      </c>
      <c r="AG835" s="39">
        <v>0</v>
      </c>
      <c r="AH835" s="39">
        <v>0</v>
      </c>
      <c r="AI835" s="39">
        <v>332.67</v>
      </c>
      <c r="AJ835" s="39">
        <v>298.63</v>
      </c>
      <c r="AK835" s="39">
        <v>294.63</v>
      </c>
      <c r="AL835" s="39">
        <v>0</v>
      </c>
      <c r="AM835" s="39">
        <v>0</v>
      </c>
      <c r="AN835" s="39">
        <v>0</v>
      </c>
      <c r="AO835" s="39">
        <v>332.67</v>
      </c>
      <c r="AP835" s="39">
        <v>298.63</v>
      </c>
      <c r="AQ835" s="39">
        <v>294.63</v>
      </c>
      <c r="AR835" s="39">
        <v>332.67</v>
      </c>
    </row>
    <row r="836" spans="1:44" x14ac:dyDescent="0.35">
      <c r="A836" s="16" t="str">
        <f t="shared" si="73"/>
        <v>19</v>
      </c>
      <c r="B836" s="19">
        <v>75309</v>
      </c>
      <c r="C836" s="16" t="str">
        <f>TEXT(127100,"0000000")</f>
        <v>0127100</v>
      </c>
      <c r="D836" s="19">
        <v>1458</v>
      </c>
      <c r="E836" s="16" t="s">
        <v>1170</v>
      </c>
      <c r="F836" s="16" t="s">
        <v>5</v>
      </c>
      <c r="G836" s="35" t="s">
        <v>1171</v>
      </c>
      <c r="H836" s="39">
        <v>0</v>
      </c>
      <c r="I836" s="39">
        <v>0</v>
      </c>
      <c r="J836" s="39">
        <v>0</v>
      </c>
      <c r="K836" s="39">
        <v>0</v>
      </c>
      <c r="L836" s="39">
        <v>0</v>
      </c>
      <c r="M836" s="39">
        <v>0</v>
      </c>
      <c r="N836" s="39">
        <v>0</v>
      </c>
      <c r="O836" s="39">
        <v>0</v>
      </c>
      <c r="P836" s="39">
        <v>0</v>
      </c>
      <c r="Q836" s="39">
        <v>0</v>
      </c>
      <c r="R836" s="39">
        <v>0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0</v>
      </c>
      <c r="AA836" s="39">
        <v>0</v>
      </c>
      <c r="AB836" s="39">
        <v>0</v>
      </c>
      <c r="AC836" s="39">
        <v>3561.28</v>
      </c>
      <c r="AD836" s="39">
        <v>3506.62</v>
      </c>
      <c r="AE836" s="39">
        <v>3344.92</v>
      </c>
      <c r="AF836" s="39">
        <v>0</v>
      </c>
      <c r="AG836" s="39">
        <v>0</v>
      </c>
      <c r="AH836" s="39">
        <v>0</v>
      </c>
      <c r="AI836" s="39">
        <v>3561.28</v>
      </c>
      <c r="AJ836" s="39">
        <v>3506.62</v>
      </c>
      <c r="AK836" s="39">
        <v>3344.92</v>
      </c>
      <c r="AL836" s="39">
        <v>0</v>
      </c>
      <c r="AM836" s="39">
        <v>0</v>
      </c>
      <c r="AN836" s="39">
        <v>0</v>
      </c>
      <c r="AO836" s="39">
        <v>3561.28</v>
      </c>
      <c r="AP836" s="39">
        <v>3506.62</v>
      </c>
      <c r="AQ836" s="39">
        <v>3344.92</v>
      </c>
      <c r="AR836" s="39">
        <v>3561.28</v>
      </c>
    </row>
    <row r="837" spans="1:44" x14ac:dyDescent="0.35">
      <c r="A837" s="16" t="str">
        <f t="shared" si="73"/>
        <v>19</v>
      </c>
      <c r="B837" s="19">
        <v>75309</v>
      </c>
      <c r="C837" s="16" t="str">
        <f>TEXT(131987,"0000000")</f>
        <v>0131987</v>
      </c>
      <c r="D837" s="19">
        <v>1699</v>
      </c>
      <c r="E837" s="16" t="s">
        <v>1172</v>
      </c>
      <c r="F837" s="16" t="s">
        <v>5</v>
      </c>
      <c r="G837" s="35" t="s">
        <v>1173</v>
      </c>
      <c r="H837" s="39">
        <v>0</v>
      </c>
      <c r="I837" s="39">
        <v>0</v>
      </c>
      <c r="J837" s="39">
        <v>0</v>
      </c>
      <c r="K837" s="39">
        <v>0</v>
      </c>
      <c r="L837" s="39">
        <v>0</v>
      </c>
      <c r="M837" s="39">
        <v>0</v>
      </c>
      <c r="N837" s="39">
        <v>0</v>
      </c>
      <c r="O837" s="39">
        <v>0</v>
      </c>
      <c r="P837" s="39">
        <v>0</v>
      </c>
      <c r="Q837" s="39">
        <v>0</v>
      </c>
      <c r="R837" s="39">
        <v>0</v>
      </c>
      <c r="S837" s="39">
        <v>0</v>
      </c>
      <c r="T837" s="39">
        <v>0</v>
      </c>
      <c r="U837" s="39">
        <v>0</v>
      </c>
      <c r="V837" s="39">
        <v>0</v>
      </c>
      <c r="W837" s="39">
        <v>0</v>
      </c>
      <c r="X837" s="39">
        <v>0</v>
      </c>
      <c r="Y837" s="39">
        <v>0</v>
      </c>
      <c r="Z837" s="39">
        <v>0</v>
      </c>
      <c r="AA837" s="39">
        <v>0</v>
      </c>
      <c r="AB837" s="39">
        <v>0</v>
      </c>
      <c r="AC837" s="39">
        <v>3755.54</v>
      </c>
      <c r="AD837" s="39">
        <v>3540.69</v>
      </c>
      <c r="AE837" s="39">
        <v>3504.31</v>
      </c>
      <c r="AF837" s="39">
        <v>0</v>
      </c>
      <c r="AG837" s="39">
        <v>0</v>
      </c>
      <c r="AH837" s="39">
        <v>0</v>
      </c>
      <c r="AI837" s="39">
        <v>3755.54</v>
      </c>
      <c r="AJ837" s="39">
        <v>3540.69</v>
      </c>
      <c r="AK837" s="39">
        <v>3504.31</v>
      </c>
      <c r="AL837" s="39">
        <v>0</v>
      </c>
      <c r="AM837" s="39">
        <v>0</v>
      </c>
      <c r="AN837" s="39">
        <v>0</v>
      </c>
      <c r="AO837" s="39">
        <v>3755.54</v>
      </c>
      <c r="AP837" s="39">
        <v>3540.69</v>
      </c>
      <c r="AQ837" s="39">
        <v>3504.31</v>
      </c>
      <c r="AR837" s="39">
        <v>3755.54</v>
      </c>
    </row>
    <row r="838" spans="1:44" x14ac:dyDescent="0.35">
      <c r="A838" s="16" t="str">
        <f t="shared" si="73"/>
        <v>19</v>
      </c>
      <c r="B838" s="19">
        <v>75309</v>
      </c>
      <c r="C838" s="16" t="str">
        <f>TEXT(134619,"0000000")</f>
        <v>0134619</v>
      </c>
      <c r="D838" s="19">
        <v>1836</v>
      </c>
      <c r="E838" s="16" t="s">
        <v>1176</v>
      </c>
      <c r="F838" s="16" t="s">
        <v>5</v>
      </c>
      <c r="G838" s="35" t="s">
        <v>1177</v>
      </c>
      <c r="H838" s="39">
        <v>0</v>
      </c>
      <c r="I838" s="39">
        <v>0</v>
      </c>
      <c r="J838" s="39">
        <v>0</v>
      </c>
      <c r="K838" s="39">
        <v>0</v>
      </c>
      <c r="L838" s="39">
        <v>0</v>
      </c>
      <c r="M838" s="39">
        <v>0</v>
      </c>
      <c r="N838" s="39">
        <v>0</v>
      </c>
      <c r="O838" s="39">
        <v>0</v>
      </c>
      <c r="P838" s="39">
        <v>0</v>
      </c>
      <c r="Q838" s="39">
        <v>0</v>
      </c>
      <c r="R838" s="39">
        <v>0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0</v>
      </c>
      <c r="AA838" s="39">
        <v>0</v>
      </c>
      <c r="AB838" s="39">
        <v>0</v>
      </c>
      <c r="AC838" s="39">
        <v>66.39</v>
      </c>
      <c r="AD838" s="39">
        <v>62.5</v>
      </c>
      <c r="AE838" s="39">
        <v>59.73</v>
      </c>
      <c r="AF838" s="39">
        <v>0</v>
      </c>
      <c r="AG838" s="39">
        <v>0</v>
      </c>
      <c r="AH838" s="39">
        <v>0</v>
      </c>
      <c r="AI838" s="39">
        <v>66.39</v>
      </c>
      <c r="AJ838" s="39">
        <v>62.5</v>
      </c>
      <c r="AK838" s="39">
        <v>59.73</v>
      </c>
      <c r="AL838" s="39">
        <v>0</v>
      </c>
      <c r="AM838" s="39">
        <v>0</v>
      </c>
      <c r="AN838" s="39">
        <v>0</v>
      </c>
      <c r="AO838" s="39">
        <v>66.39</v>
      </c>
      <c r="AP838" s="39">
        <v>62.5</v>
      </c>
      <c r="AQ838" s="39">
        <v>59.73</v>
      </c>
      <c r="AR838" s="39">
        <v>66.39</v>
      </c>
    </row>
    <row r="839" spans="1:44" x14ac:dyDescent="0.35">
      <c r="A839" s="16" t="str">
        <f t="shared" si="73"/>
        <v>19</v>
      </c>
      <c r="B839" s="19">
        <v>75309</v>
      </c>
      <c r="C839" s="16" t="str">
        <f>TEXT(135145,"0000000")</f>
        <v>0135145</v>
      </c>
      <c r="D839" s="19">
        <v>1651</v>
      </c>
      <c r="E839" s="16" t="s">
        <v>1178</v>
      </c>
      <c r="F839" s="16" t="s">
        <v>5</v>
      </c>
      <c r="G839" s="35" t="s">
        <v>1179</v>
      </c>
      <c r="H839" s="39">
        <v>0</v>
      </c>
      <c r="I839" s="39">
        <v>0</v>
      </c>
      <c r="J839" s="39">
        <v>0</v>
      </c>
      <c r="K839" s="39">
        <v>0</v>
      </c>
      <c r="L839" s="39">
        <v>0</v>
      </c>
      <c r="M839" s="39">
        <v>0</v>
      </c>
      <c r="N839" s="39">
        <v>0</v>
      </c>
      <c r="O839" s="39">
        <v>0</v>
      </c>
      <c r="P839" s="39">
        <v>0</v>
      </c>
      <c r="Q839" s="39">
        <v>0</v>
      </c>
      <c r="R839" s="39">
        <v>0</v>
      </c>
      <c r="S839" s="39">
        <v>0</v>
      </c>
      <c r="T839" s="39">
        <v>0</v>
      </c>
      <c r="U839" s="39">
        <v>0</v>
      </c>
      <c r="V839" s="39">
        <v>0</v>
      </c>
      <c r="W839" s="39">
        <v>0</v>
      </c>
      <c r="X839" s="39">
        <v>0</v>
      </c>
      <c r="Y839" s="39">
        <v>0</v>
      </c>
      <c r="Z839" s="39">
        <v>0</v>
      </c>
      <c r="AA839" s="39">
        <v>0</v>
      </c>
      <c r="AB839" s="39">
        <v>0</v>
      </c>
      <c r="AC839" s="39">
        <v>1037.2</v>
      </c>
      <c r="AD839" s="39">
        <v>947.96</v>
      </c>
      <c r="AE839" s="39">
        <v>845.41</v>
      </c>
      <c r="AF839" s="39">
        <v>0</v>
      </c>
      <c r="AG839" s="39">
        <v>0</v>
      </c>
      <c r="AH839" s="39">
        <v>0</v>
      </c>
      <c r="AI839" s="39">
        <v>1037.2</v>
      </c>
      <c r="AJ839" s="39">
        <v>947.96</v>
      </c>
      <c r="AK839" s="39">
        <v>845.41</v>
      </c>
      <c r="AL839" s="39">
        <v>0</v>
      </c>
      <c r="AM839" s="39">
        <v>0</v>
      </c>
      <c r="AN839" s="39">
        <v>0</v>
      </c>
      <c r="AO839" s="39">
        <v>1037.2</v>
      </c>
      <c r="AP839" s="39">
        <v>947.96</v>
      </c>
      <c r="AQ839" s="39">
        <v>845.41</v>
      </c>
      <c r="AR839" s="39">
        <v>1037.2</v>
      </c>
    </row>
    <row r="840" spans="1:44" x14ac:dyDescent="0.35">
      <c r="A840" s="16" t="str">
        <f>TEXT(1,"00")</f>
        <v>01</v>
      </c>
      <c r="B840" s="19">
        <v>61192</v>
      </c>
      <c r="C840" s="16" t="str">
        <f>TEXT(108670,"0000000")</f>
        <v>0108670</v>
      </c>
      <c r="D840" s="17" t="s">
        <v>58</v>
      </c>
      <c r="E840" s="16" t="s">
        <v>56</v>
      </c>
      <c r="F840" s="16" t="s">
        <v>5</v>
      </c>
      <c r="G840" s="35" t="s">
        <v>57</v>
      </c>
      <c r="H840" s="39">
        <v>0</v>
      </c>
      <c r="I840" s="39">
        <v>0</v>
      </c>
      <c r="J840" s="39">
        <v>0</v>
      </c>
      <c r="K840" s="39">
        <v>0</v>
      </c>
      <c r="L840" s="39">
        <v>0</v>
      </c>
      <c r="M840" s="39">
        <v>0</v>
      </c>
      <c r="N840" s="39">
        <v>0</v>
      </c>
      <c r="O840" s="39">
        <v>0</v>
      </c>
      <c r="P840" s="39">
        <v>0</v>
      </c>
      <c r="Q840" s="39">
        <v>0</v>
      </c>
      <c r="R840" s="39">
        <v>0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0</v>
      </c>
      <c r="AA840" s="39">
        <v>0</v>
      </c>
      <c r="AB840" s="39">
        <v>0</v>
      </c>
      <c r="AC840" s="39">
        <v>535.9</v>
      </c>
      <c r="AD840" s="39">
        <v>521.07000000000005</v>
      </c>
      <c r="AE840" s="39">
        <v>536.17999999999995</v>
      </c>
      <c r="AF840" s="39">
        <v>0</v>
      </c>
      <c r="AG840" s="39">
        <v>0</v>
      </c>
      <c r="AH840" s="39">
        <v>0</v>
      </c>
      <c r="AI840" s="39">
        <v>535.9</v>
      </c>
      <c r="AJ840" s="39">
        <v>521.07000000000005</v>
      </c>
      <c r="AK840" s="39">
        <v>536.17999999999995</v>
      </c>
      <c r="AL840" s="39">
        <v>0</v>
      </c>
      <c r="AM840" s="39">
        <v>0</v>
      </c>
      <c r="AN840" s="39">
        <v>0</v>
      </c>
      <c r="AO840" s="39">
        <v>535.9</v>
      </c>
      <c r="AP840" s="39">
        <v>521.07000000000005</v>
      </c>
      <c r="AQ840" s="39">
        <v>536.17999999999995</v>
      </c>
      <c r="AR840" s="39">
        <v>536.17999999999995</v>
      </c>
    </row>
    <row r="841" spans="1:44" x14ac:dyDescent="0.35">
      <c r="A841" s="16" t="str">
        <f t="shared" ref="A841:A849" si="74">TEXT(19,"00")</f>
        <v>19</v>
      </c>
      <c r="B841" s="19">
        <v>75309</v>
      </c>
      <c r="C841" s="16" t="str">
        <f>TEXT(136531,"0000000")</f>
        <v>0136531</v>
      </c>
      <c r="D841" s="19">
        <v>1902</v>
      </c>
      <c r="E841" s="16" t="s">
        <v>1180</v>
      </c>
      <c r="F841" s="16" t="s">
        <v>5</v>
      </c>
      <c r="G841" s="35" t="s">
        <v>1181</v>
      </c>
      <c r="H841" s="39">
        <v>0</v>
      </c>
      <c r="I841" s="39">
        <v>0</v>
      </c>
      <c r="J841" s="39">
        <v>0</v>
      </c>
      <c r="K841" s="39">
        <v>0</v>
      </c>
      <c r="L841" s="39">
        <v>0</v>
      </c>
      <c r="M841" s="39">
        <v>0</v>
      </c>
      <c r="N841" s="39">
        <v>0</v>
      </c>
      <c r="O841" s="39">
        <v>0</v>
      </c>
      <c r="P841" s="39">
        <v>0</v>
      </c>
      <c r="Q841" s="39">
        <v>0</v>
      </c>
      <c r="R841" s="39">
        <v>0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0</v>
      </c>
      <c r="AA841" s="39">
        <v>0</v>
      </c>
      <c r="AB841" s="39">
        <v>0</v>
      </c>
      <c r="AC841" s="39">
        <v>397.29</v>
      </c>
      <c r="AD841" s="39">
        <v>314.49</v>
      </c>
      <c r="AE841" s="39">
        <v>297.52999999999997</v>
      </c>
      <c r="AF841" s="39">
        <v>0</v>
      </c>
      <c r="AG841" s="39">
        <v>0</v>
      </c>
      <c r="AH841" s="39">
        <v>0</v>
      </c>
      <c r="AI841" s="39">
        <v>397.29</v>
      </c>
      <c r="AJ841" s="39">
        <v>314.49</v>
      </c>
      <c r="AK841" s="39">
        <v>297.52999999999997</v>
      </c>
      <c r="AL841" s="39">
        <v>0</v>
      </c>
      <c r="AM841" s="39">
        <v>0</v>
      </c>
      <c r="AN841" s="39">
        <v>0</v>
      </c>
      <c r="AO841" s="39">
        <v>397.29</v>
      </c>
      <c r="AP841" s="39">
        <v>314.49</v>
      </c>
      <c r="AQ841" s="39">
        <v>297.52999999999997</v>
      </c>
      <c r="AR841" s="39">
        <v>397.29</v>
      </c>
    </row>
    <row r="842" spans="1:44" x14ac:dyDescent="0.35">
      <c r="A842" s="16" t="str">
        <f t="shared" si="74"/>
        <v>19</v>
      </c>
      <c r="B842" s="19">
        <v>75309</v>
      </c>
      <c r="C842" s="16" t="str">
        <f>TEXT(137703,"0000000")</f>
        <v>0137703</v>
      </c>
      <c r="D842" s="19">
        <v>1697</v>
      </c>
      <c r="E842" s="16" t="s">
        <v>1184</v>
      </c>
      <c r="F842" s="16" t="s">
        <v>5</v>
      </c>
      <c r="G842" s="35" t="s">
        <v>1185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493.38</v>
      </c>
      <c r="AD842" s="39">
        <v>567.29999999999995</v>
      </c>
      <c r="AE842" s="39">
        <v>457.24</v>
      </c>
      <c r="AF842" s="39">
        <v>0</v>
      </c>
      <c r="AG842" s="39">
        <v>0</v>
      </c>
      <c r="AH842" s="39">
        <v>0</v>
      </c>
      <c r="AI842" s="39">
        <v>493.38</v>
      </c>
      <c r="AJ842" s="39">
        <v>567.29999999999995</v>
      </c>
      <c r="AK842" s="39">
        <v>457.24</v>
      </c>
      <c r="AL842" s="39">
        <v>0</v>
      </c>
      <c r="AM842" s="39">
        <v>0</v>
      </c>
      <c r="AN842" s="39">
        <v>0</v>
      </c>
      <c r="AO842" s="39">
        <v>493.38</v>
      </c>
      <c r="AP842" s="39">
        <v>567.29999999999995</v>
      </c>
      <c r="AQ842" s="39">
        <v>457.24</v>
      </c>
      <c r="AR842" s="39">
        <v>567.29999999999995</v>
      </c>
    </row>
    <row r="843" spans="1:44" x14ac:dyDescent="0.35">
      <c r="A843" s="16" t="str">
        <f t="shared" si="74"/>
        <v>19</v>
      </c>
      <c r="B843" s="19">
        <v>75309</v>
      </c>
      <c r="C843" s="16" t="str">
        <f>TEXT(137786,"0000000")</f>
        <v>0137786</v>
      </c>
      <c r="D843" s="19">
        <v>1972</v>
      </c>
      <c r="E843" s="16" t="s">
        <v>1186</v>
      </c>
      <c r="F843" s="16" t="s">
        <v>5</v>
      </c>
      <c r="G843" s="35" t="s">
        <v>1187</v>
      </c>
      <c r="H843" s="39">
        <v>0</v>
      </c>
      <c r="I843" s="39">
        <v>0</v>
      </c>
      <c r="J843" s="39">
        <v>0</v>
      </c>
      <c r="K843" s="39">
        <v>0</v>
      </c>
      <c r="L843" s="39">
        <v>0</v>
      </c>
      <c r="M843" s="39">
        <v>0</v>
      </c>
      <c r="N843" s="39">
        <v>0</v>
      </c>
      <c r="O843" s="39">
        <v>0</v>
      </c>
      <c r="P843" s="39">
        <v>0</v>
      </c>
      <c r="Q843" s="39">
        <v>0</v>
      </c>
      <c r="R843" s="39">
        <v>0</v>
      </c>
      <c r="S843" s="39">
        <v>0</v>
      </c>
      <c r="T843" s="39">
        <v>0</v>
      </c>
      <c r="U843" s="39">
        <v>0</v>
      </c>
      <c r="V843" s="39">
        <v>0</v>
      </c>
      <c r="W843" s="39">
        <v>0</v>
      </c>
      <c r="X843" s="39">
        <v>0</v>
      </c>
      <c r="Y843" s="39">
        <v>0</v>
      </c>
      <c r="Z843" s="39">
        <v>0</v>
      </c>
      <c r="AA843" s="39">
        <v>0</v>
      </c>
      <c r="AB843" s="39">
        <v>0</v>
      </c>
      <c r="AC843" s="39">
        <v>1659.74</v>
      </c>
      <c r="AD843" s="39">
        <v>1541.16</v>
      </c>
      <c r="AE843" s="39">
        <v>1107.1500000000001</v>
      </c>
      <c r="AF843" s="39">
        <v>0</v>
      </c>
      <c r="AG843" s="39">
        <v>0</v>
      </c>
      <c r="AH843" s="39">
        <v>0</v>
      </c>
      <c r="AI843" s="39">
        <v>1659.74</v>
      </c>
      <c r="AJ843" s="39">
        <v>1541.16</v>
      </c>
      <c r="AK843" s="39">
        <v>1107.1500000000001</v>
      </c>
      <c r="AL843" s="39">
        <v>0</v>
      </c>
      <c r="AM843" s="39">
        <v>0</v>
      </c>
      <c r="AN843" s="39">
        <v>0</v>
      </c>
      <c r="AO843" s="39">
        <v>1659.74</v>
      </c>
      <c r="AP843" s="39">
        <v>1541.16</v>
      </c>
      <c r="AQ843" s="39">
        <v>1107.1500000000001</v>
      </c>
      <c r="AR843" s="39">
        <v>1659.74</v>
      </c>
    </row>
    <row r="844" spans="1:44" x14ac:dyDescent="0.35">
      <c r="A844" s="16" t="str">
        <f t="shared" si="74"/>
        <v>19</v>
      </c>
      <c r="B844" s="19">
        <v>75309</v>
      </c>
      <c r="C844" s="16" t="str">
        <f>TEXT(138297,"0000000")</f>
        <v>0138297</v>
      </c>
      <c r="D844" s="19">
        <v>2003</v>
      </c>
      <c r="E844" s="16" t="s">
        <v>1188</v>
      </c>
      <c r="F844" s="16" t="s">
        <v>5</v>
      </c>
      <c r="G844" s="35" t="s">
        <v>1189</v>
      </c>
      <c r="H844" s="39">
        <v>0</v>
      </c>
      <c r="I844" s="39">
        <v>0</v>
      </c>
      <c r="J844" s="39">
        <v>0</v>
      </c>
      <c r="K844" s="39">
        <v>0</v>
      </c>
      <c r="L844" s="39">
        <v>0</v>
      </c>
      <c r="M844" s="39">
        <v>0</v>
      </c>
      <c r="N844" s="39">
        <v>0</v>
      </c>
      <c r="O844" s="39">
        <v>0</v>
      </c>
      <c r="P844" s="39">
        <v>0</v>
      </c>
      <c r="Q844" s="39">
        <v>0</v>
      </c>
      <c r="R844" s="39">
        <v>0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0</v>
      </c>
      <c r="Y844" s="39">
        <v>0</v>
      </c>
      <c r="Z844" s="39">
        <v>0</v>
      </c>
      <c r="AA844" s="39">
        <v>0</v>
      </c>
      <c r="AB844" s="39">
        <v>0</v>
      </c>
      <c r="AC844" s="39">
        <v>341.6</v>
      </c>
      <c r="AD844" s="39">
        <v>311.07</v>
      </c>
      <c r="AE844" s="39">
        <v>279.47000000000003</v>
      </c>
      <c r="AF844" s="39">
        <v>0</v>
      </c>
      <c r="AG844" s="39">
        <v>0</v>
      </c>
      <c r="AH844" s="39">
        <v>0</v>
      </c>
      <c r="AI844" s="39">
        <v>341.6</v>
      </c>
      <c r="AJ844" s="39">
        <v>311.07</v>
      </c>
      <c r="AK844" s="39">
        <v>279.47000000000003</v>
      </c>
      <c r="AL844" s="39">
        <v>0</v>
      </c>
      <c r="AM844" s="39">
        <v>0</v>
      </c>
      <c r="AN844" s="39">
        <v>0</v>
      </c>
      <c r="AO844" s="39">
        <v>341.6</v>
      </c>
      <c r="AP844" s="39">
        <v>311.07</v>
      </c>
      <c r="AQ844" s="39">
        <v>279.47000000000003</v>
      </c>
      <c r="AR844" s="39">
        <v>341.6</v>
      </c>
    </row>
    <row r="845" spans="1:44" x14ac:dyDescent="0.35">
      <c r="A845" s="16" t="str">
        <f t="shared" si="74"/>
        <v>19</v>
      </c>
      <c r="B845" s="19">
        <v>75663</v>
      </c>
      <c r="C845" s="16" t="str">
        <f>TEXT(6120158,"0000000")</f>
        <v>6120158</v>
      </c>
      <c r="D845" s="17" t="s">
        <v>1196</v>
      </c>
      <c r="E845" s="16" t="s">
        <v>1194</v>
      </c>
      <c r="F845" s="16" t="s">
        <v>5</v>
      </c>
      <c r="G845" s="35" t="s">
        <v>1195</v>
      </c>
      <c r="H845" s="39">
        <v>0</v>
      </c>
      <c r="I845" s="39">
        <v>0</v>
      </c>
      <c r="J845" s="39">
        <v>0</v>
      </c>
      <c r="K845" s="39">
        <v>0</v>
      </c>
      <c r="L845" s="39">
        <v>0</v>
      </c>
      <c r="M845" s="39">
        <v>0</v>
      </c>
      <c r="N845" s="39">
        <v>0</v>
      </c>
      <c r="O845" s="39">
        <v>0</v>
      </c>
      <c r="P845" s="39">
        <v>0</v>
      </c>
      <c r="Q845" s="39">
        <v>0</v>
      </c>
      <c r="R845" s="39">
        <v>0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0</v>
      </c>
      <c r="AA845" s="39">
        <v>0</v>
      </c>
      <c r="AB845" s="39">
        <v>0</v>
      </c>
      <c r="AC845" s="39">
        <v>922.18</v>
      </c>
      <c r="AD845" s="39">
        <v>938.23</v>
      </c>
      <c r="AE845" s="39">
        <v>938.88</v>
      </c>
      <c r="AF845" s="39">
        <v>0</v>
      </c>
      <c r="AG845" s="39">
        <v>0</v>
      </c>
      <c r="AH845" s="39">
        <v>0</v>
      </c>
      <c r="AI845" s="39">
        <v>922.18</v>
      </c>
      <c r="AJ845" s="39">
        <v>938.23</v>
      </c>
      <c r="AK845" s="39">
        <v>938.88</v>
      </c>
      <c r="AL845" s="39">
        <v>0</v>
      </c>
      <c r="AM845" s="39">
        <v>0</v>
      </c>
      <c r="AN845" s="39">
        <v>0</v>
      </c>
      <c r="AO845" s="39">
        <v>922.18</v>
      </c>
      <c r="AP845" s="39">
        <v>938.23</v>
      </c>
      <c r="AQ845" s="39">
        <v>938.88</v>
      </c>
      <c r="AR845" s="39">
        <v>938.88</v>
      </c>
    </row>
    <row r="846" spans="1:44" x14ac:dyDescent="0.35">
      <c r="A846" s="16" t="str">
        <f t="shared" si="74"/>
        <v>19</v>
      </c>
      <c r="B846" s="19">
        <v>76869</v>
      </c>
      <c r="C846" s="16" t="str">
        <f>TEXT(119016,"0000000")</f>
        <v>0119016</v>
      </c>
      <c r="D846" s="19">
        <v>1060</v>
      </c>
      <c r="E846" s="16" t="s">
        <v>1199</v>
      </c>
      <c r="F846" s="16" t="s">
        <v>5</v>
      </c>
      <c r="G846" s="35" t="s">
        <v>1200</v>
      </c>
      <c r="H846" s="39">
        <v>0</v>
      </c>
      <c r="I846" s="39">
        <v>0</v>
      </c>
      <c r="J846" s="39">
        <v>0</v>
      </c>
      <c r="K846" s="39">
        <v>0</v>
      </c>
      <c r="L846" s="39">
        <v>0</v>
      </c>
      <c r="M846" s="39">
        <v>0</v>
      </c>
      <c r="N846" s="39">
        <v>0</v>
      </c>
      <c r="O846" s="39">
        <v>0</v>
      </c>
      <c r="P846" s="39">
        <v>0</v>
      </c>
      <c r="Q846" s="39">
        <v>0</v>
      </c>
      <c r="R846" s="39">
        <v>0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0</v>
      </c>
      <c r="AA846" s="39">
        <v>0</v>
      </c>
      <c r="AB846" s="39">
        <v>0</v>
      </c>
      <c r="AC846" s="39">
        <v>522.87</v>
      </c>
      <c r="AD846" s="39">
        <v>515.95000000000005</v>
      </c>
      <c r="AE846" s="39">
        <v>521.65</v>
      </c>
      <c r="AF846" s="39">
        <v>0</v>
      </c>
      <c r="AG846" s="39">
        <v>0</v>
      </c>
      <c r="AH846" s="39">
        <v>0</v>
      </c>
      <c r="AI846" s="39">
        <v>522.87</v>
      </c>
      <c r="AJ846" s="39">
        <v>515.95000000000005</v>
      </c>
      <c r="AK846" s="39">
        <v>521.65</v>
      </c>
      <c r="AL846" s="39">
        <v>0</v>
      </c>
      <c r="AM846" s="39">
        <v>0</v>
      </c>
      <c r="AN846" s="39">
        <v>0</v>
      </c>
      <c r="AO846" s="39">
        <v>522.87</v>
      </c>
      <c r="AP846" s="39">
        <v>515.95000000000005</v>
      </c>
      <c r="AQ846" s="39">
        <v>521.65</v>
      </c>
      <c r="AR846" s="39">
        <v>522.87</v>
      </c>
    </row>
    <row r="847" spans="1:44" x14ac:dyDescent="0.35">
      <c r="A847" s="16" t="str">
        <f t="shared" si="74"/>
        <v>19</v>
      </c>
      <c r="B847" s="19">
        <v>76869</v>
      </c>
      <c r="C847" s="16" t="str">
        <f>TEXT(119636,"0000000")</f>
        <v>0119636</v>
      </c>
      <c r="D847" s="19">
        <v>1081</v>
      </c>
      <c r="E847" s="16" t="s">
        <v>1201</v>
      </c>
      <c r="F847" s="16" t="s">
        <v>5</v>
      </c>
      <c r="G847" s="35" t="s">
        <v>1202</v>
      </c>
      <c r="H847" s="39">
        <v>0</v>
      </c>
      <c r="I847" s="39">
        <v>0</v>
      </c>
      <c r="J847" s="39">
        <v>0</v>
      </c>
      <c r="K847" s="39">
        <v>0</v>
      </c>
      <c r="L847" s="39">
        <v>0</v>
      </c>
      <c r="M847" s="39">
        <v>0</v>
      </c>
      <c r="N847" s="39">
        <v>0</v>
      </c>
      <c r="O847" s="39">
        <v>0</v>
      </c>
      <c r="P847" s="39">
        <v>0</v>
      </c>
      <c r="Q847" s="39">
        <v>0</v>
      </c>
      <c r="R847" s="39">
        <v>0</v>
      </c>
      <c r="S847" s="39">
        <v>0</v>
      </c>
      <c r="T847" s="39">
        <v>0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0</v>
      </c>
      <c r="AA847" s="39">
        <v>0</v>
      </c>
      <c r="AB847" s="39">
        <v>0</v>
      </c>
      <c r="AC847" s="39">
        <v>505.26</v>
      </c>
      <c r="AD847" s="39">
        <v>486.29</v>
      </c>
      <c r="AE847" s="39">
        <v>500.79</v>
      </c>
      <c r="AF847" s="39">
        <v>0</v>
      </c>
      <c r="AG847" s="39">
        <v>0</v>
      </c>
      <c r="AH847" s="39">
        <v>0</v>
      </c>
      <c r="AI847" s="39">
        <v>505.26</v>
      </c>
      <c r="AJ847" s="39">
        <v>486.29</v>
      </c>
      <c r="AK847" s="39">
        <v>500.79</v>
      </c>
      <c r="AL847" s="39">
        <v>0</v>
      </c>
      <c r="AM847" s="39">
        <v>0</v>
      </c>
      <c r="AN847" s="39">
        <v>0</v>
      </c>
      <c r="AO847" s="39">
        <v>505.26</v>
      </c>
      <c r="AP847" s="39">
        <v>486.29</v>
      </c>
      <c r="AQ847" s="39">
        <v>500.79</v>
      </c>
      <c r="AR847" s="39">
        <v>505.26</v>
      </c>
    </row>
    <row r="848" spans="1:44" x14ac:dyDescent="0.35">
      <c r="A848" s="16" t="str">
        <f t="shared" si="74"/>
        <v>19</v>
      </c>
      <c r="B848" s="19">
        <v>76869</v>
      </c>
      <c r="C848" s="16" t="str">
        <f>TEXT(128728,"0000000")</f>
        <v>0128728</v>
      </c>
      <c r="D848" s="19">
        <v>1597</v>
      </c>
      <c r="E848" s="16" t="s">
        <v>1203</v>
      </c>
      <c r="F848" s="16" t="s">
        <v>5</v>
      </c>
      <c r="G848" s="35" t="s">
        <v>1204</v>
      </c>
      <c r="H848" s="39">
        <v>0</v>
      </c>
      <c r="I848" s="39">
        <v>0</v>
      </c>
      <c r="J848" s="39">
        <v>0</v>
      </c>
      <c r="K848" s="39">
        <v>0</v>
      </c>
      <c r="L848" s="39">
        <v>0</v>
      </c>
      <c r="M848" s="39">
        <v>0</v>
      </c>
      <c r="N848" s="39">
        <v>0</v>
      </c>
      <c r="O848" s="39">
        <v>0</v>
      </c>
      <c r="P848" s="39">
        <v>0</v>
      </c>
      <c r="Q848" s="39">
        <v>0</v>
      </c>
      <c r="R848" s="39">
        <v>0</v>
      </c>
      <c r="S848" s="39">
        <v>0</v>
      </c>
      <c r="T848" s="39">
        <v>0</v>
      </c>
      <c r="U848" s="39">
        <v>0</v>
      </c>
      <c r="V848" s="39">
        <v>0</v>
      </c>
      <c r="W848" s="39">
        <v>0</v>
      </c>
      <c r="X848" s="39">
        <v>0</v>
      </c>
      <c r="Y848" s="39">
        <v>0</v>
      </c>
      <c r="Z848" s="39">
        <v>0</v>
      </c>
      <c r="AA848" s="39">
        <v>0</v>
      </c>
      <c r="AB848" s="39">
        <v>0</v>
      </c>
      <c r="AC848" s="39">
        <v>903.49</v>
      </c>
      <c r="AD848" s="39">
        <v>852.23</v>
      </c>
      <c r="AE848" s="39">
        <v>774.42</v>
      </c>
      <c r="AF848" s="39">
        <v>0</v>
      </c>
      <c r="AG848" s="39">
        <v>0</v>
      </c>
      <c r="AH848" s="39">
        <v>0</v>
      </c>
      <c r="AI848" s="39">
        <v>903.49</v>
      </c>
      <c r="AJ848" s="39">
        <v>852.23</v>
      </c>
      <c r="AK848" s="39">
        <v>774.42</v>
      </c>
      <c r="AL848" s="39">
        <v>0</v>
      </c>
      <c r="AM848" s="39">
        <v>0</v>
      </c>
      <c r="AN848" s="39">
        <v>0</v>
      </c>
      <c r="AO848" s="39">
        <v>903.49</v>
      </c>
      <c r="AP848" s="39">
        <v>852.23</v>
      </c>
      <c r="AQ848" s="39">
        <v>774.42</v>
      </c>
      <c r="AR848" s="39">
        <v>903.49</v>
      </c>
    </row>
    <row r="849" spans="1:44" x14ac:dyDescent="0.35">
      <c r="A849" s="16" t="str">
        <f t="shared" si="74"/>
        <v>19</v>
      </c>
      <c r="B849" s="19">
        <v>76869</v>
      </c>
      <c r="C849" s="16" t="str">
        <f>TEXT(131128,"0000000")</f>
        <v>0131128</v>
      </c>
      <c r="D849" s="19">
        <v>1689</v>
      </c>
      <c r="E849" s="16" t="s">
        <v>1205</v>
      </c>
      <c r="F849" s="16" t="s">
        <v>5</v>
      </c>
      <c r="G849" s="35" t="s">
        <v>1206</v>
      </c>
      <c r="H849" s="39">
        <v>0</v>
      </c>
      <c r="I849" s="39">
        <v>0</v>
      </c>
      <c r="J849" s="39">
        <v>0</v>
      </c>
      <c r="K849" s="39">
        <v>0</v>
      </c>
      <c r="L849" s="39">
        <v>0</v>
      </c>
      <c r="M849" s="39">
        <v>0</v>
      </c>
      <c r="N849" s="39">
        <v>0</v>
      </c>
      <c r="O849" s="39">
        <v>0</v>
      </c>
      <c r="P849" s="39">
        <v>0</v>
      </c>
      <c r="Q849" s="39">
        <v>0</v>
      </c>
      <c r="R849" s="39">
        <v>0</v>
      </c>
      <c r="S849" s="39">
        <v>0</v>
      </c>
      <c r="T849" s="39">
        <v>0</v>
      </c>
      <c r="U849" s="39">
        <v>0</v>
      </c>
      <c r="V849" s="39">
        <v>0</v>
      </c>
      <c r="W849" s="39">
        <v>0</v>
      </c>
      <c r="X849" s="39">
        <v>0</v>
      </c>
      <c r="Y849" s="39">
        <v>0</v>
      </c>
      <c r="Z849" s="39">
        <v>0</v>
      </c>
      <c r="AA849" s="39">
        <v>0</v>
      </c>
      <c r="AB849" s="39">
        <v>0</v>
      </c>
      <c r="AC849" s="39">
        <v>514.14</v>
      </c>
      <c r="AD849" s="39">
        <v>493.76</v>
      </c>
      <c r="AE849" s="39">
        <v>497.11</v>
      </c>
      <c r="AF849" s="39">
        <v>0</v>
      </c>
      <c r="AG849" s="39">
        <v>0</v>
      </c>
      <c r="AH849" s="39">
        <v>0</v>
      </c>
      <c r="AI849" s="39">
        <v>514.14</v>
      </c>
      <c r="AJ849" s="39">
        <v>493.76</v>
      </c>
      <c r="AK849" s="39">
        <v>497.11</v>
      </c>
      <c r="AL849" s="39">
        <v>0</v>
      </c>
      <c r="AM849" s="39">
        <v>0</v>
      </c>
      <c r="AN849" s="39">
        <v>0</v>
      </c>
      <c r="AO849" s="39">
        <v>514.14</v>
      </c>
      <c r="AP849" s="39">
        <v>493.76</v>
      </c>
      <c r="AQ849" s="39">
        <v>497.11</v>
      </c>
      <c r="AR849" s="39">
        <v>514.14</v>
      </c>
    </row>
    <row r="850" spans="1:44" x14ac:dyDescent="0.35">
      <c r="A850" s="16" t="str">
        <f>TEXT(21,"00")</f>
        <v>21</v>
      </c>
      <c r="B850" s="19">
        <v>10215</v>
      </c>
      <c r="C850" s="16" t="str">
        <f>TEXT(135350,"0000000")</f>
        <v>0135350</v>
      </c>
      <c r="D850" s="19">
        <v>1790</v>
      </c>
      <c r="E850" s="16" t="s">
        <v>1251</v>
      </c>
      <c r="F850" s="16" t="s">
        <v>5</v>
      </c>
      <c r="G850" s="35" t="s">
        <v>1252</v>
      </c>
      <c r="H850" s="39">
        <v>0</v>
      </c>
      <c r="I850" s="39">
        <v>0</v>
      </c>
      <c r="J850" s="39">
        <v>0</v>
      </c>
      <c r="K850" s="39">
        <v>0</v>
      </c>
      <c r="L850" s="39">
        <v>0</v>
      </c>
      <c r="M850" s="39">
        <v>0</v>
      </c>
      <c r="N850" s="39">
        <v>0</v>
      </c>
      <c r="O850" s="39">
        <v>0</v>
      </c>
      <c r="P850" s="39">
        <v>0</v>
      </c>
      <c r="Q850" s="39">
        <v>0</v>
      </c>
      <c r="R850" s="39">
        <v>0</v>
      </c>
      <c r="S850" s="39">
        <v>0</v>
      </c>
      <c r="T850" s="39">
        <v>0</v>
      </c>
      <c r="U850" s="39">
        <v>0</v>
      </c>
      <c r="V850" s="39">
        <v>0</v>
      </c>
      <c r="W850" s="39">
        <v>0</v>
      </c>
      <c r="X850" s="39">
        <v>0</v>
      </c>
      <c r="Y850" s="39">
        <v>0</v>
      </c>
      <c r="Z850" s="39">
        <v>0</v>
      </c>
      <c r="AA850" s="39">
        <v>0</v>
      </c>
      <c r="AB850" s="39">
        <v>0</v>
      </c>
      <c r="AC850" s="39">
        <v>187.38</v>
      </c>
      <c r="AD850" s="39">
        <v>179.36</v>
      </c>
      <c r="AE850" s="39">
        <v>191.87</v>
      </c>
      <c r="AF850" s="39">
        <v>0</v>
      </c>
      <c r="AG850" s="39">
        <v>0</v>
      </c>
      <c r="AH850" s="39">
        <v>0</v>
      </c>
      <c r="AI850" s="39">
        <v>187.38</v>
      </c>
      <c r="AJ850" s="39">
        <v>179.36</v>
      </c>
      <c r="AK850" s="39">
        <v>191.87</v>
      </c>
      <c r="AL850" s="39">
        <v>0</v>
      </c>
      <c r="AM850" s="39">
        <v>0</v>
      </c>
      <c r="AN850" s="39">
        <v>0</v>
      </c>
      <c r="AO850" s="39">
        <v>187.38</v>
      </c>
      <c r="AP850" s="39">
        <v>179.36</v>
      </c>
      <c r="AQ850" s="39">
        <v>191.87</v>
      </c>
      <c r="AR850" s="39">
        <v>191.87</v>
      </c>
    </row>
    <row r="851" spans="1:44" x14ac:dyDescent="0.35">
      <c r="A851" s="16" t="str">
        <f>TEXT(1,"00")</f>
        <v>01</v>
      </c>
      <c r="B851" s="19">
        <v>61192</v>
      </c>
      <c r="C851" s="16" t="str">
        <f>TEXT(127696,"0000000")</f>
        <v>0127696</v>
      </c>
      <c r="D851" s="19">
        <v>1514</v>
      </c>
      <c r="E851" s="16" t="s">
        <v>59</v>
      </c>
      <c r="F851" s="16" t="s">
        <v>5</v>
      </c>
      <c r="G851" s="35" t="s">
        <v>60</v>
      </c>
      <c r="H851" s="39">
        <v>0</v>
      </c>
      <c r="I851" s="39">
        <v>0</v>
      </c>
      <c r="J851" s="39">
        <v>0</v>
      </c>
      <c r="K851" s="39">
        <v>0</v>
      </c>
      <c r="L851" s="39">
        <v>0</v>
      </c>
      <c r="M851" s="39">
        <v>0</v>
      </c>
      <c r="N851" s="39">
        <v>0</v>
      </c>
      <c r="O851" s="39">
        <v>0</v>
      </c>
      <c r="P851" s="39">
        <v>0</v>
      </c>
      <c r="Q851" s="39">
        <v>0</v>
      </c>
      <c r="R851" s="39">
        <v>0</v>
      </c>
      <c r="S851" s="39">
        <v>0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0</v>
      </c>
      <c r="AA851" s="39">
        <v>0</v>
      </c>
      <c r="AB851" s="39">
        <v>0</v>
      </c>
      <c r="AC851" s="39">
        <v>596.88</v>
      </c>
      <c r="AD851" s="39">
        <v>577.86</v>
      </c>
      <c r="AE851" s="39">
        <v>557.73</v>
      </c>
      <c r="AF851" s="39">
        <v>0</v>
      </c>
      <c r="AG851" s="39">
        <v>0</v>
      </c>
      <c r="AH851" s="39">
        <v>0</v>
      </c>
      <c r="AI851" s="39">
        <v>596.88</v>
      </c>
      <c r="AJ851" s="39">
        <v>577.86</v>
      </c>
      <c r="AK851" s="39">
        <v>557.73</v>
      </c>
      <c r="AL851" s="39">
        <v>0</v>
      </c>
      <c r="AM851" s="39">
        <v>0</v>
      </c>
      <c r="AN851" s="39">
        <v>0</v>
      </c>
      <c r="AO851" s="39">
        <v>596.88</v>
      </c>
      <c r="AP851" s="39">
        <v>577.86</v>
      </c>
      <c r="AQ851" s="39">
        <v>557.73</v>
      </c>
      <c r="AR851" s="39">
        <v>596.88</v>
      </c>
    </row>
    <row r="852" spans="1:44" x14ac:dyDescent="0.35">
      <c r="A852" s="16" t="str">
        <f>TEXT(21,"00")</f>
        <v>21</v>
      </c>
      <c r="B852" s="19">
        <v>65417</v>
      </c>
      <c r="C852" s="16" t="str">
        <f>TEXT(6113229,"0000000")</f>
        <v>6113229</v>
      </c>
      <c r="D852" s="17" t="s">
        <v>1273</v>
      </c>
      <c r="E852" s="16" t="s">
        <v>1271</v>
      </c>
      <c r="F852" s="16" t="s">
        <v>5</v>
      </c>
      <c r="G852" s="35" t="s">
        <v>1272</v>
      </c>
      <c r="H852" s="39">
        <v>0</v>
      </c>
      <c r="I852" s="39">
        <v>0</v>
      </c>
      <c r="J852" s="39">
        <v>0</v>
      </c>
      <c r="K852" s="39">
        <v>0</v>
      </c>
      <c r="L852" s="39">
        <v>0</v>
      </c>
      <c r="M852" s="39">
        <v>0</v>
      </c>
      <c r="N852" s="39">
        <v>0</v>
      </c>
      <c r="O852" s="39">
        <v>0</v>
      </c>
      <c r="P852" s="39">
        <v>0</v>
      </c>
      <c r="Q852" s="39">
        <v>0</v>
      </c>
      <c r="R852" s="39">
        <v>0</v>
      </c>
      <c r="S852" s="39">
        <v>0</v>
      </c>
      <c r="T852" s="39">
        <v>0</v>
      </c>
      <c r="U852" s="39">
        <v>0</v>
      </c>
      <c r="V852" s="39">
        <v>0</v>
      </c>
      <c r="W852" s="39">
        <v>0</v>
      </c>
      <c r="X852" s="39">
        <v>0</v>
      </c>
      <c r="Y852" s="39">
        <v>0</v>
      </c>
      <c r="Z852" s="39">
        <v>0</v>
      </c>
      <c r="AA852" s="39">
        <v>0</v>
      </c>
      <c r="AB852" s="39">
        <v>0</v>
      </c>
      <c r="AC852" s="39">
        <v>254.8</v>
      </c>
      <c r="AD852" s="39">
        <v>258.52999999999997</v>
      </c>
      <c r="AE852" s="39">
        <v>256.94</v>
      </c>
      <c r="AF852" s="39">
        <v>0</v>
      </c>
      <c r="AG852" s="39">
        <v>0</v>
      </c>
      <c r="AH852" s="39">
        <v>0</v>
      </c>
      <c r="AI852" s="39">
        <v>254.8</v>
      </c>
      <c r="AJ852" s="39">
        <v>258.52999999999997</v>
      </c>
      <c r="AK852" s="39">
        <v>256.94</v>
      </c>
      <c r="AL852" s="39">
        <v>0</v>
      </c>
      <c r="AM852" s="39">
        <v>0</v>
      </c>
      <c r="AN852" s="39">
        <v>0</v>
      </c>
      <c r="AO852" s="39">
        <v>254.8</v>
      </c>
      <c r="AP852" s="39">
        <v>258.52999999999997</v>
      </c>
      <c r="AQ852" s="39">
        <v>256.94</v>
      </c>
      <c r="AR852" s="39">
        <v>258.52999999999997</v>
      </c>
    </row>
    <row r="853" spans="1:44" x14ac:dyDescent="0.35">
      <c r="A853" s="16" t="str">
        <f>TEXT(27,"00")</f>
        <v>27</v>
      </c>
      <c r="B853" s="19">
        <v>66092</v>
      </c>
      <c r="C853" s="16" t="str">
        <f>TEXT(6118962,"0000000")</f>
        <v>6118962</v>
      </c>
      <c r="D853" s="17" t="s">
        <v>1416</v>
      </c>
      <c r="E853" s="16" t="s">
        <v>1414</v>
      </c>
      <c r="F853" s="16" t="s">
        <v>5</v>
      </c>
      <c r="G853" s="35" t="s">
        <v>1415</v>
      </c>
      <c r="H853" s="39">
        <v>0</v>
      </c>
      <c r="I853" s="39">
        <v>0</v>
      </c>
      <c r="J853" s="39">
        <v>0</v>
      </c>
      <c r="K853" s="39">
        <v>0</v>
      </c>
      <c r="L853" s="39">
        <v>0</v>
      </c>
      <c r="M853" s="39">
        <v>0</v>
      </c>
      <c r="N853" s="39">
        <v>0</v>
      </c>
      <c r="O853" s="39">
        <v>0</v>
      </c>
      <c r="P853" s="39">
        <v>0</v>
      </c>
      <c r="Q853" s="39">
        <v>0</v>
      </c>
      <c r="R853" s="39">
        <v>0</v>
      </c>
      <c r="S853" s="39">
        <v>0</v>
      </c>
      <c r="T853" s="39">
        <v>0</v>
      </c>
      <c r="U853" s="39">
        <v>0</v>
      </c>
      <c r="V853" s="39">
        <v>0</v>
      </c>
      <c r="W853" s="39">
        <v>0</v>
      </c>
      <c r="X853" s="39">
        <v>0</v>
      </c>
      <c r="Y853" s="39">
        <v>0</v>
      </c>
      <c r="Z853" s="39">
        <v>0</v>
      </c>
      <c r="AA853" s="39">
        <v>0</v>
      </c>
      <c r="AB853" s="39">
        <v>0</v>
      </c>
      <c r="AC853" s="39">
        <v>415.53</v>
      </c>
      <c r="AD853" s="39">
        <v>404.03</v>
      </c>
      <c r="AE853" s="39">
        <v>402.43</v>
      </c>
      <c r="AF853" s="39">
        <v>0</v>
      </c>
      <c r="AG853" s="39">
        <v>0</v>
      </c>
      <c r="AH853" s="39">
        <v>0</v>
      </c>
      <c r="AI853" s="39">
        <v>415.53</v>
      </c>
      <c r="AJ853" s="39">
        <v>404.03</v>
      </c>
      <c r="AK853" s="39">
        <v>402.43</v>
      </c>
      <c r="AL853" s="39">
        <v>0</v>
      </c>
      <c r="AM853" s="39">
        <v>0</v>
      </c>
      <c r="AN853" s="39">
        <v>0</v>
      </c>
      <c r="AO853" s="39">
        <v>415.53</v>
      </c>
      <c r="AP853" s="39">
        <v>404.03</v>
      </c>
      <c r="AQ853" s="39">
        <v>402.43</v>
      </c>
      <c r="AR853" s="39">
        <v>415.53</v>
      </c>
    </row>
    <row r="854" spans="1:44" x14ac:dyDescent="0.35">
      <c r="A854" s="16" t="str">
        <f>TEXT(29,"00")</f>
        <v>29</v>
      </c>
      <c r="B854" s="19">
        <v>66357</v>
      </c>
      <c r="C854" s="16" t="str">
        <f>TEXT(124834,"0000000")</f>
        <v>0124834</v>
      </c>
      <c r="D854" s="19">
        <v>1336</v>
      </c>
      <c r="E854" s="16" t="s">
        <v>1482</v>
      </c>
      <c r="F854" s="16" t="s">
        <v>5</v>
      </c>
      <c r="G854" s="35" t="s">
        <v>1483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175.99</v>
      </c>
      <c r="AD854" s="39">
        <v>177.2</v>
      </c>
      <c r="AE854" s="39">
        <v>148.5</v>
      </c>
      <c r="AF854" s="39">
        <v>0</v>
      </c>
      <c r="AG854" s="39">
        <v>0</v>
      </c>
      <c r="AH854" s="39">
        <v>0</v>
      </c>
      <c r="AI854" s="39">
        <v>175.99</v>
      </c>
      <c r="AJ854" s="39">
        <v>177.2</v>
      </c>
      <c r="AK854" s="39">
        <v>148.5</v>
      </c>
      <c r="AL854" s="39">
        <v>0</v>
      </c>
      <c r="AM854" s="39">
        <v>0</v>
      </c>
      <c r="AN854" s="39">
        <v>0</v>
      </c>
      <c r="AO854" s="39">
        <v>175.99</v>
      </c>
      <c r="AP854" s="39">
        <v>177.2</v>
      </c>
      <c r="AQ854" s="39">
        <v>148.5</v>
      </c>
      <c r="AR854" s="39">
        <v>177.2</v>
      </c>
    </row>
    <row r="855" spans="1:44" x14ac:dyDescent="0.35">
      <c r="A855" s="16" t="str">
        <f t="shared" ref="A855:A860" si="75">TEXT(30,"00")</f>
        <v>30</v>
      </c>
      <c r="B855" s="19">
        <v>10306</v>
      </c>
      <c r="C855" s="16" t="str">
        <f>TEXT(126037,"0000000")</f>
        <v>0126037</v>
      </c>
      <c r="D855" s="19">
        <v>1419</v>
      </c>
      <c r="E855" s="16" t="s">
        <v>1494</v>
      </c>
      <c r="F855" s="16" t="s">
        <v>5</v>
      </c>
      <c r="G855" s="35" t="s">
        <v>1495</v>
      </c>
      <c r="H855" s="39">
        <v>0</v>
      </c>
      <c r="I855" s="39">
        <v>0</v>
      </c>
      <c r="J855" s="39">
        <v>0</v>
      </c>
      <c r="K855" s="39">
        <v>0</v>
      </c>
      <c r="L855" s="39">
        <v>0</v>
      </c>
      <c r="M855" s="39">
        <v>0</v>
      </c>
      <c r="N855" s="39">
        <v>0</v>
      </c>
      <c r="O855" s="39">
        <v>0</v>
      </c>
      <c r="P855" s="39">
        <v>0</v>
      </c>
      <c r="Q855" s="39">
        <v>0</v>
      </c>
      <c r="R855" s="39">
        <v>0</v>
      </c>
      <c r="S855" s="39">
        <v>0</v>
      </c>
      <c r="T855" s="39">
        <v>0</v>
      </c>
      <c r="U855" s="39">
        <v>0</v>
      </c>
      <c r="V855" s="39">
        <v>0</v>
      </c>
      <c r="W855" s="39">
        <v>0</v>
      </c>
      <c r="X855" s="39">
        <v>0</v>
      </c>
      <c r="Y855" s="39">
        <v>0</v>
      </c>
      <c r="Z855" s="39">
        <v>785.47</v>
      </c>
      <c r="AA855" s="39">
        <v>764.21</v>
      </c>
      <c r="AB855" s="39">
        <v>753.38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0</v>
      </c>
      <c r="AI855" s="39">
        <v>785.47</v>
      </c>
      <c r="AJ855" s="39">
        <v>764.21</v>
      </c>
      <c r="AK855" s="39">
        <v>753.38</v>
      </c>
      <c r="AL855" s="39">
        <v>0</v>
      </c>
      <c r="AM855" s="39">
        <v>0</v>
      </c>
      <c r="AN855" s="39">
        <v>0</v>
      </c>
      <c r="AO855" s="39">
        <v>785.47</v>
      </c>
      <c r="AP855" s="39">
        <v>764.21</v>
      </c>
      <c r="AQ855" s="39">
        <v>753.38</v>
      </c>
      <c r="AR855" s="39">
        <v>785.47</v>
      </c>
    </row>
    <row r="856" spans="1:44" x14ac:dyDescent="0.35">
      <c r="A856" s="16" t="str">
        <f t="shared" si="75"/>
        <v>30</v>
      </c>
      <c r="B856" s="19">
        <v>10306</v>
      </c>
      <c r="C856" s="16" t="str">
        <f>TEXT(132613,"0000000")</f>
        <v>0132613</v>
      </c>
      <c r="D856" s="19">
        <v>1752</v>
      </c>
      <c r="E856" s="16" t="s">
        <v>1496</v>
      </c>
      <c r="F856" s="16" t="s">
        <v>5</v>
      </c>
      <c r="G856" s="35" t="s">
        <v>1497</v>
      </c>
      <c r="H856" s="39">
        <v>0</v>
      </c>
      <c r="I856" s="39">
        <v>0</v>
      </c>
      <c r="J856" s="39">
        <v>0</v>
      </c>
      <c r="K856" s="39">
        <v>0</v>
      </c>
      <c r="L856" s="39">
        <v>0</v>
      </c>
      <c r="M856" s="39">
        <v>0</v>
      </c>
      <c r="N856" s="39">
        <v>0</v>
      </c>
      <c r="O856" s="39">
        <v>0</v>
      </c>
      <c r="P856" s="39">
        <v>0</v>
      </c>
      <c r="Q856" s="39">
        <v>0</v>
      </c>
      <c r="R856" s="39">
        <v>0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0</v>
      </c>
      <c r="AA856" s="39">
        <v>0</v>
      </c>
      <c r="AB856" s="39">
        <v>0</v>
      </c>
      <c r="AC856" s="39">
        <v>346.61</v>
      </c>
      <c r="AD856" s="39">
        <v>299.22000000000003</v>
      </c>
      <c r="AE856" s="39">
        <v>394.35</v>
      </c>
      <c r="AF856" s="39">
        <v>0</v>
      </c>
      <c r="AG856" s="39">
        <v>0</v>
      </c>
      <c r="AH856" s="39">
        <v>0</v>
      </c>
      <c r="AI856" s="39">
        <v>346.61</v>
      </c>
      <c r="AJ856" s="39">
        <v>299.22000000000003</v>
      </c>
      <c r="AK856" s="39">
        <v>394.35</v>
      </c>
      <c r="AL856" s="39">
        <v>0</v>
      </c>
      <c r="AM856" s="39">
        <v>0</v>
      </c>
      <c r="AN856" s="39">
        <v>0</v>
      </c>
      <c r="AO856" s="39">
        <v>346.61</v>
      </c>
      <c r="AP856" s="39">
        <v>299.22000000000003</v>
      </c>
      <c r="AQ856" s="39">
        <v>394.35</v>
      </c>
      <c r="AR856" s="39">
        <v>394.35</v>
      </c>
    </row>
    <row r="857" spans="1:44" ht="31" x14ac:dyDescent="0.35">
      <c r="A857" s="16" t="str">
        <f t="shared" si="75"/>
        <v>30</v>
      </c>
      <c r="B857" s="19">
        <v>10306</v>
      </c>
      <c r="C857" s="16" t="str">
        <f>TEXT(133785,"0000000")</f>
        <v>0133785</v>
      </c>
      <c r="D857" s="19">
        <v>1784</v>
      </c>
      <c r="E857" s="16" t="s">
        <v>1498</v>
      </c>
      <c r="F857" s="16" t="s">
        <v>5</v>
      </c>
      <c r="G857" s="35" t="s">
        <v>1499</v>
      </c>
      <c r="H857" s="39">
        <v>0</v>
      </c>
      <c r="I857" s="39">
        <v>0</v>
      </c>
      <c r="J857" s="39">
        <v>0</v>
      </c>
      <c r="K857" s="39">
        <v>0</v>
      </c>
      <c r="L857" s="39">
        <v>0</v>
      </c>
      <c r="M857" s="39">
        <v>0</v>
      </c>
      <c r="N857" s="39">
        <v>0</v>
      </c>
      <c r="O857" s="39">
        <v>0</v>
      </c>
      <c r="P857" s="39">
        <v>0</v>
      </c>
      <c r="Q857" s="39">
        <v>0</v>
      </c>
      <c r="R857" s="39">
        <v>0</v>
      </c>
      <c r="S857" s="39">
        <v>0</v>
      </c>
      <c r="T857" s="39">
        <v>0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0</v>
      </c>
      <c r="AA857" s="39">
        <v>0</v>
      </c>
      <c r="AB857" s="39">
        <v>0</v>
      </c>
      <c r="AC857" s="39">
        <v>540.72</v>
      </c>
      <c r="AD857" s="39">
        <v>477.33</v>
      </c>
      <c r="AE857" s="39">
        <v>644.77</v>
      </c>
      <c r="AF857" s="39">
        <v>0</v>
      </c>
      <c r="AG857" s="39">
        <v>0</v>
      </c>
      <c r="AH857" s="39">
        <v>0</v>
      </c>
      <c r="AI857" s="39">
        <v>540.72</v>
      </c>
      <c r="AJ857" s="39">
        <v>477.33</v>
      </c>
      <c r="AK857" s="39">
        <v>644.77</v>
      </c>
      <c r="AL857" s="39">
        <v>0</v>
      </c>
      <c r="AM857" s="39">
        <v>0</v>
      </c>
      <c r="AN857" s="39">
        <v>0</v>
      </c>
      <c r="AO857" s="39">
        <v>540.72</v>
      </c>
      <c r="AP857" s="39">
        <v>477.33</v>
      </c>
      <c r="AQ857" s="39">
        <v>644.77</v>
      </c>
      <c r="AR857" s="39">
        <v>644.77</v>
      </c>
    </row>
    <row r="858" spans="1:44" x14ac:dyDescent="0.35">
      <c r="A858" s="16" t="str">
        <f t="shared" si="75"/>
        <v>30</v>
      </c>
      <c r="B858" s="19">
        <v>10306</v>
      </c>
      <c r="C858" s="16" t="str">
        <f>TEXT(133959,"0000000")</f>
        <v>0133959</v>
      </c>
      <c r="D858" s="19">
        <v>1800</v>
      </c>
      <c r="E858" s="16" t="s">
        <v>1500</v>
      </c>
      <c r="F858" s="16" t="s">
        <v>5</v>
      </c>
      <c r="G858" s="35" t="s">
        <v>1501</v>
      </c>
      <c r="H858" s="39">
        <v>0</v>
      </c>
      <c r="I858" s="39">
        <v>0</v>
      </c>
      <c r="J858" s="39">
        <v>0</v>
      </c>
      <c r="K858" s="39">
        <v>0</v>
      </c>
      <c r="L858" s="39">
        <v>0</v>
      </c>
      <c r="M858" s="39">
        <v>0</v>
      </c>
      <c r="N858" s="39">
        <v>0</v>
      </c>
      <c r="O858" s="39">
        <v>0</v>
      </c>
      <c r="P858" s="39">
        <v>0</v>
      </c>
      <c r="Q858" s="39">
        <v>0</v>
      </c>
      <c r="R858" s="39">
        <v>0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0</v>
      </c>
      <c r="Z858" s="39">
        <v>0</v>
      </c>
      <c r="AA858" s="39">
        <v>0</v>
      </c>
      <c r="AB858" s="39">
        <v>0</v>
      </c>
      <c r="AC858" s="39">
        <v>46.34</v>
      </c>
      <c r="AD858" s="39">
        <v>47.83</v>
      </c>
      <c r="AE858" s="39">
        <v>70.099999999999994</v>
      </c>
      <c r="AF858" s="39">
        <v>0</v>
      </c>
      <c r="AG858" s="39">
        <v>0</v>
      </c>
      <c r="AH858" s="39">
        <v>0</v>
      </c>
      <c r="AI858" s="39">
        <v>46.34</v>
      </c>
      <c r="AJ858" s="39">
        <v>47.83</v>
      </c>
      <c r="AK858" s="39">
        <v>70.099999999999994</v>
      </c>
      <c r="AL858" s="39">
        <v>0</v>
      </c>
      <c r="AM858" s="39">
        <v>0</v>
      </c>
      <c r="AN858" s="39">
        <v>0</v>
      </c>
      <c r="AO858" s="39">
        <v>46.34</v>
      </c>
      <c r="AP858" s="39">
        <v>47.83</v>
      </c>
      <c r="AQ858" s="39">
        <v>70.099999999999994</v>
      </c>
      <c r="AR858" s="39">
        <v>70.099999999999994</v>
      </c>
    </row>
    <row r="859" spans="1:44" x14ac:dyDescent="0.35">
      <c r="A859" s="16" t="str">
        <f t="shared" si="75"/>
        <v>30</v>
      </c>
      <c r="B859" s="19">
        <v>10306</v>
      </c>
      <c r="C859" s="16" t="str">
        <f>TEXT(133983,"0000000")</f>
        <v>0133983</v>
      </c>
      <c r="D859" s="19">
        <v>1798</v>
      </c>
      <c r="E859" s="16" t="s">
        <v>1502</v>
      </c>
      <c r="F859" s="16" t="s">
        <v>5</v>
      </c>
      <c r="G859" s="35" t="s">
        <v>1503</v>
      </c>
      <c r="H859" s="39">
        <v>0</v>
      </c>
      <c r="I859" s="39">
        <v>0</v>
      </c>
      <c r="J859" s="39">
        <v>0</v>
      </c>
      <c r="K859" s="39">
        <v>0</v>
      </c>
      <c r="L859" s="39">
        <v>0</v>
      </c>
      <c r="M859" s="39">
        <v>0</v>
      </c>
      <c r="N859" s="39">
        <v>0</v>
      </c>
      <c r="O859" s="39">
        <v>0</v>
      </c>
      <c r="P859" s="39">
        <v>0</v>
      </c>
      <c r="Q859" s="39">
        <v>0</v>
      </c>
      <c r="R859" s="39">
        <v>0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0</v>
      </c>
      <c r="Z859" s="39">
        <v>0</v>
      </c>
      <c r="AA859" s="39">
        <v>0</v>
      </c>
      <c r="AB859" s="39">
        <v>0</v>
      </c>
      <c r="AC859" s="39">
        <v>406.97</v>
      </c>
      <c r="AD859" s="39">
        <v>398.79</v>
      </c>
      <c r="AE859" s="39">
        <v>350.08</v>
      </c>
      <c r="AF859" s="39">
        <v>0</v>
      </c>
      <c r="AG859" s="39">
        <v>0</v>
      </c>
      <c r="AH859" s="39">
        <v>0</v>
      </c>
      <c r="AI859" s="39">
        <v>406.97</v>
      </c>
      <c r="AJ859" s="39">
        <v>398.79</v>
      </c>
      <c r="AK859" s="39">
        <v>350.08</v>
      </c>
      <c r="AL859" s="39">
        <v>0</v>
      </c>
      <c r="AM859" s="39">
        <v>0</v>
      </c>
      <c r="AN859" s="39">
        <v>0</v>
      </c>
      <c r="AO859" s="39">
        <v>406.97</v>
      </c>
      <c r="AP859" s="39">
        <v>398.79</v>
      </c>
      <c r="AQ859" s="39">
        <v>350.08</v>
      </c>
      <c r="AR859" s="39">
        <v>406.97</v>
      </c>
    </row>
    <row r="860" spans="1:44" x14ac:dyDescent="0.35">
      <c r="A860" s="16" t="str">
        <f t="shared" si="75"/>
        <v>30</v>
      </c>
      <c r="B860" s="19">
        <v>10306</v>
      </c>
      <c r="C860" s="16" t="str">
        <f>TEXT(134056,"0000000")</f>
        <v>0134056</v>
      </c>
      <c r="D860" s="19">
        <v>1799</v>
      </c>
      <c r="E860" s="16" t="s">
        <v>1504</v>
      </c>
      <c r="F860" s="16" t="s">
        <v>5</v>
      </c>
      <c r="G860" s="35" t="s">
        <v>1505</v>
      </c>
      <c r="H860" s="39">
        <v>0</v>
      </c>
      <c r="I860" s="39">
        <v>0</v>
      </c>
      <c r="J860" s="39">
        <v>0</v>
      </c>
      <c r="K860" s="39">
        <v>0</v>
      </c>
      <c r="L860" s="39">
        <v>0</v>
      </c>
      <c r="M860" s="39">
        <v>0</v>
      </c>
      <c r="N860" s="39">
        <v>0</v>
      </c>
      <c r="O860" s="39">
        <v>0</v>
      </c>
      <c r="P860" s="39">
        <v>0</v>
      </c>
      <c r="Q860" s="39">
        <v>0</v>
      </c>
      <c r="R860" s="39">
        <v>0</v>
      </c>
      <c r="S860" s="39">
        <v>0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0</v>
      </c>
      <c r="AA860" s="39">
        <v>0</v>
      </c>
      <c r="AB860" s="39">
        <v>0</v>
      </c>
      <c r="AC860" s="39">
        <v>234.37</v>
      </c>
      <c r="AD860" s="39">
        <v>213.82</v>
      </c>
      <c r="AE860" s="39">
        <v>232.51</v>
      </c>
      <c r="AF860" s="39">
        <v>0</v>
      </c>
      <c r="AG860" s="39">
        <v>0</v>
      </c>
      <c r="AH860" s="39">
        <v>0</v>
      </c>
      <c r="AI860" s="39">
        <v>234.37</v>
      </c>
      <c r="AJ860" s="39">
        <v>213.82</v>
      </c>
      <c r="AK860" s="39">
        <v>232.51</v>
      </c>
      <c r="AL860" s="39">
        <v>0</v>
      </c>
      <c r="AM860" s="39">
        <v>0</v>
      </c>
      <c r="AN860" s="39">
        <v>0</v>
      </c>
      <c r="AO860" s="39">
        <v>234.37</v>
      </c>
      <c r="AP860" s="39">
        <v>213.82</v>
      </c>
      <c r="AQ860" s="39">
        <v>232.51</v>
      </c>
      <c r="AR860" s="39">
        <v>234.37</v>
      </c>
    </row>
    <row r="861" spans="1:44" x14ac:dyDescent="0.35">
      <c r="A861" s="16" t="str">
        <f>TEXT(1,"00")</f>
        <v>01</v>
      </c>
      <c r="B861" s="19">
        <v>61192</v>
      </c>
      <c r="C861" s="16" t="str">
        <f>TEXT(137646,"0000000")</f>
        <v>0137646</v>
      </c>
      <c r="D861" s="17" t="s">
        <v>65</v>
      </c>
      <c r="E861" s="16" t="s">
        <v>63</v>
      </c>
      <c r="F861" s="16" t="s">
        <v>5</v>
      </c>
      <c r="G861" s="35" t="s">
        <v>64</v>
      </c>
      <c r="H861" s="39">
        <v>0</v>
      </c>
      <c r="I861" s="39">
        <v>0</v>
      </c>
      <c r="J861" s="39">
        <v>0</v>
      </c>
      <c r="K861" s="39">
        <v>0</v>
      </c>
      <c r="L861" s="39">
        <v>0</v>
      </c>
      <c r="M861" s="39">
        <v>0</v>
      </c>
      <c r="N861" s="39">
        <v>0</v>
      </c>
      <c r="O861" s="39">
        <v>0</v>
      </c>
      <c r="P861" s="39">
        <v>0</v>
      </c>
      <c r="Q861" s="39">
        <v>0</v>
      </c>
      <c r="R861" s="39">
        <v>0</v>
      </c>
      <c r="S861" s="39">
        <v>0</v>
      </c>
      <c r="T861" s="39">
        <v>0</v>
      </c>
      <c r="U861" s="39">
        <v>0</v>
      </c>
      <c r="V861" s="39">
        <v>0</v>
      </c>
      <c r="W861" s="39">
        <v>0</v>
      </c>
      <c r="X861" s="39">
        <v>0</v>
      </c>
      <c r="Y861" s="39">
        <v>0</v>
      </c>
      <c r="Z861" s="39">
        <v>0</v>
      </c>
      <c r="AA861" s="39">
        <v>0</v>
      </c>
      <c r="AB861" s="39">
        <v>0</v>
      </c>
      <c r="AC861" s="39">
        <v>658.85</v>
      </c>
      <c r="AD861" s="39">
        <v>702.09</v>
      </c>
      <c r="AE861" s="39">
        <v>711.52</v>
      </c>
      <c r="AF861" s="39">
        <v>0</v>
      </c>
      <c r="AG861" s="39">
        <v>0</v>
      </c>
      <c r="AH861" s="39">
        <v>0</v>
      </c>
      <c r="AI861" s="39">
        <v>658.85</v>
      </c>
      <c r="AJ861" s="39">
        <v>702.09</v>
      </c>
      <c r="AK861" s="39">
        <v>711.52</v>
      </c>
      <c r="AL861" s="39">
        <v>0</v>
      </c>
      <c r="AM861" s="39">
        <v>0</v>
      </c>
      <c r="AN861" s="39">
        <v>0</v>
      </c>
      <c r="AO861" s="39">
        <v>658.85</v>
      </c>
      <c r="AP861" s="39">
        <v>702.09</v>
      </c>
      <c r="AQ861" s="39">
        <v>711.52</v>
      </c>
      <c r="AR861" s="39">
        <v>711.52</v>
      </c>
    </row>
    <row r="862" spans="1:44" ht="31" x14ac:dyDescent="0.35">
      <c r="A862" s="16" t="str">
        <f t="shared" ref="A862:A871" si="76">TEXT(30,"00")</f>
        <v>30</v>
      </c>
      <c r="B862" s="19">
        <v>10306</v>
      </c>
      <c r="C862" s="16" t="str">
        <f>TEXT(134239,"0000000")</f>
        <v>0134239</v>
      </c>
      <c r="D862" s="19">
        <v>1807</v>
      </c>
      <c r="E862" s="16" t="s">
        <v>1506</v>
      </c>
      <c r="F862" s="16" t="s">
        <v>5</v>
      </c>
      <c r="G862" s="35" t="s">
        <v>1507</v>
      </c>
      <c r="H862" s="39">
        <v>0</v>
      </c>
      <c r="I862" s="39">
        <v>0</v>
      </c>
      <c r="J862" s="39">
        <v>0</v>
      </c>
      <c r="K862" s="39">
        <v>0</v>
      </c>
      <c r="L862" s="39">
        <v>0</v>
      </c>
      <c r="M862" s="39">
        <v>0</v>
      </c>
      <c r="N862" s="39">
        <v>0</v>
      </c>
      <c r="O862" s="39">
        <v>0</v>
      </c>
      <c r="P862" s="39">
        <v>0</v>
      </c>
      <c r="Q862" s="39">
        <v>0</v>
      </c>
      <c r="R862" s="39">
        <v>0</v>
      </c>
      <c r="S862" s="39">
        <v>0</v>
      </c>
      <c r="T862" s="39">
        <v>0</v>
      </c>
      <c r="U862" s="39">
        <v>0</v>
      </c>
      <c r="V862" s="39">
        <v>0</v>
      </c>
      <c r="W862" s="39">
        <v>0</v>
      </c>
      <c r="X862" s="39">
        <v>0</v>
      </c>
      <c r="Y862" s="39">
        <v>0</v>
      </c>
      <c r="Z862" s="39">
        <v>0</v>
      </c>
      <c r="AA862" s="39">
        <v>0</v>
      </c>
      <c r="AB862" s="39">
        <v>0</v>
      </c>
      <c r="AC862" s="39">
        <v>953.99</v>
      </c>
      <c r="AD862" s="39">
        <v>965.6</v>
      </c>
      <c r="AE862" s="39">
        <v>948.88</v>
      </c>
      <c r="AF862" s="39">
        <v>0</v>
      </c>
      <c r="AG862" s="39">
        <v>0</v>
      </c>
      <c r="AH862" s="39">
        <v>0</v>
      </c>
      <c r="AI862" s="39">
        <v>953.99</v>
      </c>
      <c r="AJ862" s="39">
        <v>965.6</v>
      </c>
      <c r="AK862" s="39">
        <v>948.88</v>
      </c>
      <c r="AL862" s="39">
        <v>0</v>
      </c>
      <c r="AM862" s="39">
        <v>0</v>
      </c>
      <c r="AN862" s="39">
        <v>0</v>
      </c>
      <c r="AO862" s="39">
        <v>953.99</v>
      </c>
      <c r="AP862" s="39">
        <v>965.6</v>
      </c>
      <c r="AQ862" s="39">
        <v>948.88</v>
      </c>
      <c r="AR862" s="39">
        <v>965.6</v>
      </c>
    </row>
    <row r="863" spans="1:44" x14ac:dyDescent="0.35">
      <c r="A863" s="16" t="str">
        <f t="shared" si="76"/>
        <v>30</v>
      </c>
      <c r="B863" s="19">
        <v>10306</v>
      </c>
      <c r="C863" s="16" t="str">
        <f>TEXT(134288,"0000000")</f>
        <v>0134288</v>
      </c>
      <c r="D863" s="19">
        <v>1808</v>
      </c>
      <c r="E863" s="16" t="s">
        <v>1508</v>
      </c>
      <c r="F863" s="16" t="s">
        <v>5</v>
      </c>
      <c r="G863" s="35" t="s">
        <v>1509</v>
      </c>
      <c r="H863" s="39">
        <v>0</v>
      </c>
      <c r="I863" s="39">
        <v>0</v>
      </c>
      <c r="J863" s="39">
        <v>0</v>
      </c>
      <c r="K863" s="39">
        <v>0</v>
      </c>
      <c r="L863" s="39">
        <v>0</v>
      </c>
      <c r="M863" s="39">
        <v>0</v>
      </c>
      <c r="N863" s="39">
        <v>0</v>
      </c>
      <c r="O863" s="39">
        <v>0</v>
      </c>
      <c r="P863" s="39">
        <v>0</v>
      </c>
      <c r="Q863" s="39">
        <v>0</v>
      </c>
      <c r="R863" s="39">
        <v>0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602.04999999999995</v>
      </c>
      <c r="AA863" s="39">
        <v>607.45000000000005</v>
      </c>
      <c r="AB863" s="39">
        <v>594.28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0</v>
      </c>
      <c r="AI863" s="39">
        <v>602.04999999999995</v>
      </c>
      <c r="AJ863" s="39">
        <v>607.45000000000005</v>
      </c>
      <c r="AK863" s="39">
        <v>594.28</v>
      </c>
      <c r="AL863" s="39">
        <v>0</v>
      </c>
      <c r="AM863" s="39">
        <v>0</v>
      </c>
      <c r="AN863" s="39">
        <v>0</v>
      </c>
      <c r="AO863" s="39">
        <v>602.04999999999995</v>
      </c>
      <c r="AP863" s="39">
        <v>607.45000000000005</v>
      </c>
      <c r="AQ863" s="39">
        <v>594.28</v>
      </c>
      <c r="AR863" s="39">
        <v>607.45000000000005</v>
      </c>
    </row>
    <row r="864" spans="1:44" x14ac:dyDescent="0.35">
      <c r="A864" s="16" t="str">
        <f t="shared" si="76"/>
        <v>30</v>
      </c>
      <c r="B864" s="19">
        <v>10306</v>
      </c>
      <c r="C864" s="16" t="str">
        <f>TEXT(134841,"0000000")</f>
        <v>0134841</v>
      </c>
      <c r="D864" s="19">
        <v>1833</v>
      </c>
      <c r="E864" s="16" t="s">
        <v>1510</v>
      </c>
      <c r="F864" s="16" t="s">
        <v>5</v>
      </c>
      <c r="G864" s="35" t="s">
        <v>1511</v>
      </c>
      <c r="H864" s="39">
        <v>0</v>
      </c>
      <c r="I864" s="39">
        <v>0</v>
      </c>
      <c r="J864" s="39">
        <v>0</v>
      </c>
      <c r="K864" s="39">
        <v>0</v>
      </c>
      <c r="L864" s="39">
        <v>0</v>
      </c>
      <c r="M864" s="39">
        <v>0</v>
      </c>
      <c r="N864" s="39">
        <v>0</v>
      </c>
      <c r="O864" s="39">
        <v>0</v>
      </c>
      <c r="P864" s="39">
        <v>0</v>
      </c>
      <c r="Q864" s="39">
        <v>0</v>
      </c>
      <c r="R864" s="39">
        <v>0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302.17</v>
      </c>
      <c r="AA864" s="39">
        <v>244.21</v>
      </c>
      <c r="AB864" s="39">
        <v>227.51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0</v>
      </c>
      <c r="AI864" s="39">
        <v>302.17</v>
      </c>
      <c r="AJ864" s="39">
        <v>244.21</v>
      </c>
      <c r="AK864" s="39">
        <v>227.51</v>
      </c>
      <c r="AL864" s="39">
        <v>0</v>
      </c>
      <c r="AM864" s="39">
        <v>0</v>
      </c>
      <c r="AN864" s="39">
        <v>0</v>
      </c>
      <c r="AO864" s="39">
        <v>302.17</v>
      </c>
      <c r="AP864" s="39">
        <v>244.21</v>
      </c>
      <c r="AQ864" s="39">
        <v>227.51</v>
      </c>
      <c r="AR864" s="39">
        <v>302.17</v>
      </c>
    </row>
    <row r="865" spans="1:44" x14ac:dyDescent="0.35">
      <c r="A865" s="16" t="str">
        <f t="shared" si="76"/>
        <v>30</v>
      </c>
      <c r="B865" s="19">
        <v>10306</v>
      </c>
      <c r="C865" s="16" t="str">
        <f>TEXT(134940,"0000000")</f>
        <v>0134940</v>
      </c>
      <c r="D865" s="19">
        <v>1831</v>
      </c>
      <c r="E865" s="16" t="s">
        <v>1512</v>
      </c>
      <c r="F865" s="16" t="s">
        <v>5</v>
      </c>
      <c r="G865" s="35" t="s">
        <v>1513</v>
      </c>
      <c r="H865" s="39">
        <v>0</v>
      </c>
      <c r="I865" s="39">
        <v>0</v>
      </c>
      <c r="J865" s="39">
        <v>0</v>
      </c>
      <c r="K865" s="39">
        <v>0</v>
      </c>
      <c r="L865" s="39">
        <v>0</v>
      </c>
      <c r="M865" s="39">
        <v>0</v>
      </c>
      <c r="N865" s="39">
        <v>0</v>
      </c>
      <c r="O865" s="39">
        <v>0</v>
      </c>
      <c r="P865" s="39">
        <v>0</v>
      </c>
      <c r="Q865" s="39">
        <v>0</v>
      </c>
      <c r="R865" s="39">
        <v>0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461.21</v>
      </c>
      <c r="AD865" s="39">
        <v>457.7</v>
      </c>
      <c r="AE865" s="39">
        <v>395.3</v>
      </c>
      <c r="AF865" s="39">
        <v>0</v>
      </c>
      <c r="AG865" s="39">
        <v>0</v>
      </c>
      <c r="AH865" s="39">
        <v>0</v>
      </c>
      <c r="AI865" s="39">
        <v>461.21</v>
      </c>
      <c r="AJ865" s="39">
        <v>457.7</v>
      </c>
      <c r="AK865" s="39">
        <v>395.3</v>
      </c>
      <c r="AL865" s="39">
        <v>0</v>
      </c>
      <c r="AM865" s="39">
        <v>0</v>
      </c>
      <c r="AN865" s="39">
        <v>0</v>
      </c>
      <c r="AO865" s="39">
        <v>461.21</v>
      </c>
      <c r="AP865" s="39">
        <v>457.7</v>
      </c>
      <c r="AQ865" s="39">
        <v>395.3</v>
      </c>
      <c r="AR865" s="39">
        <v>461.21</v>
      </c>
    </row>
    <row r="866" spans="1:44" x14ac:dyDescent="0.35">
      <c r="A866" s="16" t="str">
        <f t="shared" si="76"/>
        <v>30</v>
      </c>
      <c r="B866" s="19">
        <v>10306</v>
      </c>
      <c r="C866" s="16" t="str">
        <f>TEXT(137000,"0000000")</f>
        <v>0137000</v>
      </c>
      <c r="D866" s="19">
        <v>1930</v>
      </c>
      <c r="E866" s="16" t="s">
        <v>1514</v>
      </c>
      <c r="F866" s="16" t="s">
        <v>5</v>
      </c>
      <c r="G866" s="35" t="s">
        <v>1515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328.88</v>
      </c>
      <c r="AD866" s="39">
        <v>315.54000000000002</v>
      </c>
      <c r="AE866" s="39">
        <v>305.08999999999997</v>
      </c>
      <c r="AF866" s="39">
        <v>0</v>
      </c>
      <c r="AG866" s="39">
        <v>0</v>
      </c>
      <c r="AH866" s="39">
        <v>0</v>
      </c>
      <c r="AI866" s="39">
        <v>328.88</v>
      </c>
      <c r="AJ866" s="39">
        <v>315.54000000000002</v>
      </c>
      <c r="AK866" s="39">
        <v>305.08999999999997</v>
      </c>
      <c r="AL866" s="39">
        <v>0</v>
      </c>
      <c r="AM866" s="39">
        <v>0</v>
      </c>
      <c r="AN866" s="39">
        <v>0</v>
      </c>
      <c r="AO866" s="39">
        <v>328.88</v>
      </c>
      <c r="AP866" s="39">
        <v>315.54000000000002</v>
      </c>
      <c r="AQ866" s="39">
        <v>305.08999999999997</v>
      </c>
      <c r="AR866" s="39">
        <v>328.88</v>
      </c>
    </row>
    <row r="867" spans="1:44" ht="31" x14ac:dyDescent="0.35">
      <c r="A867" s="16" t="str">
        <f t="shared" si="76"/>
        <v>30</v>
      </c>
      <c r="B867" s="19">
        <v>10306</v>
      </c>
      <c r="C867" s="16" t="str">
        <f>TEXT(137976,"0000000")</f>
        <v>0137976</v>
      </c>
      <c r="D867" s="19">
        <v>1987</v>
      </c>
      <c r="E867" s="16" t="s">
        <v>1516</v>
      </c>
      <c r="F867" s="16" t="s">
        <v>5</v>
      </c>
      <c r="G867" s="35" t="s">
        <v>1517</v>
      </c>
      <c r="H867" s="39">
        <v>0</v>
      </c>
      <c r="I867" s="39">
        <v>0</v>
      </c>
      <c r="J867" s="39">
        <v>0</v>
      </c>
      <c r="K867" s="39">
        <v>0</v>
      </c>
      <c r="L867" s="39">
        <v>0</v>
      </c>
      <c r="M867" s="39">
        <v>0</v>
      </c>
      <c r="N867" s="39">
        <v>0</v>
      </c>
      <c r="O867" s="39">
        <v>0</v>
      </c>
      <c r="P867" s="39">
        <v>0</v>
      </c>
      <c r="Q867" s="39">
        <v>0</v>
      </c>
      <c r="R867" s="39">
        <v>0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182.6</v>
      </c>
      <c r="AD867" s="39">
        <v>180.12</v>
      </c>
      <c r="AE867" s="39">
        <v>166.92</v>
      </c>
      <c r="AF867" s="39">
        <v>0</v>
      </c>
      <c r="AG867" s="39">
        <v>0</v>
      </c>
      <c r="AH867" s="39">
        <v>0</v>
      </c>
      <c r="AI867" s="39">
        <v>182.6</v>
      </c>
      <c r="AJ867" s="39">
        <v>180.12</v>
      </c>
      <c r="AK867" s="39">
        <v>166.92</v>
      </c>
      <c r="AL867" s="39">
        <v>0</v>
      </c>
      <c r="AM867" s="39">
        <v>0</v>
      </c>
      <c r="AN867" s="39">
        <v>0</v>
      </c>
      <c r="AO867" s="39">
        <v>182.6</v>
      </c>
      <c r="AP867" s="39">
        <v>180.12</v>
      </c>
      <c r="AQ867" s="39">
        <v>166.92</v>
      </c>
      <c r="AR867" s="39">
        <v>182.6</v>
      </c>
    </row>
    <row r="868" spans="1:44" x14ac:dyDescent="0.35">
      <c r="A868" s="16" t="str">
        <f t="shared" si="76"/>
        <v>30</v>
      </c>
      <c r="B868" s="19">
        <v>10306</v>
      </c>
      <c r="C868" s="16" t="str">
        <f>TEXT(138800,"0000000")</f>
        <v>0138800</v>
      </c>
      <c r="D868" s="19">
        <v>2025</v>
      </c>
      <c r="E868" s="16" t="s">
        <v>1518</v>
      </c>
      <c r="F868" s="16" t="s">
        <v>5</v>
      </c>
      <c r="G868" s="35" t="s">
        <v>1519</v>
      </c>
      <c r="H868" s="39">
        <v>0</v>
      </c>
      <c r="I868" s="39">
        <v>0</v>
      </c>
      <c r="J868" s="39">
        <v>0</v>
      </c>
      <c r="K868" s="39">
        <v>0</v>
      </c>
      <c r="L868" s="39">
        <v>0</v>
      </c>
      <c r="M868" s="39">
        <v>0</v>
      </c>
      <c r="N868" s="39">
        <v>0</v>
      </c>
      <c r="O868" s="39">
        <v>0</v>
      </c>
      <c r="P868" s="39">
        <v>0</v>
      </c>
      <c r="Q868" s="39">
        <v>0</v>
      </c>
      <c r="R868" s="39">
        <v>0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1462.07</v>
      </c>
      <c r="AD868" s="39">
        <v>1112.56</v>
      </c>
      <c r="AE868" s="39">
        <v>152.07</v>
      </c>
      <c r="AF868" s="39">
        <v>0</v>
      </c>
      <c r="AG868" s="39">
        <v>0</v>
      </c>
      <c r="AH868" s="39">
        <v>0</v>
      </c>
      <c r="AI868" s="39">
        <v>1462.07</v>
      </c>
      <c r="AJ868" s="39">
        <v>1112.56</v>
      </c>
      <c r="AK868" s="39">
        <v>152.07</v>
      </c>
      <c r="AL868" s="39">
        <v>0</v>
      </c>
      <c r="AM868" s="39">
        <v>0</v>
      </c>
      <c r="AN868" s="39">
        <v>0</v>
      </c>
      <c r="AO868" s="39">
        <v>1462.07</v>
      </c>
      <c r="AP868" s="39">
        <v>1112.56</v>
      </c>
      <c r="AQ868" s="39">
        <v>152.07</v>
      </c>
      <c r="AR868" s="39">
        <v>1462.07</v>
      </c>
    </row>
    <row r="869" spans="1:44" x14ac:dyDescent="0.35">
      <c r="A869" s="16" t="str">
        <f t="shared" si="76"/>
        <v>30</v>
      </c>
      <c r="B869" s="19">
        <v>10306</v>
      </c>
      <c r="C869" s="16" t="str">
        <f>TEXT(139964,"0000000")</f>
        <v>0139964</v>
      </c>
      <c r="D869" s="19">
        <v>2127</v>
      </c>
      <c r="E869" s="16" t="s">
        <v>1524</v>
      </c>
      <c r="F869" s="16" t="s">
        <v>5</v>
      </c>
      <c r="G869" s="35" t="s">
        <v>3519</v>
      </c>
      <c r="H869" s="39">
        <v>0</v>
      </c>
      <c r="I869" s="39">
        <v>0</v>
      </c>
      <c r="J869" s="39">
        <v>0</v>
      </c>
      <c r="K869" s="39">
        <v>0</v>
      </c>
      <c r="L869" s="39">
        <v>0</v>
      </c>
      <c r="M869" s="39">
        <v>0</v>
      </c>
      <c r="N869" s="39">
        <v>0</v>
      </c>
      <c r="O869" s="39">
        <v>0</v>
      </c>
      <c r="P869" s="39">
        <v>0</v>
      </c>
      <c r="Q869" s="39">
        <v>0</v>
      </c>
      <c r="R869" s="39">
        <v>0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716.17</v>
      </c>
      <c r="AA869" s="39">
        <v>544.88</v>
      </c>
      <c r="AB869" s="39">
        <v>512.34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0</v>
      </c>
      <c r="AI869" s="39">
        <v>716.17</v>
      </c>
      <c r="AJ869" s="39">
        <v>544.88</v>
      </c>
      <c r="AK869" s="39">
        <v>512.34</v>
      </c>
      <c r="AL869" s="39">
        <v>0</v>
      </c>
      <c r="AM869" s="39">
        <v>0</v>
      </c>
      <c r="AN869" s="39">
        <v>0</v>
      </c>
      <c r="AO869" s="39">
        <v>716.17</v>
      </c>
      <c r="AP869" s="39">
        <v>544.88</v>
      </c>
      <c r="AQ869" s="39">
        <v>512.34</v>
      </c>
      <c r="AR869" s="39">
        <v>716.17</v>
      </c>
    </row>
    <row r="870" spans="1:44" x14ac:dyDescent="0.35">
      <c r="A870" s="16" t="str">
        <f t="shared" si="76"/>
        <v>30</v>
      </c>
      <c r="B870" s="19">
        <v>10306</v>
      </c>
      <c r="C870" s="16" t="str">
        <f>TEXT(3030723,"0000000")</f>
        <v>3030723</v>
      </c>
      <c r="D870" s="17" t="s">
        <v>1530</v>
      </c>
      <c r="E870" s="16" t="s">
        <v>1528</v>
      </c>
      <c r="F870" s="16" t="s">
        <v>5</v>
      </c>
      <c r="G870" s="35" t="s">
        <v>1529</v>
      </c>
      <c r="H870" s="39">
        <v>0</v>
      </c>
      <c r="I870" s="39">
        <v>0</v>
      </c>
      <c r="J870" s="39">
        <v>0</v>
      </c>
      <c r="K870" s="39">
        <v>0</v>
      </c>
      <c r="L870" s="39">
        <v>0</v>
      </c>
      <c r="M870" s="39">
        <v>0</v>
      </c>
      <c r="N870" s="39">
        <v>0</v>
      </c>
      <c r="O870" s="39">
        <v>0</v>
      </c>
      <c r="P870" s="39">
        <v>0</v>
      </c>
      <c r="Q870" s="39">
        <v>0</v>
      </c>
      <c r="R870" s="39">
        <v>0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2226.1799999999998</v>
      </c>
      <c r="AD870" s="39">
        <v>2176.16</v>
      </c>
      <c r="AE870" s="39">
        <v>2125.63</v>
      </c>
      <c r="AF870" s="39">
        <v>0</v>
      </c>
      <c r="AG870" s="39">
        <v>0</v>
      </c>
      <c r="AH870" s="39">
        <v>0</v>
      </c>
      <c r="AI870" s="39">
        <v>2226.1799999999998</v>
      </c>
      <c r="AJ870" s="39">
        <v>2176.16</v>
      </c>
      <c r="AK870" s="39">
        <v>2125.63</v>
      </c>
      <c r="AL870" s="39">
        <v>0</v>
      </c>
      <c r="AM870" s="39">
        <v>0</v>
      </c>
      <c r="AN870" s="39">
        <v>0</v>
      </c>
      <c r="AO870" s="39">
        <v>2226.1799999999998</v>
      </c>
      <c r="AP870" s="39">
        <v>2176.16</v>
      </c>
      <c r="AQ870" s="39">
        <v>2125.63</v>
      </c>
      <c r="AR870" s="39">
        <v>2226.1799999999998</v>
      </c>
    </row>
    <row r="871" spans="1:44" x14ac:dyDescent="0.35">
      <c r="A871" s="16" t="str">
        <f t="shared" si="76"/>
        <v>30</v>
      </c>
      <c r="B871" s="19">
        <v>66423</v>
      </c>
      <c r="C871" s="16" t="str">
        <f>TEXT(131417,"0000000")</f>
        <v>0131417</v>
      </c>
      <c r="D871" s="19">
        <v>1701</v>
      </c>
      <c r="E871" s="16" t="s">
        <v>1535</v>
      </c>
      <c r="F871" s="16" t="s">
        <v>5</v>
      </c>
      <c r="G871" s="35" t="s">
        <v>1536</v>
      </c>
      <c r="H871" s="39">
        <v>0</v>
      </c>
      <c r="I871" s="39">
        <v>0</v>
      </c>
      <c r="J871" s="39">
        <v>0</v>
      </c>
      <c r="K871" s="39">
        <v>0</v>
      </c>
      <c r="L871" s="39">
        <v>0</v>
      </c>
      <c r="M871" s="39">
        <v>0</v>
      </c>
      <c r="N871" s="39">
        <v>0</v>
      </c>
      <c r="O871" s="39">
        <v>0</v>
      </c>
      <c r="P871" s="39">
        <v>0</v>
      </c>
      <c r="Q871" s="39">
        <v>0</v>
      </c>
      <c r="R871" s="39">
        <v>0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231.98</v>
      </c>
      <c r="AD871" s="39">
        <v>227.52</v>
      </c>
      <c r="AE871" s="39">
        <v>223.72</v>
      </c>
      <c r="AF871" s="39">
        <v>0</v>
      </c>
      <c r="AG871" s="39">
        <v>0</v>
      </c>
      <c r="AH871" s="39">
        <v>0</v>
      </c>
      <c r="AI871" s="39">
        <v>231.98</v>
      </c>
      <c r="AJ871" s="39">
        <v>227.52</v>
      </c>
      <c r="AK871" s="39">
        <v>223.72</v>
      </c>
      <c r="AL871" s="39">
        <v>0</v>
      </c>
      <c r="AM871" s="39">
        <v>0</v>
      </c>
      <c r="AN871" s="39">
        <v>0</v>
      </c>
      <c r="AO871" s="39">
        <v>231.98</v>
      </c>
      <c r="AP871" s="39">
        <v>227.52</v>
      </c>
      <c r="AQ871" s="39">
        <v>223.72</v>
      </c>
      <c r="AR871" s="39">
        <v>231.98</v>
      </c>
    </row>
    <row r="872" spans="1:44" x14ac:dyDescent="0.35">
      <c r="A872" s="16" t="str">
        <f>TEXT(1,"00")</f>
        <v>01</v>
      </c>
      <c r="B872" s="19">
        <v>61259</v>
      </c>
      <c r="C872" s="16" t="str">
        <f>TEXT(106906,"0000000")</f>
        <v>0106906</v>
      </c>
      <c r="D872" s="17" t="s">
        <v>81</v>
      </c>
      <c r="E872" s="16" t="s">
        <v>79</v>
      </c>
      <c r="F872" s="16" t="s">
        <v>5</v>
      </c>
      <c r="G872" s="35" t="s">
        <v>80</v>
      </c>
      <c r="H872" s="39">
        <v>0</v>
      </c>
      <c r="I872" s="39">
        <v>0</v>
      </c>
      <c r="J872" s="39">
        <v>0</v>
      </c>
      <c r="K872" s="39">
        <v>0</v>
      </c>
      <c r="L872" s="39">
        <v>0</v>
      </c>
      <c r="M872" s="39">
        <v>0</v>
      </c>
      <c r="N872" s="39">
        <v>0</v>
      </c>
      <c r="O872" s="39">
        <v>0</v>
      </c>
      <c r="P872" s="39">
        <v>0</v>
      </c>
      <c r="Q872" s="39">
        <v>0</v>
      </c>
      <c r="R872" s="39">
        <v>0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220.26</v>
      </c>
      <c r="AD872" s="39">
        <v>282.82</v>
      </c>
      <c r="AE872" s="39">
        <v>302.5</v>
      </c>
      <c r="AF872" s="39">
        <v>0</v>
      </c>
      <c r="AG872" s="39">
        <v>0</v>
      </c>
      <c r="AH872" s="39">
        <v>0</v>
      </c>
      <c r="AI872" s="39">
        <v>220.26</v>
      </c>
      <c r="AJ872" s="39">
        <v>282.82</v>
      </c>
      <c r="AK872" s="39">
        <v>302.5</v>
      </c>
      <c r="AL872" s="39">
        <v>0</v>
      </c>
      <c r="AM872" s="39">
        <v>0</v>
      </c>
      <c r="AN872" s="39">
        <v>0</v>
      </c>
      <c r="AO872" s="39">
        <v>220.26</v>
      </c>
      <c r="AP872" s="39">
        <v>282.82</v>
      </c>
      <c r="AQ872" s="39">
        <v>302.5</v>
      </c>
      <c r="AR872" s="39">
        <v>302.5</v>
      </c>
    </row>
    <row r="873" spans="1:44" x14ac:dyDescent="0.35">
      <c r="A873" s="16" t="str">
        <f t="shared" ref="A873:A882" si="77">TEXT(30,"00")</f>
        <v>30</v>
      </c>
      <c r="B873" s="19">
        <v>66423</v>
      </c>
      <c r="C873" s="16" t="str">
        <f>TEXT(6027379,"0000000")</f>
        <v>6027379</v>
      </c>
      <c r="D873" s="19">
        <v>1932</v>
      </c>
      <c r="E873" s="16" t="s">
        <v>1537</v>
      </c>
      <c r="F873" s="16" t="s">
        <v>5</v>
      </c>
      <c r="G873" s="35" t="s">
        <v>3526</v>
      </c>
      <c r="H873" s="39">
        <v>0</v>
      </c>
      <c r="I873" s="39">
        <v>0</v>
      </c>
      <c r="J873" s="39">
        <v>0</v>
      </c>
      <c r="K873" s="39">
        <v>0</v>
      </c>
      <c r="L873" s="39">
        <v>0</v>
      </c>
      <c r="M873" s="39">
        <v>0</v>
      </c>
      <c r="N873" s="39">
        <v>0</v>
      </c>
      <c r="O873" s="39">
        <v>0</v>
      </c>
      <c r="P873" s="39">
        <v>0</v>
      </c>
      <c r="Q873" s="39">
        <v>0</v>
      </c>
      <c r="R873" s="39">
        <v>0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264.08</v>
      </c>
      <c r="AD873" s="39">
        <v>245.75</v>
      </c>
      <c r="AE873" s="39">
        <v>244.43</v>
      </c>
      <c r="AF873" s="39">
        <v>0</v>
      </c>
      <c r="AG873" s="39">
        <v>0</v>
      </c>
      <c r="AH873" s="39">
        <v>0</v>
      </c>
      <c r="AI873" s="39">
        <v>264.08</v>
      </c>
      <c r="AJ873" s="39">
        <v>245.75</v>
      </c>
      <c r="AK873" s="39">
        <v>244.43</v>
      </c>
      <c r="AL873" s="39">
        <v>0</v>
      </c>
      <c r="AM873" s="39">
        <v>0</v>
      </c>
      <c r="AN873" s="39">
        <v>0</v>
      </c>
      <c r="AO873" s="39">
        <v>264.08</v>
      </c>
      <c r="AP873" s="39">
        <v>245.75</v>
      </c>
      <c r="AQ873" s="39">
        <v>244.43</v>
      </c>
      <c r="AR873" s="39">
        <v>264.08</v>
      </c>
    </row>
    <row r="874" spans="1:44" ht="31" x14ac:dyDescent="0.35">
      <c r="A874" s="16" t="str">
        <f t="shared" si="77"/>
        <v>30</v>
      </c>
      <c r="B874" s="19">
        <v>66464</v>
      </c>
      <c r="C874" s="16" t="str">
        <f>TEXT(106765,"0000000")</f>
        <v>0106765</v>
      </c>
      <c r="D874" s="17" t="s">
        <v>1551</v>
      </c>
      <c r="E874" s="16" t="s">
        <v>1549</v>
      </c>
      <c r="F874" s="16" t="s">
        <v>5</v>
      </c>
      <c r="G874" s="35" t="s">
        <v>1550</v>
      </c>
      <c r="H874" s="39">
        <v>0</v>
      </c>
      <c r="I874" s="39">
        <v>0</v>
      </c>
      <c r="J874" s="39">
        <v>0</v>
      </c>
      <c r="K874" s="39">
        <v>0</v>
      </c>
      <c r="L874" s="39">
        <v>0</v>
      </c>
      <c r="M874" s="39">
        <v>0</v>
      </c>
      <c r="N874" s="39">
        <v>0</v>
      </c>
      <c r="O874" s="39">
        <v>0</v>
      </c>
      <c r="P874" s="39">
        <v>0</v>
      </c>
      <c r="Q874" s="39">
        <v>0</v>
      </c>
      <c r="R874" s="39">
        <v>0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4018.34</v>
      </c>
      <c r="AD874" s="39">
        <v>4894.17</v>
      </c>
      <c r="AE874" s="39">
        <v>4829.88</v>
      </c>
      <c r="AF874" s="39">
        <v>0</v>
      </c>
      <c r="AG874" s="39">
        <v>0</v>
      </c>
      <c r="AH874" s="39">
        <v>0</v>
      </c>
      <c r="AI874" s="39">
        <v>4018.34</v>
      </c>
      <c r="AJ874" s="39">
        <v>4894.17</v>
      </c>
      <c r="AK874" s="39">
        <v>4829.88</v>
      </c>
      <c r="AL874" s="39">
        <v>0</v>
      </c>
      <c r="AM874" s="39">
        <v>0</v>
      </c>
      <c r="AN874" s="39">
        <v>0</v>
      </c>
      <c r="AO874" s="39">
        <v>4018.34</v>
      </c>
      <c r="AP874" s="39">
        <v>4894.17</v>
      </c>
      <c r="AQ874" s="39">
        <v>4829.88</v>
      </c>
      <c r="AR874" s="39">
        <v>4894.17</v>
      </c>
    </row>
    <row r="875" spans="1:44" x14ac:dyDescent="0.35">
      <c r="A875" s="16" t="str">
        <f t="shared" si="77"/>
        <v>30</v>
      </c>
      <c r="B875" s="19">
        <v>66464</v>
      </c>
      <c r="C875" s="16" t="str">
        <f>TEXT(123729,"0000000")</f>
        <v>0123729</v>
      </c>
      <c r="D875" s="19">
        <v>1274</v>
      </c>
      <c r="E875" s="16" t="s">
        <v>1552</v>
      </c>
      <c r="F875" s="16" t="s">
        <v>5</v>
      </c>
      <c r="G875" s="35" t="s">
        <v>1553</v>
      </c>
      <c r="H875" s="39">
        <v>0</v>
      </c>
      <c r="I875" s="39">
        <v>0</v>
      </c>
      <c r="J875" s="39">
        <v>0</v>
      </c>
      <c r="K875" s="39">
        <v>0</v>
      </c>
      <c r="L875" s="39">
        <v>0</v>
      </c>
      <c r="M875" s="39">
        <v>0</v>
      </c>
      <c r="N875" s="39">
        <v>0</v>
      </c>
      <c r="O875" s="39">
        <v>0</v>
      </c>
      <c r="P875" s="39">
        <v>0</v>
      </c>
      <c r="Q875" s="39">
        <v>0</v>
      </c>
      <c r="R875" s="39">
        <v>0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740.49</v>
      </c>
      <c r="AD875" s="39">
        <v>741.12</v>
      </c>
      <c r="AE875" s="39">
        <v>743.35</v>
      </c>
      <c r="AF875" s="39">
        <v>0</v>
      </c>
      <c r="AG875" s="39">
        <v>0</v>
      </c>
      <c r="AH875" s="39">
        <v>0</v>
      </c>
      <c r="AI875" s="39">
        <v>740.49</v>
      </c>
      <c r="AJ875" s="39">
        <v>741.12</v>
      </c>
      <c r="AK875" s="39">
        <v>743.35</v>
      </c>
      <c r="AL875" s="39">
        <v>0</v>
      </c>
      <c r="AM875" s="39">
        <v>0</v>
      </c>
      <c r="AN875" s="39">
        <v>0</v>
      </c>
      <c r="AO875" s="39">
        <v>740.49</v>
      </c>
      <c r="AP875" s="39">
        <v>741.12</v>
      </c>
      <c r="AQ875" s="39">
        <v>743.35</v>
      </c>
      <c r="AR875" s="39">
        <v>743.35</v>
      </c>
    </row>
    <row r="876" spans="1:44" ht="31" x14ac:dyDescent="0.35">
      <c r="A876" s="16" t="str">
        <f t="shared" si="77"/>
        <v>30</v>
      </c>
      <c r="B876" s="19">
        <v>66464</v>
      </c>
      <c r="C876" s="16" t="str">
        <f>TEXT(124743,"0000000")</f>
        <v>0124743</v>
      </c>
      <c r="D876" s="19">
        <v>1324</v>
      </c>
      <c r="E876" s="16" t="s">
        <v>1554</v>
      </c>
      <c r="F876" s="16" t="s">
        <v>5</v>
      </c>
      <c r="G876" s="35" t="s">
        <v>1555</v>
      </c>
      <c r="H876" s="39">
        <v>0</v>
      </c>
      <c r="I876" s="39">
        <v>0</v>
      </c>
      <c r="J876" s="39">
        <v>0</v>
      </c>
      <c r="K876" s="39">
        <v>0</v>
      </c>
      <c r="L876" s="39">
        <v>0</v>
      </c>
      <c r="M876" s="39">
        <v>0</v>
      </c>
      <c r="N876" s="39">
        <v>0</v>
      </c>
      <c r="O876" s="39">
        <v>0</v>
      </c>
      <c r="P876" s="39">
        <v>0</v>
      </c>
      <c r="Q876" s="39">
        <v>0</v>
      </c>
      <c r="R876" s="39">
        <v>0</v>
      </c>
      <c r="S876" s="39">
        <v>0</v>
      </c>
      <c r="T876" s="39">
        <v>0</v>
      </c>
      <c r="U876" s="39">
        <v>0</v>
      </c>
      <c r="V876" s="39">
        <v>0</v>
      </c>
      <c r="W876" s="39">
        <v>0</v>
      </c>
      <c r="X876" s="39">
        <v>0</v>
      </c>
      <c r="Y876" s="39">
        <v>0</v>
      </c>
      <c r="Z876" s="39">
        <v>0</v>
      </c>
      <c r="AA876" s="39">
        <v>0</v>
      </c>
      <c r="AB876" s="39">
        <v>0</v>
      </c>
      <c r="AC876" s="39">
        <v>665.94</v>
      </c>
      <c r="AD876" s="39">
        <v>615.14</v>
      </c>
      <c r="AE876" s="39">
        <v>801.84</v>
      </c>
      <c r="AF876" s="39">
        <v>0</v>
      </c>
      <c r="AG876" s="39">
        <v>0</v>
      </c>
      <c r="AH876" s="39">
        <v>0</v>
      </c>
      <c r="AI876" s="39">
        <v>665.94</v>
      </c>
      <c r="AJ876" s="39">
        <v>615.14</v>
      </c>
      <c r="AK876" s="39">
        <v>801.84</v>
      </c>
      <c r="AL876" s="39">
        <v>0</v>
      </c>
      <c r="AM876" s="39">
        <v>0</v>
      </c>
      <c r="AN876" s="39">
        <v>0</v>
      </c>
      <c r="AO876" s="39">
        <v>665.94</v>
      </c>
      <c r="AP876" s="39">
        <v>615.14</v>
      </c>
      <c r="AQ876" s="39">
        <v>801.84</v>
      </c>
      <c r="AR876" s="39">
        <v>801.84</v>
      </c>
    </row>
    <row r="877" spans="1:44" x14ac:dyDescent="0.35">
      <c r="A877" s="16" t="str">
        <f t="shared" si="77"/>
        <v>30</v>
      </c>
      <c r="B877" s="19">
        <v>66464</v>
      </c>
      <c r="C877" s="16" t="str">
        <f>TEXT(140061,"0000000")</f>
        <v>0140061</v>
      </c>
      <c r="D877" s="19">
        <v>2084</v>
      </c>
      <c r="E877" s="16" t="s">
        <v>1556</v>
      </c>
      <c r="F877" s="16" t="s">
        <v>5</v>
      </c>
      <c r="G877" s="35" t="s">
        <v>1557</v>
      </c>
      <c r="H877" s="39">
        <v>0</v>
      </c>
      <c r="I877" s="39">
        <v>0</v>
      </c>
      <c r="J877" s="39">
        <v>0</v>
      </c>
      <c r="K877" s="39">
        <v>0</v>
      </c>
      <c r="L877" s="39">
        <v>0</v>
      </c>
      <c r="M877" s="39">
        <v>0</v>
      </c>
      <c r="N877" s="39">
        <v>0</v>
      </c>
      <c r="O877" s="39">
        <v>0</v>
      </c>
      <c r="P877" s="39">
        <v>0</v>
      </c>
      <c r="Q877" s="39">
        <v>0</v>
      </c>
      <c r="R877" s="39">
        <v>0</v>
      </c>
      <c r="S877" s="39">
        <v>0</v>
      </c>
      <c r="T877" s="39">
        <v>0</v>
      </c>
      <c r="U877" s="39">
        <v>0</v>
      </c>
      <c r="V877" s="39">
        <v>0</v>
      </c>
      <c r="W877" s="39">
        <v>0</v>
      </c>
      <c r="X877" s="39">
        <v>0</v>
      </c>
      <c r="Y877" s="39">
        <v>0</v>
      </c>
      <c r="Z877" s="39">
        <v>0</v>
      </c>
      <c r="AA877" s="39">
        <v>0</v>
      </c>
      <c r="AB877" s="39">
        <v>0</v>
      </c>
      <c r="AC877" s="39">
        <v>74.34</v>
      </c>
      <c r="AD877" s="39">
        <v>98.1</v>
      </c>
      <c r="AE877" s="39">
        <v>96.04</v>
      </c>
      <c r="AF877" s="39">
        <v>0</v>
      </c>
      <c r="AG877" s="39">
        <v>0</v>
      </c>
      <c r="AH877" s="39">
        <v>0</v>
      </c>
      <c r="AI877" s="39">
        <v>74.34</v>
      </c>
      <c r="AJ877" s="39">
        <v>98.1</v>
      </c>
      <c r="AK877" s="39">
        <v>96.04</v>
      </c>
      <c r="AL877" s="39">
        <v>0</v>
      </c>
      <c r="AM877" s="39">
        <v>0</v>
      </c>
      <c r="AN877" s="39">
        <v>0</v>
      </c>
      <c r="AO877" s="39">
        <v>74.34</v>
      </c>
      <c r="AP877" s="39">
        <v>98.1</v>
      </c>
      <c r="AQ877" s="39">
        <v>96.04</v>
      </c>
      <c r="AR877" s="39">
        <v>98.1</v>
      </c>
    </row>
    <row r="878" spans="1:44" x14ac:dyDescent="0.35">
      <c r="A878" s="16" t="str">
        <f t="shared" si="77"/>
        <v>30</v>
      </c>
      <c r="B878" s="19">
        <v>66530</v>
      </c>
      <c r="C878" s="16" t="str">
        <f>TEXT(134221,"0000000")</f>
        <v>0134221</v>
      </c>
      <c r="D878" s="19">
        <v>1812</v>
      </c>
      <c r="E878" s="16" t="s">
        <v>1577</v>
      </c>
      <c r="F878" s="16" t="s">
        <v>5</v>
      </c>
      <c r="G878" s="35" t="s">
        <v>1578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341.42</v>
      </c>
      <c r="AD878" s="39">
        <v>328.42</v>
      </c>
      <c r="AE878" s="39">
        <v>307.43</v>
      </c>
      <c r="AF878" s="39">
        <v>0</v>
      </c>
      <c r="AG878" s="39">
        <v>0</v>
      </c>
      <c r="AH878" s="39">
        <v>0</v>
      </c>
      <c r="AI878" s="39">
        <v>341.42</v>
      </c>
      <c r="AJ878" s="39">
        <v>328.42</v>
      </c>
      <c r="AK878" s="39">
        <v>307.43</v>
      </c>
      <c r="AL878" s="39">
        <v>0</v>
      </c>
      <c r="AM878" s="39">
        <v>0</v>
      </c>
      <c r="AN878" s="39">
        <v>0</v>
      </c>
      <c r="AO878" s="39">
        <v>341.42</v>
      </c>
      <c r="AP878" s="39">
        <v>328.42</v>
      </c>
      <c r="AQ878" s="39">
        <v>307.43</v>
      </c>
      <c r="AR878" s="39">
        <v>341.42</v>
      </c>
    </row>
    <row r="879" spans="1:44" x14ac:dyDescent="0.35">
      <c r="A879" s="16" t="str">
        <f t="shared" si="77"/>
        <v>30</v>
      </c>
      <c r="B879" s="19">
        <v>66621</v>
      </c>
      <c r="C879" s="16" t="str">
        <f>TEXT(6094874,"0000000")</f>
        <v>6094874</v>
      </c>
      <c r="D879" s="17" t="s">
        <v>1598</v>
      </c>
      <c r="E879" s="16" t="s">
        <v>1596</v>
      </c>
      <c r="F879" s="16" t="s">
        <v>5</v>
      </c>
      <c r="G879" s="35" t="s">
        <v>1597</v>
      </c>
      <c r="H879" s="39">
        <v>0</v>
      </c>
      <c r="I879" s="39">
        <v>0</v>
      </c>
      <c r="J879" s="39">
        <v>0</v>
      </c>
      <c r="K879" s="39">
        <v>0</v>
      </c>
      <c r="L879" s="39">
        <v>0</v>
      </c>
      <c r="M879" s="39">
        <v>0</v>
      </c>
      <c r="N879" s="39">
        <v>0</v>
      </c>
      <c r="O879" s="39">
        <v>0</v>
      </c>
      <c r="P879" s="39">
        <v>0</v>
      </c>
      <c r="Q879" s="39">
        <v>0</v>
      </c>
      <c r="R879" s="39">
        <v>0</v>
      </c>
      <c r="S879" s="39">
        <v>0</v>
      </c>
      <c r="T879" s="39">
        <v>0</v>
      </c>
      <c r="U879" s="39">
        <v>0</v>
      </c>
      <c r="V879" s="39">
        <v>0</v>
      </c>
      <c r="W879" s="39">
        <v>0</v>
      </c>
      <c r="X879" s="39">
        <v>0</v>
      </c>
      <c r="Y879" s="39">
        <v>0</v>
      </c>
      <c r="Z879" s="39">
        <v>0</v>
      </c>
      <c r="AA879" s="39">
        <v>0</v>
      </c>
      <c r="AB879" s="39">
        <v>0</v>
      </c>
      <c r="AC879" s="39">
        <v>1094.6600000000001</v>
      </c>
      <c r="AD879" s="39">
        <v>1072.04</v>
      </c>
      <c r="AE879" s="39">
        <v>1054.57</v>
      </c>
      <c r="AF879" s="39">
        <v>0</v>
      </c>
      <c r="AG879" s="39">
        <v>0</v>
      </c>
      <c r="AH879" s="39">
        <v>0</v>
      </c>
      <c r="AI879" s="39">
        <v>1094.6600000000001</v>
      </c>
      <c r="AJ879" s="39">
        <v>1072.04</v>
      </c>
      <c r="AK879" s="39">
        <v>1054.57</v>
      </c>
      <c r="AL879" s="39">
        <v>0</v>
      </c>
      <c r="AM879" s="39">
        <v>0</v>
      </c>
      <c r="AN879" s="39">
        <v>0</v>
      </c>
      <c r="AO879" s="39">
        <v>1094.6600000000001</v>
      </c>
      <c r="AP879" s="39">
        <v>1072.04</v>
      </c>
      <c r="AQ879" s="39">
        <v>1054.57</v>
      </c>
      <c r="AR879" s="39">
        <v>1094.6600000000001</v>
      </c>
    </row>
    <row r="880" spans="1:44" x14ac:dyDescent="0.35">
      <c r="A880" s="16" t="str">
        <f t="shared" si="77"/>
        <v>30</v>
      </c>
      <c r="B880" s="19">
        <v>66621</v>
      </c>
      <c r="C880" s="16" t="str">
        <f>TEXT(6085328,"0000000")</f>
        <v>6085328</v>
      </c>
      <c r="D880" s="17" t="s">
        <v>1595</v>
      </c>
      <c r="E880" s="16" t="s">
        <v>1593</v>
      </c>
      <c r="F880" s="16" t="s">
        <v>5</v>
      </c>
      <c r="G880" s="35" t="s">
        <v>1594</v>
      </c>
      <c r="H880" s="39">
        <v>0</v>
      </c>
      <c r="I880" s="39">
        <v>0</v>
      </c>
      <c r="J880" s="39">
        <v>0</v>
      </c>
      <c r="K880" s="39">
        <v>0</v>
      </c>
      <c r="L880" s="39">
        <v>0</v>
      </c>
      <c r="M880" s="39">
        <v>0</v>
      </c>
      <c r="N880" s="39">
        <v>0</v>
      </c>
      <c r="O880" s="39">
        <v>0</v>
      </c>
      <c r="P880" s="39">
        <v>0</v>
      </c>
      <c r="Q880" s="39">
        <v>0</v>
      </c>
      <c r="R880" s="39">
        <v>0</v>
      </c>
      <c r="S880" s="39">
        <v>0</v>
      </c>
      <c r="T880" s="39">
        <v>0</v>
      </c>
      <c r="U880" s="39">
        <v>0</v>
      </c>
      <c r="V880" s="39">
        <v>0</v>
      </c>
      <c r="W880" s="39">
        <v>0</v>
      </c>
      <c r="X880" s="39">
        <v>0</v>
      </c>
      <c r="Y880" s="39">
        <v>0</v>
      </c>
      <c r="Z880" s="39">
        <v>0</v>
      </c>
      <c r="AA880" s="39">
        <v>0</v>
      </c>
      <c r="AB880" s="39">
        <v>0</v>
      </c>
      <c r="AC880" s="39">
        <v>1059.81</v>
      </c>
      <c r="AD880" s="39">
        <v>1019.9</v>
      </c>
      <c r="AE880" s="39">
        <v>1000.82</v>
      </c>
      <c r="AF880" s="39">
        <v>0</v>
      </c>
      <c r="AG880" s="39">
        <v>0</v>
      </c>
      <c r="AH880" s="39">
        <v>0</v>
      </c>
      <c r="AI880" s="39">
        <v>1059.81</v>
      </c>
      <c r="AJ880" s="39">
        <v>1019.9</v>
      </c>
      <c r="AK880" s="39">
        <v>1000.82</v>
      </c>
      <c r="AL880" s="39">
        <v>0</v>
      </c>
      <c r="AM880" s="39">
        <v>0</v>
      </c>
      <c r="AN880" s="39">
        <v>0</v>
      </c>
      <c r="AO880" s="39">
        <v>1059.81</v>
      </c>
      <c r="AP880" s="39">
        <v>1019.9</v>
      </c>
      <c r="AQ880" s="39">
        <v>1000.82</v>
      </c>
      <c r="AR880" s="39">
        <v>1059.81</v>
      </c>
    </row>
    <row r="881" spans="1:44" x14ac:dyDescent="0.35">
      <c r="A881" s="16" t="str">
        <f t="shared" si="77"/>
        <v>30</v>
      </c>
      <c r="B881" s="19">
        <v>66670</v>
      </c>
      <c r="C881" s="16" t="str">
        <f>TEXT(106567,"0000000")</f>
        <v>0106567</v>
      </c>
      <c r="D881" s="17" t="s">
        <v>1606</v>
      </c>
      <c r="E881" s="16" t="s">
        <v>1604</v>
      </c>
      <c r="F881" s="16" t="s">
        <v>5</v>
      </c>
      <c r="G881" s="35" t="s">
        <v>1605</v>
      </c>
      <c r="H881" s="39">
        <v>0</v>
      </c>
      <c r="I881" s="39">
        <v>0</v>
      </c>
      <c r="J881" s="39">
        <v>0</v>
      </c>
      <c r="K881" s="39">
        <v>0</v>
      </c>
      <c r="L881" s="39">
        <v>0</v>
      </c>
      <c r="M881" s="39">
        <v>0</v>
      </c>
      <c r="N881" s="39">
        <v>0</v>
      </c>
      <c r="O881" s="39">
        <v>0</v>
      </c>
      <c r="P881" s="39">
        <v>0</v>
      </c>
      <c r="Q881" s="39">
        <v>0</v>
      </c>
      <c r="R881" s="39">
        <v>0</v>
      </c>
      <c r="S881" s="39">
        <v>0</v>
      </c>
      <c r="T881" s="39">
        <v>0</v>
      </c>
      <c r="U881" s="39">
        <v>0</v>
      </c>
      <c r="V881" s="39">
        <v>0</v>
      </c>
      <c r="W881" s="39">
        <v>0</v>
      </c>
      <c r="X881" s="39">
        <v>0</v>
      </c>
      <c r="Y881" s="39">
        <v>0</v>
      </c>
      <c r="Z881" s="39">
        <v>0</v>
      </c>
      <c r="AA881" s="39">
        <v>0</v>
      </c>
      <c r="AB881" s="39">
        <v>0</v>
      </c>
      <c r="AC881" s="39">
        <v>265.33999999999997</v>
      </c>
      <c r="AD881" s="39">
        <v>259.8</v>
      </c>
      <c r="AE881" s="39">
        <v>279.64</v>
      </c>
      <c r="AF881" s="39">
        <v>0</v>
      </c>
      <c r="AG881" s="39">
        <v>0</v>
      </c>
      <c r="AH881" s="39">
        <v>0</v>
      </c>
      <c r="AI881" s="39">
        <v>265.33999999999997</v>
      </c>
      <c r="AJ881" s="39">
        <v>259.8</v>
      </c>
      <c r="AK881" s="39">
        <v>279.64</v>
      </c>
      <c r="AL881" s="39">
        <v>0</v>
      </c>
      <c r="AM881" s="39">
        <v>0</v>
      </c>
      <c r="AN881" s="39">
        <v>0</v>
      </c>
      <c r="AO881" s="39">
        <v>265.33999999999997</v>
      </c>
      <c r="AP881" s="39">
        <v>259.8</v>
      </c>
      <c r="AQ881" s="39">
        <v>279.64</v>
      </c>
      <c r="AR881" s="39">
        <v>279.64</v>
      </c>
    </row>
    <row r="882" spans="1:44" x14ac:dyDescent="0.35">
      <c r="A882" s="16" t="str">
        <f t="shared" si="77"/>
        <v>30</v>
      </c>
      <c r="B882" s="19">
        <v>66670</v>
      </c>
      <c r="C882" s="16" t="str">
        <f>TEXT(109066,"0000000")</f>
        <v>0109066</v>
      </c>
      <c r="D882" s="17" t="s">
        <v>1609</v>
      </c>
      <c r="E882" s="16" t="s">
        <v>1607</v>
      </c>
      <c r="F882" s="16" t="s">
        <v>5</v>
      </c>
      <c r="G882" s="35" t="s">
        <v>1608</v>
      </c>
      <c r="H882" s="39">
        <v>0</v>
      </c>
      <c r="I882" s="39">
        <v>0</v>
      </c>
      <c r="J882" s="39">
        <v>0</v>
      </c>
      <c r="K882" s="39">
        <v>0</v>
      </c>
      <c r="L882" s="39">
        <v>0</v>
      </c>
      <c r="M882" s="39">
        <v>0</v>
      </c>
      <c r="N882" s="39">
        <v>0</v>
      </c>
      <c r="O882" s="39">
        <v>0</v>
      </c>
      <c r="P882" s="39">
        <v>0</v>
      </c>
      <c r="Q882" s="39">
        <v>0</v>
      </c>
      <c r="R882" s="39">
        <v>0</v>
      </c>
      <c r="S882" s="39">
        <v>0</v>
      </c>
      <c r="T882" s="39">
        <v>0</v>
      </c>
      <c r="U882" s="39">
        <v>0</v>
      </c>
      <c r="V882" s="39">
        <v>0</v>
      </c>
      <c r="W882" s="39">
        <v>0</v>
      </c>
      <c r="X882" s="39">
        <v>0</v>
      </c>
      <c r="Y882" s="39">
        <v>0</v>
      </c>
      <c r="Z882" s="39">
        <v>0</v>
      </c>
      <c r="AA882" s="39">
        <v>0</v>
      </c>
      <c r="AB882" s="39">
        <v>0</v>
      </c>
      <c r="AC882" s="39">
        <v>603.77</v>
      </c>
      <c r="AD882" s="39">
        <v>590.24</v>
      </c>
      <c r="AE882" s="39">
        <v>527.69000000000005</v>
      </c>
      <c r="AF882" s="39">
        <v>0</v>
      </c>
      <c r="AG882" s="39">
        <v>0</v>
      </c>
      <c r="AH882" s="39">
        <v>0</v>
      </c>
      <c r="AI882" s="39">
        <v>603.77</v>
      </c>
      <c r="AJ882" s="39">
        <v>590.24</v>
      </c>
      <c r="AK882" s="39">
        <v>527.69000000000005</v>
      </c>
      <c r="AL882" s="39">
        <v>0</v>
      </c>
      <c r="AM882" s="39">
        <v>0</v>
      </c>
      <c r="AN882" s="39">
        <v>0</v>
      </c>
      <c r="AO882" s="39">
        <v>603.77</v>
      </c>
      <c r="AP882" s="39">
        <v>590.24</v>
      </c>
      <c r="AQ882" s="39">
        <v>527.69000000000005</v>
      </c>
      <c r="AR882" s="39">
        <v>603.77</v>
      </c>
    </row>
    <row r="883" spans="1:44" x14ac:dyDescent="0.35">
      <c r="A883" s="16" t="str">
        <f>TEXT(1,"00")</f>
        <v>01</v>
      </c>
      <c r="B883" s="19">
        <v>61259</v>
      </c>
      <c r="C883" s="16" t="str">
        <f>TEXT(108944,"0000000")</f>
        <v>0108944</v>
      </c>
      <c r="D883" s="17" t="s">
        <v>84</v>
      </c>
      <c r="E883" s="16" t="s">
        <v>82</v>
      </c>
      <c r="F883" s="16" t="s">
        <v>5</v>
      </c>
      <c r="G883" s="35" t="s">
        <v>83</v>
      </c>
      <c r="H883" s="39">
        <v>0</v>
      </c>
      <c r="I883" s="39">
        <v>0</v>
      </c>
      <c r="J883" s="39">
        <v>0</v>
      </c>
      <c r="K883" s="39">
        <v>0</v>
      </c>
      <c r="L883" s="39">
        <v>0</v>
      </c>
      <c r="M883" s="39">
        <v>0</v>
      </c>
      <c r="N883" s="39">
        <v>0</v>
      </c>
      <c r="O883" s="39">
        <v>0</v>
      </c>
      <c r="P883" s="39">
        <v>0</v>
      </c>
      <c r="Q883" s="39">
        <v>0</v>
      </c>
      <c r="R883" s="39">
        <v>0</v>
      </c>
      <c r="S883" s="39">
        <v>0</v>
      </c>
      <c r="T883" s="39">
        <v>0</v>
      </c>
      <c r="U883" s="39">
        <v>0</v>
      </c>
      <c r="V883" s="39">
        <v>0</v>
      </c>
      <c r="W883" s="39">
        <v>0</v>
      </c>
      <c r="X883" s="39">
        <v>0</v>
      </c>
      <c r="Y883" s="39">
        <v>0</v>
      </c>
      <c r="Z883" s="39">
        <v>0</v>
      </c>
      <c r="AA883" s="39">
        <v>0</v>
      </c>
      <c r="AB883" s="39">
        <v>0</v>
      </c>
      <c r="AC883" s="39">
        <v>255.2</v>
      </c>
      <c r="AD883" s="39">
        <v>265.23</v>
      </c>
      <c r="AE883" s="39">
        <v>269.63</v>
      </c>
      <c r="AF883" s="39">
        <v>0</v>
      </c>
      <c r="AG883" s="39">
        <v>0</v>
      </c>
      <c r="AH883" s="39">
        <v>0</v>
      </c>
      <c r="AI883" s="39">
        <v>255.2</v>
      </c>
      <c r="AJ883" s="39">
        <v>265.23</v>
      </c>
      <c r="AK883" s="39">
        <v>269.63</v>
      </c>
      <c r="AL883" s="39">
        <v>0</v>
      </c>
      <c r="AM883" s="39">
        <v>0</v>
      </c>
      <c r="AN883" s="39">
        <v>0</v>
      </c>
      <c r="AO883" s="39">
        <v>255.2</v>
      </c>
      <c r="AP883" s="39">
        <v>265.23</v>
      </c>
      <c r="AQ883" s="39">
        <v>269.63</v>
      </c>
      <c r="AR883" s="39">
        <v>269.63</v>
      </c>
    </row>
    <row r="884" spans="1:44" x14ac:dyDescent="0.35">
      <c r="A884" s="16" t="str">
        <f>TEXT(30,"00")</f>
        <v>30</v>
      </c>
      <c r="B884" s="19">
        <v>66670</v>
      </c>
      <c r="C884" s="16" t="str">
        <f>TEXT(6119127,"0000000")</f>
        <v>6119127</v>
      </c>
      <c r="D884" s="17" t="s">
        <v>1612</v>
      </c>
      <c r="E884" s="16" t="s">
        <v>1610</v>
      </c>
      <c r="F884" s="16" t="s">
        <v>5</v>
      </c>
      <c r="G884" s="35" t="s">
        <v>1611</v>
      </c>
      <c r="H884" s="39">
        <v>0</v>
      </c>
      <c r="I884" s="39">
        <v>0</v>
      </c>
      <c r="J884" s="39">
        <v>0</v>
      </c>
      <c r="K884" s="39">
        <v>0</v>
      </c>
      <c r="L884" s="39">
        <v>0</v>
      </c>
      <c r="M884" s="39">
        <v>0</v>
      </c>
      <c r="N884" s="39">
        <v>0</v>
      </c>
      <c r="O884" s="39">
        <v>0</v>
      </c>
      <c r="P884" s="39">
        <v>0</v>
      </c>
      <c r="Q884" s="39">
        <v>0</v>
      </c>
      <c r="R884" s="39">
        <v>0</v>
      </c>
      <c r="S884" s="39">
        <v>0</v>
      </c>
      <c r="T884" s="39">
        <v>0</v>
      </c>
      <c r="U884" s="39">
        <v>0</v>
      </c>
      <c r="V884" s="39">
        <v>0</v>
      </c>
      <c r="W884" s="39">
        <v>0</v>
      </c>
      <c r="X884" s="39">
        <v>0</v>
      </c>
      <c r="Y884" s="39">
        <v>0</v>
      </c>
      <c r="Z884" s="39">
        <v>0</v>
      </c>
      <c r="AA884" s="39">
        <v>0</v>
      </c>
      <c r="AB884" s="39">
        <v>0</v>
      </c>
      <c r="AC884" s="39">
        <v>940.58</v>
      </c>
      <c r="AD884" s="39">
        <v>906.7</v>
      </c>
      <c r="AE884" s="39">
        <v>900.12</v>
      </c>
      <c r="AF884" s="39">
        <v>0</v>
      </c>
      <c r="AG884" s="39">
        <v>0</v>
      </c>
      <c r="AH884" s="39">
        <v>0</v>
      </c>
      <c r="AI884" s="39">
        <v>940.58</v>
      </c>
      <c r="AJ884" s="39">
        <v>906.7</v>
      </c>
      <c r="AK884" s="39">
        <v>900.12</v>
      </c>
      <c r="AL884" s="39">
        <v>0</v>
      </c>
      <c r="AM884" s="39">
        <v>0</v>
      </c>
      <c r="AN884" s="39">
        <v>0</v>
      </c>
      <c r="AO884" s="39">
        <v>940.58</v>
      </c>
      <c r="AP884" s="39">
        <v>906.7</v>
      </c>
      <c r="AQ884" s="39">
        <v>900.12</v>
      </c>
      <c r="AR884" s="39">
        <v>940.58</v>
      </c>
    </row>
    <row r="885" spans="1:44" x14ac:dyDescent="0.35">
      <c r="A885" s="16" t="str">
        <f>TEXT(30,"00")</f>
        <v>30</v>
      </c>
      <c r="B885" s="19">
        <v>76893</v>
      </c>
      <c r="C885" s="16" t="str">
        <f>TEXT(130765,"0000000")</f>
        <v>0130765</v>
      </c>
      <c r="D885" s="19">
        <v>1686</v>
      </c>
      <c r="E885" s="16" t="s">
        <v>1623</v>
      </c>
      <c r="F885" s="16" t="s">
        <v>5</v>
      </c>
      <c r="G885" s="35" t="s">
        <v>1624</v>
      </c>
      <c r="H885" s="39">
        <v>0</v>
      </c>
      <c r="I885" s="39">
        <v>0</v>
      </c>
      <c r="J885" s="39">
        <v>0</v>
      </c>
      <c r="K885" s="39">
        <v>0</v>
      </c>
      <c r="L885" s="39">
        <v>0</v>
      </c>
      <c r="M885" s="39">
        <v>0</v>
      </c>
      <c r="N885" s="39">
        <v>0</v>
      </c>
      <c r="O885" s="39">
        <v>0</v>
      </c>
      <c r="P885" s="39">
        <v>0</v>
      </c>
      <c r="Q885" s="39">
        <v>0</v>
      </c>
      <c r="R885" s="39">
        <v>0</v>
      </c>
      <c r="S885" s="39">
        <v>0</v>
      </c>
      <c r="T885" s="39">
        <v>0</v>
      </c>
      <c r="U885" s="39">
        <v>0</v>
      </c>
      <c r="V885" s="39">
        <v>0</v>
      </c>
      <c r="W885" s="39">
        <v>0</v>
      </c>
      <c r="X885" s="39">
        <v>0</v>
      </c>
      <c r="Y885" s="39">
        <v>0</v>
      </c>
      <c r="Z885" s="39">
        <v>0</v>
      </c>
      <c r="AA885" s="39">
        <v>0</v>
      </c>
      <c r="AB885" s="39">
        <v>0</v>
      </c>
      <c r="AC885" s="39">
        <v>496.38</v>
      </c>
      <c r="AD885" s="39">
        <v>476.2</v>
      </c>
      <c r="AE885" s="39">
        <v>466.72</v>
      </c>
      <c r="AF885" s="39">
        <v>0</v>
      </c>
      <c r="AG885" s="39">
        <v>0</v>
      </c>
      <c r="AH885" s="39">
        <v>0</v>
      </c>
      <c r="AI885" s="39">
        <v>496.38</v>
      </c>
      <c r="AJ885" s="39">
        <v>476.2</v>
      </c>
      <c r="AK885" s="39">
        <v>466.72</v>
      </c>
      <c r="AL885" s="39">
        <v>0</v>
      </c>
      <c r="AM885" s="39">
        <v>0</v>
      </c>
      <c r="AN885" s="39">
        <v>0</v>
      </c>
      <c r="AO885" s="39">
        <v>496.38</v>
      </c>
      <c r="AP885" s="39">
        <v>476.2</v>
      </c>
      <c r="AQ885" s="39">
        <v>466.72</v>
      </c>
      <c r="AR885" s="39">
        <v>496.38</v>
      </c>
    </row>
    <row r="886" spans="1:44" x14ac:dyDescent="0.35">
      <c r="A886" s="16" t="str">
        <f t="shared" ref="A886:A891" si="78">TEXT(31,"00")</f>
        <v>31</v>
      </c>
      <c r="B886" s="19">
        <v>66852</v>
      </c>
      <c r="C886" s="16" t="str">
        <f>TEXT(127928,"0000000")</f>
        <v>0127928</v>
      </c>
      <c r="D886" s="19">
        <v>1528</v>
      </c>
      <c r="E886" s="16" t="s">
        <v>1645</v>
      </c>
      <c r="F886" s="16" t="s">
        <v>5</v>
      </c>
      <c r="G886" s="35" t="s">
        <v>1646</v>
      </c>
      <c r="H886" s="39">
        <v>0</v>
      </c>
      <c r="I886" s="39">
        <v>0</v>
      </c>
      <c r="J886" s="39">
        <v>0</v>
      </c>
      <c r="K886" s="39">
        <v>0</v>
      </c>
      <c r="L886" s="39">
        <v>0</v>
      </c>
      <c r="M886" s="39">
        <v>0</v>
      </c>
      <c r="N886" s="39">
        <v>0</v>
      </c>
      <c r="O886" s="39">
        <v>0</v>
      </c>
      <c r="P886" s="39">
        <v>0</v>
      </c>
      <c r="Q886" s="39">
        <v>0</v>
      </c>
      <c r="R886" s="39">
        <v>0</v>
      </c>
      <c r="S886" s="39">
        <v>0</v>
      </c>
      <c r="T886" s="39">
        <v>0</v>
      </c>
      <c r="U886" s="39">
        <v>0</v>
      </c>
      <c r="V886" s="39">
        <v>0</v>
      </c>
      <c r="W886" s="39">
        <v>0</v>
      </c>
      <c r="X886" s="39">
        <v>0</v>
      </c>
      <c r="Y886" s="39">
        <v>0</v>
      </c>
      <c r="Z886" s="39">
        <v>0</v>
      </c>
      <c r="AA886" s="39">
        <v>0</v>
      </c>
      <c r="AB886" s="39">
        <v>0</v>
      </c>
      <c r="AC886" s="39">
        <v>1054.67</v>
      </c>
      <c r="AD886" s="39">
        <v>1057.95</v>
      </c>
      <c r="AE886" s="39">
        <v>1129.22</v>
      </c>
      <c r="AF886" s="39">
        <v>0</v>
      </c>
      <c r="AG886" s="39">
        <v>0</v>
      </c>
      <c r="AH886" s="39">
        <v>0</v>
      </c>
      <c r="AI886" s="39">
        <v>1054.67</v>
      </c>
      <c r="AJ886" s="39">
        <v>1057.95</v>
      </c>
      <c r="AK886" s="39">
        <v>1129.22</v>
      </c>
      <c r="AL886" s="39">
        <v>0</v>
      </c>
      <c r="AM886" s="39">
        <v>0</v>
      </c>
      <c r="AN886" s="39">
        <v>0</v>
      </c>
      <c r="AO886" s="39">
        <v>1054.67</v>
      </c>
      <c r="AP886" s="39">
        <v>1057.95</v>
      </c>
      <c r="AQ886" s="39">
        <v>1129.22</v>
      </c>
      <c r="AR886" s="39">
        <v>1129.22</v>
      </c>
    </row>
    <row r="887" spans="1:44" x14ac:dyDescent="0.35">
      <c r="A887" s="16" t="str">
        <f t="shared" si="78"/>
        <v>31</v>
      </c>
      <c r="B887" s="19">
        <v>66928</v>
      </c>
      <c r="C887" s="16" t="str">
        <f>TEXT(121418,"0000000")</f>
        <v>0121418</v>
      </c>
      <c r="D887" s="19">
        <v>2061</v>
      </c>
      <c r="E887" s="16" t="s">
        <v>1655</v>
      </c>
      <c r="F887" s="16" t="s">
        <v>5</v>
      </c>
      <c r="G887" s="35" t="s">
        <v>1656</v>
      </c>
      <c r="H887" s="39">
        <v>0</v>
      </c>
      <c r="I887" s="39">
        <v>0</v>
      </c>
      <c r="J887" s="39">
        <v>0</v>
      </c>
      <c r="K887" s="39">
        <v>0</v>
      </c>
      <c r="L887" s="39">
        <v>0</v>
      </c>
      <c r="M887" s="39">
        <v>0</v>
      </c>
      <c r="N887" s="39">
        <v>0</v>
      </c>
      <c r="O887" s="39">
        <v>0</v>
      </c>
      <c r="P887" s="39">
        <v>0</v>
      </c>
      <c r="Q887" s="39">
        <v>0</v>
      </c>
      <c r="R887" s="39">
        <v>0</v>
      </c>
      <c r="S887" s="39">
        <v>0</v>
      </c>
      <c r="T887" s="39">
        <v>0</v>
      </c>
      <c r="U887" s="39">
        <v>0</v>
      </c>
      <c r="V887" s="39">
        <v>0</v>
      </c>
      <c r="W887" s="39">
        <v>0</v>
      </c>
      <c r="X887" s="39">
        <v>0</v>
      </c>
      <c r="Y887" s="39">
        <v>0</v>
      </c>
      <c r="Z887" s="39">
        <v>0</v>
      </c>
      <c r="AA887" s="39">
        <v>0</v>
      </c>
      <c r="AB887" s="39">
        <v>0</v>
      </c>
      <c r="AC887" s="39">
        <v>1571.2</v>
      </c>
      <c r="AD887" s="39">
        <v>1571.42</v>
      </c>
      <c r="AE887" s="39">
        <v>1466.12</v>
      </c>
      <c r="AF887" s="39">
        <v>0</v>
      </c>
      <c r="AG887" s="39">
        <v>0</v>
      </c>
      <c r="AH887" s="39">
        <v>0</v>
      </c>
      <c r="AI887" s="39">
        <v>1571.2</v>
      </c>
      <c r="AJ887" s="39">
        <v>1571.42</v>
      </c>
      <c r="AK887" s="39">
        <v>1466.12</v>
      </c>
      <c r="AL887" s="39">
        <v>0</v>
      </c>
      <c r="AM887" s="39">
        <v>0</v>
      </c>
      <c r="AN887" s="39">
        <v>0</v>
      </c>
      <c r="AO887" s="39">
        <v>1571.2</v>
      </c>
      <c r="AP887" s="39">
        <v>1571.42</v>
      </c>
      <c r="AQ887" s="39">
        <v>1466.12</v>
      </c>
      <c r="AR887" s="39">
        <v>1571.42</v>
      </c>
    </row>
    <row r="888" spans="1:44" x14ac:dyDescent="0.35">
      <c r="A888" s="16" t="str">
        <f t="shared" si="78"/>
        <v>31</v>
      </c>
      <c r="B888" s="19">
        <v>66928</v>
      </c>
      <c r="C888" s="16" t="str">
        <f>TEXT(141622,"0000000")</f>
        <v>0141622</v>
      </c>
      <c r="D888" s="19">
        <v>2128</v>
      </c>
      <c r="E888" s="16" t="s">
        <v>1657</v>
      </c>
      <c r="F888" s="16" t="s">
        <v>5</v>
      </c>
      <c r="G888" s="35" t="s">
        <v>1658</v>
      </c>
      <c r="H888" s="39">
        <v>0</v>
      </c>
      <c r="I888" s="39">
        <v>0</v>
      </c>
      <c r="J888" s="39">
        <v>0</v>
      </c>
      <c r="K888" s="39">
        <v>0</v>
      </c>
      <c r="L888" s="39">
        <v>0</v>
      </c>
      <c r="M888" s="39">
        <v>0</v>
      </c>
      <c r="N888" s="39">
        <v>0</v>
      </c>
      <c r="O888" s="39">
        <v>0</v>
      </c>
      <c r="P888" s="39">
        <v>0</v>
      </c>
      <c r="Q888" s="39">
        <v>0</v>
      </c>
      <c r="R888" s="39">
        <v>0</v>
      </c>
      <c r="S888" s="39">
        <v>0</v>
      </c>
      <c r="T888" s="39">
        <v>0</v>
      </c>
      <c r="U888" s="39">
        <v>0</v>
      </c>
      <c r="V888" s="39">
        <v>0</v>
      </c>
      <c r="W888" s="39">
        <v>0</v>
      </c>
      <c r="X888" s="39">
        <v>0</v>
      </c>
      <c r="Y888" s="39">
        <v>0</v>
      </c>
      <c r="Z888" s="39">
        <v>0</v>
      </c>
      <c r="AA888" s="39">
        <v>0</v>
      </c>
      <c r="AB888" s="39">
        <v>0</v>
      </c>
      <c r="AC888" s="39">
        <v>182.01</v>
      </c>
      <c r="AD888" s="39">
        <v>133.29</v>
      </c>
      <c r="AE888" s="39">
        <v>86.17</v>
      </c>
      <c r="AF888" s="39">
        <v>0</v>
      </c>
      <c r="AG888" s="39">
        <v>0</v>
      </c>
      <c r="AH888" s="39">
        <v>0</v>
      </c>
      <c r="AI888" s="39">
        <v>182.01</v>
      </c>
      <c r="AJ888" s="39">
        <v>133.29</v>
      </c>
      <c r="AK888" s="39">
        <v>86.17</v>
      </c>
      <c r="AL888" s="39">
        <v>0</v>
      </c>
      <c r="AM888" s="39">
        <v>0</v>
      </c>
      <c r="AN888" s="39">
        <v>0</v>
      </c>
      <c r="AO888" s="39">
        <v>182.01</v>
      </c>
      <c r="AP888" s="39">
        <v>133.29</v>
      </c>
      <c r="AQ888" s="39">
        <v>86.17</v>
      </c>
      <c r="AR888" s="39">
        <v>182.01</v>
      </c>
    </row>
    <row r="889" spans="1:44" x14ac:dyDescent="0.35">
      <c r="A889" s="16" t="str">
        <f t="shared" si="78"/>
        <v>31</v>
      </c>
      <c r="B889" s="19">
        <v>66951</v>
      </c>
      <c r="C889" s="16" t="str">
        <f>TEXT(135871,"0000000")</f>
        <v>0135871</v>
      </c>
      <c r="D889" s="19">
        <v>1715</v>
      </c>
      <c r="E889" s="16" t="s">
        <v>1663</v>
      </c>
      <c r="F889" s="16" t="s">
        <v>5</v>
      </c>
      <c r="G889" s="35" t="s">
        <v>1664</v>
      </c>
      <c r="H889" s="39">
        <v>0</v>
      </c>
      <c r="I889" s="39">
        <v>0</v>
      </c>
      <c r="J889" s="39">
        <v>0</v>
      </c>
      <c r="K889" s="39">
        <v>0</v>
      </c>
      <c r="L889" s="39">
        <v>0</v>
      </c>
      <c r="M889" s="39">
        <v>0</v>
      </c>
      <c r="N889" s="39">
        <v>0</v>
      </c>
      <c r="O889" s="39">
        <v>0</v>
      </c>
      <c r="P889" s="39">
        <v>0</v>
      </c>
      <c r="Q889" s="39">
        <v>0</v>
      </c>
      <c r="R889" s="39">
        <v>0</v>
      </c>
      <c r="S889" s="39">
        <v>0</v>
      </c>
      <c r="T889" s="39">
        <v>0</v>
      </c>
      <c r="U889" s="39">
        <v>0</v>
      </c>
      <c r="V889" s="39">
        <v>0</v>
      </c>
      <c r="W889" s="39">
        <v>0</v>
      </c>
      <c r="X889" s="39">
        <v>0</v>
      </c>
      <c r="Y889" s="39">
        <v>0</v>
      </c>
      <c r="Z889" s="39">
        <v>0</v>
      </c>
      <c r="AA889" s="39">
        <v>0</v>
      </c>
      <c r="AB889" s="39">
        <v>0</v>
      </c>
      <c r="AC889" s="39">
        <v>1286.3399999999999</v>
      </c>
      <c r="AD889" s="39">
        <v>1343.87</v>
      </c>
      <c r="AE889" s="39">
        <v>1280.45</v>
      </c>
      <c r="AF889" s="39">
        <v>0</v>
      </c>
      <c r="AG889" s="39">
        <v>0</v>
      </c>
      <c r="AH889" s="39">
        <v>0</v>
      </c>
      <c r="AI889" s="39">
        <v>1286.3399999999999</v>
      </c>
      <c r="AJ889" s="39">
        <v>1343.87</v>
      </c>
      <c r="AK889" s="39">
        <v>1280.45</v>
      </c>
      <c r="AL889" s="39">
        <v>0</v>
      </c>
      <c r="AM889" s="39">
        <v>0</v>
      </c>
      <c r="AN889" s="39">
        <v>0</v>
      </c>
      <c r="AO889" s="39">
        <v>1286.3399999999999</v>
      </c>
      <c r="AP889" s="39">
        <v>1343.87</v>
      </c>
      <c r="AQ889" s="39">
        <v>1280.45</v>
      </c>
      <c r="AR889" s="39">
        <v>1343.87</v>
      </c>
    </row>
    <row r="890" spans="1:44" x14ac:dyDescent="0.35">
      <c r="A890" s="16" t="str">
        <f t="shared" si="78"/>
        <v>31</v>
      </c>
      <c r="B890" s="19">
        <v>75085</v>
      </c>
      <c r="C890" s="16" t="str">
        <f>TEXT(119487,"0000000")</f>
        <v>0119487</v>
      </c>
      <c r="D890" s="19">
        <v>1071</v>
      </c>
      <c r="E890" s="16" t="s">
        <v>1675</v>
      </c>
      <c r="F890" s="16" t="s">
        <v>5</v>
      </c>
      <c r="G890" s="35" t="s">
        <v>1676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734.86</v>
      </c>
      <c r="AD890" s="39">
        <v>734.06</v>
      </c>
      <c r="AE890" s="39">
        <v>727.29</v>
      </c>
      <c r="AF890" s="39">
        <v>0</v>
      </c>
      <c r="AG890" s="39">
        <v>0</v>
      </c>
      <c r="AH890" s="39">
        <v>0</v>
      </c>
      <c r="AI890" s="39">
        <v>734.86</v>
      </c>
      <c r="AJ890" s="39">
        <v>734.06</v>
      </c>
      <c r="AK890" s="39">
        <v>727.29</v>
      </c>
      <c r="AL890" s="39">
        <v>0</v>
      </c>
      <c r="AM890" s="39">
        <v>0</v>
      </c>
      <c r="AN890" s="39">
        <v>0</v>
      </c>
      <c r="AO890" s="39">
        <v>734.86</v>
      </c>
      <c r="AP890" s="39">
        <v>734.06</v>
      </c>
      <c r="AQ890" s="39">
        <v>727.29</v>
      </c>
      <c r="AR890" s="39">
        <v>734.86</v>
      </c>
    </row>
    <row r="891" spans="1:44" x14ac:dyDescent="0.35">
      <c r="A891" s="16" t="str">
        <f t="shared" si="78"/>
        <v>31</v>
      </c>
      <c r="B891" s="19">
        <v>75085</v>
      </c>
      <c r="C891" s="16" t="str">
        <f>TEXT(6118392,"0000000")</f>
        <v>6118392</v>
      </c>
      <c r="D891" s="17" t="s">
        <v>1681</v>
      </c>
      <c r="E891" s="16" t="s">
        <v>1679</v>
      </c>
      <c r="F891" s="16" t="s">
        <v>5</v>
      </c>
      <c r="G891" s="35" t="s">
        <v>1680</v>
      </c>
      <c r="H891" s="39">
        <v>0</v>
      </c>
      <c r="I891" s="39">
        <v>0</v>
      </c>
      <c r="J891" s="39">
        <v>0</v>
      </c>
      <c r="K891" s="39">
        <v>0</v>
      </c>
      <c r="L891" s="39">
        <v>0</v>
      </c>
      <c r="M891" s="39">
        <v>0</v>
      </c>
      <c r="N891" s="39">
        <v>0</v>
      </c>
      <c r="O891" s="39">
        <v>0</v>
      </c>
      <c r="P891" s="39">
        <v>0</v>
      </c>
      <c r="Q891" s="39">
        <v>0</v>
      </c>
      <c r="R891" s="39">
        <v>0</v>
      </c>
      <c r="S891" s="39">
        <v>0</v>
      </c>
      <c r="T891" s="39">
        <v>0</v>
      </c>
      <c r="U891" s="39">
        <v>0</v>
      </c>
      <c r="V891" s="39">
        <v>0</v>
      </c>
      <c r="W891" s="39">
        <v>0</v>
      </c>
      <c r="X891" s="39">
        <v>0</v>
      </c>
      <c r="Y891" s="39">
        <v>0</v>
      </c>
      <c r="Z891" s="39">
        <v>0</v>
      </c>
      <c r="AA891" s="39">
        <v>0</v>
      </c>
      <c r="AB891" s="39">
        <v>0</v>
      </c>
      <c r="AC891" s="39">
        <v>540.42999999999995</v>
      </c>
      <c r="AD891" s="39">
        <v>542.32000000000005</v>
      </c>
      <c r="AE891" s="39">
        <v>464.88</v>
      </c>
      <c r="AF891" s="39">
        <v>0</v>
      </c>
      <c r="AG891" s="39">
        <v>0</v>
      </c>
      <c r="AH891" s="39">
        <v>0</v>
      </c>
      <c r="AI891" s="39">
        <v>540.42999999999995</v>
      </c>
      <c r="AJ891" s="39">
        <v>542.32000000000005</v>
      </c>
      <c r="AK891" s="39">
        <v>464.88</v>
      </c>
      <c r="AL891" s="39">
        <v>0</v>
      </c>
      <c r="AM891" s="39">
        <v>0</v>
      </c>
      <c r="AN891" s="39">
        <v>0</v>
      </c>
      <c r="AO891" s="39">
        <v>540.42999999999995</v>
      </c>
      <c r="AP891" s="39">
        <v>542.32000000000005</v>
      </c>
      <c r="AQ891" s="39">
        <v>464.88</v>
      </c>
      <c r="AR891" s="39">
        <v>542.32000000000005</v>
      </c>
    </row>
    <row r="892" spans="1:44" x14ac:dyDescent="0.35">
      <c r="A892" s="16" t="str">
        <f>TEXT(32,"00")</f>
        <v>32</v>
      </c>
      <c r="B892" s="19">
        <v>66969</v>
      </c>
      <c r="C892" s="16" t="str">
        <f>TEXT(3230083,"0000000")</f>
        <v>3230083</v>
      </c>
      <c r="D892" s="17" t="s">
        <v>1688</v>
      </c>
      <c r="E892" s="16" t="s">
        <v>1686</v>
      </c>
      <c r="F892" s="16" t="s">
        <v>5</v>
      </c>
      <c r="G892" s="35" t="s">
        <v>1687</v>
      </c>
      <c r="H892" s="39">
        <v>0</v>
      </c>
      <c r="I892" s="39">
        <v>0</v>
      </c>
      <c r="J892" s="39">
        <v>0</v>
      </c>
      <c r="K892" s="39">
        <v>0</v>
      </c>
      <c r="L892" s="39">
        <v>0</v>
      </c>
      <c r="M892" s="39">
        <v>0</v>
      </c>
      <c r="N892" s="39">
        <v>0</v>
      </c>
      <c r="O892" s="39">
        <v>0</v>
      </c>
      <c r="P892" s="39">
        <v>0</v>
      </c>
      <c r="Q892" s="39">
        <v>0</v>
      </c>
      <c r="R892" s="39">
        <v>0</v>
      </c>
      <c r="S892" s="39">
        <v>0</v>
      </c>
      <c r="T892" s="39">
        <v>0</v>
      </c>
      <c r="U892" s="39">
        <v>0</v>
      </c>
      <c r="V892" s="39">
        <v>0</v>
      </c>
      <c r="W892" s="39">
        <v>0</v>
      </c>
      <c r="X892" s="39">
        <v>0</v>
      </c>
      <c r="Y892" s="39">
        <v>0</v>
      </c>
      <c r="Z892" s="39">
        <v>0</v>
      </c>
      <c r="AA892" s="39">
        <v>0</v>
      </c>
      <c r="AB892" s="39">
        <v>0</v>
      </c>
      <c r="AC892" s="39">
        <v>324.36</v>
      </c>
      <c r="AD892" s="39">
        <v>328.8</v>
      </c>
      <c r="AE892" s="39">
        <v>329.46</v>
      </c>
      <c r="AF892" s="39">
        <v>0</v>
      </c>
      <c r="AG892" s="39">
        <v>0</v>
      </c>
      <c r="AH892" s="39">
        <v>0</v>
      </c>
      <c r="AI892" s="39">
        <v>324.36</v>
      </c>
      <c r="AJ892" s="39">
        <v>328.8</v>
      </c>
      <c r="AK892" s="39">
        <v>329.46</v>
      </c>
      <c r="AL892" s="39">
        <v>0</v>
      </c>
      <c r="AM892" s="39">
        <v>0</v>
      </c>
      <c r="AN892" s="39">
        <v>0</v>
      </c>
      <c r="AO892" s="39">
        <v>324.36</v>
      </c>
      <c r="AP892" s="39">
        <v>328.8</v>
      </c>
      <c r="AQ892" s="39">
        <v>329.46</v>
      </c>
      <c r="AR892" s="39">
        <v>329.46</v>
      </c>
    </row>
    <row r="893" spans="1:44" x14ac:dyDescent="0.35">
      <c r="A893" s="16" t="str">
        <f>TEXT(1,"00")</f>
        <v>01</v>
      </c>
      <c r="B893" s="19">
        <v>61259</v>
      </c>
      <c r="C893" s="16" t="str">
        <f>TEXT(109819,"0000000")</f>
        <v>0109819</v>
      </c>
      <c r="D893" s="17" t="s">
        <v>87</v>
      </c>
      <c r="E893" s="16" t="s">
        <v>85</v>
      </c>
      <c r="F893" s="16" t="s">
        <v>5</v>
      </c>
      <c r="G893" s="35" t="s">
        <v>86</v>
      </c>
      <c r="H893" s="39">
        <v>0</v>
      </c>
      <c r="I893" s="39">
        <v>0</v>
      </c>
      <c r="J893" s="39">
        <v>0</v>
      </c>
      <c r="K893" s="39">
        <v>0</v>
      </c>
      <c r="L893" s="39">
        <v>0</v>
      </c>
      <c r="M893" s="39">
        <v>0</v>
      </c>
      <c r="N893" s="39">
        <v>0</v>
      </c>
      <c r="O893" s="39">
        <v>0</v>
      </c>
      <c r="P893" s="39">
        <v>0</v>
      </c>
      <c r="Q893" s="39">
        <v>0</v>
      </c>
      <c r="R893" s="39">
        <v>0</v>
      </c>
      <c r="S893" s="39">
        <v>0</v>
      </c>
      <c r="T893" s="39">
        <v>0</v>
      </c>
      <c r="U893" s="39">
        <v>0</v>
      </c>
      <c r="V893" s="39">
        <v>0</v>
      </c>
      <c r="W893" s="39">
        <v>0</v>
      </c>
      <c r="X893" s="39">
        <v>0</v>
      </c>
      <c r="Y893" s="39">
        <v>0</v>
      </c>
      <c r="Z893" s="39">
        <v>0</v>
      </c>
      <c r="AA893" s="39">
        <v>0</v>
      </c>
      <c r="AB893" s="39">
        <v>0</v>
      </c>
      <c r="AC893" s="39">
        <v>454.11</v>
      </c>
      <c r="AD893" s="39">
        <v>452.44</v>
      </c>
      <c r="AE893" s="39">
        <v>467.11</v>
      </c>
      <c r="AF893" s="39">
        <v>0</v>
      </c>
      <c r="AG893" s="39">
        <v>0</v>
      </c>
      <c r="AH893" s="39">
        <v>0</v>
      </c>
      <c r="AI893" s="39">
        <v>454.11</v>
      </c>
      <c r="AJ893" s="39">
        <v>452.44</v>
      </c>
      <c r="AK893" s="39">
        <v>467.11</v>
      </c>
      <c r="AL893" s="39">
        <v>0</v>
      </c>
      <c r="AM893" s="39">
        <v>0</v>
      </c>
      <c r="AN893" s="39">
        <v>0</v>
      </c>
      <c r="AO893" s="39">
        <v>454.11</v>
      </c>
      <c r="AP893" s="39">
        <v>452.44</v>
      </c>
      <c r="AQ893" s="39">
        <v>467.11</v>
      </c>
      <c r="AR893" s="39">
        <v>467.11</v>
      </c>
    </row>
    <row r="894" spans="1:44" x14ac:dyDescent="0.35">
      <c r="A894" s="16" t="str">
        <f t="shared" ref="A894:A903" si="79">TEXT(33,"00")</f>
        <v>33</v>
      </c>
      <c r="B894" s="19">
        <v>10330</v>
      </c>
      <c r="C894" s="16" t="str">
        <f>TEXT(125385,"0000000")</f>
        <v>0125385</v>
      </c>
      <c r="D894" s="19">
        <v>1369</v>
      </c>
      <c r="E894" s="16" t="s">
        <v>1698</v>
      </c>
      <c r="F894" s="16" t="s">
        <v>5</v>
      </c>
      <c r="G894" s="35" t="s">
        <v>1699</v>
      </c>
      <c r="H894" s="39">
        <v>0</v>
      </c>
      <c r="I894" s="39">
        <v>0</v>
      </c>
      <c r="J894" s="39">
        <v>0</v>
      </c>
      <c r="K894" s="39">
        <v>0</v>
      </c>
      <c r="L894" s="39">
        <v>0</v>
      </c>
      <c r="M894" s="39">
        <v>0</v>
      </c>
      <c r="N894" s="39">
        <v>0</v>
      </c>
      <c r="O894" s="39">
        <v>0</v>
      </c>
      <c r="P894" s="39">
        <v>0</v>
      </c>
      <c r="Q894" s="39">
        <v>0</v>
      </c>
      <c r="R894" s="39">
        <v>0</v>
      </c>
      <c r="S894" s="39">
        <v>0</v>
      </c>
      <c r="T894" s="39">
        <v>0</v>
      </c>
      <c r="U894" s="39">
        <v>0</v>
      </c>
      <c r="V894" s="39">
        <v>0</v>
      </c>
      <c r="W894" s="39">
        <v>0</v>
      </c>
      <c r="X894" s="39">
        <v>0</v>
      </c>
      <c r="Y894" s="39">
        <v>0</v>
      </c>
      <c r="Z894" s="39">
        <v>1349.85</v>
      </c>
      <c r="AA894" s="39">
        <v>1235.07</v>
      </c>
      <c r="AB894" s="39">
        <v>1185.1300000000001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1349.85</v>
      </c>
      <c r="AJ894" s="39">
        <v>1235.07</v>
      </c>
      <c r="AK894" s="39">
        <v>1185.1300000000001</v>
      </c>
      <c r="AL894" s="39">
        <v>0</v>
      </c>
      <c r="AM894" s="39">
        <v>0</v>
      </c>
      <c r="AN894" s="39">
        <v>0</v>
      </c>
      <c r="AO894" s="39">
        <v>1349.85</v>
      </c>
      <c r="AP894" s="39">
        <v>1235.07</v>
      </c>
      <c r="AQ894" s="39">
        <v>1185.1300000000001</v>
      </c>
      <c r="AR894" s="39">
        <v>1349.85</v>
      </c>
    </row>
    <row r="895" spans="1:44" x14ac:dyDescent="0.35">
      <c r="A895" s="16" t="str">
        <f t="shared" si="79"/>
        <v>33</v>
      </c>
      <c r="B895" s="19">
        <v>10330</v>
      </c>
      <c r="C895" s="16" t="str">
        <f>TEXT(128777,"0000000")</f>
        <v>0128777</v>
      </c>
      <c r="D895" s="19">
        <v>1602</v>
      </c>
      <c r="E895" s="16" t="s">
        <v>1700</v>
      </c>
      <c r="F895" s="16" t="s">
        <v>5</v>
      </c>
      <c r="G895" s="35" t="s">
        <v>1701</v>
      </c>
      <c r="H895" s="39">
        <v>0</v>
      </c>
      <c r="I895" s="39">
        <v>0</v>
      </c>
      <c r="J895" s="39">
        <v>0</v>
      </c>
      <c r="K895" s="39">
        <v>0</v>
      </c>
      <c r="L895" s="39">
        <v>0</v>
      </c>
      <c r="M895" s="39">
        <v>0</v>
      </c>
      <c r="N895" s="39">
        <v>0</v>
      </c>
      <c r="O895" s="39">
        <v>0</v>
      </c>
      <c r="P895" s="39">
        <v>0</v>
      </c>
      <c r="Q895" s="39">
        <v>0</v>
      </c>
      <c r="R895" s="39">
        <v>0</v>
      </c>
      <c r="S895" s="39">
        <v>0</v>
      </c>
      <c r="T895" s="39">
        <v>0</v>
      </c>
      <c r="U895" s="39">
        <v>0</v>
      </c>
      <c r="V895" s="39">
        <v>0</v>
      </c>
      <c r="W895" s="39">
        <v>0</v>
      </c>
      <c r="X895" s="39">
        <v>0</v>
      </c>
      <c r="Y895" s="39">
        <v>0</v>
      </c>
      <c r="Z895" s="39">
        <v>314.08999999999997</v>
      </c>
      <c r="AA895" s="39">
        <v>327.24</v>
      </c>
      <c r="AB895" s="39">
        <v>155.06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314.08999999999997</v>
      </c>
      <c r="AJ895" s="39">
        <v>327.24</v>
      </c>
      <c r="AK895" s="39">
        <v>155.06</v>
      </c>
      <c r="AL895" s="39">
        <v>0</v>
      </c>
      <c r="AM895" s="39">
        <v>0</v>
      </c>
      <c r="AN895" s="39">
        <v>0</v>
      </c>
      <c r="AO895" s="39">
        <v>314.08999999999997</v>
      </c>
      <c r="AP895" s="39">
        <v>327.24</v>
      </c>
      <c r="AQ895" s="39">
        <v>155.06</v>
      </c>
      <c r="AR895" s="39">
        <v>327.24</v>
      </c>
    </row>
    <row r="896" spans="1:44" x14ac:dyDescent="0.35">
      <c r="A896" s="16" t="str">
        <f t="shared" si="79"/>
        <v>33</v>
      </c>
      <c r="B896" s="19">
        <v>10330</v>
      </c>
      <c r="C896" s="16" t="str">
        <f>TEXT(136168,"0000000")</f>
        <v>0136168</v>
      </c>
      <c r="D896" s="19">
        <v>1873</v>
      </c>
      <c r="E896" s="16" t="s">
        <v>1702</v>
      </c>
      <c r="F896" s="16" t="s">
        <v>5</v>
      </c>
      <c r="G896" s="35" t="s">
        <v>1703</v>
      </c>
      <c r="H896" s="39">
        <v>0</v>
      </c>
      <c r="I896" s="39">
        <v>0</v>
      </c>
      <c r="J896" s="39">
        <v>0</v>
      </c>
      <c r="K896" s="39">
        <v>0</v>
      </c>
      <c r="L896" s="39">
        <v>0</v>
      </c>
      <c r="M896" s="39">
        <v>0</v>
      </c>
      <c r="N896" s="39">
        <v>0</v>
      </c>
      <c r="O896" s="39">
        <v>0</v>
      </c>
      <c r="P896" s="39">
        <v>0</v>
      </c>
      <c r="Q896" s="39">
        <v>0</v>
      </c>
      <c r="R896" s="39">
        <v>0</v>
      </c>
      <c r="S896" s="39">
        <v>0</v>
      </c>
      <c r="T896" s="39">
        <v>0</v>
      </c>
      <c r="U896" s="39">
        <v>0</v>
      </c>
      <c r="V896" s="39">
        <v>0</v>
      </c>
      <c r="W896" s="39">
        <v>0</v>
      </c>
      <c r="X896" s="39">
        <v>0</v>
      </c>
      <c r="Y896" s="39">
        <v>0</v>
      </c>
      <c r="Z896" s="39">
        <v>0</v>
      </c>
      <c r="AA896" s="39">
        <v>0</v>
      </c>
      <c r="AB896" s="39">
        <v>0</v>
      </c>
      <c r="AC896" s="39">
        <v>265.87</v>
      </c>
      <c r="AD896" s="39">
        <v>248.98</v>
      </c>
      <c r="AE896" s="39">
        <v>274</v>
      </c>
      <c r="AF896" s="39">
        <v>0</v>
      </c>
      <c r="AG896" s="39">
        <v>0</v>
      </c>
      <c r="AH896" s="39">
        <v>0</v>
      </c>
      <c r="AI896" s="39">
        <v>265.87</v>
      </c>
      <c r="AJ896" s="39">
        <v>248.98</v>
      </c>
      <c r="AK896" s="39">
        <v>274</v>
      </c>
      <c r="AL896" s="39">
        <v>0</v>
      </c>
      <c r="AM896" s="39">
        <v>0</v>
      </c>
      <c r="AN896" s="39">
        <v>0</v>
      </c>
      <c r="AO896" s="39">
        <v>265.87</v>
      </c>
      <c r="AP896" s="39">
        <v>248.98</v>
      </c>
      <c r="AQ896" s="39">
        <v>274</v>
      </c>
      <c r="AR896" s="39">
        <v>274</v>
      </c>
    </row>
    <row r="897" spans="1:44" x14ac:dyDescent="0.35">
      <c r="A897" s="16" t="str">
        <f t="shared" si="79"/>
        <v>33</v>
      </c>
      <c r="B897" s="19">
        <v>10330</v>
      </c>
      <c r="C897" s="16" t="str">
        <f>TEXT(137836,"0000000")</f>
        <v>0137836</v>
      </c>
      <c r="D897" s="19">
        <v>1984</v>
      </c>
      <c r="E897" s="16" t="s">
        <v>1704</v>
      </c>
      <c r="F897" s="16" t="s">
        <v>5</v>
      </c>
      <c r="G897" s="35" t="s">
        <v>1705</v>
      </c>
      <c r="H897" s="39">
        <v>0</v>
      </c>
      <c r="I897" s="39">
        <v>0</v>
      </c>
      <c r="J897" s="39">
        <v>0</v>
      </c>
      <c r="K897" s="39">
        <v>0</v>
      </c>
      <c r="L897" s="39">
        <v>0</v>
      </c>
      <c r="M897" s="39">
        <v>0</v>
      </c>
      <c r="N897" s="39">
        <v>0</v>
      </c>
      <c r="O897" s="39">
        <v>0</v>
      </c>
      <c r="P897" s="39">
        <v>0</v>
      </c>
      <c r="Q897" s="39">
        <v>0</v>
      </c>
      <c r="R897" s="39">
        <v>0</v>
      </c>
      <c r="S897" s="39">
        <v>0</v>
      </c>
      <c r="T897" s="39">
        <v>0</v>
      </c>
      <c r="U897" s="39">
        <v>0</v>
      </c>
      <c r="V897" s="39">
        <v>0</v>
      </c>
      <c r="W897" s="39">
        <v>0</v>
      </c>
      <c r="X897" s="39">
        <v>0</v>
      </c>
      <c r="Y897" s="39">
        <v>0</v>
      </c>
      <c r="Z897" s="39">
        <v>0</v>
      </c>
      <c r="AA897" s="39">
        <v>0</v>
      </c>
      <c r="AB897" s="39">
        <v>0</v>
      </c>
      <c r="AC897" s="39">
        <v>155.46</v>
      </c>
      <c r="AD897" s="39">
        <v>144.24</v>
      </c>
      <c r="AE897" s="39">
        <v>133.76</v>
      </c>
      <c r="AF897" s="39">
        <v>0</v>
      </c>
      <c r="AG897" s="39">
        <v>0</v>
      </c>
      <c r="AH897" s="39">
        <v>0</v>
      </c>
      <c r="AI897" s="39">
        <v>155.46</v>
      </c>
      <c r="AJ897" s="39">
        <v>144.24</v>
      </c>
      <c r="AK897" s="39">
        <v>133.76</v>
      </c>
      <c r="AL897" s="39">
        <v>0</v>
      </c>
      <c r="AM897" s="39">
        <v>0</v>
      </c>
      <c r="AN897" s="39">
        <v>0</v>
      </c>
      <c r="AO897" s="39">
        <v>155.46</v>
      </c>
      <c r="AP897" s="39">
        <v>144.24</v>
      </c>
      <c r="AQ897" s="39">
        <v>133.76</v>
      </c>
      <c r="AR897" s="39">
        <v>155.46</v>
      </c>
    </row>
    <row r="898" spans="1:44" x14ac:dyDescent="0.35">
      <c r="A898" s="16" t="str">
        <f t="shared" si="79"/>
        <v>33</v>
      </c>
      <c r="B898" s="19">
        <v>10330</v>
      </c>
      <c r="C898" s="16" t="str">
        <f>TEXT(138024,"0000000")</f>
        <v>0138024</v>
      </c>
      <c r="D898" s="19">
        <v>1974</v>
      </c>
      <c r="E898" s="16" t="s">
        <v>1712</v>
      </c>
      <c r="F898" s="16" t="s">
        <v>5</v>
      </c>
      <c r="G898" s="35" t="s">
        <v>1713</v>
      </c>
      <c r="H898" s="39">
        <v>0</v>
      </c>
      <c r="I898" s="39">
        <v>0</v>
      </c>
      <c r="J898" s="39">
        <v>0</v>
      </c>
      <c r="K898" s="39">
        <v>0</v>
      </c>
      <c r="L898" s="39">
        <v>0</v>
      </c>
      <c r="M898" s="39">
        <v>0</v>
      </c>
      <c r="N898" s="39">
        <v>0</v>
      </c>
      <c r="O898" s="39">
        <v>0</v>
      </c>
      <c r="P898" s="39">
        <v>0</v>
      </c>
      <c r="Q898" s="39">
        <v>0</v>
      </c>
      <c r="R898" s="39">
        <v>0</v>
      </c>
      <c r="S898" s="39">
        <v>0</v>
      </c>
      <c r="T898" s="39">
        <v>0</v>
      </c>
      <c r="U898" s="39">
        <v>0</v>
      </c>
      <c r="V898" s="39">
        <v>0</v>
      </c>
      <c r="W898" s="39">
        <v>0</v>
      </c>
      <c r="X898" s="39">
        <v>0</v>
      </c>
      <c r="Y898" s="39">
        <v>0</v>
      </c>
      <c r="Z898" s="39">
        <v>0</v>
      </c>
      <c r="AA898" s="39">
        <v>0</v>
      </c>
      <c r="AB898" s="39">
        <v>0</v>
      </c>
      <c r="AC898" s="39">
        <v>512.80999999999995</v>
      </c>
      <c r="AD898" s="39">
        <v>473.98</v>
      </c>
      <c r="AE898" s="39">
        <v>485.09</v>
      </c>
      <c r="AF898" s="39">
        <v>0</v>
      </c>
      <c r="AG898" s="39">
        <v>0</v>
      </c>
      <c r="AH898" s="39">
        <v>0</v>
      </c>
      <c r="AI898" s="39">
        <v>512.80999999999995</v>
      </c>
      <c r="AJ898" s="39">
        <v>473.98</v>
      </c>
      <c r="AK898" s="39">
        <v>485.09</v>
      </c>
      <c r="AL898" s="39">
        <v>0</v>
      </c>
      <c r="AM898" s="39">
        <v>0</v>
      </c>
      <c r="AN898" s="39">
        <v>0</v>
      </c>
      <c r="AO898" s="39">
        <v>512.80999999999995</v>
      </c>
      <c r="AP898" s="39">
        <v>473.98</v>
      </c>
      <c r="AQ898" s="39">
        <v>485.09</v>
      </c>
      <c r="AR898" s="39">
        <v>512.80999999999995</v>
      </c>
    </row>
    <row r="899" spans="1:44" x14ac:dyDescent="0.35">
      <c r="A899" s="16" t="str">
        <f t="shared" si="79"/>
        <v>33</v>
      </c>
      <c r="B899" s="19">
        <v>10330</v>
      </c>
      <c r="C899" s="16" t="str">
        <f>TEXT(138602,"0000000")</f>
        <v>0138602</v>
      </c>
      <c r="D899" s="19">
        <v>2018</v>
      </c>
      <c r="E899" s="16" t="s">
        <v>1714</v>
      </c>
      <c r="F899" s="16" t="s">
        <v>5</v>
      </c>
      <c r="G899" s="35" t="s">
        <v>1715</v>
      </c>
      <c r="H899" s="39">
        <v>0</v>
      </c>
      <c r="I899" s="39">
        <v>0</v>
      </c>
      <c r="J899" s="39">
        <v>0</v>
      </c>
      <c r="K899" s="39">
        <v>0</v>
      </c>
      <c r="L899" s="39">
        <v>0</v>
      </c>
      <c r="M899" s="39">
        <v>0</v>
      </c>
      <c r="N899" s="39">
        <v>0</v>
      </c>
      <c r="O899" s="39">
        <v>0</v>
      </c>
      <c r="P899" s="39">
        <v>0</v>
      </c>
      <c r="Q899" s="39">
        <v>0</v>
      </c>
      <c r="R899" s="39">
        <v>0</v>
      </c>
      <c r="S899" s="39">
        <v>0</v>
      </c>
      <c r="T899" s="39">
        <v>0</v>
      </c>
      <c r="U899" s="39">
        <v>0</v>
      </c>
      <c r="V899" s="39">
        <v>0</v>
      </c>
      <c r="W899" s="39">
        <v>0</v>
      </c>
      <c r="X899" s="39">
        <v>0</v>
      </c>
      <c r="Y899" s="39">
        <v>0</v>
      </c>
      <c r="Z899" s="39">
        <v>724.84</v>
      </c>
      <c r="AA899" s="39">
        <v>742.43</v>
      </c>
      <c r="AB899" s="39">
        <v>733.56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724.84</v>
      </c>
      <c r="AJ899" s="39">
        <v>742.43</v>
      </c>
      <c r="AK899" s="39">
        <v>733.56</v>
      </c>
      <c r="AL899" s="39">
        <v>0</v>
      </c>
      <c r="AM899" s="39">
        <v>0</v>
      </c>
      <c r="AN899" s="39">
        <v>0</v>
      </c>
      <c r="AO899" s="39">
        <v>724.84</v>
      </c>
      <c r="AP899" s="39">
        <v>742.43</v>
      </c>
      <c r="AQ899" s="39">
        <v>733.56</v>
      </c>
      <c r="AR899" s="39">
        <v>742.43</v>
      </c>
    </row>
    <row r="900" spans="1:44" ht="31" x14ac:dyDescent="0.35">
      <c r="A900" s="16" t="str">
        <f t="shared" si="79"/>
        <v>33</v>
      </c>
      <c r="B900" s="19">
        <v>10330</v>
      </c>
      <c r="C900" s="16" t="str">
        <f>TEXT(139428,"0000000")</f>
        <v>0139428</v>
      </c>
      <c r="D900" s="19">
        <v>2058</v>
      </c>
      <c r="E900" s="16" t="s">
        <v>1716</v>
      </c>
      <c r="F900" s="16" t="s">
        <v>5</v>
      </c>
      <c r="G900" s="35" t="s">
        <v>1717</v>
      </c>
      <c r="H900" s="39">
        <v>0</v>
      </c>
      <c r="I900" s="39">
        <v>0</v>
      </c>
      <c r="J900" s="39">
        <v>0</v>
      </c>
      <c r="K900" s="39">
        <v>0</v>
      </c>
      <c r="L900" s="39">
        <v>0</v>
      </c>
      <c r="M900" s="39">
        <v>0</v>
      </c>
      <c r="N900" s="39">
        <v>0</v>
      </c>
      <c r="O900" s="39">
        <v>0</v>
      </c>
      <c r="P900" s="39">
        <v>0</v>
      </c>
      <c r="Q900" s="39">
        <v>0</v>
      </c>
      <c r="R900" s="39">
        <v>0</v>
      </c>
      <c r="S900" s="39">
        <v>0</v>
      </c>
      <c r="T900" s="39">
        <v>0</v>
      </c>
      <c r="U900" s="39">
        <v>0</v>
      </c>
      <c r="V900" s="39">
        <v>0</v>
      </c>
      <c r="W900" s="39">
        <v>0</v>
      </c>
      <c r="X900" s="39">
        <v>0</v>
      </c>
      <c r="Y900" s="39">
        <v>0</v>
      </c>
      <c r="Z900" s="39">
        <v>0</v>
      </c>
      <c r="AA900" s="39">
        <v>0</v>
      </c>
      <c r="AB900" s="39">
        <v>0</v>
      </c>
      <c r="AC900" s="39">
        <v>186.82</v>
      </c>
      <c r="AD900" s="39">
        <v>179.75</v>
      </c>
      <c r="AE900" s="39">
        <v>140.13999999999999</v>
      </c>
      <c r="AF900" s="39">
        <v>0</v>
      </c>
      <c r="AG900" s="39">
        <v>0</v>
      </c>
      <c r="AH900" s="39">
        <v>0</v>
      </c>
      <c r="AI900" s="39">
        <v>186.82</v>
      </c>
      <c r="AJ900" s="39">
        <v>179.75</v>
      </c>
      <c r="AK900" s="39">
        <v>140.13999999999999</v>
      </c>
      <c r="AL900" s="39">
        <v>0</v>
      </c>
      <c r="AM900" s="39">
        <v>0</v>
      </c>
      <c r="AN900" s="39">
        <v>0</v>
      </c>
      <c r="AO900" s="39">
        <v>186.82</v>
      </c>
      <c r="AP900" s="39">
        <v>179.75</v>
      </c>
      <c r="AQ900" s="39">
        <v>140.13999999999999</v>
      </c>
      <c r="AR900" s="39">
        <v>186.82</v>
      </c>
    </row>
    <row r="901" spans="1:44" x14ac:dyDescent="0.35">
      <c r="A901" s="16" t="str">
        <f t="shared" si="79"/>
        <v>33</v>
      </c>
      <c r="B901" s="19">
        <v>10330</v>
      </c>
      <c r="C901" s="16" t="str">
        <f>TEXT(140780,"0000000")</f>
        <v>0140780</v>
      </c>
      <c r="D901" s="19">
        <v>2118</v>
      </c>
      <c r="E901" s="16" t="s">
        <v>1718</v>
      </c>
      <c r="F901" s="16" t="s">
        <v>5</v>
      </c>
      <c r="G901" s="35" t="s">
        <v>1719</v>
      </c>
      <c r="H901" s="39">
        <v>0</v>
      </c>
      <c r="I901" s="39">
        <v>0</v>
      </c>
      <c r="J901" s="39">
        <v>0</v>
      </c>
      <c r="K901" s="39">
        <v>0</v>
      </c>
      <c r="L901" s="39">
        <v>0</v>
      </c>
      <c r="M901" s="39">
        <v>0</v>
      </c>
      <c r="N901" s="39">
        <v>0</v>
      </c>
      <c r="O901" s="39">
        <v>0</v>
      </c>
      <c r="P901" s="39">
        <v>0</v>
      </c>
      <c r="Q901" s="39">
        <v>0</v>
      </c>
      <c r="R901" s="39">
        <v>0</v>
      </c>
      <c r="S901" s="39">
        <v>0</v>
      </c>
      <c r="T901" s="39">
        <v>0</v>
      </c>
      <c r="U901" s="39">
        <v>0</v>
      </c>
      <c r="V901" s="39">
        <v>0</v>
      </c>
      <c r="W901" s="39">
        <v>0</v>
      </c>
      <c r="X901" s="39">
        <v>0</v>
      </c>
      <c r="Y901" s="39">
        <v>0</v>
      </c>
      <c r="Z901" s="39">
        <v>0</v>
      </c>
      <c r="AA901" s="39">
        <v>0</v>
      </c>
      <c r="AB901" s="39">
        <v>0</v>
      </c>
      <c r="AC901" s="39">
        <v>266.66000000000003</v>
      </c>
      <c r="AD901" s="39">
        <v>274.88</v>
      </c>
      <c r="AE901" s="39">
        <v>248.18</v>
      </c>
      <c r="AF901" s="39">
        <v>0</v>
      </c>
      <c r="AG901" s="39">
        <v>0</v>
      </c>
      <c r="AH901" s="39">
        <v>0</v>
      </c>
      <c r="AI901" s="39">
        <v>266.66000000000003</v>
      </c>
      <c r="AJ901" s="39">
        <v>274.88</v>
      </c>
      <c r="AK901" s="39">
        <v>248.18</v>
      </c>
      <c r="AL901" s="39">
        <v>0</v>
      </c>
      <c r="AM901" s="39">
        <v>0</v>
      </c>
      <c r="AN901" s="39">
        <v>0</v>
      </c>
      <c r="AO901" s="39">
        <v>266.66000000000003</v>
      </c>
      <c r="AP901" s="39">
        <v>274.88</v>
      </c>
      <c r="AQ901" s="39">
        <v>248.18</v>
      </c>
      <c r="AR901" s="39">
        <v>274.88</v>
      </c>
    </row>
    <row r="902" spans="1:44" x14ac:dyDescent="0.35">
      <c r="A902" s="16" t="str">
        <f t="shared" si="79"/>
        <v>33</v>
      </c>
      <c r="B902" s="19">
        <v>66993</v>
      </c>
      <c r="C902" s="16" t="str">
        <f>TEXT(127142,"0000000")</f>
        <v>0127142</v>
      </c>
      <c r="D902" s="19">
        <v>1493</v>
      </c>
      <c r="E902" s="16" t="s">
        <v>1726</v>
      </c>
      <c r="F902" s="16" t="s">
        <v>5</v>
      </c>
      <c r="G902" s="35" t="s">
        <v>1727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312.56</v>
      </c>
      <c r="AD902" s="39">
        <v>313.54000000000002</v>
      </c>
      <c r="AE902" s="39">
        <v>302.98</v>
      </c>
      <c r="AF902" s="39">
        <v>0</v>
      </c>
      <c r="AG902" s="39">
        <v>0</v>
      </c>
      <c r="AH902" s="39">
        <v>0</v>
      </c>
      <c r="AI902" s="39">
        <v>312.56</v>
      </c>
      <c r="AJ902" s="39">
        <v>313.54000000000002</v>
      </c>
      <c r="AK902" s="39">
        <v>302.98</v>
      </c>
      <c r="AL902" s="39">
        <v>0</v>
      </c>
      <c r="AM902" s="39">
        <v>0</v>
      </c>
      <c r="AN902" s="39">
        <v>0</v>
      </c>
      <c r="AO902" s="39">
        <v>312.56</v>
      </c>
      <c r="AP902" s="39">
        <v>313.54000000000002</v>
      </c>
      <c r="AQ902" s="39">
        <v>302.98</v>
      </c>
      <c r="AR902" s="39">
        <v>313.54000000000002</v>
      </c>
    </row>
    <row r="903" spans="1:44" x14ac:dyDescent="0.35">
      <c r="A903" s="16" t="str">
        <f t="shared" si="79"/>
        <v>33</v>
      </c>
      <c r="B903" s="19">
        <v>66993</v>
      </c>
      <c r="C903" s="16" t="str">
        <f>TEXT(139360,"0000000")</f>
        <v>0139360</v>
      </c>
      <c r="D903" s="19">
        <v>2049</v>
      </c>
      <c r="E903" s="16" t="s">
        <v>1728</v>
      </c>
      <c r="F903" s="16" t="s">
        <v>5</v>
      </c>
      <c r="G903" s="35" t="s">
        <v>1729</v>
      </c>
      <c r="H903" s="39">
        <v>0</v>
      </c>
      <c r="I903" s="39">
        <v>0</v>
      </c>
      <c r="J903" s="39">
        <v>0</v>
      </c>
      <c r="K903" s="39">
        <v>0</v>
      </c>
      <c r="L903" s="39">
        <v>0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0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6269.87</v>
      </c>
      <c r="AD903" s="39">
        <v>5650.82</v>
      </c>
      <c r="AE903" s="39">
        <v>4790.72</v>
      </c>
      <c r="AF903" s="39">
        <v>0</v>
      </c>
      <c r="AG903" s="39">
        <v>0</v>
      </c>
      <c r="AH903" s="39">
        <v>0</v>
      </c>
      <c r="AI903" s="39">
        <v>6269.87</v>
      </c>
      <c r="AJ903" s="39">
        <v>5650.82</v>
      </c>
      <c r="AK903" s="39">
        <v>4790.72</v>
      </c>
      <c r="AL903" s="39">
        <v>0</v>
      </c>
      <c r="AM903" s="39">
        <v>0</v>
      </c>
      <c r="AN903" s="39">
        <v>0</v>
      </c>
      <c r="AO903" s="39">
        <v>6269.87</v>
      </c>
      <c r="AP903" s="39">
        <v>5650.82</v>
      </c>
      <c r="AQ903" s="39">
        <v>4790.72</v>
      </c>
      <c r="AR903" s="39">
        <v>6269.87</v>
      </c>
    </row>
    <row r="904" spans="1:44" x14ac:dyDescent="0.35">
      <c r="A904" s="16" t="str">
        <f>TEXT(1,"00")</f>
        <v>01</v>
      </c>
      <c r="B904" s="19">
        <v>61259</v>
      </c>
      <c r="C904" s="16" t="str">
        <f>TEXT(111476,"0000000")</f>
        <v>0111476</v>
      </c>
      <c r="D904" s="17" t="s">
        <v>90</v>
      </c>
      <c r="E904" s="16" t="s">
        <v>88</v>
      </c>
      <c r="F904" s="16" t="s">
        <v>5</v>
      </c>
      <c r="G904" s="35" t="s">
        <v>89</v>
      </c>
      <c r="H904" s="39">
        <v>0</v>
      </c>
      <c r="I904" s="39">
        <v>0</v>
      </c>
      <c r="J904" s="39">
        <v>0</v>
      </c>
      <c r="K904" s="39">
        <v>0</v>
      </c>
      <c r="L904" s="39">
        <v>0</v>
      </c>
      <c r="M904" s="39">
        <v>0</v>
      </c>
      <c r="N904" s="39">
        <v>0</v>
      </c>
      <c r="O904" s="39">
        <v>0</v>
      </c>
      <c r="P904" s="39">
        <v>0</v>
      </c>
      <c r="Q904" s="39">
        <v>0</v>
      </c>
      <c r="R904" s="39">
        <v>0</v>
      </c>
      <c r="S904" s="39">
        <v>0</v>
      </c>
      <c r="T904" s="39">
        <v>0</v>
      </c>
      <c r="U904" s="39">
        <v>0</v>
      </c>
      <c r="V904" s="39">
        <v>0</v>
      </c>
      <c r="W904" s="39">
        <v>0</v>
      </c>
      <c r="X904" s="39">
        <v>0</v>
      </c>
      <c r="Y904" s="39">
        <v>0</v>
      </c>
      <c r="Z904" s="39">
        <v>0</v>
      </c>
      <c r="AA904" s="39">
        <v>0</v>
      </c>
      <c r="AB904" s="39">
        <v>0</v>
      </c>
      <c r="AC904" s="39">
        <v>520.49</v>
      </c>
      <c r="AD904" s="39">
        <v>516.48</v>
      </c>
      <c r="AE904" s="39">
        <v>518.34</v>
      </c>
      <c r="AF904" s="39">
        <v>0</v>
      </c>
      <c r="AG904" s="39">
        <v>0</v>
      </c>
      <c r="AH904" s="39">
        <v>0</v>
      </c>
      <c r="AI904" s="39">
        <v>520.49</v>
      </c>
      <c r="AJ904" s="39">
        <v>516.48</v>
      </c>
      <c r="AK904" s="39">
        <v>518.34</v>
      </c>
      <c r="AL904" s="39">
        <v>0</v>
      </c>
      <c r="AM904" s="39">
        <v>0</v>
      </c>
      <c r="AN904" s="39">
        <v>0</v>
      </c>
      <c r="AO904" s="39">
        <v>520.49</v>
      </c>
      <c r="AP904" s="39">
        <v>516.48</v>
      </c>
      <c r="AQ904" s="39">
        <v>518.34</v>
      </c>
      <c r="AR904" s="39">
        <v>520.49</v>
      </c>
    </row>
    <row r="905" spans="1:44" x14ac:dyDescent="0.35">
      <c r="A905" s="16" t="str">
        <f>TEXT(33,"00")</f>
        <v>33</v>
      </c>
      <c r="B905" s="19">
        <v>67215</v>
      </c>
      <c r="C905" s="16" t="str">
        <f>TEXT(126128,"0000000")</f>
        <v>0126128</v>
      </c>
      <c r="D905" s="19">
        <v>1409</v>
      </c>
      <c r="E905" s="16" t="s">
        <v>1761</v>
      </c>
      <c r="F905" s="16" t="s">
        <v>5</v>
      </c>
      <c r="G905" s="35" t="s">
        <v>1762</v>
      </c>
      <c r="H905" s="39">
        <v>0</v>
      </c>
      <c r="I905" s="39">
        <v>0</v>
      </c>
      <c r="J905" s="39">
        <v>0</v>
      </c>
      <c r="K905" s="39">
        <v>0</v>
      </c>
      <c r="L905" s="39">
        <v>0</v>
      </c>
      <c r="M905" s="39">
        <v>0</v>
      </c>
      <c r="N905" s="39">
        <v>0</v>
      </c>
      <c r="O905" s="39">
        <v>0</v>
      </c>
      <c r="P905" s="39">
        <v>0</v>
      </c>
      <c r="Q905" s="39">
        <v>0</v>
      </c>
      <c r="R905" s="39">
        <v>0</v>
      </c>
      <c r="S905" s="39">
        <v>0</v>
      </c>
      <c r="T905" s="39">
        <v>0</v>
      </c>
      <c r="U905" s="39">
        <v>0</v>
      </c>
      <c r="V905" s="39">
        <v>0</v>
      </c>
      <c r="W905" s="39">
        <v>0</v>
      </c>
      <c r="X905" s="39">
        <v>0</v>
      </c>
      <c r="Y905" s="39">
        <v>0</v>
      </c>
      <c r="Z905" s="39">
        <v>0</v>
      </c>
      <c r="AA905" s="39">
        <v>0</v>
      </c>
      <c r="AB905" s="39">
        <v>0</v>
      </c>
      <c r="AC905" s="39">
        <v>610.41</v>
      </c>
      <c r="AD905" s="39">
        <v>604.03</v>
      </c>
      <c r="AE905" s="39">
        <v>572.53</v>
      </c>
      <c r="AF905" s="39">
        <v>0</v>
      </c>
      <c r="AG905" s="39">
        <v>0</v>
      </c>
      <c r="AH905" s="39">
        <v>0</v>
      </c>
      <c r="AI905" s="39">
        <v>610.41</v>
      </c>
      <c r="AJ905" s="39">
        <v>604.03</v>
      </c>
      <c r="AK905" s="39">
        <v>572.53</v>
      </c>
      <c r="AL905" s="39">
        <v>0</v>
      </c>
      <c r="AM905" s="39">
        <v>0</v>
      </c>
      <c r="AN905" s="39">
        <v>0</v>
      </c>
      <c r="AO905" s="39">
        <v>610.41</v>
      </c>
      <c r="AP905" s="39">
        <v>604.03</v>
      </c>
      <c r="AQ905" s="39">
        <v>572.53</v>
      </c>
      <c r="AR905" s="39">
        <v>610.41</v>
      </c>
    </row>
    <row r="906" spans="1:44" x14ac:dyDescent="0.35">
      <c r="A906" s="16" t="str">
        <f>TEXT(33,"00")</f>
        <v>33</v>
      </c>
      <c r="B906" s="19">
        <v>73676</v>
      </c>
      <c r="C906" s="16" t="str">
        <f>TEXT(121673,"0000000")</f>
        <v>0121673</v>
      </c>
      <c r="D906" s="19">
        <v>1188</v>
      </c>
      <c r="E906" s="16" t="s">
        <v>1769</v>
      </c>
      <c r="F906" s="16" t="s">
        <v>5</v>
      </c>
      <c r="G906" s="35" t="s">
        <v>1770</v>
      </c>
      <c r="H906" s="39">
        <v>0</v>
      </c>
      <c r="I906" s="39">
        <v>0</v>
      </c>
      <c r="J906" s="39">
        <v>0</v>
      </c>
      <c r="K906" s="39">
        <v>0</v>
      </c>
      <c r="L906" s="39">
        <v>0</v>
      </c>
      <c r="M906" s="39">
        <v>0</v>
      </c>
      <c r="N906" s="39">
        <v>0</v>
      </c>
      <c r="O906" s="39">
        <v>0</v>
      </c>
      <c r="P906" s="39">
        <v>0</v>
      </c>
      <c r="Q906" s="39">
        <v>0</v>
      </c>
      <c r="R906" s="39">
        <v>0</v>
      </c>
      <c r="S906" s="39">
        <v>0</v>
      </c>
      <c r="T906" s="39">
        <v>0</v>
      </c>
      <c r="U906" s="39">
        <v>0</v>
      </c>
      <c r="V906" s="39">
        <v>0</v>
      </c>
      <c r="W906" s="39">
        <v>0</v>
      </c>
      <c r="X906" s="39">
        <v>0</v>
      </c>
      <c r="Y906" s="39">
        <v>0</v>
      </c>
      <c r="Z906" s="39">
        <v>0</v>
      </c>
      <c r="AA906" s="39">
        <v>0</v>
      </c>
      <c r="AB906" s="39">
        <v>0</v>
      </c>
      <c r="AC906" s="39">
        <v>212.89</v>
      </c>
      <c r="AD906" s="39">
        <v>210.17</v>
      </c>
      <c r="AE906" s="39">
        <v>207.76</v>
      </c>
      <c r="AF906" s="39">
        <v>0</v>
      </c>
      <c r="AG906" s="39">
        <v>0</v>
      </c>
      <c r="AH906" s="39">
        <v>0</v>
      </c>
      <c r="AI906" s="39">
        <v>212.89</v>
      </c>
      <c r="AJ906" s="39">
        <v>210.17</v>
      </c>
      <c r="AK906" s="39">
        <v>207.76</v>
      </c>
      <c r="AL906" s="39">
        <v>0</v>
      </c>
      <c r="AM906" s="39">
        <v>0</v>
      </c>
      <c r="AN906" s="39">
        <v>0</v>
      </c>
      <c r="AO906" s="39">
        <v>212.89</v>
      </c>
      <c r="AP906" s="39">
        <v>210.17</v>
      </c>
      <c r="AQ906" s="39">
        <v>207.76</v>
      </c>
      <c r="AR906" s="39">
        <v>212.89</v>
      </c>
    </row>
    <row r="907" spans="1:44" ht="31" x14ac:dyDescent="0.35">
      <c r="A907" s="16" t="str">
        <f>TEXT(33,"00")</f>
        <v>33</v>
      </c>
      <c r="B907" s="19">
        <v>75176</v>
      </c>
      <c r="C907" s="16" t="str">
        <f>TEXT(120204,"0000000")</f>
        <v>0120204</v>
      </c>
      <c r="D907" s="19">
        <v>1118</v>
      </c>
      <c r="E907" s="16" t="s">
        <v>1773</v>
      </c>
      <c r="F907" s="16" t="s">
        <v>5</v>
      </c>
      <c r="G907" s="35" t="s">
        <v>1774</v>
      </c>
      <c r="H907" s="39">
        <v>0</v>
      </c>
      <c r="I907" s="39">
        <v>0</v>
      </c>
      <c r="J907" s="39">
        <v>0</v>
      </c>
      <c r="K907" s="39">
        <v>0</v>
      </c>
      <c r="L907" s="39">
        <v>0</v>
      </c>
      <c r="M907" s="39">
        <v>0</v>
      </c>
      <c r="N907" s="39">
        <v>0</v>
      </c>
      <c r="O907" s="39">
        <v>0</v>
      </c>
      <c r="P907" s="39">
        <v>0</v>
      </c>
      <c r="Q907" s="39">
        <v>0</v>
      </c>
      <c r="R907" s="39">
        <v>0</v>
      </c>
      <c r="S907" s="39">
        <v>0</v>
      </c>
      <c r="T907" s="39">
        <v>0</v>
      </c>
      <c r="U907" s="39">
        <v>0</v>
      </c>
      <c r="V907" s="39">
        <v>0</v>
      </c>
      <c r="W907" s="39">
        <v>0</v>
      </c>
      <c r="X907" s="39">
        <v>0</v>
      </c>
      <c r="Y907" s="39">
        <v>0</v>
      </c>
      <c r="Z907" s="39">
        <v>0</v>
      </c>
      <c r="AA907" s="39">
        <v>0</v>
      </c>
      <c r="AB907" s="39">
        <v>0</v>
      </c>
      <c r="AC907" s="39">
        <v>470.94</v>
      </c>
      <c r="AD907" s="39">
        <v>474.64</v>
      </c>
      <c r="AE907" s="39">
        <v>484.46</v>
      </c>
      <c r="AF907" s="39">
        <v>0</v>
      </c>
      <c r="AG907" s="39">
        <v>0</v>
      </c>
      <c r="AH907" s="39">
        <v>0</v>
      </c>
      <c r="AI907" s="39">
        <v>470.94</v>
      </c>
      <c r="AJ907" s="39">
        <v>474.64</v>
      </c>
      <c r="AK907" s="39">
        <v>484.46</v>
      </c>
      <c r="AL907" s="39">
        <v>0</v>
      </c>
      <c r="AM907" s="39">
        <v>0</v>
      </c>
      <c r="AN907" s="39">
        <v>0</v>
      </c>
      <c r="AO907" s="39">
        <v>470.94</v>
      </c>
      <c r="AP907" s="39">
        <v>474.64</v>
      </c>
      <c r="AQ907" s="39">
        <v>484.46</v>
      </c>
      <c r="AR907" s="39">
        <v>484.46</v>
      </c>
    </row>
    <row r="908" spans="1:44" x14ac:dyDescent="0.35">
      <c r="A908" s="16" t="str">
        <f>TEXT(33,"00")</f>
        <v>33</v>
      </c>
      <c r="B908" s="19">
        <v>75192</v>
      </c>
      <c r="C908" s="16" t="str">
        <f>TEXT(3330917,"0000000")</f>
        <v>3330917</v>
      </c>
      <c r="D908" s="17" t="s">
        <v>1779</v>
      </c>
      <c r="E908" s="16" t="s">
        <v>1777</v>
      </c>
      <c r="F908" s="16" t="s">
        <v>5</v>
      </c>
      <c r="G908" s="35" t="s">
        <v>1778</v>
      </c>
      <c r="H908" s="39">
        <v>0</v>
      </c>
      <c r="I908" s="39">
        <v>0</v>
      </c>
      <c r="J908" s="39">
        <v>0</v>
      </c>
      <c r="K908" s="39">
        <v>0</v>
      </c>
      <c r="L908" s="39">
        <v>0</v>
      </c>
      <c r="M908" s="39">
        <v>0</v>
      </c>
      <c r="N908" s="39">
        <v>0</v>
      </c>
      <c r="O908" s="39">
        <v>0</v>
      </c>
      <c r="P908" s="39">
        <v>0</v>
      </c>
      <c r="Q908" s="39">
        <v>0</v>
      </c>
      <c r="R908" s="39">
        <v>0</v>
      </c>
      <c r="S908" s="39">
        <v>0</v>
      </c>
      <c r="T908" s="39">
        <v>0</v>
      </c>
      <c r="U908" s="39">
        <v>0</v>
      </c>
      <c r="V908" s="39">
        <v>0</v>
      </c>
      <c r="W908" s="39">
        <v>0</v>
      </c>
      <c r="X908" s="39">
        <v>0</v>
      </c>
      <c r="Y908" s="39">
        <v>0</v>
      </c>
      <c r="Z908" s="39">
        <v>0</v>
      </c>
      <c r="AA908" s="39">
        <v>0</v>
      </c>
      <c r="AB908" s="39">
        <v>0</v>
      </c>
      <c r="AC908" s="39">
        <v>1038.8900000000001</v>
      </c>
      <c r="AD908" s="39">
        <v>1028.4000000000001</v>
      </c>
      <c r="AE908" s="39">
        <v>1018.76</v>
      </c>
      <c r="AF908" s="39">
        <v>0</v>
      </c>
      <c r="AG908" s="39">
        <v>0</v>
      </c>
      <c r="AH908" s="39">
        <v>0</v>
      </c>
      <c r="AI908" s="39">
        <v>1038.8900000000001</v>
      </c>
      <c r="AJ908" s="39">
        <v>1028.4000000000001</v>
      </c>
      <c r="AK908" s="39">
        <v>1018.76</v>
      </c>
      <c r="AL908" s="39">
        <v>0</v>
      </c>
      <c r="AM908" s="39">
        <v>0</v>
      </c>
      <c r="AN908" s="39">
        <v>0</v>
      </c>
      <c r="AO908" s="39">
        <v>1038.8900000000001</v>
      </c>
      <c r="AP908" s="39">
        <v>1028.4000000000001</v>
      </c>
      <c r="AQ908" s="39">
        <v>1018.76</v>
      </c>
      <c r="AR908" s="39">
        <v>1038.8900000000001</v>
      </c>
    </row>
    <row r="909" spans="1:44" x14ac:dyDescent="0.35">
      <c r="A909" s="16" t="str">
        <f>TEXT(33,"00")</f>
        <v>33</v>
      </c>
      <c r="B909" s="19">
        <v>75192</v>
      </c>
      <c r="C909" s="16" t="str">
        <f>TEXT(6112551,"0000000")</f>
        <v>6112551</v>
      </c>
      <c r="D909" s="17" t="s">
        <v>1782</v>
      </c>
      <c r="E909" s="16" t="s">
        <v>1780</v>
      </c>
      <c r="F909" s="16" t="s">
        <v>5</v>
      </c>
      <c r="G909" s="35" t="s">
        <v>1781</v>
      </c>
      <c r="H909" s="39">
        <v>0</v>
      </c>
      <c r="I909" s="39">
        <v>0</v>
      </c>
      <c r="J909" s="39">
        <v>0</v>
      </c>
      <c r="K909" s="39">
        <v>0</v>
      </c>
      <c r="L909" s="39">
        <v>0</v>
      </c>
      <c r="M909" s="39">
        <v>0</v>
      </c>
      <c r="N909" s="39">
        <v>0</v>
      </c>
      <c r="O909" s="39">
        <v>0</v>
      </c>
      <c r="P909" s="39">
        <v>0</v>
      </c>
      <c r="Q909" s="39">
        <v>0</v>
      </c>
      <c r="R909" s="39">
        <v>0</v>
      </c>
      <c r="S909" s="39">
        <v>0</v>
      </c>
      <c r="T909" s="39">
        <v>0</v>
      </c>
      <c r="U909" s="39">
        <v>0</v>
      </c>
      <c r="V909" s="39">
        <v>0</v>
      </c>
      <c r="W909" s="39">
        <v>0</v>
      </c>
      <c r="X909" s="39">
        <v>0</v>
      </c>
      <c r="Y909" s="39">
        <v>0</v>
      </c>
      <c r="Z909" s="39">
        <v>0</v>
      </c>
      <c r="AA909" s="39">
        <v>0</v>
      </c>
      <c r="AB909" s="39">
        <v>0</v>
      </c>
      <c r="AC909" s="39">
        <v>561.67999999999995</v>
      </c>
      <c r="AD909" s="39">
        <v>497.68</v>
      </c>
      <c r="AE909" s="39">
        <v>508.56</v>
      </c>
      <c r="AF909" s="39">
        <v>0</v>
      </c>
      <c r="AG909" s="39">
        <v>0</v>
      </c>
      <c r="AH909" s="39">
        <v>0</v>
      </c>
      <c r="AI909" s="39">
        <v>561.67999999999995</v>
      </c>
      <c r="AJ909" s="39">
        <v>497.68</v>
      </c>
      <c r="AK909" s="39">
        <v>508.56</v>
      </c>
      <c r="AL909" s="39">
        <v>0</v>
      </c>
      <c r="AM909" s="39">
        <v>0</v>
      </c>
      <c r="AN909" s="39">
        <v>0</v>
      </c>
      <c r="AO909" s="39">
        <v>561.67999999999995</v>
      </c>
      <c r="AP909" s="39">
        <v>497.68</v>
      </c>
      <c r="AQ909" s="39">
        <v>508.56</v>
      </c>
      <c r="AR909" s="39">
        <v>561.67999999999995</v>
      </c>
    </row>
    <row r="910" spans="1:44" x14ac:dyDescent="0.35">
      <c r="A910" s="16" t="str">
        <f>TEXT(34,"00")</f>
        <v>34</v>
      </c>
      <c r="B910" s="19">
        <v>10348</v>
      </c>
      <c r="C910" s="16" t="str">
        <f>TEXT(136275,"0000000")</f>
        <v>0136275</v>
      </c>
      <c r="D910" s="19">
        <v>1313</v>
      </c>
      <c r="E910" s="16" t="s">
        <v>1787</v>
      </c>
      <c r="F910" s="16" t="s">
        <v>5</v>
      </c>
      <c r="G910" s="35" t="s">
        <v>1788</v>
      </c>
      <c r="H910" s="39">
        <v>0</v>
      </c>
      <c r="I910" s="39">
        <v>0</v>
      </c>
      <c r="J910" s="39">
        <v>0</v>
      </c>
      <c r="K910" s="39">
        <v>0</v>
      </c>
      <c r="L910" s="39">
        <v>0</v>
      </c>
      <c r="M910" s="39">
        <v>0</v>
      </c>
      <c r="N910" s="39">
        <v>0</v>
      </c>
      <c r="O910" s="39">
        <v>0</v>
      </c>
      <c r="P910" s="39">
        <v>0</v>
      </c>
      <c r="Q910" s="39">
        <v>0</v>
      </c>
      <c r="R910" s="39">
        <v>0</v>
      </c>
      <c r="S910" s="39">
        <v>0</v>
      </c>
      <c r="T910" s="39">
        <v>0</v>
      </c>
      <c r="U910" s="39">
        <v>0</v>
      </c>
      <c r="V910" s="39">
        <v>0</v>
      </c>
      <c r="W910" s="39">
        <v>0</v>
      </c>
      <c r="X910" s="39">
        <v>0</v>
      </c>
      <c r="Y910" s="39">
        <v>0</v>
      </c>
      <c r="Z910" s="39">
        <v>1500.73</v>
      </c>
      <c r="AA910" s="39">
        <v>1578.34</v>
      </c>
      <c r="AB910" s="39">
        <v>1605.75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0</v>
      </c>
      <c r="AI910" s="39">
        <v>1500.73</v>
      </c>
      <c r="AJ910" s="39">
        <v>1578.34</v>
      </c>
      <c r="AK910" s="39">
        <v>1605.75</v>
      </c>
      <c r="AL910" s="39">
        <v>0</v>
      </c>
      <c r="AM910" s="39">
        <v>0</v>
      </c>
      <c r="AN910" s="39">
        <v>0</v>
      </c>
      <c r="AO910" s="39">
        <v>1500.73</v>
      </c>
      <c r="AP910" s="39">
        <v>1578.34</v>
      </c>
      <c r="AQ910" s="39">
        <v>1605.75</v>
      </c>
      <c r="AR910" s="39">
        <v>1605.75</v>
      </c>
    </row>
    <row r="911" spans="1:44" x14ac:dyDescent="0.35">
      <c r="A911" s="16" t="str">
        <f>TEXT(34,"00")</f>
        <v>34</v>
      </c>
      <c r="B911" s="19">
        <v>10348</v>
      </c>
      <c r="C911" s="16" t="str">
        <f>TEXT(140160,"0000000")</f>
        <v>0140160</v>
      </c>
      <c r="D911" s="19">
        <v>2100</v>
      </c>
      <c r="E911" s="16" t="s">
        <v>1789</v>
      </c>
      <c r="F911" s="16" t="s">
        <v>5</v>
      </c>
      <c r="G911" s="35" t="s">
        <v>1790</v>
      </c>
      <c r="H911" s="39">
        <v>0</v>
      </c>
      <c r="I911" s="39">
        <v>0</v>
      </c>
      <c r="J911" s="39">
        <v>0</v>
      </c>
      <c r="K911" s="39">
        <v>0</v>
      </c>
      <c r="L911" s="39">
        <v>0</v>
      </c>
      <c r="M911" s="39">
        <v>0</v>
      </c>
      <c r="N911" s="39">
        <v>0</v>
      </c>
      <c r="O911" s="39">
        <v>0</v>
      </c>
      <c r="P911" s="39">
        <v>0</v>
      </c>
      <c r="Q911" s="39">
        <v>0</v>
      </c>
      <c r="R911" s="39">
        <v>0</v>
      </c>
      <c r="S911" s="39">
        <v>0</v>
      </c>
      <c r="T911" s="39">
        <v>0</v>
      </c>
      <c r="U911" s="39">
        <v>0</v>
      </c>
      <c r="V911" s="39">
        <v>0</v>
      </c>
      <c r="W911" s="39">
        <v>0</v>
      </c>
      <c r="X911" s="39">
        <v>0</v>
      </c>
      <c r="Y911" s="39">
        <v>0</v>
      </c>
      <c r="Z911" s="39">
        <v>0</v>
      </c>
      <c r="AA911" s="39">
        <v>0</v>
      </c>
      <c r="AB911" s="39">
        <v>0</v>
      </c>
      <c r="AC911" s="39">
        <v>123.02</v>
      </c>
      <c r="AD911" s="39">
        <v>101.52</v>
      </c>
      <c r="AE911" s="39">
        <v>76.16</v>
      </c>
      <c r="AF911" s="39">
        <v>0</v>
      </c>
      <c r="AG911" s="39">
        <v>0</v>
      </c>
      <c r="AH911" s="39">
        <v>0</v>
      </c>
      <c r="AI911" s="39">
        <v>123.02</v>
      </c>
      <c r="AJ911" s="39">
        <v>101.52</v>
      </c>
      <c r="AK911" s="39">
        <v>76.16</v>
      </c>
      <c r="AL911" s="39">
        <v>0</v>
      </c>
      <c r="AM911" s="39">
        <v>0</v>
      </c>
      <c r="AN911" s="39">
        <v>0</v>
      </c>
      <c r="AO911" s="39">
        <v>123.02</v>
      </c>
      <c r="AP911" s="39">
        <v>101.52</v>
      </c>
      <c r="AQ911" s="39">
        <v>76.16</v>
      </c>
      <c r="AR911" s="39">
        <v>123.02</v>
      </c>
    </row>
    <row r="912" spans="1:44" ht="31" x14ac:dyDescent="0.35">
      <c r="A912" s="16" t="str">
        <f>TEXT(34,"00")</f>
        <v>34</v>
      </c>
      <c r="B912" s="19">
        <v>67314</v>
      </c>
      <c r="C912" s="16" t="str">
        <f>TEXT(137281,"0000000")</f>
        <v>0137281</v>
      </c>
      <c r="D912" s="19">
        <v>1949</v>
      </c>
      <c r="E912" s="16" t="s">
        <v>1798</v>
      </c>
      <c r="F912" s="16" t="s">
        <v>5</v>
      </c>
      <c r="G912" s="35" t="s">
        <v>1799</v>
      </c>
      <c r="H912" s="39">
        <v>0</v>
      </c>
      <c r="I912" s="39">
        <v>0</v>
      </c>
      <c r="J912" s="39">
        <v>0</v>
      </c>
      <c r="K912" s="39">
        <v>0</v>
      </c>
      <c r="L912" s="39">
        <v>0</v>
      </c>
      <c r="M912" s="39">
        <v>0</v>
      </c>
      <c r="N912" s="39">
        <v>0</v>
      </c>
      <c r="O912" s="39">
        <v>0</v>
      </c>
      <c r="P912" s="39">
        <v>0</v>
      </c>
      <c r="Q912" s="39">
        <v>0</v>
      </c>
      <c r="R912" s="39">
        <v>0</v>
      </c>
      <c r="S912" s="39">
        <v>0</v>
      </c>
      <c r="T912" s="39">
        <v>0</v>
      </c>
      <c r="U912" s="39">
        <v>0</v>
      </c>
      <c r="V912" s="39">
        <v>0</v>
      </c>
      <c r="W912" s="39">
        <v>0</v>
      </c>
      <c r="X912" s="39">
        <v>0</v>
      </c>
      <c r="Y912" s="39">
        <v>0</v>
      </c>
      <c r="Z912" s="39">
        <v>0</v>
      </c>
      <c r="AA912" s="39">
        <v>0</v>
      </c>
      <c r="AB912" s="39">
        <v>0</v>
      </c>
      <c r="AC912" s="39">
        <v>332.15</v>
      </c>
      <c r="AD912" s="39">
        <v>350.34</v>
      </c>
      <c r="AE912" s="39">
        <v>355.3</v>
      </c>
      <c r="AF912" s="39">
        <v>0</v>
      </c>
      <c r="AG912" s="39">
        <v>0</v>
      </c>
      <c r="AH912" s="39">
        <v>0</v>
      </c>
      <c r="AI912" s="39">
        <v>332.15</v>
      </c>
      <c r="AJ912" s="39">
        <v>350.34</v>
      </c>
      <c r="AK912" s="39">
        <v>355.3</v>
      </c>
      <c r="AL912" s="39">
        <v>0</v>
      </c>
      <c r="AM912" s="39">
        <v>0</v>
      </c>
      <c r="AN912" s="39">
        <v>0</v>
      </c>
      <c r="AO912" s="39">
        <v>332.15</v>
      </c>
      <c r="AP912" s="39">
        <v>350.34</v>
      </c>
      <c r="AQ912" s="39">
        <v>355.3</v>
      </c>
      <c r="AR912" s="39">
        <v>355.3</v>
      </c>
    </row>
    <row r="913" spans="1:44" x14ac:dyDescent="0.35">
      <c r="A913" s="16" t="str">
        <f>TEXT(34,"00")</f>
        <v>34</v>
      </c>
      <c r="B913" s="19">
        <v>67413</v>
      </c>
      <c r="C913" s="16" t="str">
        <f>TEXT(114660,"0000000")</f>
        <v>0114660</v>
      </c>
      <c r="D913" s="17" t="s">
        <v>1812</v>
      </c>
      <c r="E913" s="16" t="s">
        <v>1810</v>
      </c>
      <c r="F913" s="16" t="s">
        <v>5</v>
      </c>
      <c r="G913" s="35" t="s">
        <v>1811</v>
      </c>
      <c r="H913" s="39">
        <v>0</v>
      </c>
      <c r="I913" s="39">
        <v>0</v>
      </c>
      <c r="J913" s="39">
        <v>0</v>
      </c>
      <c r="K913" s="39">
        <v>0</v>
      </c>
      <c r="L913" s="39">
        <v>0</v>
      </c>
      <c r="M913" s="39">
        <v>0</v>
      </c>
      <c r="N913" s="39">
        <v>0</v>
      </c>
      <c r="O913" s="39">
        <v>0</v>
      </c>
      <c r="P913" s="39">
        <v>0</v>
      </c>
      <c r="Q913" s="39">
        <v>0</v>
      </c>
      <c r="R913" s="39">
        <v>0</v>
      </c>
      <c r="S913" s="39">
        <v>0</v>
      </c>
      <c r="T913" s="39">
        <v>0</v>
      </c>
      <c r="U913" s="39">
        <v>0</v>
      </c>
      <c r="V913" s="39">
        <v>0</v>
      </c>
      <c r="W913" s="39">
        <v>0</v>
      </c>
      <c r="X913" s="39">
        <v>0</v>
      </c>
      <c r="Y913" s="39">
        <v>0</v>
      </c>
      <c r="Z913" s="39">
        <v>0</v>
      </c>
      <c r="AA913" s="39">
        <v>0</v>
      </c>
      <c r="AB913" s="39">
        <v>0</v>
      </c>
      <c r="AC913" s="39">
        <v>298.23</v>
      </c>
      <c r="AD913" s="39">
        <v>328.16</v>
      </c>
      <c r="AE913" s="39">
        <v>345.09</v>
      </c>
      <c r="AF913" s="39">
        <v>0</v>
      </c>
      <c r="AG913" s="39">
        <v>0</v>
      </c>
      <c r="AH913" s="39">
        <v>0</v>
      </c>
      <c r="AI913" s="39">
        <v>298.23</v>
      </c>
      <c r="AJ913" s="39">
        <v>328.16</v>
      </c>
      <c r="AK913" s="39">
        <v>345.09</v>
      </c>
      <c r="AL913" s="39">
        <v>0</v>
      </c>
      <c r="AM913" s="39">
        <v>0</v>
      </c>
      <c r="AN913" s="39">
        <v>0</v>
      </c>
      <c r="AO913" s="39">
        <v>298.23</v>
      </c>
      <c r="AP913" s="39">
        <v>328.16</v>
      </c>
      <c r="AQ913" s="39">
        <v>345.09</v>
      </c>
      <c r="AR913" s="39">
        <v>345.09</v>
      </c>
    </row>
    <row r="914" spans="1:44" x14ac:dyDescent="0.35">
      <c r="A914" s="16" t="str">
        <f>TEXT(34,"00")</f>
        <v>34</v>
      </c>
      <c r="B914" s="19">
        <v>67439</v>
      </c>
      <c r="C914" s="16" t="str">
        <f>TEXT(101048,"0000000")</f>
        <v>0101048</v>
      </c>
      <c r="D914" s="17" t="s">
        <v>1823</v>
      </c>
      <c r="E914" s="16" t="s">
        <v>1821</v>
      </c>
      <c r="F914" s="16" t="s">
        <v>5</v>
      </c>
      <c r="G914" s="35" t="s">
        <v>1822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406.01</v>
      </c>
      <c r="AD914" s="39">
        <v>442.66</v>
      </c>
      <c r="AE914" s="39">
        <v>492.08</v>
      </c>
      <c r="AF914" s="39">
        <v>0</v>
      </c>
      <c r="AG914" s="39">
        <v>0</v>
      </c>
      <c r="AH914" s="39">
        <v>0</v>
      </c>
      <c r="AI914" s="39">
        <v>406.01</v>
      </c>
      <c r="AJ914" s="39">
        <v>442.66</v>
      </c>
      <c r="AK914" s="39">
        <v>492.08</v>
      </c>
      <c r="AL914" s="39">
        <v>0</v>
      </c>
      <c r="AM914" s="39">
        <v>0</v>
      </c>
      <c r="AN914" s="39">
        <v>0</v>
      </c>
      <c r="AO914" s="39">
        <v>406.01</v>
      </c>
      <c r="AP914" s="39">
        <v>442.66</v>
      </c>
      <c r="AQ914" s="39">
        <v>492.08</v>
      </c>
      <c r="AR914" s="39">
        <v>492.08</v>
      </c>
    </row>
    <row r="915" spans="1:44" x14ac:dyDescent="0.35">
      <c r="A915" s="16" t="str">
        <f>TEXT(1,"00")</f>
        <v>01</v>
      </c>
      <c r="B915" s="19">
        <v>61259</v>
      </c>
      <c r="C915" s="16" t="str">
        <f>TEXT(111856,"0000000")</f>
        <v>0111856</v>
      </c>
      <c r="D915" s="17" t="s">
        <v>93</v>
      </c>
      <c r="E915" s="16" t="s">
        <v>91</v>
      </c>
      <c r="F915" s="16" t="s">
        <v>5</v>
      </c>
      <c r="G915" s="35" t="s">
        <v>92</v>
      </c>
      <c r="H915" s="39">
        <v>0</v>
      </c>
      <c r="I915" s="39">
        <v>0</v>
      </c>
      <c r="J915" s="39">
        <v>0</v>
      </c>
      <c r="K915" s="39">
        <v>0</v>
      </c>
      <c r="L915" s="39">
        <v>0</v>
      </c>
      <c r="M915" s="39">
        <v>0</v>
      </c>
      <c r="N915" s="39">
        <v>0</v>
      </c>
      <c r="O915" s="39">
        <v>0</v>
      </c>
      <c r="P915" s="39">
        <v>0</v>
      </c>
      <c r="Q915" s="39">
        <v>0</v>
      </c>
      <c r="R915" s="39">
        <v>0</v>
      </c>
      <c r="S915" s="39">
        <v>0</v>
      </c>
      <c r="T915" s="39">
        <v>0</v>
      </c>
      <c r="U915" s="39">
        <v>0</v>
      </c>
      <c r="V915" s="39">
        <v>0</v>
      </c>
      <c r="W915" s="39">
        <v>0</v>
      </c>
      <c r="X915" s="39">
        <v>0</v>
      </c>
      <c r="Y915" s="39">
        <v>0</v>
      </c>
      <c r="Z915" s="39">
        <v>0</v>
      </c>
      <c r="AA915" s="39">
        <v>0</v>
      </c>
      <c r="AB915" s="39">
        <v>0</v>
      </c>
      <c r="AC915" s="39">
        <v>362.88</v>
      </c>
      <c r="AD915" s="39">
        <v>349.04</v>
      </c>
      <c r="AE915" s="39">
        <v>405.56</v>
      </c>
      <c r="AF915" s="39">
        <v>0</v>
      </c>
      <c r="AG915" s="39">
        <v>0</v>
      </c>
      <c r="AH915" s="39">
        <v>0</v>
      </c>
      <c r="AI915" s="39">
        <v>362.88</v>
      </c>
      <c r="AJ915" s="39">
        <v>349.04</v>
      </c>
      <c r="AK915" s="39">
        <v>405.56</v>
      </c>
      <c r="AL915" s="39">
        <v>0</v>
      </c>
      <c r="AM915" s="39">
        <v>0</v>
      </c>
      <c r="AN915" s="39">
        <v>0</v>
      </c>
      <c r="AO915" s="39">
        <v>362.88</v>
      </c>
      <c r="AP915" s="39">
        <v>349.04</v>
      </c>
      <c r="AQ915" s="39">
        <v>405.56</v>
      </c>
      <c r="AR915" s="39">
        <v>405.56</v>
      </c>
    </row>
    <row r="916" spans="1:44" x14ac:dyDescent="0.35">
      <c r="A916" s="16" t="str">
        <f t="shared" ref="A916:A925" si="80">TEXT(34,"00")</f>
        <v>34</v>
      </c>
      <c r="B916" s="19">
        <v>67439</v>
      </c>
      <c r="C916" s="16" t="str">
        <f>TEXT(102038,"0000000")</f>
        <v>0102038</v>
      </c>
      <c r="D916" s="17" t="s">
        <v>1826</v>
      </c>
      <c r="E916" s="16" t="s">
        <v>1824</v>
      </c>
      <c r="F916" s="16" t="s">
        <v>5</v>
      </c>
      <c r="G916" s="35" t="s">
        <v>1825</v>
      </c>
      <c r="H916" s="39">
        <v>0</v>
      </c>
      <c r="I916" s="39">
        <v>0</v>
      </c>
      <c r="J916" s="39">
        <v>0</v>
      </c>
      <c r="K916" s="39">
        <v>0</v>
      </c>
      <c r="L916" s="39">
        <v>0</v>
      </c>
      <c r="M916" s="39">
        <v>0</v>
      </c>
      <c r="N916" s="39">
        <v>0</v>
      </c>
      <c r="O916" s="39">
        <v>0</v>
      </c>
      <c r="P916" s="39">
        <v>0</v>
      </c>
      <c r="Q916" s="39">
        <v>0</v>
      </c>
      <c r="R916" s="39">
        <v>0</v>
      </c>
      <c r="S916" s="39">
        <v>0</v>
      </c>
      <c r="T916" s="39">
        <v>0</v>
      </c>
      <c r="U916" s="39">
        <v>0</v>
      </c>
      <c r="V916" s="39">
        <v>0</v>
      </c>
      <c r="W916" s="39">
        <v>0</v>
      </c>
      <c r="X916" s="39">
        <v>0</v>
      </c>
      <c r="Y916" s="39">
        <v>0</v>
      </c>
      <c r="Z916" s="39">
        <v>0</v>
      </c>
      <c r="AA916" s="39">
        <v>0</v>
      </c>
      <c r="AB916" s="39">
        <v>0</v>
      </c>
      <c r="AC916" s="39">
        <v>356.22</v>
      </c>
      <c r="AD916" s="39">
        <v>310.14</v>
      </c>
      <c r="AE916" s="39">
        <v>320.94</v>
      </c>
      <c r="AF916" s="39">
        <v>0</v>
      </c>
      <c r="AG916" s="39">
        <v>0</v>
      </c>
      <c r="AH916" s="39">
        <v>0</v>
      </c>
      <c r="AI916" s="39">
        <v>356.22</v>
      </c>
      <c r="AJ916" s="39">
        <v>310.14</v>
      </c>
      <c r="AK916" s="39">
        <v>320.94</v>
      </c>
      <c r="AL916" s="39">
        <v>0</v>
      </c>
      <c r="AM916" s="39">
        <v>0</v>
      </c>
      <c r="AN916" s="39">
        <v>0</v>
      </c>
      <c r="AO916" s="39">
        <v>356.22</v>
      </c>
      <c r="AP916" s="39">
        <v>310.14</v>
      </c>
      <c r="AQ916" s="39">
        <v>320.94</v>
      </c>
      <c r="AR916" s="39">
        <v>356.22</v>
      </c>
    </row>
    <row r="917" spans="1:44" x14ac:dyDescent="0.35">
      <c r="A917" s="16" t="str">
        <f t="shared" si="80"/>
        <v>34</v>
      </c>
      <c r="B917" s="19">
        <v>67439</v>
      </c>
      <c r="C917" s="16" t="str">
        <f>TEXT(102343,"0000000")</f>
        <v>0102343</v>
      </c>
      <c r="D917" s="17" t="s">
        <v>1829</v>
      </c>
      <c r="E917" s="16" t="s">
        <v>1827</v>
      </c>
      <c r="F917" s="16" t="s">
        <v>5</v>
      </c>
      <c r="G917" s="35" t="s">
        <v>1828</v>
      </c>
      <c r="H917" s="39">
        <v>0</v>
      </c>
      <c r="I917" s="39">
        <v>0</v>
      </c>
      <c r="J917" s="39">
        <v>0</v>
      </c>
      <c r="K917" s="39">
        <v>0</v>
      </c>
      <c r="L917" s="39">
        <v>0</v>
      </c>
      <c r="M917" s="39">
        <v>0</v>
      </c>
      <c r="N917" s="39">
        <v>0</v>
      </c>
      <c r="O917" s="39">
        <v>0</v>
      </c>
      <c r="P917" s="39">
        <v>0</v>
      </c>
      <c r="Q917" s="39">
        <v>0</v>
      </c>
      <c r="R917" s="39">
        <v>0</v>
      </c>
      <c r="S917" s="39">
        <v>0</v>
      </c>
      <c r="T917" s="39">
        <v>0</v>
      </c>
      <c r="U917" s="39">
        <v>0</v>
      </c>
      <c r="V917" s="39">
        <v>0</v>
      </c>
      <c r="W917" s="39">
        <v>0</v>
      </c>
      <c r="X917" s="39">
        <v>0</v>
      </c>
      <c r="Y917" s="39">
        <v>0</v>
      </c>
      <c r="Z917" s="39">
        <v>0</v>
      </c>
      <c r="AA917" s="39">
        <v>0</v>
      </c>
      <c r="AB917" s="39">
        <v>0</v>
      </c>
      <c r="AC917" s="39">
        <v>198.33</v>
      </c>
      <c r="AD917" s="39">
        <v>187.48</v>
      </c>
      <c r="AE917" s="39">
        <v>161.06</v>
      </c>
      <c r="AF917" s="39">
        <v>0</v>
      </c>
      <c r="AG917" s="39">
        <v>0</v>
      </c>
      <c r="AH917" s="39">
        <v>0</v>
      </c>
      <c r="AI917" s="39">
        <v>198.33</v>
      </c>
      <c r="AJ917" s="39">
        <v>187.48</v>
      </c>
      <c r="AK917" s="39">
        <v>161.06</v>
      </c>
      <c r="AL917" s="39">
        <v>0</v>
      </c>
      <c r="AM917" s="39">
        <v>0</v>
      </c>
      <c r="AN917" s="39">
        <v>0</v>
      </c>
      <c r="AO917" s="39">
        <v>198.33</v>
      </c>
      <c r="AP917" s="39">
        <v>187.48</v>
      </c>
      <c r="AQ917" s="39">
        <v>161.06</v>
      </c>
      <c r="AR917" s="39">
        <v>198.33</v>
      </c>
    </row>
    <row r="918" spans="1:44" x14ac:dyDescent="0.35">
      <c r="A918" s="16" t="str">
        <f t="shared" si="80"/>
        <v>34</v>
      </c>
      <c r="B918" s="19">
        <v>67439</v>
      </c>
      <c r="C918" s="16" t="str">
        <f>TEXT(106898,"0000000")</f>
        <v>0106898</v>
      </c>
      <c r="D918" s="17" t="s">
        <v>1832</v>
      </c>
      <c r="E918" s="16" t="s">
        <v>1830</v>
      </c>
      <c r="F918" s="16" t="s">
        <v>5</v>
      </c>
      <c r="G918" s="35" t="s">
        <v>1831</v>
      </c>
      <c r="H918" s="39">
        <v>0</v>
      </c>
      <c r="I918" s="39">
        <v>0</v>
      </c>
      <c r="J918" s="39">
        <v>0</v>
      </c>
      <c r="K918" s="39">
        <v>0</v>
      </c>
      <c r="L918" s="39">
        <v>0</v>
      </c>
      <c r="M918" s="39">
        <v>0</v>
      </c>
      <c r="N918" s="39">
        <v>0</v>
      </c>
      <c r="O918" s="39">
        <v>0</v>
      </c>
      <c r="P918" s="39">
        <v>0</v>
      </c>
      <c r="Q918" s="39">
        <v>0</v>
      </c>
      <c r="R918" s="39">
        <v>0</v>
      </c>
      <c r="S918" s="39">
        <v>0</v>
      </c>
      <c r="T918" s="39">
        <v>0</v>
      </c>
      <c r="U918" s="39">
        <v>0</v>
      </c>
      <c r="V918" s="39">
        <v>0</v>
      </c>
      <c r="W918" s="39">
        <v>0</v>
      </c>
      <c r="X918" s="39">
        <v>0</v>
      </c>
      <c r="Y918" s="39">
        <v>0</v>
      </c>
      <c r="Z918" s="39">
        <v>0</v>
      </c>
      <c r="AA918" s="39">
        <v>0</v>
      </c>
      <c r="AB918" s="39">
        <v>0</v>
      </c>
      <c r="AC918" s="39">
        <v>586.51</v>
      </c>
      <c r="AD918" s="39">
        <v>586.72</v>
      </c>
      <c r="AE918" s="39">
        <v>576.53</v>
      </c>
      <c r="AF918" s="39">
        <v>0</v>
      </c>
      <c r="AG918" s="39">
        <v>0</v>
      </c>
      <c r="AH918" s="39">
        <v>0</v>
      </c>
      <c r="AI918" s="39">
        <v>586.51</v>
      </c>
      <c r="AJ918" s="39">
        <v>586.72</v>
      </c>
      <c r="AK918" s="39">
        <v>576.53</v>
      </c>
      <c r="AL918" s="39">
        <v>0</v>
      </c>
      <c r="AM918" s="39">
        <v>0</v>
      </c>
      <c r="AN918" s="39">
        <v>0</v>
      </c>
      <c r="AO918" s="39">
        <v>586.51</v>
      </c>
      <c r="AP918" s="39">
        <v>586.72</v>
      </c>
      <c r="AQ918" s="39">
        <v>576.53</v>
      </c>
      <c r="AR918" s="39">
        <v>586.72</v>
      </c>
    </row>
    <row r="919" spans="1:44" ht="31" x14ac:dyDescent="0.35">
      <c r="A919" s="16" t="str">
        <f t="shared" si="80"/>
        <v>34</v>
      </c>
      <c r="B919" s="19">
        <v>67439</v>
      </c>
      <c r="C919" s="16" t="str">
        <f>TEXT(121665,"0000000")</f>
        <v>0121665</v>
      </c>
      <c r="D919" s="19">
        <v>1186</v>
      </c>
      <c r="E919" s="16" t="s">
        <v>1836</v>
      </c>
      <c r="F919" s="16" t="s">
        <v>5</v>
      </c>
      <c r="G919" s="35" t="s">
        <v>1837</v>
      </c>
      <c r="H919" s="39">
        <v>0</v>
      </c>
      <c r="I919" s="39">
        <v>0</v>
      </c>
      <c r="J919" s="39">
        <v>0</v>
      </c>
      <c r="K919" s="39">
        <v>0</v>
      </c>
      <c r="L919" s="39">
        <v>0</v>
      </c>
      <c r="M919" s="39">
        <v>0</v>
      </c>
      <c r="N919" s="39">
        <v>0</v>
      </c>
      <c r="O919" s="39">
        <v>0</v>
      </c>
      <c r="P919" s="39">
        <v>0</v>
      </c>
      <c r="Q919" s="39">
        <v>0</v>
      </c>
      <c r="R919" s="39">
        <v>0</v>
      </c>
      <c r="S919" s="39">
        <v>0</v>
      </c>
      <c r="T919" s="39">
        <v>0</v>
      </c>
      <c r="U919" s="39">
        <v>0</v>
      </c>
      <c r="V919" s="39">
        <v>0</v>
      </c>
      <c r="W919" s="39">
        <v>0</v>
      </c>
      <c r="X919" s="39">
        <v>0</v>
      </c>
      <c r="Y919" s="39">
        <v>0</v>
      </c>
      <c r="Z919" s="39">
        <v>0</v>
      </c>
      <c r="AA919" s="39">
        <v>0</v>
      </c>
      <c r="AB919" s="39">
        <v>0</v>
      </c>
      <c r="AC919" s="39">
        <v>447.35</v>
      </c>
      <c r="AD919" s="39">
        <v>434.45</v>
      </c>
      <c r="AE919" s="39">
        <v>381.84</v>
      </c>
      <c r="AF919" s="39">
        <v>0</v>
      </c>
      <c r="AG919" s="39">
        <v>0</v>
      </c>
      <c r="AH919" s="39">
        <v>0</v>
      </c>
      <c r="AI919" s="39">
        <v>447.35</v>
      </c>
      <c r="AJ919" s="39">
        <v>434.45</v>
      </c>
      <c r="AK919" s="39">
        <v>381.84</v>
      </c>
      <c r="AL919" s="39">
        <v>0</v>
      </c>
      <c r="AM919" s="39">
        <v>0</v>
      </c>
      <c r="AN919" s="39">
        <v>0</v>
      </c>
      <c r="AO919" s="39">
        <v>447.35</v>
      </c>
      <c r="AP919" s="39">
        <v>434.45</v>
      </c>
      <c r="AQ919" s="39">
        <v>381.84</v>
      </c>
      <c r="AR919" s="39">
        <v>447.35</v>
      </c>
    </row>
    <row r="920" spans="1:44" x14ac:dyDescent="0.35">
      <c r="A920" s="16" t="str">
        <f t="shared" si="80"/>
        <v>34</v>
      </c>
      <c r="B920" s="19">
        <v>67439</v>
      </c>
      <c r="C920" s="16" t="str">
        <f>TEXT(123901,"0000000")</f>
        <v>0123901</v>
      </c>
      <c r="D920" s="19">
        <v>1273</v>
      </c>
      <c r="E920" s="16" t="s">
        <v>1838</v>
      </c>
      <c r="F920" s="16" t="s">
        <v>5</v>
      </c>
      <c r="G920" s="35" t="s">
        <v>1839</v>
      </c>
      <c r="H920" s="39">
        <v>0</v>
      </c>
      <c r="I920" s="39">
        <v>0</v>
      </c>
      <c r="J920" s="39">
        <v>0</v>
      </c>
      <c r="K920" s="39">
        <v>0</v>
      </c>
      <c r="L920" s="39">
        <v>0</v>
      </c>
      <c r="M920" s="39">
        <v>0</v>
      </c>
      <c r="N920" s="39">
        <v>0</v>
      </c>
      <c r="O920" s="39">
        <v>0</v>
      </c>
      <c r="P920" s="39">
        <v>0</v>
      </c>
      <c r="Q920" s="39">
        <v>0</v>
      </c>
      <c r="R920" s="39">
        <v>0</v>
      </c>
      <c r="S920" s="39">
        <v>0</v>
      </c>
      <c r="T920" s="39">
        <v>0</v>
      </c>
      <c r="U920" s="39">
        <v>0</v>
      </c>
      <c r="V920" s="39">
        <v>0</v>
      </c>
      <c r="W920" s="39">
        <v>0</v>
      </c>
      <c r="X920" s="39">
        <v>0</v>
      </c>
      <c r="Y920" s="39">
        <v>0</v>
      </c>
      <c r="Z920" s="39">
        <v>0</v>
      </c>
      <c r="AA920" s="39">
        <v>0</v>
      </c>
      <c r="AB920" s="39">
        <v>0</v>
      </c>
      <c r="AC920" s="39">
        <v>475.19</v>
      </c>
      <c r="AD920" s="39">
        <v>404.27</v>
      </c>
      <c r="AE920" s="39">
        <v>382.63</v>
      </c>
      <c r="AF920" s="39">
        <v>0</v>
      </c>
      <c r="AG920" s="39">
        <v>0</v>
      </c>
      <c r="AH920" s="39">
        <v>0</v>
      </c>
      <c r="AI920" s="39">
        <v>475.19</v>
      </c>
      <c r="AJ920" s="39">
        <v>404.27</v>
      </c>
      <c r="AK920" s="39">
        <v>382.63</v>
      </c>
      <c r="AL920" s="39">
        <v>0</v>
      </c>
      <c r="AM920" s="39">
        <v>0</v>
      </c>
      <c r="AN920" s="39">
        <v>0</v>
      </c>
      <c r="AO920" s="39">
        <v>475.19</v>
      </c>
      <c r="AP920" s="39">
        <v>404.27</v>
      </c>
      <c r="AQ920" s="39">
        <v>382.63</v>
      </c>
      <c r="AR920" s="39">
        <v>475.19</v>
      </c>
    </row>
    <row r="921" spans="1:44" x14ac:dyDescent="0.35">
      <c r="A921" s="16" t="str">
        <f t="shared" si="80"/>
        <v>34</v>
      </c>
      <c r="B921" s="19">
        <v>67439</v>
      </c>
      <c r="C921" s="16" t="str">
        <f>TEXT(135343,"0000000")</f>
        <v>0135343</v>
      </c>
      <c r="D921" s="19">
        <v>1848</v>
      </c>
      <c r="E921" s="16" t="s">
        <v>1840</v>
      </c>
      <c r="F921" s="16" t="s">
        <v>5</v>
      </c>
      <c r="G921" s="35" t="s">
        <v>1841</v>
      </c>
      <c r="H921" s="39">
        <v>0</v>
      </c>
      <c r="I921" s="39">
        <v>0</v>
      </c>
      <c r="J921" s="39">
        <v>0</v>
      </c>
      <c r="K921" s="39">
        <v>0</v>
      </c>
      <c r="L921" s="39">
        <v>0</v>
      </c>
      <c r="M921" s="39">
        <v>0</v>
      </c>
      <c r="N921" s="39">
        <v>0</v>
      </c>
      <c r="O921" s="39">
        <v>0</v>
      </c>
      <c r="P921" s="39">
        <v>0</v>
      </c>
      <c r="Q921" s="39">
        <v>0</v>
      </c>
      <c r="R921" s="39">
        <v>0</v>
      </c>
      <c r="S921" s="39">
        <v>0</v>
      </c>
      <c r="T921" s="39">
        <v>0</v>
      </c>
      <c r="U921" s="39">
        <v>0</v>
      </c>
      <c r="V921" s="39">
        <v>0</v>
      </c>
      <c r="W921" s="39">
        <v>0</v>
      </c>
      <c r="X921" s="39">
        <v>0</v>
      </c>
      <c r="Y921" s="39">
        <v>0</v>
      </c>
      <c r="Z921" s="39">
        <v>0</v>
      </c>
      <c r="AA921" s="39">
        <v>0</v>
      </c>
      <c r="AB921" s="39">
        <v>0</v>
      </c>
      <c r="AC921" s="39">
        <v>279.98</v>
      </c>
      <c r="AD921" s="39">
        <v>264.25</v>
      </c>
      <c r="AE921" s="39">
        <v>247.35</v>
      </c>
      <c r="AF921" s="39">
        <v>0</v>
      </c>
      <c r="AG921" s="39">
        <v>0</v>
      </c>
      <c r="AH921" s="39">
        <v>0</v>
      </c>
      <c r="AI921" s="39">
        <v>279.98</v>
      </c>
      <c r="AJ921" s="39">
        <v>264.25</v>
      </c>
      <c r="AK921" s="39">
        <v>247.35</v>
      </c>
      <c r="AL921" s="39">
        <v>0</v>
      </c>
      <c r="AM921" s="39">
        <v>0</v>
      </c>
      <c r="AN921" s="39">
        <v>0</v>
      </c>
      <c r="AO921" s="39">
        <v>279.98</v>
      </c>
      <c r="AP921" s="39">
        <v>264.25</v>
      </c>
      <c r="AQ921" s="39">
        <v>247.35</v>
      </c>
      <c r="AR921" s="39">
        <v>279.98</v>
      </c>
    </row>
    <row r="922" spans="1:44" ht="31" x14ac:dyDescent="0.35">
      <c r="A922" s="16" t="str">
        <f t="shared" si="80"/>
        <v>34</v>
      </c>
      <c r="B922" s="19">
        <v>67439</v>
      </c>
      <c r="C922" s="16" t="str">
        <f>TEXT(137406,"0000000")</f>
        <v>0137406</v>
      </c>
      <c r="D922" s="19">
        <v>1948</v>
      </c>
      <c r="E922" s="16" t="s">
        <v>1842</v>
      </c>
      <c r="F922" s="16" t="s">
        <v>5</v>
      </c>
      <c r="G922" s="35" t="s">
        <v>1843</v>
      </c>
      <c r="H922" s="39">
        <v>0</v>
      </c>
      <c r="I922" s="39">
        <v>0</v>
      </c>
      <c r="J922" s="39">
        <v>0</v>
      </c>
      <c r="K922" s="39">
        <v>0</v>
      </c>
      <c r="L922" s="39">
        <v>0</v>
      </c>
      <c r="M922" s="39">
        <v>0</v>
      </c>
      <c r="N922" s="39">
        <v>0</v>
      </c>
      <c r="O922" s="39">
        <v>0</v>
      </c>
      <c r="P922" s="39">
        <v>0</v>
      </c>
      <c r="Q922" s="39">
        <v>0</v>
      </c>
      <c r="R922" s="39">
        <v>0</v>
      </c>
      <c r="S922" s="39">
        <v>0</v>
      </c>
      <c r="T922" s="39">
        <v>0</v>
      </c>
      <c r="U922" s="39">
        <v>0</v>
      </c>
      <c r="V922" s="39">
        <v>0</v>
      </c>
      <c r="W922" s="39">
        <v>0</v>
      </c>
      <c r="X922" s="39">
        <v>0</v>
      </c>
      <c r="Y922" s="39">
        <v>0</v>
      </c>
      <c r="Z922" s="39">
        <v>0</v>
      </c>
      <c r="AA922" s="39">
        <v>0</v>
      </c>
      <c r="AB922" s="39">
        <v>0</v>
      </c>
      <c r="AC922" s="39">
        <v>608.77</v>
      </c>
      <c r="AD922" s="39">
        <v>640.4</v>
      </c>
      <c r="AE922" s="39">
        <v>662.77</v>
      </c>
      <c r="AF922" s="39">
        <v>0</v>
      </c>
      <c r="AG922" s="39">
        <v>0</v>
      </c>
      <c r="AH922" s="39">
        <v>0</v>
      </c>
      <c r="AI922" s="39">
        <v>608.77</v>
      </c>
      <c r="AJ922" s="39">
        <v>640.4</v>
      </c>
      <c r="AK922" s="39">
        <v>662.77</v>
      </c>
      <c r="AL922" s="39">
        <v>0</v>
      </c>
      <c r="AM922" s="39">
        <v>0</v>
      </c>
      <c r="AN922" s="39">
        <v>0</v>
      </c>
      <c r="AO922" s="39">
        <v>608.77</v>
      </c>
      <c r="AP922" s="39">
        <v>640.4</v>
      </c>
      <c r="AQ922" s="39">
        <v>662.77</v>
      </c>
      <c r="AR922" s="39">
        <v>662.77</v>
      </c>
    </row>
    <row r="923" spans="1:44" ht="31" x14ac:dyDescent="0.35">
      <c r="A923" s="16" t="str">
        <f t="shared" si="80"/>
        <v>34</v>
      </c>
      <c r="B923" s="19">
        <v>67447</v>
      </c>
      <c r="C923" s="16" t="str">
        <f>TEXT(120469,"0000000")</f>
        <v>0120469</v>
      </c>
      <c r="D923" s="19">
        <v>1554</v>
      </c>
      <c r="E923" s="16" t="s">
        <v>1849</v>
      </c>
      <c r="F923" s="16" t="s">
        <v>5</v>
      </c>
      <c r="G923" s="35" t="s">
        <v>1850</v>
      </c>
      <c r="H923" s="39">
        <v>0</v>
      </c>
      <c r="I923" s="39">
        <v>0</v>
      </c>
      <c r="J923" s="39">
        <v>0</v>
      </c>
      <c r="K923" s="39">
        <v>0</v>
      </c>
      <c r="L923" s="39">
        <v>0</v>
      </c>
      <c r="M923" s="39">
        <v>0</v>
      </c>
      <c r="N923" s="39">
        <v>0</v>
      </c>
      <c r="O923" s="39">
        <v>0</v>
      </c>
      <c r="P923" s="39">
        <v>0</v>
      </c>
      <c r="Q923" s="39">
        <v>0</v>
      </c>
      <c r="R923" s="39">
        <v>0</v>
      </c>
      <c r="S923" s="39">
        <v>0</v>
      </c>
      <c r="T923" s="39">
        <v>0</v>
      </c>
      <c r="U923" s="39">
        <v>0</v>
      </c>
      <c r="V923" s="39">
        <v>0</v>
      </c>
      <c r="W923" s="39">
        <v>0</v>
      </c>
      <c r="X923" s="39">
        <v>0</v>
      </c>
      <c r="Y923" s="39">
        <v>0</v>
      </c>
      <c r="Z923" s="39">
        <v>0</v>
      </c>
      <c r="AA923" s="39">
        <v>0</v>
      </c>
      <c r="AB923" s="39">
        <v>0</v>
      </c>
      <c r="AC923" s="39">
        <v>400.22</v>
      </c>
      <c r="AD923" s="39">
        <v>393.6</v>
      </c>
      <c r="AE923" s="39">
        <v>385.55</v>
      </c>
      <c r="AF923" s="39">
        <v>0</v>
      </c>
      <c r="AG923" s="39">
        <v>0</v>
      </c>
      <c r="AH923" s="39">
        <v>0</v>
      </c>
      <c r="AI923" s="39">
        <v>400.22</v>
      </c>
      <c r="AJ923" s="39">
        <v>393.6</v>
      </c>
      <c r="AK923" s="39">
        <v>385.55</v>
      </c>
      <c r="AL923" s="39">
        <v>0</v>
      </c>
      <c r="AM923" s="39">
        <v>0</v>
      </c>
      <c r="AN923" s="39">
        <v>0</v>
      </c>
      <c r="AO923" s="39">
        <v>400.22</v>
      </c>
      <c r="AP923" s="39">
        <v>393.6</v>
      </c>
      <c r="AQ923" s="39">
        <v>385.55</v>
      </c>
      <c r="AR923" s="39">
        <v>400.22</v>
      </c>
    </row>
    <row r="924" spans="1:44" x14ac:dyDescent="0.35">
      <c r="A924" s="16" t="str">
        <f t="shared" si="80"/>
        <v>34</v>
      </c>
      <c r="B924" s="19">
        <v>67447</v>
      </c>
      <c r="C924" s="16" t="str">
        <f>TEXT(121467,"0000000")</f>
        <v>0121467</v>
      </c>
      <c r="D924" s="19">
        <v>1555</v>
      </c>
      <c r="E924" s="16" t="s">
        <v>1851</v>
      </c>
      <c r="F924" s="16" t="s">
        <v>5</v>
      </c>
      <c r="G924" s="35" t="s">
        <v>1852</v>
      </c>
      <c r="H924" s="39">
        <v>0</v>
      </c>
      <c r="I924" s="39">
        <v>0</v>
      </c>
      <c r="J924" s="39">
        <v>0</v>
      </c>
      <c r="K924" s="39">
        <v>0</v>
      </c>
      <c r="L924" s="39">
        <v>0</v>
      </c>
      <c r="M924" s="39">
        <v>0</v>
      </c>
      <c r="N924" s="39">
        <v>0</v>
      </c>
      <c r="O924" s="39">
        <v>0</v>
      </c>
      <c r="P924" s="39">
        <v>0</v>
      </c>
      <c r="Q924" s="39">
        <v>0</v>
      </c>
      <c r="R924" s="39">
        <v>0</v>
      </c>
      <c r="S924" s="39">
        <v>0</v>
      </c>
      <c r="T924" s="39">
        <v>0</v>
      </c>
      <c r="U924" s="39">
        <v>0</v>
      </c>
      <c r="V924" s="39">
        <v>0</v>
      </c>
      <c r="W924" s="39">
        <v>0</v>
      </c>
      <c r="X924" s="39">
        <v>0</v>
      </c>
      <c r="Y924" s="39">
        <v>0</v>
      </c>
      <c r="Z924" s="39">
        <v>0</v>
      </c>
      <c r="AA924" s="39">
        <v>0</v>
      </c>
      <c r="AB924" s="39">
        <v>0</v>
      </c>
      <c r="AC924" s="39">
        <v>432.63</v>
      </c>
      <c r="AD924" s="39">
        <v>429.13</v>
      </c>
      <c r="AE924" s="39">
        <v>453.04</v>
      </c>
      <c r="AF924" s="39">
        <v>0</v>
      </c>
      <c r="AG924" s="39">
        <v>0</v>
      </c>
      <c r="AH924" s="39">
        <v>0</v>
      </c>
      <c r="AI924" s="39">
        <v>432.63</v>
      </c>
      <c r="AJ924" s="39">
        <v>429.13</v>
      </c>
      <c r="AK924" s="39">
        <v>453.04</v>
      </c>
      <c r="AL924" s="39">
        <v>0</v>
      </c>
      <c r="AM924" s="39">
        <v>0</v>
      </c>
      <c r="AN924" s="39">
        <v>0</v>
      </c>
      <c r="AO924" s="39">
        <v>432.63</v>
      </c>
      <c r="AP924" s="39">
        <v>429.13</v>
      </c>
      <c r="AQ924" s="39">
        <v>453.04</v>
      </c>
      <c r="AR924" s="39">
        <v>453.04</v>
      </c>
    </row>
    <row r="925" spans="1:44" x14ac:dyDescent="0.35">
      <c r="A925" s="16" t="str">
        <f t="shared" si="80"/>
        <v>34</v>
      </c>
      <c r="B925" s="19">
        <v>67447</v>
      </c>
      <c r="C925" s="16" t="str">
        <f>TEXT(128124,"0000000")</f>
        <v>0128124</v>
      </c>
      <c r="D925" s="19">
        <v>1563</v>
      </c>
      <c r="E925" s="16" t="s">
        <v>1853</v>
      </c>
      <c r="F925" s="16" t="s">
        <v>5</v>
      </c>
      <c r="G925" s="35" t="s">
        <v>1854</v>
      </c>
      <c r="H925" s="39">
        <v>0</v>
      </c>
      <c r="I925" s="39">
        <v>0</v>
      </c>
      <c r="J925" s="39">
        <v>0</v>
      </c>
      <c r="K925" s="39">
        <v>0</v>
      </c>
      <c r="L925" s="39">
        <v>0</v>
      </c>
      <c r="M925" s="39">
        <v>0</v>
      </c>
      <c r="N925" s="39">
        <v>0</v>
      </c>
      <c r="O925" s="39">
        <v>0</v>
      </c>
      <c r="P925" s="39">
        <v>0</v>
      </c>
      <c r="Q925" s="39">
        <v>0</v>
      </c>
      <c r="R925" s="39">
        <v>0</v>
      </c>
      <c r="S925" s="39">
        <v>0</v>
      </c>
      <c r="T925" s="39">
        <v>0</v>
      </c>
      <c r="U925" s="39">
        <v>0</v>
      </c>
      <c r="V925" s="39">
        <v>0</v>
      </c>
      <c r="W925" s="39">
        <v>0</v>
      </c>
      <c r="X925" s="39">
        <v>0</v>
      </c>
      <c r="Y925" s="39">
        <v>0</v>
      </c>
      <c r="Z925" s="39">
        <v>0</v>
      </c>
      <c r="AA925" s="39">
        <v>0</v>
      </c>
      <c r="AB925" s="39">
        <v>0</v>
      </c>
      <c r="AC925" s="39">
        <v>587.97</v>
      </c>
      <c r="AD925" s="39">
        <v>555.26</v>
      </c>
      <c r="AE925" s="39">
        <v>539.33000000000004</v>
      </c>
      <c r="AF925" s="39">
        <v>0</v>
      </c>
      <c r="AG925" s="39">
        <v>0</v>
      </c>
      <c r="AH925" s="39">
        <v>0</v>
      </c>
      <c r="AI925" s="39">
        <v>587.97</v>
      </c>
      <c r="AJ925" s="39">
        <v>555.26</v>
      </c>
      <c r="AK925" s="39">
        <v>539.33000000000004</v>
      </c>
      <c r="AL925" s="39">
        <v>0</v>
      </c>
      <c r="AM925" s="39">
        <v>0</v>
      </c>
      <c r="AN925" s="39">
        <v>0</v>
      </c>
      <c r="AO925" s="39">
        <v>587.97</v>
      </c>
      <c r="AP925" s="39">
        <v>555.26</v>
      </c>
      <c r="AQ925" s="39">
        <v>539.33000000000004</v>
      </c>
      <c r="AR925" s="39">
        <v>587.97</v>
      </c>
    </row>
    <row r="926" spans="1:44" x14ac:dyDescent="0.35">
      <c r="A926" s="16" t="str">
        <f>TEXT(1,"00")</f>
        <v>01</v>
      </c>
      <c r="B926" s="19">
        <v>61259</v>
      </c>
      <c r="C926" s="16" t="str">
        <f>TEXT(114363,"0000000")</f>
        <v>0114363</v>
      </c>
      <c r="D926" s="17" t="s">
        <v>96</v>
      </c>
      <c r="E926" s="16" t="s">
        <v>94</v>
      </c>
      <c r="F926" s="16" t="s">
        <v>5</v>
      </c>
      <c r="G926" s="35" t="s">
        <v>3507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577.65</v>
      </c>
      <c r="AD926" s="39">
        <v>604.49</v>
      </c>
      <c r="AE926" s="39">
        <v>597.22</v>
      </c>
      <c r="AF926" s="39">
        <v>0</v>
      </c>
      <c r="AG926" s="39">
        <v>0</v>
      </c>
      <c r="AH926" s="39">
        <v>0</v>
      </c>
      <c r="AI926" s="39">
        <v>577.65</v>
      </c>
      <c r="AJ926" s="39">
        <v>604.49</v>
      </c>
      <c r="AK926" s="39">
        <v>597.22</v>
      </c>
      <c r="AL926" s="39">
        <v>0</v>
      </c>
      <c r="AM926" s="39">
        <v>0</v>
      </c>
      <c r="AN926" s="39">
        <v>0</v>
      </c>
      <c r="AO926" s="39">
        <v>577.65</v>
      </c>
      <c r="AP926" s="39">
        <v>604.49</v>
      </c>
      <c r="AQ926" s="39">
        <v>597.22</v>
      </c>
      <c r="AR926" s="39">
        <v>604.49</v>
      </c>
    </row>
    <row r="927" spans="1:44" x14ac:dyDescent="0.35">
      <c r="A927" s="16" t="str">
        <f t="shared" ref="A927:A932" si="81">TEXT(34,"00")</f>
        <v>34</v>
      </c>
      <c r="B927" s="19">
        <v>75283</v>
      </c>
      <c r="C927" s="16" t="str">
        <f>TEXT(108860,"0000000")</f>
        <v>0108860</v>
      </c>
      <c r="D927" s="17" t="s">
        <v>1861</v>
      </c>
      <c r="E927" s="16" t="s">
        <v>1859</v>
      </c>
      <c r="F927" s="16" t="s">
        <v>5</v>
      </c>
      <c r="G927" s="35" t="s">
        <v>1860</v>
      </c>
      <c r="H927" s="39">
        <v>0</v>
      </c>
      <c r="I927" s="39">
        <v>0</v>
      </c>
      <c r="J927" s="39">
        <v>0</v>
      </c>
      <c r="K927" s="39">
        <v>0</v>
      </c>
      <c r="L927" s="39">
        <v>0</v>
      </c>
      <c r="M927" s="39">
        <v>0</v>
      </c>
      <c r="N927" s="39">
        <v>0</v>
      </c>
      <c r="O927" s="39">
        <v>0</v>
      </c>
      <c r="P927" s="39">
        <v>0</v>
      </c>
      <c r="Q927" s="39">
        <v>0</v>
      </c>
      <c r="R927" s="39">
        <v>0</v>
      </c>
      <c r="S927" s="39">
        <v>0</v>
      </c>
      <c r="T927" s="39">
        <v>0</v>
      </c>
      <c r="U927" s="39">
        <v>0</v>
      </c>
      <c r="V927" s="39">
        <v>0</v>
      </c>
      <c r="W927" s="39">
        <v>0</v>
      </c>
      <c r="X927" s="39">
        <v>0</v>
      </c>
      <c r="Y927" s="39">
        <v>0</v>
      </c>
      <c r="Z927" s="39">
        <v>0</v>
      </c>
      <c r="AA927" s="39">
        <v>0</v>
      </c>
      <c r="AB927" s="39">
        <v>0</v>
      </c>
      <c r="AC927" s="39">
        <v>1393.75</v>
      </c>
      <c r="AD927" s="39">
        <v>1294.07</v>
      </c>
      <c r="AE927" s="39">
        <v>1160.83</v>
      </c>
      <c r="AF927" s="39">
        <v>0</v>
      </c>
      <c r="AG927" s="39">
        <v>0</v>
      </c>
      <c r="AH927" s="39">
        <v>0</v>
      </c>
      <c r="AI927" s="39">
        <v>1393.75</v>
      </c>
      <c r="AJ927" s="39">
        <v>1294.07</v>
      </c>
      <c r="AK927" s="39">
        <v>1160.83</v>
      </c>
      <c r="AL927" s="39">
        <v>0</v>
      </c>
      <c r="AM927" s="39">
        <v>0</v>
      </c>
      <c r="AN927" s="39">
        <v>0</v>
      </c>
      <c r="AO927" s="39">
        <v>1393.75</v>
      </c>
      <c r="AP927" s="39">
        <v>1294.07</v>
      </c>
      <c r="AQ927" s="39">
        <v>1160.83</v>
      </c>
      <c r="AR927" s="39">
        <v>1393.75</v>
      </c>
    </row>
    <row r="928" spans="1:44" x14ac:dyDescent="0.35">
      <c r="A928" s="16" t="str">
        <f t="shared" si="81"/>
        <v>34</v>
      </c>
      <c r="B928" s="19">
        <v>76505</v>
      </c>
      <c r="C928" s="16" t="str">
        <f>TEXT(101766,"0000000")</f>
        <v>0101766</v>
      </c>
      <c r="D928" s="17" t="s">
        <v>1869</v>
      </c>
      <c r="E928" s="16" t="s">
        <v>1867</v>
      </c>
      <c r="F928" s="16" t="s">
        <v>5</v>
      </c>
      <c r="G928" s="35" t="s">
        <v>1868</v>
      </c>
      <c r="H928" s="39">
        <v>0</v>
      </c>
      <c r="I928" s="39">
        <v>0</v>
      </c>
      <c r="J928" s="39">
        <v>0</v>
      </c>
      <c r="K928" s="39">
        <v>0</v>
      </c>
      <c r="L928" s="39">
        <v>0</v>
      </c>
      <c r="M928" s="39">
        <v>0</v>
      </c>
      <c r="N928" s="39">
        <v>0</v>
      </c>
      <c r="O928" s="39">
        <v>0</v>
      </c>
      <c r="P928" s="39">
        <v>0</v>
      </c>
      <c r="Q928" s="39">
        <v>0</v>
      </c>
      <c r="R928" s="39">
        <v>0</v>
      </c>
      <c r="S928" s="39">
        <v>0</v>
      </c>
      <c r="T928" s="39">
        <v>0</v>
      </c>
      <c r="U928" s="39">
        <v>0</v>
      </c>
      <c r="V928" s="39">
        <v>0</v>
      </c>
      <c r="W928" s="39">
        <v>0</v>
      </c>
      <c r="X928" s="39">
        <v>0</v>
      </c>
      <c r="Y928" s="39">
        <v>0</v>
      </c>
      <c r="Z928" s="39">
        <v>0</v>
      </c>
      <c r="AA928" s="39">
        <v>0</v>
      </c>
      <c r="AB928" s="39">
        <v>0</v>
      </c>
      <c r="AC928" s="39">
        <v>1815.12</v>
      </c>
      <c r="AD928" s="39">
        <v>1684.61</v>
      </c>
      <c r="AE928" s="39">
        <v>1594.97</v>
      </c>
      <c r="AF928" s="39">
        <v>0</v>
      </c>
      <c r="AG928" s="39">
        <v>0</v>
      </c>
      <c r="AH928" s="39">
        <v>0</v>
      </c>
      <c r="AI928" s="39">
        <v>1815.12</v>
      </c>
      <c r="AJ928" s="39">
        <v>1684.61</v>
      </c>
      <c r="AK928" s="39">
        <v>1594.97</v>
      </c>
      <c r="AL928" s="39">
        <v>0</v>
      </c>
      <c r="AM928" s="39">
        <v>0</v>
      </c>
      <c r="AN928" s="39">
        <v>0</v>
      </c>
      <c r="AO928" s="39">
        <v>1815.12</v>
      </c>
      <c r="AP928" s="39">
        <v>1684.61</v>
      </c>
      <c r="AQ928" s="39">
        <v>1594.97</v>
      </c>
      <c r="AR928" s="39">
        <v>1815.12</v>
      </c>
    </row>
    <row r="929" spans="1:44" x14ac:dyDescent="0.35">
      <c r="A929" s="16" t="str">
        <f t="shared" si="81"/>
        <v>34</v>
      </c>
      <c r="B929" s="19">
        <v>76505</v>
      </c>
      <c r="C929" s="16" t="str">
        <f>TEXT(101832,"0000000")</f>
        <v>0101832</v>
      </c>
      <c r="D929" s="17" t="s">
        <v>1872</v>
      </c>
      <c r="E929" s="16" t="s">
        <v>1870</v>
      </c>
      <c r="F929" s="16" t="s">
        <v>5</v>
      </c>
      <c r="G929" s="35" t="s">
        <v>1871</v>
      </c>
      <c r="H929" s="39">
        <v>0</v>
      </c>
      <c r="I929" s="39">
        <v>0</v>
      </c>
      <c r="J929" s="39">
        <v>0</v>
      </c>
      <c r="K929" s="39">
        <v>0</v>
      </c>
      <c r="L929" s="39">
        <v>0</v>
      </c>
      <c r="M929" s="39">
        <v>0</v>
      </c>
      <c r="N929" s="39">
        <v>0</v>
      </c>
      <c r="O929" s="39">
        <v>0</v>
      </c>
      <c r="P929" s="39">
        <v>0</v>
      </c>
      <c r="Q929" s="39">
        <v>0</v>
      </c>
      <c r="R929" s="39">
        <v>0</v>
      </c>
      <c r="S929" s="39">
        <v>0</v>
      </c>
      <c r="T929" s="39">
        <v>0</v>
      </c>
      <c r="U929" s="39">
        <v>0</v>
      </c>
      <c r="V929" s="39">
        <v>0</v>
      </c>
      <c r="W929" s="39">
        <v>0</v>
      </c>
      <c r="X929" s="39">
        <v>0</v>
      </c>
      <c r="Y929" s="39">
        <v>0</v>
      </c>
      <c r="Z929" s="39">
        <v>0</v>
      </c>
      <c r="AA929" s="39">
        <v>0</v>
      </c>
      <c r="AB929" s="39">
        <v>0</v>
      </c>
      <c r="AC929" s="39">
        <v>434.03</v>
      </c>
      <c r="AD929" s="39">
        <v>447.77</v>
      </c>
      <c r="AE929" s="39">
        <v>433.86</v>
      </c>
      <c r="AF929" s="39">
        <v>0</v>
      </c>
      <c r="AG929" s="39">
        <v>0</v>
      </c>
      <c r="AH929" s="39">
        <v>0</v>
      </c>
      <c r="AI929" s="39">
        <v>434.03</v>
      </c>
      <c r="AJ929" s="39">
        <v>447.77</v>
      </c>
      <c r="AK929" s="39">
        <v>433.86</v>
      </c>
      <c r="AL929" s="39">
        <v>0</v>
      </c>
      <c r="AM929" s="39">
        <v>0</v>
      </c>
      <c r="AN929" s="39">
        <v>0</v>
      </c>
      <c r="AO929" s="39">
        <v>434.03</v>
      </c>
      <c r="AP929" s="39">
        <v>447.77</v>
      </c>
      <c r="AQ929" s="39">
        <v>433.86</v>
      </c>
      <c r="AR929" s="39">
        <v>447.77</v>
      </c>
    </row>
    <row r="930" spans="1:44" x14ac:dyDescent="0.35">
      <c r="A930" s="16" t="str">
        <f t="shared" si="81"/>
        <v>34</v>
      </c>
      <c r="B930" s="19">
        <v>76505</v>
      </c>
      <c r="C930" s="16" t="str">
        <f>TEXT(108837,"0000000")</f>
        <v>0108837</v>
      </c>
      <c r="D930" s="17" t="s">
        <v>1875</v>
      </c>
      <c r="E930" s="16" t="s">
        <v>1873</v>
      </c>
      <c r="F930" s="16" t="s">
        <v>5</v>
      </c>
      <c r="G930" s="35" t="s">
        <v>1874</v>
      </c>
      <c r="H930" s="39">
        <v>0</v>
      </c>
      <c r="I930" s="39">
        <v>0</v>
      </c>
      <c r="J930" s="39">
        <v>0</v>
      </c>
      <c r="K930" s="39">
        <v>0</v>
      </c>
      <c r="L930" s="39">
        <v>0</v>
      </c>
      <c r="M930" s="39">
        <v>0</v>
      </c>
      <c r="N930" s="39">
        <v>0</v>
      </c>
      <c r="O930" s="39">
        <v>0</v>
      </c>
      <c r="P930" s="39">
        <v>0</v>
      </c>
      <c r="Q930" s="39">
        <v>0</v>
      </c>
      <c r="R930" s="39">
        <v>0</v>
      </c>
      <c r="S930" s="39">
        <v>0</v>
      </c>
      <c r="T930" s="39">
        <v>0</v>
      </c>
      <c r="U930" s="39">
        <v>0</v>
      </c>
      <c r="V930" s="39">
        <v>0</v>
      </c>
      <c r="W930" s="39">
        <v>0</v>
      </c>
      <c r="X930" s="39">
        <v>0</v>
      </c>
      <c r="Y930" s="39">
        <v>0</v>
      </c>
      <c r="Z930" s="39">
        <v>0</v>
      </c>
      <c r="AA930" s="39">
        <v>0</v>
      </c>
      <c r="AB930" s="39">
        <v>0</v>
      </c>
      <c r="AC930" s="39">
        <v>612.24</v>
      </c>
      <c r="AD930" s="39">
        <v>633.4</v>
      </c>
      <c r="AE930" s="39">
        <v>568.51</v>
      </c>
      <c r="AF930" s="39">
        <v>0</v>
      </c>
      <c r="AG930" s="39">
        <v>0</v>
      </c>
      <c r="AH930" s="39">
        <v>0</v>
      </c>
      <c r="AI930" s="39">
        <v>612.24</v>
      </c>
      <c r="AJ930" s="39">
        <v>633.4</v>
      </c>
      <c r="AK930" s="39">
        <v>568.51</v>
      </c>
      <c r="AL930" s="39">
        <v>0</v>
      </c>
      <c r="AM930" s="39">
        <v>0</v>
      </c>
      <c r="AN930" s="39">
        <v>0</v>
      </c>
      <c r="AO930" s="39">
        <v>612.24</v>
      </c>
      <c r="AP930" s="39">
        <v>633.4</v>
      </c>
      <c r="AQ930" s="39">
        <v>568.51</v>
      </c>
      <c r="AR930" s="39">
        <v>633.4</v>
      </c>
    </row>
    <row r="931" spans="1:44" x14ac:dyDescent="0.35">
      <c r="A931" s="16" t="str">
        <f t="shared" si="81"/>
        <v>34</v>
      </c>
      <c r="B931" s="19">
        <v>76505</v>
      </c>
      <c r="C931" s="16" t="str">
        <f>TEXT(113878,"0000000")</f>
        <v>0113878</v>
      </c>
      <c r="D931" s="17" t="s">
        <v>1878</v>
      </c>
      <c r="E931" s="16" t="s">
        <v>1876</v>
      </c>
      <c r="F931" s="16" t="s">
        <v>5</v>
      </c>
      <c r="G931" s="35" t="s">
        <v>1877</v>
      </c>
      <c r="H931" s="39">
        <v>0</v>
      </c>
      <c r="I931" s="39">
        <v>0</v>
      </c>
      <c r="J931" s="39">
        <v>0</v>
      </c>
      <c r="K931" s="39">
        <v>0</v>
      </c>
      <c r="L931" s="39">
        <v>0</v>
      </c>
      <c r="M931" s="39">
        <v>0</v>
      </c>
      <c r="N931" s="39">
        <v>0</v>
      </c>
      <c r="O931" s="39">
        <v>0</v>
      </c>
      <c r="P931" s="39">
        <v>0</v>
      </c>
      <c r="Q931" s="39">
        <v>0</v>
      </c>
      <c r="R931" s="39">
        <v>0</v>
      </c>
      <c r="S931" s="39">
        <v>0</v>
      </c>
      <c r="T931" s="39">
        <v>0</v>
      </c>
      <c r="U931" s="39">
        <v>0</v>
      </c>
      <c r="V931" s="39">
        <v>0</v>
      </c>
      <c r="W931" s="39">
        <v>0</v>
      </c>
      <c r="X931" s="39">
        <v>0</v>
      </c>
      <c r="Y931" s="39">
        <v>0</v>
      </c>
      <c r="Z931" s="39">
        <v>0</v>
      </c>
      <c r="AA931" s="39">
        <v>0</v>
      </c>
      <c r="AB931" s="39">
        <v>0</v>
      </c>
      <c r="AC931" s="39">
        <v>476.33</v>
      </c>
      <c r="AD931" s="39">
        <v>490.3</v>
      </c>
      <c r="AE931" s="39">
        <v>483.05</v>
      </c>
      <c r="AF931" s="39">
        <v>0</v>
      </c>
      <c r="AG931" s="39">
        <v>0</v>
      </c>
      <c r="AH931" s="39">
        <v>0</v>
      </c>
      <c r="AI931" s="39">
        <v>476.33</v>
      </c>
      <c r="AJ931" s="39">
        <v>490.3</v>
      </c>
      <c r="AK931" s="39">
        <v>483.05</v>
      </c>
      <c r="AL931" s="39">
        <v>0</v>
      </c>
      <c r="AM931" s="39">
        <v>0</v>
      </c>
      <c r="AN931" s="39">
        <v>0</v>
      </c>
      <c r="AO931" s="39">
        <v>476.33</v>
      </c>
      <c r="AP931" s="39">
        <v>490.3</v>
      </c>
      <c r="AQ931" s="39">
        <v>483.05</v>
      </c>
      <c r="AR931" s="39">
        <v>490.3</v>
      </c>
    </row>
    <row r="932" spans="1:44" ht="31" x14ac:dyDescent="0.35">
      <c r="A932" s="16" t="str">
        <f t="shared" si="81"/>
        <v>34</v>
      </c>
      <c r="B932" s="19">
        <v>76505</v>
      </c>
      <c r="C932" s="16" t="str">
        <f>TEXT(114272,"0000000")</f>
        <v>0114272</v>
      </c>
      <c r="D932" s="17" t="s">
        <v>1881</v>
      </c>
      <c r="E932" s="16" t="s">
        <v>1879</v>
      </c>
      <c r="F932" s="16" t="s">
        <v>5</v>
      </c>
      <c r="G932" s="35" t="s">
        <v>1880</v>
      </c>
      <c r="H932" s="39">
        <v>0</v>
      </c>
      <c r="I932" s="39">
        <v>0</v>
      </c>
      <c r="J932" s="39">
        <v>0</v>
      </c>
      <c r="K932" s="39">
        <v>0</v>
      </c>
      <c r="L932" s="39">
        <v>0</v>
      </c>
      <c r="M932" s="39">
        <v>0</v>
      </c>
      <c r="N932" s="39">
        <v>0</v>
      </c>
      <c r="O932" s="39">
        <v>0</v>
      </c>
      <c r="P932" s="39">
        <v>0</v>
      </c>
      <c r="Q932" s="39">
        <v>0</v>
      </c>
      <c r="R932" s="39">
        <v>0</v>
      </c>
      <c r="S932" s="39">
        <v>0</v>
      </c>
      <c r="T932" s="39">
        <v>0</v>
      </c>
      <c r="U932" s="39">
        <v>0</v>
      </c>
      <c r="V932" s="39">
        <v>0</v>
      </c>
      <c r="W932" s="39">
        <v>0</v>
      </c>
      <c r="X932" s="39">
        <v>0</v>
      </c>
      <c r="Y932" s="39">
        <v>0</v>
      </c>
      <c r="Z932" s="39">
        <v>0</v>
      </c>
      <c r="AA932" s="39">
        <v>0</v>
      </c>
      <c r="AB932" s="39">
        <v>0</v>
      </c>
      <c r="AC932" s="39">
        <v>215.24</v>
      </c>
      <c r="AD932" s="39">
        <v>194.01</v>
      </c>
      <c r="AE932" s="39">
        <v>177.16</v>
      </c>
      <c r="AF932" s="39">
        <v>0</v>
      </c>
      <c r="AG932" s="39">
        <v>0</v>
      </c>
      <c r="AH932" s="39">
        <v>0</v>
      </c>
      <c r="AI932" s="39">
        <v>215.24</v>
      </c>
      <c r="AJ932" s="39">
        <v>194.01</v>
      </c>
      <c r="AK932" s="39">
        <v>177.16</v>
      </c>
      <c r="AL932" s="39">
        <v>0</v>
      </c>
      <c r="AM932" s="39">
        <v>0</v>
      </c>
      <c r="AN932" s="39">
        <v>0</v>
      </c>
      <c r="AO932" s="39">
        <v>215.24</v>
      </c>
      <c r="AP932" s="39">
        <v>194.01</v>
      </c>
      <c r="AQ932" s="39">
        <v>177.16</v>
      </c>
      <c r="AR932" s="39">
        <v>215.24</v>
      </c>
    </row>
    <row r="933" spans="1:44" x14ac:dyDescent="0.35">
      <c r="A933" s="16" t="str">
        <f>TEXT(35,"00")</f>
        <v>35</v>
      </c>
      <c r="B933" s="19">
        <v>67470</v>
      </c>
      <c r="C933" s="16" t="str">
        <f>TEXT(127688,"0000000")</f>
        <v>0127688</v>
      </c>
      <c r="D933" s="19">
        <v>1507</v>
      </c>
      <c r="E933" s="16" t="s">
        <v>1890</v>
      </c>
      <c r="F933" s="16" t="s">
        <v>5</v>
      </c>
      <c r="G933" s="35" t="s">
        <v>1891</v>
      </c>
      <c r="H933" s="39">
        <v>0</v>
      </c>
      <c r="I933" s="39">
        <v>0</v>
      </c>
      <c r="J933" s="39">
        <v>0</v>
      </c>
      <c r="K933" s="39">
        <v>0</v>
      </c>
      <c r="L933" s="39">
        <v>0</v>
      </c>
      <c r="M933" s="39">
        <v>0</v>
      </c>
      <c r="N933" s="39">
        <v>0</v>
      </c>
      <c r="O933" s="39">
        <v>0</v>
      </c>
      <c r="P933" s="39">
        <v>0</v>
      </c>
      <c r="Q933" s="39">
        <v>0</v>
      </c>
      <c r="R933" s="39">
        <v>0</v>
      </c>
      <c r="S933" s="39">
        <v>0</v>
      </c>
      <c r="T933" s="39">
        <v>0</v>
      </c>
      <c r="U933" s="39">
        <v>0</v>
      </c>
      <c r="V933" s="39">
        <v>0</v>
      </c>
      <c r="W933" s="39">
        <v>0</v>
      </c>
      <c r="X933" s="39">
        <v>0</v>
      </c>
      <c r="Y933" s="39">
        <v>0</v>
      </c>
      <c r="Z933" s="39">
        <v>0</v>
      </c>
      <c r="AA933" s="39">
        <v>0</v>
      </c>
      <c r="AB933" s="39">
        <v>0</v>
      </c>
      <c r="AC933" s="39">
        <v>508.74</v>
      </c>
      <c r="AD933" s="39">
        <v>507.1</v>
      </c>
      <c r="AE933" s="39">
        <v>494.75</v>
      </c>
      <c r="AF933" s="39">
        <v>0</v>
      </c>
      <c r="AG933" s="39">
        <v>0</v>
      </c>
      <c r="AH933" s="39">
        <v>0</v>
      </c>
      <c r="AI933" s="39">
        <v>508.74</v>
      </c>
      <c r="AJ933" s="39">
        <v>507.1</v>
      </c>
      <c r="AK933" s="39">
        <v>494.75</v>
      </c>
      <c r="AL933" s="39">
        <v>0</v>
      </c>
      <c r="AM933" s="39">
        <v>0</v>
      </c>
      <c r="AN933" s="39">
        <v>0</v>
      </c>
      <c r="AO933" s="39">
        <v>508.74</v>
      </c>
      <c r="AP933" s="39">
        <v>507.1</v>
      </c>
      <c r="AQ933" s="39">
        <v>494.75</v>
      </c>
      <c r="AR933" s="39">
        <v>508.74</v>
      </c>
    </row>
    <row r="934" spans="1:44" ht="31" x14ac:dyDescent="0.35">
      <c r="A934" s="16" t="str">
        <f>TEXT(36,"00")</f>
        <v>36</v>
      </c>
      <c r="B934" s="19">
        <v>10363</v>
      </c>
      <c r="C934" s="16" t="str">
        <f>TEXT(139147,"0000000")</f>
        <v>0139147</v>
      </c>
      <c r="D934" s="19">
        <v>2036</v>
      </c>
      <c r="E934" s="16" t="s">
        <v>1915</v>
      </c>
      <c r="F934" s="16" t="s">
        <v>5</v>
      </c>
      <c r="G934" s="35" t="s">
        <v>1916</v>
      </c>
      <c r="H934" s="39">
        <v>0</v>
      </c>
      <c r="I934" s="39">
        <v>0</v>
      </c>
      <c r="J934" s="39">
        <v>0</v>
      </c>
      <c r="K934" s="39">
        <v>0</v>
      </c>
      <c r="L934" s="39">
        <v>0</v>
      </c>
      <c r="M934" s="39">
        <v>0</v>
      </c>
      <c r="N934" s="39">
        <v>0</v>
      </c>
      <c r="O934" s="39">
        <v>0</v>
      </c>
      <c r="P934" s="39">
        <v>0</v>
      </c>
      <c r="Q934" s="39">
        <v>0</v>
      </c>
      <c r="R934" s="39">
        <v>0</v>
      </c>
      <c r="S934" s="39">
        <v>0</v>
      </c>
      <c r="T934" s="39">
        <v>0</v>
      </c>
      <c r="U934" s="39">
        <v>0</v>
      </c>
      <c r="V934" s="39">
        <v>0</v>
      </c>
      <c r="W934" s="39">
        <v>0</v>
      </c>
      <c r="X934" s="39">
        <v>0</v>
      </c>
      <c r="Y934" s="39">
        <v>0</v>
      </c>
      <c r="Z934" s="39">
        <v>0</v>
      </c>
      <c r="AA934" s="39">
        <v>0</v>
      </c>
      <c r="AB934" s="39">
        <v>0</v>
      </c>
      <c r="AC934" s="39">
        <v>277.7</v>
      </c>
      <c r="AD934" s="39">
        <v>286.44</v>
      </c>
      <c r="AE934" s="39">
        <v>290.08</v>
      </c>
      <c r="AF934" s="39">
        <v>0</v>
      </c>
      <c r="AG934" s="39">
        <v>0</v>
      </c>
      <c r="AH934" s="39">
        <v>0</v>
      </c>
      <c r="AI934" s="39">
        <v>277.7</v>
      </c>
      <c r="AJ934" s="39">
        <v>286.44</v>
      </c>
      <c r="AK934" s="39">
        <v>290.08</v>
      </c>
      <c r="AL934" s="39">
        <v>0</v>
      </c>
      <c r="AM934" s="39">
        <v>0</v>
      </c>
      <c r="AN934" s="39">
        <v>0</v>
      </c>
      <c r="AO934" s="39">
        <v>277.7</v>
      </c>
      <c r="AP934" s="39">
        <v>286.44</v>
      </c>
      <c r="AQ934" s="39">
        <v>290.08</v>
      </c>
      <c r="AR934" s="39">
        <v>290.08</v>
      </c>
    </row>
    <row r="935" spans="1:44" x14ac:dyDescent="0.35">
      <c r="A935" s="16" t="str">
        <f>TEXT(36,"00")</f>
        <v>36</v>
      </c>
      <c r="B935" s="19">
        <v>10363</v>
      </c>
      <c r="C935" s="16" t="str">
        <f>TEXT(140012,"0000000")</f>
        <v>0140012</v>
      </c>
      <c r="D935" s="19">
        <v>2095</v>
      </c>
      <c r="E935" s="16" t="s">
        <v>1917</v>
      </c>
      <c r="F935" s="16" t="s">
        <v>5</v>
      </c>
      <c r="G935" s="35" t="s">
        <v>1918</v>
      </c>
      <c r="H935" s="39">
        <v>0</v>
      </c>
      <c r="I935" s="39">
        <v>0</v>
      </c>
      <c r="J935" s="39">
        <v>0</v>
      </c>
      <c r="K935" s="39">
        <v>0</v>
      </c>
      <c r="L935" s="39">
        <v>0</v>
      </c>
      <c r="M935" s="39">
        <v>0</v>
      </c>
      <c r="N935" s="39">
        <v>0</v>
      </c>
      <c r="O935" s="39">
        <v>0</v>
      </c>
      <c r="P935" s="39">
        <v>0</v>
      </c>
      <c r="Q935" s="39">
        <v>0</v>
      </c>
      <c r="R935" s="39">
        <v>0</v>
      </c>
      <c r="S935" s="39">
        <v>0</v>
      </c>
      <c r="T935" s="39">
        <v>0</v>
      </c>
      <c r="U935" s="39">
        <v>0</v>
      </c>
      <c r="V935" s="39">
        <v>0</v>
      </c>
      <c r="W935" s="39">
        <v>0</v>
      </c>
      <c r="X935" s="39">
        <v>0</v>
      </c>
      <c r="Y935" s="39">
        <v>0</v>
      </c>
      <c r="Z935" s="39">
        <v>0</v>
      </c>
      <c r="AA935" s="39">
        <v>0</v>
      </c>
      <c r="AB935" s="39">
        <v>0</v>
      </c>
      <c r="AC935" s="39">
        <v>430.41</v>
      </c>
      <c r="AD935" s="39">
        <v>475.04</v>
      </c>
      <c r="AE935" s="39">
        <v>261.2</v>
      </c>
      <c r="AF935" s="39">
        <v>0</v>
      </c>
      <c r="AG935" s="39">
        <v>0</v>
      </c>
      <c r="AH935" s="39">
        <v>0</v>
      </c>
      <c r="AI935" s="39">
        <v>430.41</v>
      </c>
      <c r="AJ935" s="39">
        <v>475.04</v>
      </c>
      <c r="AK935" s="39">
        <v>261.2</v>
      </c>
      <c r="AL935" s="39">
        <v>0</v>
      </c>
      <c r="AM935" s="39">
        <v>0</v>
      </c>
      <c r="AN935" s="39">
        <v>0</v>
      </c>
      <c r="AO935" s="39">
        <v>430.41</v>
      </c>
      <c r="AP935" s="39">
        <v>475.04</v>
      </c>
      <c r="AQ935" s="39">
        <v>261.2</v>
      </c>
      <c r="AR935" s="39">
        <v>475.04</v>
      </c>
    </row>
    <row r="936" spans="1:44" x14ac:dyDescent="0.35">
      <c r="A936" s="16" t="str">
        <f>TEXT(36,"00")</f>
        <v>36</v>
      </c>
      <c r="B936" s="19">
        <v>67736</v>
      </c>
      <c r="C936" s="16" t="str">
        <f>TEXT(136937,"0000000")</f>
        <v>0136937</v>
      </c>
      <c r="D936" s="19">
        <v>1919</v>
      </c>
      <c r="E936" s="16" t="s">
        <v>1955</v>
      </c>
      <c r="F936" s="16" t="s">
        <v>5</v>
      </c>
      <c r="G936" s="35" t="s">
        <v>1956</v>
      </c>
      <c r="H936" s="39">
        <v>0</v>
      </c>
      <c r="I936" s="39">
        <v>0</v>
      </c>
      <c r="J936" s="39">
        <v>0</v>
      </c>
      <c r="K936" s="39">
        <v>0</v>
      </c>
      <c r="L936" s="39">
        <v>0</v>
      </c>
      <c r="M936" s="39">
        <v>0</v>
      </c>
      <c r="N936" s="39">
        <v>0</v>
      </c>
      <c r="O936" s="39">
        <v>0</v>
      </c>
      <c r="P936" s="39">
        <v>0</v>
      </c>
      <c r="Q936" s="39">
        <v>0</v>
      </c>
      <c r="R936" s="39">
        <v>0</v>
      </c>
      <c r="S936" s="39">
        <v>0</v>
      </c>
      <c r="T936" s="39">
        <v>0</v>
      </c>
      <c r="U936" s="39">
        <v>0</v>
      </c>
      <c r="V936" s="39">
        <v>0</v>
      </c>
      <c r="W936" s="39">
        <v>0</v>
      </c>
      <c r="X936" s="39">
        <v>0</v>
      </c>
      <c r="Y936" s="39">
        <v>0</v>
      </c>
      <c r="Z936" s="39">
        <v>0</v>
      </c>
      <c r="AA936" s="39">
        <v>0</v>
      </c>
      <c r="AB936" s="39">
        <v>0</v>
      </c>
      <c r="AC936" s="39">
        <v>689.35</v>
      </c>
      <c r="AD936" s="39">
        <v>680.09</v>
      </c>
      <c r="AE936" s="39">
        <v>621.48</v>
      </c>
      <c r="AF936" s="39">
        <v>0</v>
      </c>
      <c r="AG936" s="39">
        <v>0</v>
      </c>
      <c r="AH936" s="39">
        <v>0</v>
      </c>
      <c r="AI936" s="39">
        <v>689.35</v>
      </c>
      <c r="AJ936" s="39">
        <v>680.09</v>
      </c>
      <c r="AK936" s="39">
        <v>621.48</v>
      </c>
      <c r="AL936" s="39">
        <v>0</v>
      </c>
      <c r="AM936" s="39">
        <v>0</v>
      </c>
      <c r="AN936" s="39">
        <v>0</v>
      </c>
      <c r="AO936" s="39">
        <v>689.35</v>
      </c>
      <c r="AP936" s="39">
        <v>680.09</v>
      </c>
      <c r="AQ936" s="39">
        <v>621.48</v>
      </c>
      <c r="AR936" s="39">
        <v>689.35</v>
      </c>
    </row>
    <row r="937" spans="1:44" x14ac:dyDescent="0.35">
      <c r="A937" s="16" t="str">
        <f>TEXT(1,"00")</f>
        <v>01</v>
      </c>
      <c r="B937" s="19">
        <v>61259</v>
      </c>
      <c r="C937" s="16" t="str">
        <f>TEXT(114868,"0000000")</f>
        <v>0114868</v>
      </c>
      <c r="D937" s="17" t="s">
        <v>99</v>
      </c>
      <c r="E937" s="16" t="s">
        <v>97</v>
      </c>
      <c r="F937" s="16" t="s">
        <v>5</v>
      </c>
      <c r="G937" s="35" t="s">
        <v>98</v>
      </c>
      <c r="H937" s="39">
        <v>0</v>
      </c>
      <c r="I937" s="39">
        <v>0</v>
      </c>
      <c r="J937" s="39">
        <v>0</v>
      </c>
      <c r="K937" s="39">
        <v>0</v>
      </c>
      <c r="L937" s="39">
        <v>0</v>
      </c>
      <c r="M937" s="39">
        <v>0</v>
      </c>
      <c r="N937" s="39">
        <v>0</v>
      </c>
      <c r="O937" s="39">
        <v>0</v>
      </c>
      <c r="P937" s="39">
        <v>0</v>
      </c>
      <c r="Q937" s="39">
        <v>0</v>
      </c>
      <c r="R937" s="39">
        <v>0</v>
      </c>
      <c r="S937" s="39">
        <v>0</v>
      </c>
      <c r="T937" s="39">
        <v>0</v>
      </c>
      <c r="U937" s="39">
        <v>0</v>
      </c>
      <c r="V937" s="39">
        <v>0</v>
      </c>
      <c r="W937" s="39">
        <v>0</v>
      </c>
      <c r="X937" s="39">
        <v>0</v>
      </c>
      <c r="Y937" s="39">
        <v>0</v>
      </c>
      <c r="Z937" s="39">
        <v>0</v>
      </c>
      <c r="AA937" s="39">
        <v>0</v>
      </c>
      <c r="AB937" s="39">
        <v>0</v>
      </c>
      <c r="AC937" s="39">
        <v>299.61</v>
      </c>
      <c r="AD937" s="39">
        <v>332.08</v>
      </c>
      <c r="AE937" s="39">
        <v>394.48</v>
      </c>
      <c r="AF937" s="39">
        <v>0</v>
      </c>
      <c r="AG937" s="39">
        <v>0</v>
      </c>
      <c r="AH937" s="39">
        <v>0</v>
      </c>
      <c r="AI937" s="39">
        <v>299.61</v>
      </c>
      <c r="AJ937" s="39">
        <v>332.08</v>
      </c>
      <c r="AK937" s="39">
        <v>394.48</v>
      </c>
      <c r="AL937" s="39">
        <v>0</v>
      </c>
      <c r="AM937" s="39">
        <v>0</v>
      </c>
      <c r="AN937" s="39">
        <v>0</v>
      </c>
      <c r="AO937" s="39">
        <v>299.61</v>
      </c>
      <c r="AP937" s="39">
        <v>332.08</v>
      </c>
      <c r="AQ937" s="39">
        <v>394.48</v>
      </c>
      <c r="AR937" s="39">
        <v>394.48</v>
      </c>
    </row>
    <row r="938" spans="1:44" x14ac:dyDescent="0.35">
      <c r="A938" s="16" t="str">
        <f t="shared" ref="A938:A943" si="82">TEXT(36,"00")</f>
        <v>36</v>
      </c>
      <c r="B938" s="19">
        <v>67876</v>
      </c>
      <c r="C938" s="16" t="str">
        <f>TEXT(122317,"0000000")</f>
        <v>0122317</v>
      </c>
      <c r="D938" s="19">
        <v>1155</v>
      </c>
      <c r="E938" s="16" t="s">
        <v>1986</v>
      </c>
      <c r="F938" s="16" t="s">
        <v>5</v>
      </c>
      <c r="G938" s="35" t="s">
        <v>1987</v>
      </c>
      <c r="H938" s="39">
        <v>0</v>
      </c>
      <c r="I938" s="39">
        <v>0</v>
      </c>
      <c r="J938" s="39">
        <v>0</v>
      </c>
      <c r="K938" s="39">
        <v>0</v>
      </c>
      <c r="L938" s="39">
        <v>0</v>
      </c>
      <c r="M938" s="39">
        <v>0</v>
      </c>
      <c r="N938" s="39">
        <v>0</v>
      </c>
      <c r="O938" s="39">
        <v>0</v>
      </c>
      <c r="P938" s="39">
        <v>0</v>
      </c>
      <c r="Q938" s="39">
        <v>0</v>
      </c>
      <c r="R938" s="39">
        <v>0</v>
      </c>
      <c r="S938" s="39">
        <v>0</v>
      </c>
      <c r="T938" s="39">
        <v>0</v>
      </c>
      <c r="U938" s="39">
        <v>0</v>
      </c>
      <c r="V938" s="39">
        <v>0</v>
      </c>
      <c r="W938" s="39">
        <v>0</v>
      </c>
      <c r="X938" s="39">
        <v>0</v>
      </c>
      <c r="Y938" s="39">
        <v>0</v>
      </c>
      <c r="Z938" s="39">
        <v>0</v>
      </c>
      <c r="AA938" s="39">
        <v>0</v>
      </c>
      <c r="AB938" s="39">
        <v>0</v>
      </c>
      <c r="AC938" s="39">
        <v>278.7</v>
      </c>
      <c r="AD938" s="39">
        <v>295.79000000000002</v>
      </c>
      <c r="AE938" s="39">
        <v>286.64</v>
      </c>
      <c r="AF938" s="39">
        <v>0</v>
      </c>
      <c r="AG938" s="39">
        <v>0</v>
      </c>
      <c r="AH938" s="39">
        <v>0</v>
      </c>
      <c r="AI938" s="39">
        <v>278.7</v>
      </c>
      <c r="AJ938" s="39">
        <v>295.79000000000002</v>
      </c>
      <c r="AK938" s="39">
        <v>286.64</v>
      </c>
      <c r="AL938" s="39">
        <v>0</v>
      </c>
      <c r="AM938" s="39">
        <v>0</v>
      </c>
      <c r="AN938" s="39">
        <v>0</v>
      </c>
      <c r="AO938" s="39">
        <v>278.7</v>
      </c>
      <c r="AP938" s="39">
        <v>295.79000000000002</v>
      </c>
      <c r="AQ938" s="39">
        <v>286.64</v>
      </c>
      <c r="AR938" s="39">
        <v>295.79000000000002</v>
      </c>
    </row>
    <row r="939" spans="1:44" x14ac:dyDescent="0.35">
      <c r="A939" s="16" t="str">
        <f t="shared" si="82"/>
        <v>36</v>
      </c>
      <c r="B939" s="19">
        <v>67959</v>
      </c>
      <c r="C939" s="16" t="str">
        <f>TEXT(114256,"0000000")</f>
        <v>0114256</v>
      </c>
      <c r="D939" s="17" t="s">
        <v>2001</v>
      </c>
      <c r="E939" s="16" t="s">
        <v>1999</v>
      </c>
      <c r="F939" s="16" t="s">
        <v>5</v>
      </c>
      <c r="G939" s="35" t="s">
        <v>2000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964.61</v>
      </c>
      <c r="AD939" s="39">
        <v>965.79</v>
      </c>
      <c r="AE939" s="39">
        <v>947.67</v>
      </c>
      <c r="AF939" s="39">
        <v>0</v>
      </c>
      <c r="AG939" s="39">
        <v>0</v>
      </c>
      <c r="AH939" s="39">
        <v>0</v>
      </c>
      <c r="AI939" s="39">
        <v>964.61</v>
      </c>
      <c r="AJ939" s="39">
        <v>965.79</v>
      </c>
      <c r="AK939" s="39">
        <v>947.67</v>
      </c>
      <c r="AL939" s="39">
        <v>0</v>
      </c>
      <c r="AM939" s="39">
        <v>0</v>
      </c>
      <c r="AN939" s="39">
        <v>0</v>
      </c>
      <c r="AO939" s="39">
        <v>964.61</v>
      </c>
      <c r="AP939" s="39">
        <v>965.79</v>
      </c>
      <c r="AQ939" s="39">
        <v>947.67</v>
      </c>
      <c r="AR939" s="39">
        <v>965.79</v>
      </c>
    </row>
    <row r="940" spans="1:44" x14ac:dyDescent="0.35">
      <c r="A940" s="16" t="str">
        <f t="shared" si="82"/>
        <v>36</v>
      </c>
      <c r="B940" s="19">
        <v>75044</v>
      </c>
      <c r="C940" s="16" t="str">
        <f>TEXT(107516,"0000000")</f>
        <v>0107516</v>
      </c>
      <c r="D940" s="17" t="s">
        <v>2012</v>
      </c>
      <c r="E940" s="16" t="s">
        <v>2010</v>
      </c>
      <c r="F940" s="16" t="s">
        <v>5</v>
      </c>
      <c r="G940" s="35" t="s">
        <v>2011</v>
      </c>
      <c r="H940" s="39">
        <v>0</v>
      </c>
      <c r="I940" s="39">
        <v>0</v>
      </c>
      <c r="J940" s="39">
        <v>0</v>
      </c>
      <c r="K940" s="39">
        <v>0</v>
      </c>
      <c r="L940" s="39">
        <v>0</v>
      </c>
      <c r="M940" s="39">
        <v>0</v>
      </c>
      <c r="N940" s="39">
        <v>0</v>
      </c>
      <c r="O940" s="39">
        <v>0</v>
      </c>
      <c r="P940" s="39">
        <v>0</v>
      </c>
      <c r="Q940" s="39">
        <v>0</v>
      </c>
      <c r="R940" s="39">
        <v>0</v>
      </c>
      <c r="S940" s="39">
        <v>0</v>
      </c>
      <c r="T940" s="39">
        <v>0</v>
      </c>
      <c r="U940" s="39">
        <v>0</v>
      </c>
      <c r="V940" s="39">
        <v>0</v>
      </c>
      <c r="W940" s="39">
        <v>0</v>
      </c>
      <c r="X940" s="39">
        <v>0</v>
      </c>
      <c r="Y940" s="39">
        <v>0</v>
      </c>
      <c r="Z940" s="39">
        <v>0</v>
      </c>
      <c r="AA940" s="39">
        <v>0</v>
      </c>
      <c r="AB940" s="39">
        <v>0</v>
      </c>
      <c r="AC940" s="39">
        <v>226.13</v>
      </c>
      <c r="AD940" s="39">
        <v>188.32</v>
      </c>
      <c r="AE940" s="39">
        <v>187</v>
      </c>
      <c r="AF940" s="39">
        <v>0</v>
      </c>
      <c r="AG940" s="39">
        <v>0</v>
      </c>
      <c r="AH940" s="39">
        <v>0</v>
      </c>
      <c r="AI940" s="39">
        <v>226.13</v>
      </c>
      <c r="AJ940" s="39">
        <v>188.32</v>
      </c>
      <c r="AK940" s="39">
        <v>187</v>
      </c>
      <c r="AL940" s="39">
        <v>0</v>
      </c>
      <c r="AM940" s="39">
        <v>0</v>
      </c>
      <c r="AN940" s="39">
        <v>0</v>
      </c>
      <c r="AO940" s="39">
        <v>226.13</v>
      </c>
      <c r="AP940" s="39">
        <v>188.32</v>
      </c>
      <c r="AQ940" s="39">
        <v>187</v>
      </c>
      <c r="AR940" s="39">
        <v>226.13</v>
      </c>
    </row>
    <row r="941" spans="1:44" x14ac:dyDescent="0.35">
      <c r="A941" s="16" t="str">
        <f t="shared" si="82"/>
        <v>36</v>
      </c>
      <c r="B941" s="19">
        <v>75044</v>
      </c>
      <c r="C941" s="16" t="str">
        <f>TEXT(114389,"0000000")</f>
        <v>0114389</v>
      </c>
      <c r="D941" s="17" t="s">
        <v>2018</v>
      </c>
      <c r="E941" s="16" t="s">
        <v>2016</v>
      </c>
      <c r="F941" s="16" t="s">
        <v>5</v>
      </c>
      <c r="G941" s="35" t="s">
        <v>2017</v>
      </c>
      <c r="H941" s="39">
        <v>0</v>
      </c>
      <c r="I941" s="39">
        <v>0</v>
      </c>
      <c r="J941" s="39">
        <v>0</v>
      </c>
      <c r="K941" s="39">
        <v>0</v>
      </c>
      <c r="L941" s="39">
        <v>0</v>
      </c>
      <c r="M941" s="39">
        <v>0</v>
      </c>
      <c r="N941" s="39">
        <v>0</v>
      </c>
      <c r="O941" s="39">
        <v>0</v>
      </c>
      <c r="P941" s="39">
        <v>0</v>
      </c>
      <c r="Q941" s="39">
        <v>0</v>
      </c>
      <c r="R941" s="39">
        <v>0</v>
      </c>
      <c r="S941" s="39">
        <v>0</v>
      </c>
      <c r="T941" s="39">
        <v>0</v>
      </c>
      <c r="U941" s="39">
        <v>0</v>
      </c>
      <c r="V941" s="39">
        <v>0</v>
      </c>
      <c r="W941" s="39">
        <v>0</v>
      </c>
      <c r="X941" s="39">
        <v>0</v>
      </c>
      <c r="Y941" s="39">
        <v>0</v>
      </c>
      <c r="Z941" s="39">
        <v>0</v>
      </c>
      <c r="AA941" s="39">
        <v>0</v>
      </c>
      <c r="AB941" s="39">
        <v>0</v>
      </c>
      <c r="AC941" s="39">
        <v>354.01</v>
      </c>
      <c r="AD941" s="39">
        <v>320.88</v>
      </c>
      <c r="AE941" s="39">
        <v>292.51</v>
      </c>
      <c r="AF941" s="39">
        <v>0</v>
      </c>
      <c r="AG941" s="39">
        <v>0</v>
      </c>
      <c r="AH941" s="39">
        <v>0</v>
      </c>
      <c r="AI941" s="39">
        <v>354.01</v>
      </c>
      <c r="AJ941" s="39">
        <v>320.88</v>
      </c>
      <c r="AK941" s="39">
        <v>292.51</v>
      </c>
      <c r="AL941" s="39">
        <v>0</v>
      </c>
      <c r="AM941" s="39">
        <v>0</v>
      </c>
      <c r="AN941" s="39">
        <v>0</v>
      </c>
      <c r="AO941" s="39">
        <v>354.01</v>
      </c>
      <c r="AP941" s="39">
        <v>320.88</v>
      </c>
      <c r="AQ941" s="39">
        <v>292.51</v>
      </c>
      <c r="AR941" s="39">
        <v>354.01</v>
      </c>
    </row>
    <row r="942" spans="1:44" x14ac:dyDescent="0.35">
      <c r="A942" s="16" t="str">
        <f t="shared" si="82"/>
        <v>36</v>
      </c>
      <c r="B942" s="19">
        <v>75051</v>
      </c>
      <c r="C942" s="16" t="str">
        <f>TEXT(136432,"0000000")</f>
        <v>0136432</v>
      </c>
      <c r="D942" s="19">
        <v>1895</v>
      </c>
      <c r="E942" s="16" t="s">
        <v>2029</v>
      </c>
      <c r="F942" s="16" t="s">
        <v>5</v>
      </c>
      <c r="G942" s="35" t="s">
        <v>2030</v>
      </c>
      <c r="H942" s="39">
        <v>0</v>
      </c>
      <c r="I942" s="39">
        <v>0</v>
      </c>
      <c r="J942" s="39">
        <v>0</v>
      </c>
      <c r="K942" s="39">
        <v>0</v>
      </c>
      <c r="L942" s="39">
        <v>0</v>
      </c>
      <c r="M942" s="39">
        <v>0</v>
      </c>
      <c r="N942" s="39">
        <v>0</v>
      </c>
      <c r="O942" s="39">
        <v>0</v>
      </c>
      <c r="P942" s="39">
        <v>0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v>0</v>
      </c>
      <c r="AB942" s="39">
        <v>0</v>
      </c>
      <c r="AC942" s="39">
        <v>2645.4</v>
      </c>
      <c r="AD942" s="39">
        <v>2402.29</v>
      </c>
      <c r="AE942" s="39">
        <v>2026.69</v>
      </c>
      <c r="AF942" s="39">
        <v>0</v>
      </c>
      <c r="AG942" s="39">
        <v>0</v>
      </c>
      <c r="AH942" s="39">
        <v>0</v>
      </c>
      <c r="AI942" s="39">
        <v>2645.4</v>
      </c>
      <c r="AJ942" s="39">
        <v>2402.29</v>
      </c>
      <c r="AK942" s="39">
        <v>2026.69</v>
      </c>
      <c r="AL942" s="39">
        <v>0</v>
      </c>
      <c r="AM942" s="39">
        <v>0</v>
      </c>
      <c r="AN942" s="39">
        <v>0</v>
      </c>
      <c r="AO942" s="39">
        <v>2645.4</v>
      </c>
      <c r="AP942" s="39">
        <v>2402.29</v>
      </c>
      <c r="AQ942" s="39">
        <v>2026.69</v>
      </c>
      <c r="AR942" s="39">
        <v>2645.4</v>
      </c>
    </row>
    <row r="943" spans="1:44" ht="31" x14ac:dyDescent="0.35">
      <c r="A943" s="16" t="str">
        <f t="shared" si="82"/>
        <v>36</v>
      </c>
      <c r="B943" s="19">
        <v>75051</v>
      </c>
      <c r="C943" s="16" t="str">
        <f>TEXT(137794,"0000000")</f>
        <v>0137794</v>
      </c>
      <c r="D943" s="19">
        <v>1977</v>
      </c>
      <c r="E943" s="16" t="s">
        <v>2033</v>
      </c>
      <c r="F943" s="16" t="s">
        <v>5</v>
      </c>
      <c r="G943" s="35" t="s">
        <v>2034</v>
      </c>
      <c r="H943" s="39">
        <v>0</v>
      </c>
      <c r="I943" s="39">
        <v>0</v>
      </c>
      <c r="J943" s="39">
        <v>0</v>
      </c>
      <c r="K943" s="39">
        <v>0</v>
      </c>
      <c r="L943" s="39">
        <v>0</v>
      </c>
      <c r="M943" s="39">
        <v>0</v>
      </c>
      <c r="N943" s="39">
        <v>0</v>
      </c>
      <c r="O943" s="39">
        <v>0</v>
      </c>
      <c r="P943" s="39">
        <v>0</v>
      </c>
      <c r="Q943" s="39">
        <v>0</v>
      </c>
      <c r="R943" s="39">
        <v>0</v>
      </c>
      <c r="S943" s="39">
        <v>0</v>
      </c>
      <c r="T943" s="39">
        <v>0</v>
      </c>
      <c r="U943" s="39">
        <v>0</v>
      </c>
      <c r="V943" s="39">
        <v>0</v>
      </c>
      <c r="W943" s="39">
        <v>0</v>
      </c>
      <c r="X943" s="39">
        <v>0</v>
      </c>
      <c r="Y943" s="39">
        <v>0</v>
      </c>
      <c r="Z943" s="39">
        <v>0</v>
      </c>
      <c r="AA943" s="39">
        <v>0</v>
      </c>
      <c r="AB943" s="39">
        <v>0</v>
      </c>
      <c r="AC943" s="39">
        <v>1554.26</v>
      </c>
      <c r="AD943" s="39">
        <v>1409.62</v>
      </c>
      <c r="AE943" s="39">
        <v>1273.96</v>
      </c>
      <c r="AF943" s="39">
        <v>0</v>
      </c>
      <c r="AG943" s="39">
        <v>0</v>
      </c>
      <c r="AH943" s="39">
        <v>0</v>
      </c>
      <c r="AI943" s="39">
        <v>1554.26</v>
      </c>
      <c r="AJ943" s="39">
        <v>1409.62</v>
      </c>
      <c r="AK943" s="39">
        <v>1273.96</v>
      </c>
      <c r="AL943" s="39">
        <v>0</v>
      </c>
      <c r="AM943" s="39">
        <v>0</v>
      </c>
      <c r="AN943" s="39">
        <v>0</v>
      </c>
      <c r="AO943" s="39">
        <v>1554.26</v>
      </c>
      <c r="AP943" s="39">
        <v>1409.62</v>
      </c>
      <c r="AQ943" s="39">
        <v>1273.96</v>
      </c>
      <c r="AR943" s="39">
        <v>1554.26</v>
      </c>
    </row>
    <row r="944" spans="1:44" x14ac:dyDescent="0.35">
      <c r="A944" s="16" t="str">
        <f>TEXT(37,"00")</f>
        <v>37</v>
      </c>
      <c r="B944" s="19">
        <v>10371</v>
      </c>
      <c r="C944" s="16" t="str">
        <f>TEXT(108548,"0000000")</f>
        <v>0108548</v>
      </c>
      <c r="D944" s="17" t="s">
        <v>2056</v>
      </c>
      <c r="E944" s="16" t="s">
        <v>2054</v>
      </c>
      <c r="F944" s="16" t="s">
        <v>5</v>
      </c>
      <c r="G944" s="35" t="s">
        <v>2055</v>
      </c>
      <c r="H944" s="39">
        <v>0</v>
      </c>
      <c r="I944" s="39">
        <v>0</v>
      </c>
      <c r="J944" s="39">
        <v>0</v>
      </c>
      <c r="K944" s="39">
        <v>0</v>
      </c>
      <c r="L944" s="39">
        <v>0</v>
      </c>
      <c r="M944" s="39">
        <v>0</v>
      </c>
      <c r="N944" s="39">
        <v>0</v>
      </c>
      <c r="O944" s="39">
        <v>0</v>
      </c>
      <c r="P944" s="39">
        <v>0</v>
      </c>
      <c r="Q944" s="39">
        <v>0</v>
      </c>
      <c r="R944" s="39">
        <v>0</v>
      </c>
      <c r="S944" s="39">
        <v>0</v>
      </c>
      <c r="T944" s="39">
        <v>0</v>
      </c>
      <c r="U944" s="39">
        <v>0</v>
      </c>
      <c r="V944" s="39">
        <v>0</v>
      </c>
      <c r="W944" s="39">
        <v>0</v>
      </c>
      <c r="X944" s="39">
        <v>0</v>
      </c>
      <c r="Y944" s="39">
        <v>0</v>
      </c>
      <c r="Z944" s="39">
        <v>0</v>
      </c>
      <c r="AA944" s="39">
        <v>0</v>
      </c>
      <c r="AB944" s="39">
        <v>0</v>
      </c>
      <c r="AC944" s="39">
        <v>489.28</v>
      </c>
      <c r="AD944" s="39">
        <v>445.34</v>
      </c>
      <c r="AE944" s="39">
        <v>386.36</v>
      </c>
      <c r="AF944" s="39">
        <v>0</v>
      </c>
      <c r="AG944" s="39">
        <v>0</v>
      </c>
      <c r="AH944" s="39">
        <v>0</v>
      </c>
      <c r="AI944" s="39">
        <v>489.28</v>
      </c>
      <c r="AJ944" s="39">
        <v>445.34</v>
      </c>
      <c r="AK944" s="39">
        <v>386.36</v>
      </c>
      <c r="AL944" s="39">
        <v>0</v>
      </c>
      <c r="AM944" s="39">
        <v>0</v>
      </c>
      <c r="AN944" s="39">
        <v>0</v>
      </c>
      <c r="AO944" s="39">
        <v>489.28</v>
      </c>
      <c r="AP944" s="39">
        <v>445.34</v>
      </c>
      <c r="AQ944" s="39">
        <v>386.36</v>
      </c>
      <c r="AR944" s="39">
        <v>489.28</v>
      </c>
    </row>
    <row r="945" spans="1:44" x14ac:dyDescent="0.35">
      <c r="A945" s="16" t="str">
        <f>TEXT(37,"00")</f>
        <v>37</v>
      </c>
      <c r="B945" s="19">
        <v>10371</v>
      </c>
      <c r="C945" s="16" t="str">
        <f>TEXT(124321,"0000000")</f>
        <v>0124321</v>
      </c>
      <c r="D945" s="19">
        <v>1308</v>
      </c>
      <c r="E945" s="16" t="s">
        <v>2057</v>
      </c>
      <c r="F945" s="16" t="s">
        <v>5</v>
      </c>
      <c r="G945" s="35" t="s">
        <v>2058</v>
      </c>
      <c r="H945" s="39">
        <v>0</v>
      </c>
      <c r="I945" s="39">
        <v>0</v>
      </c>
      <c r="J945" s="39">
        <v>0</v>
      </c>
      <c r="K945" s="39">
        <v>0</v>
      </c>
      <c r="L945" s="39">
        <v>0</v>
      </c>
      <c r="M945" s="39">
        <v>0</v>
      </c>
      <c r="N945" s="39">
        <v>0</v>
      </c>
      <c r="O945" s="39">
        <v>0</v>
      </c>
      <c r="P945" s="39">
        <v>0</v>
      </c>
      <c r="Q945" s="39">
        <v>0</v>
      </c>
      <c r="R945" s="39">
        <v>0</v>
      </c>
      <c r="S945" s="39">
        <v>0</v>
      </c>
      <c r="T945" s="39">
        <v>0</v>
      </c>
      <c r="U945" s="39">
        <v>0</v>
      </c>
      <c r="V945" s="39">
        <v>0</v>
      </c>
      <c r="W945" s="39">
        <v>0</v>
      </c>
      <c r="X945" s="39">
        <v>0</v>
      </c>
      <c r="Y945" s="39">
        <v>0</v>
      </c>
      <c r="Z945" s="39">
        <v>0</v>
      </c>
      <c r="AA945" s="39">
        <v>0</v>
      </c>
      <c r="AB945" s="39">
        <v>0</v>
      </c>
      <c r="AC945" s="39">
        <v>155.75</v>
      </c>
      <c r="AD945" s="39">
        <v>168.72</v>
      </c>
      <c r="AE945" s="39">
        <v>205.95</v>
      </c>
      <c r="AF945" s="39">
        <v>0</v>
      </c>
      <c r="AG945" s="39">
        <v>0</v>
      </c>
      <c r="AH945" s="39">
        <v>0</v>
      </c>
      <c r="AI945" s="39">
        <v>155.75</v>
      </c>
      <c r="AJ945" s="39">
        <v>168.72</v>
      </c>
      <c r="AK945" s="39">
        <v>205.95</v>
      </c>
      <c r="AL945" s="39">
        <v>0</v>
      </c>
      <c r="AM945" s="39">
        <v>0</v>
      </c>
      <c r="AN945" s="39">
        <v>0</v>
      </c>
      <c r="AO945" s="39">
        <v>155.75</v>
      </c>
      <c r="AP945" s="39">
        <v>168.72</v>
      </c>
      <c r="AQ945" s="39">
        <v>205.95</v>
      </c>
      <c r="AR945" s="39">
        <v>205.95</v>
      </c>
    </row>
    <row r="946" spans="1:44" x14ac:dyDescent="0.35">
      <c r="A946" s="16" t="str">
        <f>TEXT(37,"00")</f>
        <v>37</v>
      </c>
      <c r="B946" s="19">
        <v>10371</v>
      </c>
      <c r="C946" s="16" t="str">
        <f>TEXT(134577,"0000000")</f>
        <v>0134577</v>
      </c>
      <c r="D946" s="19">
        <v>1835</v>
      </c>
      <c r="E946" s="16" t="s">
        <v>2059</v>
      </c>
      <c r="F946" s="16" t="s">
        <v>5</v>
      </c>
      <c r="G946" s="35" t="s">
        <v>2060</v>
      </c>
      <c r="H946" s="39">
        <v>0</v>
      </c>
      <c r="I946" s="39">
        <v>0</v>
      </c>
      <c r="J946" s="39">
        <v>0</v>
      </c>
      <c r="K946" s="39">
        <v>0</v>
      </c>
      <c r="L946" s="39">
        <v>0</v>
      </c>
      <c r="M946" s="39">
        <v>0</v>
      </c>
      <c r="N946" s="39">
        <v>0</v>
      </c>
      <c r="O946" s="39">
        <v>0</v>
      </c>
      <c r="P946" s="39">
        <v>0</v>
      </c>
      <c r="Q946" s="39">
        <v>0</v>
      </c>
      <c r="R946" s="39">
        <v>0</v>
      </c>
      <c r="S946" s="39">
        <v>0</v>
      </c>
      <c r="T946" s="39">
        <v>0</v>
      </c>
      <c r="U946" s="39">
        <v>0</v>
      </c>
      <c r="V946" s="39">
        <v>0</v>
      </c>
      <c r="W946" s="39">
        <v>0</v>
      </c>
      <c r="X946" s="39">
        <v>0</v>
      </c>
      <c r="Y946" s="39">
        <v>0</v>
      </c>
      <c r="Z946" s="39">
        <v>0</v>
      </c>
      <c r="AA946" s="39">
        <v>0</v>
      </c>
      <c r="AB946" s="39">
        <v>0</v>
      </c>
      <c r="AC946" s="39">
        <v>293.08999999999997</v>
      </c>
      <c r="AD946" s="39">
        <v>309.22000000000003</v>
      </c>
      <c r="AE946" s="39">
        <v>256.26</v>
      </c>
      <c r="AF946" s="39">
        <v>0</v>
      </c>
      <c r="AG946" s="39">
        <v>0</v>
      </c>
      <c r="AH946" s="39">
        <v>0</v>
      </c>
      <c r="AI946" s="39">
        <v>293.08999999999997</v>
      </c>
      <c r="AJ946" s="39">
        <v>309.22000000000003</v>
      </c>
      <c r="AK946" s="39">
        <v>256.26</v>
      </c>
      <c r="AL946" s="39">
        <v>0</v>
      </c>
      <c r="AM946" s="39">
        <v>0</v>
      </c>
      <c r="AN946" s="39">
        <v>0</v>
      </c>
      <c r="AO946" s="39">
        <v>293.08999999999997</v>
      </c>
      <c r="AP946" s="39">
        <v>309.22000000000003</v>
      </c>
      <c r="AQ946" s="39">
        <v>256.26</v>
      </c>
      <c r="AR946" s="39">
        <v>309.22000000000003</v>
      </c>
    </row>
    <row r="947" spans="1:44" x14ac:dyDescent="0.35">
      <c r="A947" s="16" t="str">
        <f>TEXT(37,"00")</f>
        <v>37</v>
      </c>
      <c r="B947" s="19">
        <v>10371</v>
      </c>
      <c r="C947" s="16" t="str">
        <f>TEXT(136085,"0000000")</f>
        <v>0136085</v>
      </c>
      <c r="D947" s="19">
        <v>1883</v>
      </c>
      <c r="E947" s="16" t="s">
        <v>2061</v>
      </c>
      <c r="F947" s="16" t="s">
        <v>5</v>
      </c>
      <c r="G947" s="35" t="s">
        <v>2062</v>
      </c>
      <c r="H947" s="39">
        <v>0</v>
      </c>
      <c r="I947" s="39">
        <v>0</v>
      </c>
      <c r="J947" s="39">
        <v>0</v>
      </c>
      <c r="K947" s="39">
        <v>0</v>
      </c>
      <c r="L947" s="39">
        <v>0</v>
      </c>
      <c r="M947" s="39">
        <v>0</v>
      </c>
      <c r="N947" s="39">
        <v>0</v>
      </c>
      <c r="O947" s="39">
        <v>0</v>
      </c>
      <c r="P947" s="39">
        <v>0</v>
      </c>
      <c r="Q947" s="39">
        <v>0</v>
      </c>
      <c r="R947" s="39">
        <v>0</v>
      </c>
      <c r="S947" s="39">
        <v>0</v>
      </c>
      <c r="T947" s="39">
        <v>0</v>
      </c>
      <c r="U947" s="39">
        <v>0</v>
      </c>
      <c r="V947" s="39">
        <v>0</v>
      </c>
      <c r="W947" s="39">
        <v>0</v>
      </c>
      <c r="X947" s="39">
        <v>0</v>
      </c>
      <c r="Y947" s="39">
        <v>0</v>
      </c>
      <c r="Z947" s="39">
        <v>0</v>
      </c>
      <c r="AA947" s="39">
        <v>0</v>
      </c>
      <c r="AB947" s="39">
        <v>0</v>
      </c>
      <c r="AC947" s="39">
        <v>591.66</v>
      </c>
      <c r="AD947" s="39">
        <v>495.7</v>
      </c>
      <c r="AE947" s="39">
        <v>500.85</v>
      </c>
      <c r="AF947" s="39">
        <v>0</v>
      </c>
      <c r="AG947" s="39">
        <v>0</v>
      </c>
      <c r="AH947" s="39">
        <v>0</v>
      </c>
      <c r="AI947" s="39">
        <v>591.66</v>
      </c>
      <c r="AJ947" s="39">
        <v>495.7</v>
      </c>
      <c r="AK947" s="39">
        <v>500.85</v>
      </c>
      <c r="AL947" s="39">
        <v>0</v>
      </c>
      <c r="AM947" s="39">
        <v>0</v>
      </c>
      <c r="AN947" s="39">
        <v>0</v>
      </c>
      <c r="AO947" s="39">
        <v>591.66</v>
      </c>
      <c r="AP947" s="39">
        <v>495.7</v>
      </c>
      <c r="AQ947" s="39">
        <v>500.85</v>
      </c>
      <c r="AR947" s="39">
        <v>591.66</v>
      </c>
    </row>
    <row r="948" spans="1:44" x14ac:dyDescent="0.35">
      <c r="A948" s="16" t="str">
        <f>TEXT(1,"00")</f>
        <v>01</v>
      </c>
      <c r="B948" s="19">
        <v>61259</v>
      </c>
      <c r="C948" s="16" t="str">
        <f>TEXT(115014,"0000000")</f>
        <v>0115014</v>
      </c>
      <c r="D948" s="17" t="s">
        <v>102</v>
      </c>
      <c r="E948" s="16" t="s">
        <v>100</v>
      </c>
      <c r="F948" s="16" t="s">
        <v>5</v>
      </c>
      <c r="G948" s="35" t="s">
        <v>101</v>
      </c>
      <c r="H948" s="39">
        <v>0</v>
      </c>
      <c r="I948" s="39">
        <v>0</v>
      </c>
      <c r="J948" s="39">
        <v>0</v>
      </c>
      <c r="K948" s="39">
        <v>0</v>
      </c>
      <c r="L948" s="39">
        <v>0</v>
      </c>
      <c r="M948" s="39">
        <v>0</v>
      </c>
      <c r="N948" s="39">
        <v>0</v>
      </c>
      <c r="O948" s="39">
        <v>0</v>
      </c>
      <c r="P948" s="39">
        <v>0</v>
      </c>
      <c r="Q948" s="39">
        <v>0</v>
      </c>
      <c r="R948" s="39">
        <v>0</v>
      </c>
      <c r="S948" s="39">
        <v>0</v>
      </c>
      <c r="T948" s="39">
        <v>0</v>
      </c>
      <c r="U948" s="39">
        <v>0</v>
      </c>
      <c r="V948" s="39">
        <v>0</v>
      </c>
      <c r="W948" s="39">
        <v>0</v>
      </c>
      <c r="X948" s="39">
        <v>0</v>
      </c>
      <c r="Y948" s="39">
        <v>0</v>
      </c>
      <c r="Z948" s="39">
        <v>0</v>
      </c>
      <c r="AA948" s="39">
        <v>0</v>
      </c>
      <c r="AB948" s="39">
        <v>0</v>
      </c>
      <c r="AC948" s="39">
        <v>460.02</v>
      </c>
      <c r="AD948" s="39">
        <v>430.83</v>
      </c>
      <c r="AE948" s="39">
        <v>436.35</v>
      </c>
      <c r="AF948" s="39">
        <v>0</v>
      </c>
      <c r="AG948" s="39">
        <v>0</v>
      </c>
      <c r="AH948" s="39">
        <v>0</v>
      </c>
      <c r="AI948" s="39">
        <v>460.02</v>
      </c>
      <c r="AJ948" s="39">
        <v>430.83</v>
      </c>
      <c r="AK948" s="39">
        <v>436.35</v>
      </c>
      <c r="AL948" s="39">
        <v>0</v>
      </c>
      <c r="AM948" s="39">
        <v>0</v>
      </c>
      <c r="AN948" s="39">
        <v>0</v>
      </c>
      <c r="AO948" s="39">
        <v>460.02</v>
      </c>
      <c r="AP948" s="39">
        <v>430.83</v>
      </c>
      <c r="AQ948" s="39">
        <v>436.35</v>
      </c>
      <c r="AR948" s="39">
        <v>460.02</v>
      </c>
    </row>
    <row r="949" spans="1:44" x14ac:dyDescent="0.35">
      <c r="A949" s="16" t="str">
        <f t="shared" ref="A949:A958" si="83">TEXT(37,"00")</f>
        <v>37</v>
      </c>
      <c r="B949" s="19">
        <v>10371</v>
      </c>
      <c r="C949" s="16" t="str">
        <f>TEXT(137695,"0000000")</f>
        <v>0137695</v>
      </c>
      <c r="D949" s="19">
        <v>1947</v>
      </c>
      <c r="E949" s="16" t="s">
        <v>2063</v>
      </c>
      <c r="F949" s="16" t="s">
        <v>5</v>
      </c>
      <c r="G949" s="35" t="s">
        <v>2064</v>
      </c>
      <c r="H949" s="39">
        <v>0</v>
      </c>
      <c r="I949" s="39">
        <v>0</v>
      </c>
      <c r="J949" s="39">
        <v>0</v>
      </c>
      <c r="K949" s="39">
        <v>0</v>
      </c>
      <c r="L949" s="39">
        <v>0</v>
      </c>
      <c r="M949" s="39">
        <v>0</v>
      </c>
      <c r="N949" s="39">
        <v>0</v>
      </c>
      <c r="O949" s="39">
        <v>0</v>
      </c>
      <c r="P949" s="39">
        <v>0</v>
      </c>
      <c r="Q949" s="39">
        <v>0</v>
      </c>
      <c r="R949" s="39">
        <v>0</v>
      </c>
      <c r="S949" s="39">
        <v>0</v>
      </c>
      <c r="T949" s="39">
        <v>0</v>
      </c>
      <c r="U949" s="39">
        <v>0</v>
      </c>
      <c r="V949" s="39">
        <v>0</v>
      </c>
      <c r="W949" s="39">
        <v>0</v>
      </c>
      <c r="X949" s="39">
        <v>0</v>
      </c>
      <c r="Y949" s="39">
        <v>0</v>
      </c>
      <c r="Z949" s="39">
        <v>784.47</v>
      </c>
      <c r="AA949" s="39">
        <v>780.56</v>
      </c>
      <c r="AB949" s="39">
        <v>757.43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0</v>
      </c>
      <c r="AI949" s="39">
        <v>784.47</v>
      </c>
      <c r="AJ949" s="39">
        <v>780.56</v>
      </c>
      <c r="AK949" s="39">
        <v>757.43</v>
      </c>
      <c r="AL949" s="39">
        <v>0</v>
      </c>
      <c r="AM949" s="39">
        <v>0</v>
      </c>
      <c r="AN949" s="39">
        <v>0</v>
      </c>
      <c r="AO949" s="39">
        <v>784.47</v>
      </c>
      <c r="AP949" s="39">
        <v>780.56</v>
      </c>
      <c r="AQ949" s="39">
        <v>757.43</v>
      </c>
      <c r="AR949" s="39">
        <v>784.47</v>
      </c>
    </row>
    <row r="950" spans="1:44" x14ac:dyDescent="0.35">
      <c r="A950" s="16" t="str">
        <f t="shared" si="83"/>
        <v>37</v>
      </c>
      <c r="B950" s="19">
        <v>10371</v>
      </c>
      <c r="C950" s="16" t="str">
        <f>TEXT(137752,"0000000")</f>
        <v>0137752</v>
      </c>
      <c r="D950" s="19">
        <v>1946</v>
      </c>
      <c r="E950" s="16" t="s">
        <v>2065</v>
      </c>
      <c r="F950" s="16" t="s">
        <v>5</v>
      </c>
      <c r="G950" s="35" t="s">
        <v>2066</v>
      </c>
      <c r="H950" s="39">
        <v>0</v>
      </c>
      <c r="I950" s="39">
        <v>0</v>
      </c>
      <c r="J950" s="39">
        <v>0</v>
      </c>
      <c r="K950" s="39">
        <v>0</v>
      </c>
      <c r="L950" s="39">
        <v>0</v>
      </c>
      <c r="M950" s="39">
        <v>0</v>
      </c>
      <c r="N950" s="39">
        <v>0</v>
      </c>
      <c r="O950" s="39">
        <v>0</v>
      </c>
      <c r="P950" s="39">
        <v>0</v>
      </c>
      <c r="Q950" s="39">
        <v>0</v>
      </c>
      <c r="R950" s="39">
        <v>0</v>
      </c>
      <c r="S950" s="39">
        <v>0</v>
      </c>
      <c r="T950" s="39">
        <v>0</v>
      </c>
      <c r="U950" s="39">
        <v>0</v>
      </c>
      <c r="V950" s="39">
        <v>0</v>
      </c>
      <c r="W950" s="39">
        <v>0</v>
      </c>
      <c r="X950" s="39">
        <v>0</v>
      </c>
      <c r="Y950" s="39">
        <v>0</v>
      </c>
      <c r="Z950" s="39">
        <v>549.73</v>
      </c>
      <c r="AA950" s="39">
        <v>502.97</v>
      </c>
      <c r="AB950" s="39">
        <v>465.27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0</v>
      </c>
      <c r="AI950" s="39">
        <v>549.73</v>
      </c>
      <c r="AJ950" s="39">
        <v>502.97</v>
      </c>
      <c r="AK950" s="39">
        <v>465.27</v>
      </c>
      <c r="AL950" s="39">
        <v>0</v>
      </c>
      <c r="AM950" s="39">
        <v>0</v>
      </c>
      <c r="AN950" s="39">
        <v>0</v>
      </c>
      <c r="AO950" s="39">
        <v>549.73</v>
      </c>
      <c r="AP950" s="39">
        <v>502.97</v>
      </c>
      <c r="AQ950" s="39">
        <v>465.27</v>
      </c>
      <c r="AR950" s="39">
        <v>549.73</v>
      </c>
    </row>
    <row r="951" spans="1:44" x14ac:dyDescent="0.35">
      <c r="A951" s="16" t="str">
        <f t="shared" si="83"/>
        <v>37</v>
      </c>
      <c r="B951" s="19">
        <v>10371</v>
      </c>
      <c r="C951" s="16" t="str">
        <f>TEXT(138016,"0000000")</f>
        <v>0138016</v>
      </c>
      <c r="D951" s="19">
        <v>1989</v>
      </c>
      <c r="E951" s="16" t="s">
        <v>2067</v>
      </c>
      <c r="F951" s="16" t="s">
        <v>5</v>
      </c>
      <c r="G951" s="35" t="s">
        <v>2068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486.66</v>
      </c>
      <c r="AD951" s="39">
        <v>551.53</v>
      </c>
      <c r="AE951" s="39">
        <v>513.99</v>
      </c>
      <c r="AF951" s="39">
        <v>0</v>
      </c>
      <c r="AG951" s="39">
        <v>0</v>
      </c>
      <c r="AH951" s="39">
        <v>0</v>
      </c>
      <c r="AI951" s="39">
        <v>486.66</v>
      </c>
      <c r="AJ951" s="39">
        <v>551.53</v>
      </c>
      <c r="AK951" s="39">
        <v>513.99</v>
      </c>
      <c r="AL951" s="39">
        <v>0</v>
      </c>
      <c r="AM951" s="39">
        <v>0</v>
      </c>
      <c r="AN951" s="39">
        <v>0</v>
      </c>
      <c r="AO951" s="39">
        <v>486.66</v>
      </c>
      <c r="AP951" s="39">
        <v>551.53</v>
      </c>
      <c r="AQ951" s="39">
        <v>513.99</v>
      </c>
      <c r="AR951" s="39">
        <v>551.53</v>
      </c>
    </row>
    <row r="952" spans="1:44" x14ac:dyDescent="0.35">
      <c r="A952" s="16" t="str">
        <f t="shared" si="83"/>
        <v>37</v>
      </c>
      <c r="B952" s="19">
        <v>10371</v>
      </c>
      <c r="C952" s="16" t="str">
        <f>TEXT(138404,"0000000")</f>
        <v>0138404</v>
      </c>
      <c r="D952" s="19">
        <v>2016</v>
      </c>
      <c r="E952" s="16" t="s">
        <v>2069</v>
      </c>
      <c r="F952" s="16" t="s">
        <v>5</v>
      </c>
      <c r="G952" s="35" t="s">
        <v>2070</v>
      </c>
      <c r="H952" s="39">
        <v>0</v>
      </c>
      <c r="I952" s="39">
        <v>0</v>
      </c>
      <c r="J952" s="39">
        <v>0</v>
      </c>
      <c r="K952" s="39">
        <v>0</v>
      </c>
      <c r="L952" s="39">
        <v>0</v>
      </c>
      <c r="M952" s="39">
        <v>0</v>
      </c>
      <c r="N952" s="39">
        <v>0</v>
      </c>
      <c r="O952" s="39">
        <v>0</v>
      </c>
      <c r="P952" s="39">
        <v>0</v>
      </c>
      <c r="Q952" s="39">
        <v>0</v>
      </c>
      <c r="R952" s="39">
        <v>0</v>
      </c>
      <c r="S952" s="39">
        <v>0</v>
      </c>
      <c r="T952" s="39">
        <v>0</v>
      </c>
      <c r="U952" s="39">
        <v>0</v>
      </c>
      <c r="V952" s="39">
        <v>0</v>
      </c>
      <c r="W952" s="39">
        <v>0</v>
      </c>
      <c r="X952" s="39">
        <v>0</v>
      </c>
      <c r="Y952" s="39">
        <v>0</v>
      </c>
      <c r="Z952" s="39">
        <v>0</v>
      </c>
      <c r="AA952" s="39">
        <v>0</v>
      </c>
      <c r="AB952" s="39">
        <v>0</v>
      </c>
      <c r="AC952" s="39">
        <v>664.27</v>
      </c>
      <c r="AD952" s="39">
        <v>621.36</v>
      </c>
      <c r="AE952" s="39">
        <v>572.89</v>
      </c>
      <c r="AF952" s="39">
        <v>0</v>
      </c>
      <c r="AG952" s="39">
        <v>0</v>
      </c>
      <c r="AH952" s="39">
        <v>0</v>
      </c>
      <c r="AI952" s="39">
        <v>664.27</v>
      </c>
      <c r="AJ952" s="39">
        <v>621.36</v>
      </c>
      <c r="AK952" s="39">
        <v>572.89</v>
      </c>
      <c r="AL952" s="39">
        <v>0</v>
      </c>
      <c r="AM952" s="39">
        <v>0</v>
      </c>
      <c r="AN952" s="39">
        <v>0</v>
      </c>
      <c r="AO952" s="39">
        <v>664.27</v>
      </c>
      <c r="AP952" s="39">
        <v>621.36</v>
      </c>
      <c r="AQ952" s="39">
        <v>572.89</v>
      </c>
      <c r="AR952" s="39">
        <v>664.27</v>
      </c>
    </row>
    <row r="953" spans="1:44" x14ac:dyDescent="0.35">
      <c r="A953" s="16" t="str">
        <f t="shared" si="83"/>
        <v>37</v>
      </c>
      <c r="B953" s="19">
        <v>10371</v>
      </c>
      <c r="C953" s="16" t="str">
        <f>TEXT(138594,"0000000")</f>
        <v>0138594</v>
      </c>
      <c r="D953" s="19">
        <v>2023</v>
      </c>
      <c r="E953" s="16" t="s">
        <v>2071</v>
      </c>
      <c r="F953" s="16" t="s">
        <v>5</v>
      </c>
      <c r="G953" s="35" t="s">
        <v>2072</v>
      </c>
      <c r="H953" s="39">
        <v>0</v>
      </c>
      <c r="I953" s="39">
        <v>0</v>
      </c>
      <c r="J953" s="39">
        <v>0</v>
      </c>
      <c r="K953" s="39">
        <v>0</v>
      </c>
      <c r="L953" s="39">
        <v>0</v>
      </c>
      <c r="M953" s="39">
        <v>0</v>
      </c>
      <c r="N953" s="39">
        <v>0</v>
      </c>
      <c r="O953" s="39">
        <v>0</v>
      </c>
      <c r="P953" s="39">
        <v>0</v>
      </c>
      <c r="Q953" s="39">
        <v>0</v>
      </c>
      <c r="R953" s="39">
        <v>0</v>
      </c>
      <c r="S953" s="39">
        <v>0</v>
      </c>
      <c r="T953" s="39">
        <v>0</v>
      </c>
      <c r="U953" s="39">
        <v>0</v>
      </c>
      <c r="V953" s="39">
        <v>0</v>
      </c>
      <c r="W953" s="39">
        <v>0</v>
      </c>
      <c r="X953" s="39">
        <v>0</v>
      </c>
      <c r="Y953" s="39">
        <v>0</v>
      </c>
      <c r="Z953" s="39">
        <v>0</v>
      </c>
      <c r="AA953" s="39">
        <v>0</v>
      </c>
      <c r="AB953" s="39">
        <v>0</v>
      </c>
      <c r="AC953" s="39">
        <v>256.72000000000003</v>
      </c>
      <c r="AD953" s="39">
        <v>250.57</v>
      </c>
      <c r="AE953" s="39">
        <v>218.03</v>
      </c>
      <c r="AF953" s="39">
        <v>0</v>
      </c>
      <c r="AG953" s="39">
        <v>0</v>
      </c>
      <c r="AH953" s="39">
        <v>0</v>
      </c>
      <c r="AI953" s="39">
        <v>256.72000000000003</v>
      </c>
      <c r="AJ953" s="39">
        <v>250.57</v>
      </c>
      <c r="AK953" s="39">
        <v>218.03</v>
      </c>
      <c r="AL953" s="39">
        <v>0</v>
      </c>
      <c r="AM953" s="39">
        <v>0</v>
      </c>
      <c r="AN953" s="39">
        <v>0</v>
      </c>
      <c r="AO953" s="39">
        <v>256.72000000000003</v>
      </c>
      <c r="AP953" s="39">
        <v>250.57</v>
      </c>
      <c r="AQ953" s="39">
        <v>218.03</v>
      </c>
      <c r="AR953" s="39">
        <v>256.72000000000003</v>
      </c>
    </row>
    <row r="954" spans="1:44" x14ac:dyDescent="0.35">
      <c r="A954" s="16" t="str">
        <f t="shared" si="83"/>
        <v>37</v>
      </c>
      <c r="B954" s="19">
        <v>10371</v>
      </c>
      <c r="C954" s="16" t="str">
        <f>TEXT(138792,"0000000")</f>
        <v>0138792</v>
      </c>
      <c r="D954" s="19">
        <v>2024</v>
      </c>
      <c r="E954" s="16" t="s">
        <v>2073</v>
      </c>
      <c r="F954" s="16" t="s">
        <v>5</v>
      </c>
      <c r="G954" s="35" t="s">
        <v>2074</v>
      </c>
      <c r="H954" s="39">
        <v>0</v>
      </c>
      <c r="I954" s="39">
        <v>0</v>
      </c>
      <c r="J954" s="39">
        <v>0</v>
      </c>
      <c r="K954" s="39">
        <v>0</v>
      </c>
      <c r="L954" s="39">
        <v>0</v>
      </c>
      <c r="M954" s="39">
        <v>0</v>
      </c>
      <c r="N954" s="39">
        <v>0</v>
      </c>
      <c r="O954" s="39">
        <v>0</v>
      </c>
      <c r="P954" s="39">
        <v>0</v>
      </c>
      <c r="Q954" s="39">
        <v>0</v>
      </c>
      <c r="R954" s="39">
        <v>0</v>
      </c>
      <c r="S954" s="39">
        <v>0</v>
      </c>
      <c r="T954" s="39">
        <v>0</v>
      </c>
      <c r="U954" s="39">
        <v>0</v>
      </c>
      <c r="V954" s="39">
        <v>0</v>
      </c>
      <c r="W954" s="39">
        <v>0</v>
      </c>
      <c r="X954" s="39">
        <v>0</v>
      </c>
      <c r="Y954" s="39">
        <v>0</v>
      </c>
      <c r="Z954" s="39">
        <v>0</v>
      </c>
      <c r="AA954" s="39">
        <v>0</v>
      </c>
      <c r="AB954" s="39">
        <v>0</v>
      </c>
      <c r="AC954" s="39">
        <v>222.44</v>
      </c>
      <c r="AD954" s="39">
        <v>198.35</v>
      </c>
      <c r="AE954" s="39">
        <v>226.31</v>
      </c>
      <c r="AF954" s="39">
        <v>0</v>
      </c>
      <c r="AG954" s="39">
        <v>0</v>
      </c>
      <c r="AH954" s="39">
        <v>0</v>
      </c>
      <c r="AI954" s="39">
        <v>222.44</v>
      </c>
      <c r="AJ954" s="39">
        <v>198.35</v>
      </c>
      <c r="AK954" s="39">
        <v>226.31</v>
      </c>
      <c r="AL954" s="39">
        <v>0</v>
      </c>
      <c r="AM954" s="39">
        <v>0</v>
      </c>
      <c r="AN954" s="39">
        <v>0</v>
      </c>
      <c r="AO954" s="39">
        <v>222.44</v>
      </c>
      <c r="AP954" s="39">
        <v>198.35</v>
      </c>
      <c r="AQ954" s="39">
        <v>226.31</v>
      </c>
      <c r="AR954" s="39">
        <v>226.31</v>
      </c>
    </row>
    <row r="955" spans="1:44" x14ac:dyDescent="0.35">
      <c r="A955" s="16" t="str">
        <f t="shared" si="83"/>
        <v>37</v>
      </c>
      <c r="B955" s="19">
        <v>10371</v>
      </c>
      <c r="C955" s="16" t="str">
        <f>TEXT(6119119,"0000000")</f>
        <v>6119119</v>
      </c>
      <c r="D955" s="17" t="s">
        <v>2077</v>
      </c>
      <c r="E955" s="16" t="s">
        <v>2075</v>
      </c>
      <c r="F955" s="16" t="s">
        <v>5</v>
      </c>
      <c r="G955" s="35" t="s">
        <v>2076</v>
      </c>
      <c r="H955" s="39">
        <v>0</v>
      </c>
      <c r="I955" s="39">
        <v>0</v>
      </c>
      <c r="J955" s="39">
        <v>0</v>
      </c>
      <c r="K955" s="39">
        <v>0</v>
      </c>
      <c r="L955" s="39">
        <v>0</v>
      </c>
      <c r="M955" s="39">
        <v>0</v>
      </c>
      <c r="N955" s="39">
        <v>0</v>
      </c>
      <c r="O955" s="39">
        <v>0</v>
      </c>
      <c r="P955" s="39">
        <v>0</v>
      </c>
      <c r="Q955" s="39">
        <v>0</v>
      </c>
      <c r="R955" s="39">
        <v>0</v>
      </c>
      <c r="S955" s="39">
        <v>0</v>
      </c>
      <c r="T955" s="39">
        <v>0</v>
      </c>
      <c r="U955" s="39">
        <v>0</v>
      </c>
      <c r="V955" s="39">
        <v>0</v>
      </c>
      <c r="W955" s="39">
        <v>0</v>
      </c>
      <c r="X955" s="39">
        <v>0</v>
      </c>
      <c r="Y955" s="39">
        <v>0</v>
      </c>
      <c r="Z955" s="39">
        <v>0</v>
      </c>
      <c r="AA955" s="39">
        <v>0</v>
      </c>
      <c r="AB955" s="39">
        <v>0</v>
      </c>
      <c r="AC955" s="39">
        <v>2011.13</v>
      </c>
      <c r="AD955" s="39">
        <v>1978.36</v>
      </c>
      <c r="AE955" s="39">
        <v>1907.63</v>
      </c>
      <c r="AF955" s="39">
        <v>0</v>
      </c>
      <c r="AG955" s="39">
        <v>0</v>
      </c>
      <c r="AH955" s="39">
        <v>0</v>
      </c>
      <c r="AI955" s="39">
        <v>2011.13</v>
      </c>
      <c r="AJ955" s="39">
        <v>1978.36</v>
      </c>
      <c r="AK955" s="39">
        <v>1907.63</v>
      </c>
      <c r="AL955" s="39">
        <v>0</v>
      </c>
      <c r="AM955" s="39">
        <v>0</v>
      </c>
      <c r="AN955" s="39">
        <v>0</v>
      </c>
      <c r="AO955" s="39">
        <v>2011.13</v>
      </c>
      <c r="AP955" s="39">
        <v>1978.36</v>
      </c>
      <c r="AQ955" s="39">
        <v>1907.63</v>
      </c>
      <c r="AR955" s="39">
        <v>2011.13</v>
      </c>
    </row>
    <row r="956" spans="1:44" x14ac:dyDescent="0.35">
      <c r="A956" s="16" t="str">
        <f t="shared" si="83"/>
        <v>37</v>
      </c>
      <c r="B956" s="19">
        <v>67983</v>
      </c>
      <c r="C956" s="16" t="str">
        <f>TEXT(134890,"0000000")</f>
        <v>0134890</v>
      </c>
      <c r="D956" s="19">
        <v>1832</v>
      </c>
      <c r="E956" s="16" t="s">
        <v>2082</v>
      </c>
      <c r="F956" s="16" t="s">
        <v>5</v>
      </c>
      <c r="G956" s="35" t="s">
        <v>2083</v>
      </c>
      <c r="H956" s="39">
        <v>0</v>
      </c>
      <c r="I956" s="39">
        <v>0</v>
      </c>
      <c r="J956" s="39">
        <v>0</v>
      </c>
      <c r="K956" s="39">
        <v>0</v>
      </c>
      <c r="L956" s="39">
        <v>0</v>
      </c>
      <c r="M956" s="39">
        <v>0</v>
      </c>
      <c r="N956" s="39">
        <v>0</v>
      </c>
      <c r="O956" s="39">
        <v>0</v>
      </c>
      <c r="P956" s="39">
        <v>0</v>
      </c>
      <c r="Q956" s="39">
        <v>0</v>
      </c>
      <c r="R956" s="39">
        <v>0</v>
      </c>
      <c r="S956" s="39">
        <v>0</v>
      </c>
      <c r="T956" s="39">
        <v>0</v>
      </c>
      <c r="U956" s="39">
        <v>0</v>
      </c>
      <c r="V956" s="39">
        <v>0</v>
      </c>
      <c r="W956" s="39">
        <v>0</v>
      </c>
      <c r="X956" s="39">
        <v>0</v>
      </c>
      <c r="Y956" s="39">
        <v>0</v>
      </c>
      <c r="Z956" s="39">
        <v>0</v>
      </c>
      <c r="AA956" s="39">
        <v>0</v>
      </c>
      <c r="AB956" s="39">
        <v>0</v>
      </c>
      <c r="AC956" s="39">
        <v>2807.43</v>
      </c>
      <c r="AD956" s="39">
        <v>2635.48</v>
      </c>
      <c r="AE956" s="39">
        <v>2520.38</v>
      </c>
      <c r="AF956" s="39">
        <v>0</v>
      </c>
      <c r="AG956" s="39">
        <v>0</v>
      </c>
      <c r="AH956" s="39">
        <v>0</v>
      </c>
      <c r="AI956" s="39">
        <v>2807.43</v>
      </c>
      <c r="AJ956" s="39">
        <v>2635.48</v>
      </c>
      <c r="AK956" s="39">
        <v>2520.38</v>
      </c>
      <c r="AL956" s="39">
        <v>0</v>
      </c>
      <c r="AM956" s="39">
        <v>0</v>
      </c>
      <c r="AN956" s="39">
        <v>0</v>
      </c>
      <c r="AO956" s="39">
        <v>2807.43</v>
      </c>
      <c r="AP956" s="39">
        <v>2635.48</v>
      </c>
      <c r="AQ956" s="39">
        <v>2520.38</v>
      </c>
      <c r="AR956" s="39">
        <v>2807.43</v>
      </c>
    </row>
    <row r="957" spans="1:44" x14ac:dyDescent="0.35">
      <c r="A957" s="16" t="str">
        <f t="shared" si="83"/>
        <v>37</v>
      </c>
      <c r="B957" s="19">
        <v>68023</v>
      </c>
      <c r="C957" s="16" t="str">
        <f>TEXT(138073,"0000000")</f>
        <v>0138073</v>
      </c>
      <c r="D957" s="19">
        <v>2001</v>
      </c>
      <c r="E957" s="16" t="s">
        <v>2092</v>
      </c>
      <c r="F957" s="16" t="s">
        <v>5</v>
      </c>
      <c r="G957" s="35" t="s">
        <v>2093</v>
      </c>
      <c r="H957" s="39">
        <v>0</v>
      </c>
      <c r="I957" s="39">
        <v>0</v>
      </c>
      <c r="J957" s="39">
        <v>0</v>
      </c>
      <c r="K957" s="39">
        <v>0</v>
      </c>
      <c r="L957" s="39">
        <v>0</v>
      </c>
      <c r="M957" s="39">
        <v>0</v>
      </c>
      <c r="N957" s="39">
        <v>0</v>
      </c>
      <c r="O957" s="39">
        <v>0</v>
      </c>
      <c r="P957" s="39">
        <v>0</v>
      </c>
      <c r="Q957" s="39">
        <v>0</v>
      </c>
      <c r="R957" s="39">
        <v>0</v>
      </c>
      <c r="S957" s="39">
        <v>0</v>
      </c>
      <c r="T957" s="39">
        <v>0</v>
      </c>
      <c r="U957" s="39">
        <v>0</v>
      </c>
      <c r="V957" s="39">
        <v>0</v>
      </c>
      <c r="W957" s="39">
        <v>0</v>
      </c>
      <c r="X957" s="39">
        <v>0</v>
      </c>
      <c r="Y957" s="39">
        <v>0</v>
      </c>
      <c r="Z957" s="39">
        <v>0</v>
      </c>
      <c r="AA957" s="39">
        <v>0</v>
      </c>
      <c r="AB957" s="39">
        <v>0</v>
      </c>
      <c r="AC957" s="39">
        <v>429.8</v>
      </c>
      <c r="AD957" s="39">
        <v>413.74</v>
      </c>
      <c r="AE957" s="39">
        <v>388.77</v>
      </c>
      <c r="AF957" s="39">
        <v>0</v>
      </c>
      <c r="AG957" s="39">
        <v>0</v>
      </c>
      <c r="AH957" s="39">
        <v>0</v>
      </c>
      <c r="AI957" s="39">
        <v>429.8</v>
      </c>
      <c r="AJ957" s="39">
        <v>413.74</v>
      </c>
      <c r="AK957" s="39">
        <v>388.77</v>
      </c>
      <c r="AL957" s="39">
        <v>0</v>
      </c>
      <c r="AM957" s="39">
        <v>0</v>
      </c>
      <c r="AN957" s="39">
        <v>0</v>
      </c>
      <c r="AO957" s="39">
        <v>429.8</v>
      </c>
      <c r="AP957" s="39">
        <v>413.74</v>
      </c>
      <c r="AQ957" s="39">
        <v>388.77</v>
      </c>
      <c r="AR957" s="39">
        <v>429.8</v>
      </c>
    </row>
    <row r="958" spans="1:44" x14ac:dyDescent="0.35">
      <c r="A958" s="16" t="str">
        <f t="shared" si="83"/>
        <v>37</v>
      </c>
      <c r="B958" s="19">
        <v>68049</v>
      </c>
      <c r="C958" s="16" t="str">
        <f>TEXT(127118,"0000000")</f>
        <v>0127118</v>
      </c>
      <c r="D958" s="19">
        <v>1488</v>
      </c>
      <c r="E958" s="16" t="s">
        <v>2098</v>
      </c>
      <c r="F958" s="16" t="s">
        <v>5</v>
      </c>
      <c r="G958" s="35" t="s">
        <v>2099</v>
      </c>
      <c r="H958" s="39">
        <v>0</v>
      </c>
      <c r="I958" s="39">
        <v>0</v>
      </c>
      <c r="J958" s="39">
        <v>0</v>
      </c>
      <c r="K958" s="39">
        <v>0</v>
      </c>
      <c r="L958" s="39">
        <v>0</v>
      </c>
      <c r="M958" s="39">
        <v>0</v>
      </c>
      <c r="N958" s="39">
        <v>0</v>
      </c>
      <c r="O958" s="39">
        <v>0</v>
      </c>
      <c r="P958" s="39">
        <v>0</v>
      </c>
      <c r="Q958" s="39">
        <v>0</v>
      </c>
      <c r="R958" s="39">
        <v>0</v>
      </c>
      <c r="S958" s="39">
        <v>0</v>
      </c>
      <c r="T958" s="39">
        <v>0</v>
      </c>
      <c r="U958" s="39">
        <v>0</v>
      </c>
      <c r="V958" s="39">
        <v>0</v>
      </c>
      <c r="W958" s="39">
        <v>0</v>
      </c>
      <c r="X958" s="39">
        <v>0</v>
      </c>
      <c r="Y958" s="39">
        <v>0</v>
      </c>
      <c r="Z958" s="39">
        <v>0</v>
      </c>
      <c r="AA958" s="39">
        <v>0</v>
      </c>
      <c r="AB958" s="39">
        <v>0</v>
      </c>
      <c r="AC958" s="39">
        <v>283.69</v>
      </c>
      <c r="AD958" s="39">
        <v>282.01</v>
      </c>
      <c r="AE958" s="39">
        <v>264.3</v>
      </c>
      <c r="AF958" s="39">
        <v>0</v>
      </c>
      <c r="AG958" s="39">
        <v>0</v>
      </c>
      <c r="AH958" s="39">
        <v>0</v>
      </c>
      <c r="AI958" s="39">
        <v>283.69</v>
      </c>
      <c r="AJ958" s="39">
        <v>282.01</v>
      </c>
      <c r="AK958" s="39">
        <v>264.3</v>
      </c>
      <c r="AL958" s="39">
        <v>0</v>
      </c>
      <c r="AM958" s="39">
        <v>0</v>
      </c>
      <c r="AN958" s="39">
        <v>0</v>
      </c>
      <c r="AO958" s="39">
        <v>283.69</v>
      </c>
      <c r="AP958" s="39">
        <v>282.01</v>
      </c>
      <c r="AQ958" s="39">
        <v>264.3</v>
      </c>
      <c r="AR958" s="39">
        <v>283.69</v>
      </c>
    </row>
    <row r="959" spans="1:44" x14ac:dyDescent="0.35">
      <c r="A959" s="16" t="str">
        <f>TEXT(1,"00")</f>
        <v>01</v>
      </c>
      <c r="B959" s="19">
        <v>61259</v>
      </c>
      <c r="C959" s="16" t="str">
        <f>TEXT(115238,"0000000")</f>
        <v>0115238</v>
      </c>
      <c r="D959" s="17" t="s">
        <v>105</v>
      </c>
      <c r="E959" s="16" t="s">
        <v>103</v>
      </c>
      <c r="F959" s="16" t="s">
        <v>5</v>
      </c>
      <c r="G959" s="35" t="s">
        <v>104</v>
      </c>
      <c r="H959" s="39">
        <v>0</v>
      </c>
      <c r="I959" s="39">
        <v>0</v>
      </c>
      <c r="J959" s="39">
        <v>0</v>
      </c>
      <c r="K959" s="39">
        <v>0</v>
      </c>
      <c r="L959" s="39">
        <v>0</v>
      </c>
      <c r="M959" s="39">
        <v>0</v>
      </c>
      <c r="N959" s="39">
        <v>0</v>
      </c>
      <c r="O959" s="39">
        <v>0</v>
      </c>
      <c r="P959" s="39">
        <v>0</v>
      </c>
      <c r="Q959" s="39">
        <v>0</v>
      </c>
      <c r="R959" s="39">
        <v>0</v>
      </c>
      <c r="S959" s="39">
        <v>0</v>
      </c>
      <c r="T959" s="39">
        <v>0</v>
      </c>
      <c r="U959" s="39">
        <v>0</v>
      </c>
      <c r="V959" s="39">
        <v>0</v>
      </c>
      <c r="W959" s="39">
        <v>0</v>
      </c>
      <c r="X959" s="39">
        <v>0</v>
      </c>
      <c r="Y959" s="39">
        <v>0</v>
      </c>
      <c r="Z959" s="39">
        <v>0</v>
      </c>
      <c r="AA959" s="39">
        <v>0</v>
      </c>
      <c r="AB959" s="39">
        <v>0</v>
      </c>
      <c r="AC959" s="39">
        <v>361.27</v>
      </c>
      <c r="AD959" s="39">
        <v>370.29</v>
      </c>
      <c r="AE959" s="39">
        <v>371.11</v>
      </c>
      <c r="AF959" s="39">
        <v>0</v>
      </c>
      <c r="AG959" s="39">
        <v>0</v>
      </c>
      <c r="AH959" s="39">
        <v>0</v>
      </c>
      <c r="AI959" s="39">
        <v>361.27</v>
      </c>
      <c r="AJ959" s="39">
        <v>370.29</v>
      </c>
      <c r="AK959" s="39">
        <v>371.11</v>
      </c>
      <c r="AL959" s="39">
        <v>0</v>
      </c>
      <c r="AM959" s="39">
        <v>0</v>
      </c>
      <c r="AN959" s="39">
        <v>0</v>
      </c>
      <c r="AO959" s="39">
        <v>361.27</v>
      </c>
      <c r="AP959" s="39">
        <v>370.29</v>
      </c>
      <c r="AQ959" s="39">
        <v>371.11</v>
      </c>
      <c r="AR959" s="39">
        <v>371.11</v>
      </c>
    </row>
    <row r="960" spans="1:44" x14ac:dyDescent="0.35">
      <c r="A960" s="16" t="str">
        <f t="shared" ref="A960:A968" si="84">TEXT(37,"00")</f>
        <v>37</v>
      </c>
      <c r="B960" s="19">
        <v>68049</v>
      </c>
      <c r="C960" s="16" t="str">
        <f>TEXT(129221,"0000000")</f>
        <v>0129221</v>
      </c>
      <c r="D960" s="19">
        <v>1617</v>
      </c>
      <c r="E960" s="16" t="s">
        <v>2100</v>
      </c>
      <c r="F960" s="16" t="s">
        <v>5</v>
      </c>
      <c r="G960" s="35" t="s">
        <v>2101</v>
      </c>
      <c r="H960" s="39">
        <v>0</v>
      </c>
      <c r="I960" s="39">
        <v>0</v>
      </c>
      <c r="J960" s="39">
        <v>0</v>
      </c>
      <c r="K960" s="39">
        <v>0</v>
      </c>
      <c r="L960" s="39">
        <v>0</v>
      </c>
      <c r="M960" s="39">
        <v>0</v>
      </c>
      <c r="N960" s="39">
        <v>0</v>
      </c>
      <c r="O960" s="39">
        <v>0</v>
      </c>
      <c r="P960" s="39">
        <v>0</v>
      </c>
      <c r="Q960" s="39">
        <v>0</v>
      </c>
      <c r="R960" s="39">
        <v>0</v>
      </c>
      <c r="S960" s="39">
        <v>0</v>
      </c>
      <c r="T960" s="39">
        <v>0</v>
      </c>
      <c r="U960" s="39">
        <v>0</v>
      </c>
      <c r="V960" s="39">
        <v>0</v>
      </c>
      <c r="W960" s="39">
        <v>0</v>
      </c>
      <c r="X960" s="39">
        <v>0</v>
      </c>
      <c r="Y960" s="39">
        <v>0</v>
      </c>
      <c r="Z960" s="39">
        <v>0</v>
      </c>
      <c r="AA960" s="39">
        <v>0</v>
      </c>
      <c r="AB960" s="39">
        <v>0</v>
      </c>
      <c r="AC960" s="39">
        <v>752.75</v>
      </c>
      <c r="AD960" s="39">
        <v>539.54</v>
      </c>
      <c r="AE960" s="39">
        <v>445.02</v>
      </c>
      <c r="AF960" s="39">
        <v>0</v>
      </c>
      <c r="AG960" s="39">
        <v>0</v>
      </c>
      <c r="AH960" s="39">
        <v>0</v>
      </c>
      <c r="AI960" s="39">
        <v>752.75</v>
      </c>
      <c r="AJ960" s="39">
        <v>539.54</v>
      </c>
      <c r="AK960" s="39">
        <v>445.02</v>
      </c>
      <c r="AL960" s="39">
        <v>0</v>
      </c>
      <c r="AM960" s="39">
        <v>0</v>
      </c>
      <c r="AN960" s="39">
        <v>0</v>
      </c>
      <c r="AO960" s="39">
        <v>752.75</v>
      </c>
      <c r="AP960" s="39">
        <v>539.54</v>
      </c>
      <c r="AQ960" s="39">
        <v>445.02</v>
      </c>
      <c r="AR960" s="39">
        <v>752.75</v>
      </c>
    </row>
    <row r="961" spans="1:44" x14ac:dyDescent="0.35">
      <c r="A961" s="16" t="str">
        <f t="shared" si="84"/>
        <v>37</v>
      </c>
      <c r="B961" s="19">
        <v>68049</v>
      </c>
      <c r="C961" s="16" t="str">
        <f>TEXT(132506,"0000000")</f>
        <v>0132506</v>
      </c>
      <c r="D961" s="19">
        <v>1748</v>
      </c>
      <c r="E961" s="16" t="s">
        <v>2102</v>
      </c>
      <c r="F961" s="16" t="s">
        <v>5</v>
      </c>
      <c r="G961" s="35" t="s">
        <v>2103</v>
      </c>
      <c r="H961" s="39">
        <v>0</v>
      </c>
      <c r="I961" s="39">
        <v>0</v>
      </c>
      <c r="J961" s="39">
        <v>0</v>
      </c>
      <c r="K961" s="39">
        <v>0</v>
      </c>
      <c r="L961" s="39">
        <v>0</v>
      </c>
      <c r="M961" s="39">
        <v>0</v>
      </c>
      <c r="N961" s="39">
        <v>0</v>
      </c>
      <c r="O961" s="39">
        <v>0</v>
      </c>
      <c r="P961" s="39">
        <v>0</v>
      </c>
      <c r="Q961" s="39">
        <v>0</v>
      </c>
      <c r="R961" s="39">
        <v>0</v>
      </c>
      <c r="S961" s="39">
        <v>0</v>
      </c>
      <c r="T961" s="39">
        <v>0</v>
      </c>
      <c r="U961" s="39">
        <v>0</v>
      </c>
      <c r="V961" s="39">
        <v>0</v>
      </c>
      <c r="W961" s="39">
        <v>0</v>
      </c>
      <c r="X961" s="39">
        <v>0</v>
      </c>
      <c r="Y961" s="39">
        <v>0</v>
      </c>
      <c r="Z961" s="39">
        <v>0</v>
      </c>
      <c r="AA961" s="39">
        <v>0</v>
      </c>
      <c r="AB961" s="39">
        <v>0</v>
      </c>
      <c r="AC961" s="39">
        <v>5484.16</v>
      </c>
      <c r="AD961" s="39">
        <v>4847.3599999999997</v>
      </c>
      <c r="AE961" s="39">
        <v>4261.92</v>
      </c>
      <c r="AF961" s="39">
        <v>0</v>
      </c>
      <c r="AG961" s="39">
        <v>0</v>
      </c>
      <c r="AH961" s="39">
        <v>0</v>
      </c>
      <c r="AI961" s="39">
        <v>5484.16</v>
      </c>
      <c r="AJ961" s="39">
        <v>4847.3599999999997</v>
      </c>
      <c r="AK961" s="39">
        <v>4261.92</v>
      </c>
      <c r="AL961" s="39">
        <v>0</v>
      </c>
      <c r="AM961" s="39">
        <v>0</v>
      </c>
      <c r="AN961" s="39">
        <v>0</v>
      </c>
      <c r="AO961" s="39">
        <v>5484.16</v>
      </c>
      <c r="AP961" s="39">
        <v>4847.3599999999997</v>
      </c>
      <c r="AQ961" s="39">
        <v>4261.92</v>
      </c>
      <c r="AR961" s="39">
        <v>5484.16</v>
      </c>
    </row>
    <row r="962" spans="1:44" x14ac:dyDescent="0.35">
      <c r="A962" s="16" t="str">
        <f t="shared" si="84"/>
        <v>37</v>
      </c>
      <c r="B962" s="19">
        <v>68049</v>
      </c>
      <c r="C962" s="16" t="str">
        <f>TEXT(136416,"0000000")</f>
        <v>0136416</v>
      </c>
      <c r="D962" s="19">
        <v>1892</v>
      </c>
      <c r="E962" s="16" t="s">
        <v>2104</v>
      </c>
      <c r="F962" s="16" t="s">
        <v>5</v>
      </c>
      <c r="G962" s="35" t="s">
        <v>2105</v>
      </c>
      <c r="H962" s="39">
        <v>0</v>
      </c>
      <c r="I962" s="39">
        <v>0</v>
      </c>
      <c r="J962" s="39">
        <v>0</v>
      </c>
      <c r="K962" s="39">
        <v>0</v>
      </c>
      <c r="L962" s="39">
        <v>0</v>
      </c>
      <c r="M962" s="39">
        <v>0</v>
      </c>
      <c r="N962" s="39">
        <v>0</v>
      </c>
      <c r="O962" s="39">
        <v>0</v>
      </c>
      <c r="P962" s="39">
        <v>0</v>
      </c>
      <c r="Q962" s="39">
        <v>0</v>
      </c>
      <c r="R962" s="39">
        <v>0</v>
      </c>
      <c r="S962" s="39">
        <v>0</v>
      </c>
      <c r="T962" s="39">
        <v>0</v>
      </c>
      <c r="U962" s="39">
        <v>0</v>
      </c>
      <c r="V962" s="39">
        <v>0</v>
      </c>
      <c r="W962" s="39">
        <v>0</v>
      </c>
      <c r="X962" s="39">
        <v>0</v>
      </c>
      <c r="Y962" s="39">
        <v>0</v>
      </c>
      <c r="Z962" s="39">
        <v>0</v>
      </c>
      <c r="AA962" s="39">
        <v>0</v>
      </c>
      <c r="AB962" s="39">
        <v>0</v>
      </c>
      <c r="AC962" s="39">
        <v>6537.4</v>
      </c>
      <c r="AD962" s="39">
        <v>5600.42</v>
      </c>
      <c r="AE962" s="39">
        <v>4846.8100000000004</v>
      </c>
      <c r="AF962" s="39">
        <v>0</v>
      </c>
      <c r="AG962" s="39">
        <v>0</v>
      </c>
      <c r="AH962" s="39">
        <v>0</v>
      </c>
      <c r="AI962" s="39">
        <v>6537.4</v>
      </c>
      <c r="AJ962" s="39">
        <v>5600.42</v>
      </c>
      <c r="AK962" s="39">
        <v>4846.8100000000004</v>
      </c>
      <c r="AL962" s="39">
        <v>0</v>
      </c>
      <c r="AM962" s="39">
        <v>0</v>
      </c>
      <c r="AN962" s="39">
        <v>0</v>
      </c>
      <c r="AO962" s="39">
        <v>6537.4</v>
      </c>
      <c r="AP962" s="39">
        <v>5600.42</v>
      </c>
      <c r="AQ962" s="39">
        <v>4846.8100000000004</v>
      </c>
      <c r="AR962" s="39">
        <v>6537.4</v>
      </c>
    </row>
    <row r="963" spans="1:44" x14ac:dyDescent="0.35">
      <c r="A963" s="16" t="str">
        <f t="shared" si="84"/>
        <v>37</v>
      </c>
      <c r="B963" s="19">
        <v>68098</v>
      </c>
      <c r="C963" s="16" t="str">
        <f>TEXT(6116776,"0000000")</f>
        <v>6116776</v>
      </c>
      <c r="D963" s="17" t="s">
        <v>2116</v>
      </c>
      <c r="E963" s="16" t="s">
        <v>2114</v>
      </c>
      <c r="F963" s="16" t="s">
        <v>5</v>
      </c>
      <c r="G963" s="35" t="s">
        <v>2115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1570.48</v>
      </c>
      <c r="AD963" s="39">
        <v>1550.73</v>
      </c>
      <c r="AE963" s="39">
        <v>1519.31</v>
      </c>
      <c r="AF963" s="39">
        <v>0</v>
      </c>
      <c r="AG963" s="39">
        <v>0</v>
      </c>
      <c r="AH963" s="39">
        <v>0</v>
      </c>
      <c r="AI963" s="39">
        <v>1570.48</v>
      </c>
      <c r="AJ963" s="39">
        <v>1550.73</v>
      </c>
      <c r="AK963" s="39">
        <v>1519.31</v>
      </c>
      <c r="AL963" s="39">
        <v>0</v>
      </c>
      <c r="AM963" s="39">
        <v>0</v>
      </c>
      <c r="AN963" s="39">
        <v>0</v>
      </c>
      <c r="AO963" s="39">
        <v>1570.48</v>
      </c>
      <c r="AP963" s="39">
        <v>1550.73</v>
      </c>
      <c r="AQ963" s="39">
        <v>1519.31</v>
      </c>
      <c r="AR963" s="39">
        <v>1570.48</v>
      </c>
    </row>
    <row r="964" spans="1:44" x14ac:dyDescent="0.35">
      <c r="A964" s="16" t="str">
        <f t="shared" si="84"/>
        <v>37</v>
      </c>
      <c r="B964" s="19">
        <v>68106</v>
      </c>
      <c r="C964" s="16" t="str">
        <f>TEXT(111195,"0000000")</f>
        <v>0111195</v>
      </c>
      <c r="D964" s="17" t="s">
        <v>2121</v>
      </c>
      <c r="E964" s="16" t="s">
        <v>2119</v>
      </c>
      <c r="F964" s="16" t="s">
        <v>5</v>
      </c>
      <c r="G964" s="35" t="s">
        <v>2120</v>
      </c>
      <c r="H964" s="39">
        <v>0</v>
      </c>
      <c r="I964" s="39">
        <v>0</v>
      </c>
      <c r="J964" s="39">
        <v>0</v>
      </c>
      <c r="K964" s="39">
        <v>0</v>
      </c>
      <c r="L964" s="39">
        <v>0</v>
      </c>
      <c r="M964" s="39">
        <v>0</v>
      </c>
      <c r="N964" s="39">
        <v>0</v>
      </c>
      <c r="O964" s="39">
        <v>0</v>
      </c>
      <c r="P964" s="39">
        <v>0</v>
      </c>
      <c r="Q964" s="39">
        <v>0</v>
      </c>
      <c r="R964" s="39">
        <v>0</v>
      </c>
      <c r="S964" s="39">
        <v>0</v>
      </c>
      <c r="T964" s="39">
        <v>0</v>
      </c>
      <c r="U964" s="39">
        <v>0</v>
      </c>
      <c r="V964" s="39">
        <v>0</v>
      </c>
      <c r="W964" s="39">
        <v>0</v>
      </c>
      <c r="X964" s="39">
        <v>0</v>
      </c>
      <c r="Y964" s="39">
        <v>0</v>
      </c>
      <c r="Z964" s="39">
        <v>0</v>
      </c>
      <c r="AA964" s="39">
        <v>0</v>
      </c>
      <c r="AB964" s="39">
        <v>0</v>
      </c>
      <c r="AC964" s="39">
        <v>1314.79</v>
      </c>
      <c r="AD964" s="39">
        <v>1274.73</v>
      </c>
      <c r="AE964" s="39">
        <v>1257.6099999999999</v>
      </c>
      <c r="AF964" s="39">
        <v>0</v>
      </c>
      <c r="AG964" s="39">
        <v>0</v>
      </c>
      <c r="AH964" s="39">
        <v>0</v>
      </c>
      <c r="AI964" s="39">
        <v>1314.79</v>
      </c>
      <c r="AJ964" s="39">
        <v>1274.73</v>
      </c>
      <c r="AK964" s="39">
        <v>1257.6099999999999</v>
      </c>
      <c r="AL964" s="39">
        <v>0</v>
      </c>
      <c r="AM964" s="39">
        <v>0</v>
      </c>
      <c r="AN964" s="39">
        <v>0</v>
      </c>
      <c r="AO964" s="39">
        <v>1314.79</v>
      </c>
      <c r="AP964" s="39">
        <v>1274.73</v>
      </c>
      <c r="AQ964" s="39">
        <v>1257.6099999999999</v>
      </c>
      <c r="AR964" s="39">
        <v>1314.79</v>
      </c>
    </row>
    <row r="965" spans="1:44" x14ac:dyDescent="0.35">
      <c r="A965" s="16" t="str">
        <f t="shared" si="84"/>
        <v>37</v>
      </c>
      <c r="B965" s="19">
        <v>68106</v>
      </c>
      <c r="C965" s="16" t="str">
        <f>TEXT(137034,"0000000")</f>
        <v>0137034</v>
      </c>
      <c r="D965" s="19">
        <v>1935</v>
      </c>
      <c r="E965" s="16" t="s">
        <v>2122</v>
      </c>
      <c r="F965" s="16" t="s">
        <v>5</v>
      </c>
      <c r="G965" s="35" t="s">
        <v>2123</v>
      </c>
      <c r="H965" s="39">
        <v>0</v>
      </c>
      <c r="I965" s="39">
        <v>0</v>
      </c>
      <c r="J965" s="39">
        <v>0</v>
      </c>
      <c r="K965" s="39">
        <v>0</v>
      </c>
      <c r="L965" s="39">
        <v>0</v>
      </c>
      <c r="M965" s="39">
        <v>0</v>
      </c>
      <c r="N965" s="39">
        <v>0</v>
      </c>
      <c r="O965" s="39">
        <v>0</v>
      </c>
      <c r="P965" s="39">
        <v>0</v>
      </c>
      <c r="Q965" s="39">
        <v>0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0</v>
      </c>
      <c r="AA965" s="39">
        <v>0</v>
      </c>
      <c r="AB965" s="39">
        <v>0</v>
      </c>
      <c r="AC965" s="39">
        <v>170.01</v>
      </c>
      <c r="AD965" s="39">
        <v>169.79</v>
      </c>
      <c r="AE965" s="39">
        <v>127.79</v>
      </c>
      <c r="AF965" s="39">
        <v>0</v>
      </c>
      <c r="AG965" s="39">
        <v>0</v>
      </c>
      <c r="AH965" s="39">
        <v>0</v>
      </c>
      <c r="AI965" s="39">
        <v>170.01</v>
      </c>
      <c r="AJ965" s="39">
        <v>169.79</v>
      </c>
      <c r="AK965" s="39">
        <v>127.79</v>
      </c>
      <c r="AL965" s="39">
        <v>0</v>
      </c>
      <c r="AM965" s="39">
        <v>0</v>
      </c>
      <c r="AN965" s="39">
        <v>0</v>
      </c>
      <c r="AO965" s="39">
        <v>170.01</v>
      </c>
      <c r="AP965" s="39">
        <v>169.79</v>
      </c>
      <c r="AQ965" s="39">
        <v>127.79</v>
      </c>
      <c r="AR965" s="39">
        <v>170.01</v>
      </c>
    </row>
    <row r="966" spans="1:44" x14ac:dyDescent="0.35">
      <c r="A966" s="16" t="str">
        <f t="shared" si="84"/>
        <v>37</v>
      </c>
      <c r="B966" s="19">
        <v>68130</v>
      </c>
      <c r="C966" s="16" t="str">
        <f>TEXT(139063,"0000000")</f>
        <v>0139063</v>
      </c>
      <c r="D966" s="19">
        <v>2039</v>
      </c>
      <c r="E966" s="16" t="s">
        <v>2130</v>
      </c>
      <c r="F966" s="16" t="s">
        <v>5</v>
      </c>
      <c r="G966" s="35" t="s">
        <v>2131</v>
      </c>
      <c r="H966" s="39">
        <v>0</v>
      </c>
      <c r="I966" s="39">
        <v>0</v>
      </c>
      <c r="J966" s="39">
        <v>0</v>
      </c>
      <c r="K966" s="39">
        <v>0</v>
      </c>
      <c r="L966" s="39">
        <v>0</v>
      </c>
      <c r="M966" s="39">
        <v>0</v>
      </c>
      <c r="N966" s="39">
        <v>0</v>
      </c>
      <c r="O966" s="39">
        <v>0</v>
      </c>
      <c r="P966" s="39">
        <v>0</v>
      </c>
      <c r="Q966" s="39">
        <v>0</v>
      </c>
      <c r="R966" s="39">
        <v>0</v>
      </c>
      <c r="S966" s="39">
        <v>0</v>
      </c>
      <c r="T966" s="39">
        <v>0</v>
      </c>
      <c r="U966" s="39">
        <v>0</v>
      </c>
      <c r="V966" s="39">
        <v>0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460.52</v>
      </c>
      <c r="AD966" s="39">
        <v>443.4</v>
      </c>
      <c r="AE966" s="39">
        <v>412</v>
      </c>
      <c r="AF966" s="39">
        <v>0</v>
      </c>
      <c r="AG966" s="39">
        <v>0</v>
      </c>
      <c r="AH966" s="39">
        <v>0</v>
      </c>
      <c r="AI966" s="39">
        <v>460.52</v>
      </c>
      <c r="AJ966" s="39">
        <v>443.4</v>
      </c>
      <c r="AK966" s="39">
        <v>412</v>
      </c>
      <c r="AL966" s="39">
        <v>0</v>
      </c>
      <c r="AM966" s="39">
        <v>0</v>
      </c>
      <c r="AN966" s="39">
        <v>0</v>
      </c>
      <c r="AO966" s="39">
        <v>460.52</v>
      </c>
      <c r="AP966" s="39">
        <v>443.4</v>
      </c>
      <c r="AQ966" s="39">
        <v>412</v>
      </c>
      <c r="AR966" s="39">
        <v>460.52</v>
      </c>
    </row>
    <row r="967" spans="1:44" x14ac:dyDescent="0.35">
      <c r="A967" s="16" t="str">
        <f t="shared" si="84"/>
        <v>37</v>
      </c>
      <c r="B967" s="19">
        <v>68163</v>
      </c>
      <c r="C967" s="16" t="str">
        <f>TEXT(137109,"0000000")</f>
        <v>0137109</v>
      </c>
      <c r="D967" s="19">
        <v>1934</v>
      </c>
      <c r="E967" s="16" t="s">
        <v>2138</v>
      </c>
      <c r="F967" s="16" t="s">
        <v>5</v>
      </c>
      <c r="G967" s="35" t="s">
        <v>2139</v>
      </c>
      <c r="H967" s="39">
        <v>0</v>
      </c>
      <c r="I967" s="39">
        <v>0</v>
      </c>
      <c r="J967" s="39">
        <v>0</v>
      </c>
      <c r="K967" s="39">
        <v>0</v>
      </c>
      <c r="L967" s="39">
        <v>0</v>
      </c>
      <c r="M967" s="39">
        <v>0</v>
      </c>
      <c r="N967" s="39">
        <v>0</v>
      </c>
      <c r="O967" s="39">
        <v>0</v>
      </c>
      <c r="P967" s="39">
        <v>0</v>
      </c>
      <c r="Q967" s="39">
        <v>0</v>
      </c>
      <c r="R967" s="39">
        <v>0</v>
      </c>
      <c r="S967" s="39">
        <v>0</v>
      </c>
      <c r="T967" s="39">
        <v>0</v>
      </c>
      <c r="U967" s="39">
        <v>0</v>
      </c>
      <c r="V967" s="39">
        <v>0</v>
      </c>
      <c r="W967" s="39">
        <v>0</v>
      </c>
      <c r="X967" s="39">
        <v>0</v>
      </c>
      <c r="Y967" s="39">
        <v>0</v>
      </c>
      <c r="Z967" s="39">
        <v>0</v>
      </c>
      <c r="AA967" s="39">
        <v>0</v>
      </c>
      <c r="AB967" s="39">
        <v>0</v>
      </c>
      <c r="AC967" s="39">
        <v>449.54</v>
      </c>
      <c r="AD967" s="39">
        <v>435.22</v>
      </c>
      <c r="AE967" s="39">
        <v>428.67</v>
      </c>
      <c r="AF967" s="39">
        <v>0</v>
      </c>
      <c r="AG967" s="39">
        <v>0</v>
      </c>
      <c r="AH967" s="39">
        <v>0</v>
      </c>
      <c r="AI967" s="39">
        <v>449.54</v>
      </c>
      <c r="AJ967" s="39">
        <v>435.22</v>
      </c>
      <c r="AK967" s="39">
        <v>428.67</v>
      </c>
      <c r="AL967" s="39">
        <v>0</v>
      </c>
      <c r="AM967" s="39">
        <v>0</v>
      </c>
      <c r="AN967" s="39">
        <v>0</v>
      </c>
      <c r="AO967" s="39">
        <v>449.54</v>
      </c>
      <c r="AP967" s="39">
        <v>435.22</v>
      </c>
      <c r="AQ967" s="39">
        <v>428.67</v>
      </c>
      <c r="AR967" s="39">
        <v>449.54</v>
      </c>
    </row>
    <row r="968" spans="1:44" x14ac:dyDescent="0.35">
      <c r="A968" s="16" t="str">
        <f t="shared" si="84"/>
        <v>37</v>
      </c>
      <c r="B968" s="19">
        <v>68163</v>
      </c>
      <c r="C968" s="16" t="str">
        <f>TEXT(138156,"0000000")</f>
        <v>0138156</v>
      </c>
      <c r="D968" s="19">
        <v>1992</v>
      </c>
      <c r="E968" s="16" t="s">
        <v>2140</v>
      </c>
      <c r="F968" s="16" t="s">
        <v>5</v>
      </c>
      <c r="G968" s="35" t="s">
        <v>2141</v>
      </c>
      <c r="H968" s="39">
        <v>0</v>
      </c>
      <c r="I968" s="39">
        <v>0</v>
      </c>
      <c r="J968" s="39">
        <v>0</v>
      </c>
      <c r="K968" s="39">
        <v>0</v>
      </c>
      <c r="L968" s="39">
        <v>0</v>
      </c>
      <c r="M968" s="39">
        <v>0</v>
      </c>
      <c r="N968" s="39">
        <v>0</v>
      </c>
      <c r="O968" s="39">
        <v>0</v>
      </c>
      <c r="P968" s="39">
        <v>0</v>
      </c>
      <c r="Q968" s="39">
        <v>0</v>
      </c>
      <c r="R968" s="39">
        <v>0</v>
      </c>
      <c r="S968" s="39">
        <v>0</v>
      </c>
      <c r="T968" s="39">
        <v>0</v>
      </c>
      <c r="U968" s="39">
        <v>0</v>
      </c>
      <c r="V968" s="39">
        <v>0</v>
      </c>
      <c r="W968" s="39">
        <v>0</v>
      </c>
      <c r="X968" s="39">
        <v>0</v>
      </c>
      <c r="Y968" s="39">
        <v>0</v>
      </c>
      <c r="Z968" s="39">
        <v>0</v>
      </c>
      <c r="AA968" s="39">
        <v>0</v>
      </c>
      <c r="AB968" s="39">
        <v>0</v>
      </c>
      <c r="AC968" s="39">
        <v>257.19</v>
      </c>
      <c r="AD968" s="39">
        <v>253</v>
      </c>
      <c r="AE968" s="39">
        <v>237.3</v>
      </c>
      <c r="AF968" s="39">
        <v>0</v>
      </c>
      <c r="AG968" s="39">
        <v>0</v>
      </c>
      <c r="AH968" s="39">
        <v>0</v>
      </c>
      <c r="AI968" s="39">
        <v>257.19</v>
      </c>
      <c r="AJ968" s="39">
        <v>253</v>
      </c>
      <c r="AK968" s="39">
        <v>237.3</v>
      </c>
      <c r="AL968" s="39">
        <v>0</v>
      </c>
      <c r="AM968" s="39">
        <v>0</v>
      </c>
      <c r="AN968" s="39">
        <v>0</v>
      </c>
      <c r="AO968" s="39">
        <v>257.19</v>
      </c>
      <c r="AP968" s="39">
        <v>253</v>
      </c>
      <c r="AQ968" s="39">
        <v>237.3</v>
      </c>
      <c r="AR968" s="39">
        <v>257.19</v>
      </c>
    </row>
    <row r="969" spans="1:44" x14ac:dyDescent="0.35">
      <c r="A969" s="16" t="str">
        <f>TEXT(1,"00")</f>
        <v>01</v>
      </c>
      <c r="B969" s="19">
        <v>61259</v>
      </c>
      <c r="C969" s="16" t="str">
        <f>TEXT(115592,"0000000")</f>
        <v>0115592</v>
      </c>
      <c r="D969" s="19">
        <v>1442</v>
      </c>
      <c r="E969" s="16" t="s">
        <v>106</v>
      </c>
      <c r="F969" s="16" t="s">
        <v>5</v>
      </c>
      <c r="G969" s="35" t="s">
        <v>107</v>
      </c>
      <c r="H969" s="39">
        <v>0</v>
      </c>
      <c r="I969" s="39">
        <v>0</v>
      </c>
      <c r="J969" s="39">
        <v>0</v>
      </c>
      <c r="K969" s="39">
        <v>0</v>
      </c>
      <c r="L969" s="39">
        <v>0</v>
      </c>
      <c r="M969" s="39">
        <v>0</v>
      </c>
      <c r="N969" s="39">
        <v>0</v>
      </c>
      <c r="O969" s="39">
        <v>0</v>
      </c>
      <c r="P969" s="39">
        <v>0</v>
      </c>
      <c r="Q969" s="39">
        <v>0</v>
      </c>
      <c r="R969" s="39">
        <v>0</v>
      </c>
      <c r="S969" s="39">
        <v>0</v>
      </c>
      <c r="T969" s="39">
        <v>0</v>
      </c>
      <c r="U969" s="39">
        <v>0</v>
      </c>
      <c r="V969" s="39">
        <v>0</v>
      </c>
      <c r="W969" s="39">
        <v>0</v>
      </c>
      <c r="X969" s="39">
        <v>0</v>
      </c>
      <c r="Y969" s="39">
        <v>0</v>
      </c>
      <c r="Z969" s="39">
        <v>0</v>
      </c>
      <c r="AA969" s="39">
        <v>0</v>
      </c>
      <c r="AB969" s="39">
        <v>0</v>
      </c>
      <c r="AC969" s="39">
        <v>311.11</v>
      </c>
      <c r="AD969" s="39">
        <v>327.92</v>
      </c>
      <c r="AE969" s="39">
        <v>337.74</v>
      </c>
      <c r="AF969" s="39">
        <v>0</v>
      </c>
      <c r="AG969" s="39">
        <v>0</v>
      </c>
      <c r="AH969" s="39">
        <v>0</v>
      </c>
      <c r="AI969" s="39">
        <v>311.11</v>
      </c>
      <c r="AJ969" s="39">
        <v>327.92</v>
      </c>
      <c r="AK969" s="39">
        <v>337.74</v>
      </c>
      <c r="AL969" s="39">
        <v>0</v>
      </c>
      <c r="AM969" s="39">
        <v>0</v>
      </c>
      <c r="AN969" s="39">
        <v>0</v>
      </c>
      <c r="AO969" s="39">
        <v>311.11</v>
      </c>
      <c r="AP969" s="39">
        <v>327.92</v>
      </c>
      <c r="AQ969" s="39">
        <v>337.74</v>
      </c>
      <c r="AR969" s="39">
        <v>337.74</v>
      </c>
    </row>
    <row r="970" spans="1:44" x14ac:dyDescent="0.35">
      <c r="A970" s="16" t="str">
        <f t="shared" ref="A970:A979" si="85">TEXT(37,"00")</f>
        <v>37</v>
      </c>
      <c r="B970" s="19">
        <v>68163</v>
      </c>
      <c r="C970" s="16" t="str">
        <f>TEXT(138628,"0000000")</f>
        <v>0138628</v>
      </c>
      <c r="D970" s="19">
        <v>2022</v>
      </c>
      <c r="E970" s="16" t="s">
        <v>2142</v>
      </c>
      <c r="F970" s="16" t="s">
        <v>5</v>
      </c>
      <c r="G970" s="35" t="s">
        <v>2143</v>
      </c>
      <c r="H970" s="39">
        <v>0</v>
      </c>
      <c r="I970" s="39">
        <v>0</v>
      </c>
      <c r="J970" s="39">
        <v>0</v>
      </c>
      <c r="K970" s="39">
        <v>0</v>
      </c>
      <c r="L970" s="39">
        <v>0</v>
      </c>
      <c r="M970" s="39">
        <v>0</v>
      </c>
      <c r="N970" s="39">
        <v>0</v>
      </c>
      <c r="O970" s="39">
        <v>0</v>
      </c>
      <c r="P970" s="39">
        <v>0</v>
      </c>
      <c r="Q970" s="39">
        <v>0</v>
      </c>
      <c r="R970" s="39">
        <v>0</v>
      </c>
      <c r="S970" s="39">
        <v>0</v>
      </c>
      <c r="T970" s="39">
        <v>0</v>
      </c>
      <c r="U970" s="39">
        <v>0</v>
      </c>
      <c r="V970" s="39">
        <v>0</v>
      </c>
      <c r="W970" s="39">
        <v>0</v>
      </c>
      <c r="X970" s="39">
        <v>0</v>
      </c>
      <c r="Y970" s="39">
        <v>0</v>
      </c>
      <c r="Z970" s="39">
        <v>0</v>
      </c>
      <c r="AA970" s="39">
        <v>0</v>
      </c>
      <c r="AB970" s="39">
        <v>0</v>
      </c>
      <c r="AC970" s="39">
        <v>129.05000000000001</v>
      </c>
      <c r="AD970" s="39">
        <v>121.42</v>
      </c>
      <c r="AE970" s="39">
        <v>135.85</v>
      </c>
      <c r="AF970" s="39">
        <v>0</v>
      </c>
      <c r="AG970" s="39">
        <v>0</v>
      </c>
      <c r="AH970" s="39">
        <v>0</v>
      </c>
      <c r="AI970" s="39">
        <v>129.05000000000001</v>
      </c>
      <c r="AJ970" s="39">
        <v>121.42</v>
      </c>
      <c r="AK970" s="39">
        <v>135.85</v>
      </c>
      <c r="AL970" s="39">
        <v>0</v>
      </c>
      <c r="AM970" s="39">
        <v>0</v>
      </c>
      <c r="AN970" s="39">
        <v>0</v>
      </c>
      <c r="AO970" s="39">
        <v>129.05000000000001</v>
      </c>
      <c r="AP970" s="39">
        <v>121.42</v>
      </c>
      <c r="AQ970" s="39">
        <v>135.85</v>
      </c>
      <c r="AR970" s="39">
        <v>135.85</v>
      </c>
    </row>
    <row r="971" spans="1:44" x14ac:dyDescent="0.35">
      <c r="A971" s="16" t="str">
        <f t="shared" si="85"/>
        <v>37</v>
      </c>
      <c r="B971" s="19">
        <v>68163</v>
      </c>
      <c r="C971" s="16" t="str">
        <f>TEXT(3731239,"0000000")</f>
        <v>3731239</v>
      </c>
      <c r="D971" s="17" t="s">
        <v>2146</v>
      </c>
      <c r="E971" s="16" t="s">
        <v>2144</v>
      </c>
      <c r="F971" s="16" t="s">
        <v>5</v>
      </c>
      <c r="G971" s="35" t="s">
        <v>2145</v>
      </c>
      <c r="H971" s="39">
        <v>0</v>
      </c>
      <c r="I971" s="39">
        <v>0</v>
      </c>
      <c r="J971" s="39">
        <v>0</v>
      </c>
      <c r="K971" s="39">
        <v>0</v>
      </c>
      <c r="L971" s="39">
        <v>0</v>
      </c>
      <c r="M971" s="39">
        <v>0</v>
      </c>
      <c r="N971" s="39">
        <v>0</v>
      </c>
      <c r="O971" s="39">
        <v>0</v>
      </c>
      <c r="P971" s="39">
        <v>0</v>
      </c>
      <c r="Q971" s="39">
        <v>0</v>
      </c>
      <c r="R971" s="39">
        <v>0</v>
      </c>
      <c r="S971" s="39">
        <v>0</v>
      </c>
      <c r="T971" s="39">
        <v>0</v>
      </c>
      <c r="U971" s="39">
        <v>0</v>
      </c>
      <c r="V971" s="39">
        <v>0</v>
      </c>
      <c r="W971" s="39">
        <v>0</v>
      </c>
      <c r="X971" s="39">
        <v>0</v>
      </c>
      <c r="Y971" s="39">
        <v>0</v>
      </c>
      <c r="Z971" s="39">
        <v>0</v>
      </c>
      <c r="AA971" s="39">
        <v>0</v>
      </c>
      <c r="AB971" s="39">
        <v>0</v>
      </c>
      <c r="AC971" s="39">
        <v>200.06</v>
      </c>
      <c r="AD971" s="39">
        <v>195.55</v>
      </c>
      <c r="AE971" s="39">
        <v>195.6</v>
      </c>
      <c r="AF971" s="39">
        <v>0</v>
      </c>
      <c r="AG971" s="39">
        <v>0</v>
      </c>
      <c r="AH971" s="39">
        <v>0</v>
      </c>
      <c r="AI971" s="39">
        <v>200.06</v>
      </c>
      <c r="AJ971" s="39">
        <v>195.55</v>
      </c>
      <c r="AK971" s="39">
        <v>195.6</v>
      </c>
      <c r="AL971" s="39">
        <v>0</v>
      </c>
      <c r="AM971" s="39">
        <v>0</v>
      </c>
      <c r="AN971" s="39">
        <v>0</v>
      </c>
      <c r="AO971" s="39">
        <v>200.06</v>
      </c>
      <c r="AP971" s="39">
        <v>195.55</v>
      </c>
      <c r="AQ971" s="39">
        <v>195.6</v>
      </c>
      <c r="AR971" s="39">
        <v>200.06</v>
      </c>
    </row>
    <row r="972" spans="1:44" x14ac:dyDescent="0.35">
      <c r="A972" s="16" t="str">
        <f t="shared" si="85"/>
        <v>37</v>
      </c>
      <c r="B972" s="19">
        <v>68213</v>
      </c>
      <c r="C972" s="16" t="str">
        <f>TEXT(127084,"0000000")</f>
        <v>0127084</v>
      </c>
      <c r="D972" s="19">
        <v>1454</v>
      </c>
      <c r="E972" s="16" t="s">
        <v>2159</v>
      </c>
      <c r="F972" s="16" t="s">
        <v>5</v>
      </c>
      <c r="G972" s="35" t="s">
        <v>2160</v>
      </c>
      <c r="H972" s="39">
        <v>0</v>
      </c>
      <c r="I972" s="39">
        <v>0</v>
      </c>
      <c r="J972" s="39">
        <v>0</v>
      </c>
      <c r="K972" s="39">
        <v>0</v>
      </c>
      <c r="L972" s="39">
        <v>0</v>
      </c>
      <c r="M972" s="39">
        <v>0</v>
      </c>
      <c r="N972" s="39">
        <v>0</v>
      </c>
      <c r="O972" s="39">
        <v>0</v>
      </c>
      <c r="P972" s="39">
        <v>0</v>
      </c>
      <c r="Q972" s="39">
        <v>0</v>
      </c>
      <c r="R972" s="39">
        <v>0</v>
      </c>
      <c r="S972" s="39">
        <v>0</v>
      </c>
      <c r="T972" s="39">
        <v>0</v>
      </c>
      <c r="U972" s="39">
        <v>0</v>
      </c>
      <c r="V972" s="39">
        <v>0</v>
      </c>
      <c r="W972" s="39">
        <v>0</v>
      </c>
      <c r="X972" s="39">
        <v>0</v>
      </c>
      <c r="Y972" s="39">
        <v>0</v>
      </c>
      <c r="Z972" s="39">
        <v>0</v>
      </c>
      <c r="AA972" s="39">
        <v>0</v>
      </c>
      <c r="AB972" s="39">
        <v>0</v>
      </c>
      <c r="AC972" s="39">
        <v>824.38</v>
      </c>
      <c r="AD972" s="39">
        <v>791.52</v>
      </c>
      <c r="AE972" s="39">
        <v>796.95</v>
      </c>
      <c r="AF972" s="39">
        <v>0</v>
      </c>
      <c r="AG972" s="39">
        <v>0</v>
      </c>
      <c r="AH972" s="39">
        <v>0</v>
      </c>
      <c r="AI972" s="39">
        <v>824.38</v>
      </c>
      <c r="AJ972" s="39">
        <v>791.52</v>
      </c>
      <c r="AK972" s="39">
        <v>796.95</v>
      </c>
      <c r="AL972" s="39">
        <v>0</v>
      </c>
      <c r="AM972" s="39">
        <v>0</v>
      </c>
      <c r="AN972" s="39">
        <v>0</v>
      </c>
      <c r="AO972" s="39">
        <v>824.38</v>
      </c>
      <c r="AP972" s="39">
        <v>791.52</v>
      </c>
      <c r="AQ972" s="39">
        <v>796.95</v>
      </c>
      <c r="AR972" s="39">
        <v>824.38</v>
      </c>
    </row>
    <row r="973" spans="1:44" x14ac:dyDescent="0.35">
      <c r="A973" s="16" t="str">
        <f t="shared" si="85"/>
        <v>37</v>
      </c>
      <c r="B973" s="19">
        <v>68213</v>
      </c>
      <c r="C973" s="16" t="str">
        <f>TEXT(136978,"0000000")</f>
        <v>0136978</v>
      </c>
      <c r="D973" s="19">
        <v>1924</v>
      </c>
      <c r="E973" s="16" t="s">
        <v>2163</v>
      </c>
      <c r="F973" s="16" t="s">
        <v>5</v>
      </c>
      <c r="G973" s="35" t="s">
        <v>2164</v>
      </c>
      <c r="H973" s="39">
        <v>0</v>
      </c>
      <c r="I973" s="39">
        <v>0</v>
      </c>
      <c r="J973" s="39">
        <v>0</v>
      </c>
      <c r="K973" s="39">
        <v>0</v>
      </c>
      <c r="L973" s="39">
        <v>0</v>
      </c>
      <c r="M973" s="39">
        <v>0</v>
      </c>
      <c r="N973" s="39">
        <v>0</v>
      </c>
      <c r="O973" s="39">
        <v>0</v>
      </c>
      <c r="P973" s="39">
        <v>0</v>
      </c>
      <c r="Q973" s="39">
        <v>0</v>
      </c>
      <c r="R973" s="39">
        <v>0</v>
      </c>
      <c r="S973" s="39">
        <v>0</v>
      </c>
      <c r="T973" s="39">
        <v>0</v>
      </c>
      <c r="U973" s="39">
        <v>0</v>
      </c>
      <c r="V973" s="39">
        <v>0</v>
      </c>
      <c r="W973" s="39">
        <v>0</v>
      </c>
      <c r="X973" s="39">
        <v>0</v>
      </c>
      <c r="Y973" s="39">
        <v>0</v>
      </c>
      <c r="Z973" s="39">
        <v>0</v>
      </c>
      <c r="AA973" s="39">
        <v>0</v>
      </c>
      <c r="AB973" s="39">
        <v>0</v>
      </c>
      <c r="AC973" s="39">
        <v>1157.4100000000001</v>
      </c>
      <c r="AD973" s="39">
        <v>977.19</v>
      </c>
      <c r="AE973" s="39">
        <v>929.66</v>
      </c>
      <c r="AF973" s="39">
        <v>0</v>
      </c>
      <c r="AG973" s="39">
        <v>0</v>
      </c>
      <c r="AH973" s="39">
        <v>0</v>
      </c>
      <c r="AI973" s="39">
        <v>1157.4100000000001</v>
      </c>
      <c r="AJ973" s="39">
        <v>977.19</v>
      </c>
      <c r="AK973" s="39">
        <v>929.66</v>
      </c>
      <c r="AL973" s="39">
        <v>0</v>
      </c>
      <c r="AM973" s="39">
        <v>0</v>
      </c>
      <c r="AN973" s="39">
        <v>0</v>
      </c>
      <c r="AO973" s="39">
        <v>1157.4100000000001</v>
      </c>
      <c r="AP973" s="39">
        <v>977.19</v>
      </c>
      <c r="AQ973" s="39">
        <v>929.66</v>
      </c>
      <c r="AR973" s="39">
        <v>1157.4100000000001</v>
      </c>
    </row>
    <row r="974" spans="1:44" x14ac:dyDescent="0.35">
      <c r="A974" s="16" t="str">
        <f t="shared" si="85"/>
        <v>37</v>
      </c>
      <c r="B974" s="19">
        <v>68213</v>
      </c>
      <c r="C974" s="16" t="str">
        <f>TEXT(138636,"0000000")</f>
        <v>0138636</v>
      </c>
      <c r="D974" s="19">
        <v>2021</v>
      </c>
      <c r="E974" s="16" t="s">
        <v>2165</v>
      </c>
      <c r="F974" s="16" t="s">
        <v>5</v>
      </c>
      <c r="G974" s="35" t="s">
        <v>2166</v>
      </c>
      <c r="H974" s="39">
        <v>0</v>
      </c>
      <c r="I974" s="39">
        <v>0</v>
      </c>
      <c r="J974" s="39">
        <v>0</v>
      </c>
      <c r="K974" s="39">
        <v>0</v>
      </c>
      <c r="L974" s="39">
        <v>0</v>
      </c>
      <c r="M974" s="39">
        <v>0</v>
      </c>
      <c r="N974" s="39">
        <v>0</v>
      </c>
      <c r="O974" s="39">
        <v>0</v>
      </c>
      <c r="P974" s="39">
        <v>0</v>
      </c>
      <c r="Q974" s="39">
        <v>0</v>
      </c>
      <c r="R974" s="39">
        <v>0</v>
      </c>
      <c r="S974" s="39">
        <v>0</v>
      </c>
      <c r="T974" s="39">
        <v>0</v>
      </c>
      <c r="U974" s="39">
        <v>0</v>
      </c>
      <c r="V974" s="39">
        <v>0</v>
      </c>
      <c r="W974" s="39">
        <v>0</v>
      </c>
      <c r="X974" s="39">
        <v>0</v>
      </c>
      <c r="Y974" s="39">
        <v>0</v>
      </c>
      <c r="Z974" s="39">
        <v>0</v>
      </c>
      <c r="AA974" s="39">
        <v>0</v>
      </c>
      <c r="AB974" s="39">
        <v>0</v>
      </c>
      <c r="AC974" s="39">
        <v>175.78</v>
      </c>
      <c r="AD974" s="39">
        <v>158</v>
      </c>
      <c r="AE974" s="39">
        <v>145.29</v>
      </c>
      <c r="AF974" s="39">
        <v>0</v>
      </c>
      <c r="AG974" s="39">
        <v>0</v>
      </c>
      <c r="AH974" s="39">
        <v>0</v>
      </c>
      <c r="AI974" s="39">
        <v>175.78</v>
      </c>
      <c r="AJ974" s="39">
        <v>158</v>
      </c>
      <c r="AK974" s="39">
        <v>145.29</v>
      </c>
      <c r="AL974" s="39">
        <v>0</v>
      </c>
      <c r="AM974" s="39">
        <v>0</v>
      </c>
      <c r="AN974" s="39">
        <v>0</v>
      </c>
      <c r="AO974" s="39">
        <v>175.78</v>
      </c>
      <c r="AP974" s="39">
        <v>158</v>
      </c>
      <c r="AQ974" s="39">
        <v>145.29</v>
      </c>
      <c r="AR974" s="39">
        <v>175.78</v>
      </c>
    </row>
    <row r="975" spans="1:44" x14ac:dyDescent="0.35">
      <c r="A975" s="16" t="str">
        <f t="shared" si="85"/>
        <v>37</v>
      </c>
      <c r="B975" s="19">
        <v>68338</v>
      </c>
      <c r="C975" s="16" t="str">
        <f>TEXT(101204,"0000000")</f>
        <v>0101204</v>
      </c>
      <c r="D975" s="17" t="s">
        <v>2179</v>
      </c>
      <c r="E975" s="16" t="s">
        <v>2177</v>
      </c>
      <c r="F975" s="16" t="s">
        <v>5</v>
      </c>
      <c r="G975" s="35" t="s">
        <v>2178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299.87</v>
      </c>
      <c r="AD975" s="39">
        <v>303.82</v>
      </c>
      <c r="AE975" s="39">
        <v>301.89999999999998</v>
      </c>
      <c r="AF975" s="39">
        <v>0</v>
      </c>
      <c r="AG975" s="39">
        <v>0</v>
      </c>
      <c r="AH975" s="39">
        <v>0</v>
      </c>
      <c r="AI975" s="39">
        <v>299.87</v>
      </c>
      <c r="AJ975" s="39">
        <v>303.82</v>
      </c>
      <c r="AK975" s="39">
        <v>301.89999999999998</v>
      </c>
      <c r="AL975" s="39">
        <v>0</v>
      </c>
      <c r="AM975" s="39">
        <v>0</v>
      </c>
      <c r="AN975" s="39">
        <v>0</v>
      </c>
      <c r="AO975" s="39">
        <v>299.87</v>
      </c>
      <c r="AP975" s="39">
        <v>303.82</v>
      </c>
      <c r="AQ975" s="39">
        <v>301.89999999999998</v>
      </c>
      <c r="AR975" s="39">
        <v>303.82</v>
      </c>
    </row>
    <row r="976" spans="1:44" x14ac:dyDescent="0.35">
      <c r="A976" s="16" t="str">
        <f t="shared" si="85"/>
        <v>37</v>
      </c>
      <c r="B976" s="19">
        <v>68338</v>
      </c>
      <c r="C976" s="16" t="str">
        <f>TEXT(101345,"0000000")</f>
        <v>0101345</v>
      </c>
      <c r="D976" s="17" t="s">
        <v>2182</v>
      </c>
      <c r="E976" s="16" t="s">
        <v>2180</v>
      </c>
      <c r="F976" s="16" t="s">
        <v>5</v>
      </c>
      <c r="G976" s="35" t="s">
        <v>2181</v>
      </c>
      <c r="H976" s="39">
        <v>0</v>
      </c>
      <c r="I976" s="39">
        <v>0</v>
      </c>
      <c r="J976" s="39">
        <v>0</v>
      </c>
      <c r="K976" s="39">
        <v>0</v>
      </c>
      <c r="L976" s="39">
        <v>0</v>
      </c>
      <c r="M976" s="39">
        <v>0</v>
      </c>
      <c r="N976" s="39">
        <v>0</v>
      </c>
      <c r="O976" s="39">
        <v>0</v>
      </c>
      <c r="P976" s="39">
        <v>0</v>
      </c>
      <c r="Q976" s="39">
        <v>0</v>
      </c>
      <c r="R976" s="39">
        <v>0</v>
      </c>
      <c r="S976" s="39">
        <v>0</v>
      </c>
      <c r="T976" s="39">
        <v>0</v>
      </c>
      <c r="U976" s="39">
        <v>0</v>
      </c>
      <c r="V976" s="39">
        <v>0</v>
      </c>
      <c r="W976" s="39">
        <v>0</v>
      </c>
      <c r="X976" s="39">
        <v>0</v>
      </c>
      <c r="Y976" s="39">
        <v>0</v>
      </c>
      <c r="Z976" s="39">
        <v>0</v>
      </c>
      <c r="AA976" s="39">
        <v>0</v>
      </c>
      <c r="AB976" s="39">
        <v>0</v>
      </c>
      <c r="AC976" s="39">
        <v>282.5</v>
      </c>
      <c r="AD976" s="39">
        <v>282.89</v>
      </c>
      <c r="AE976" s="39">
        <v>304.8</v>
      </c>
      <c r="AF976" s="39">
        <v>0</v>
      </c>
      <c r="AG976" s="39">
        <v>0</v>
      </c>
      <c r="AH976" s="39">
        <v>0</v>
      </c>
      <c r="AI976" s="39">
        <v>282.5</v>
      </c>
      <c r="AJ976" s="39">
        <v>282.89</v>
      </c>
      <c r="AK976" s="39">
        <v>304.8</v>
      </c>
      <c r="AL976" s="39">
        <v>0</v>
      </c>
      <c r="AM976" s="39">
        <v>0</v>
      </c>
      <c r="AN976" s="39">
        <v>0</v>
      </c>
      <c r="AO976" s="39">
        <v>282.5</v>
      </c>
      <c r="AP976" s="39">
        <v>282.89</v>
      </c>
      <c r="AQ976" s="39">
        <v>304.8</v>
      </c>
      <c r="AR976" s="39">
        <v>304.8</v>
      </c>
    </row>
    <row r="977" spans="1:44" x14ac:dyDescent="0.35">
      <c r="A977" s="16" t="str">
        <f t="shared" si="85"/>
        <v>37</v>
      </c>
      <c r="B977" s="19">
        <v>68338</v>
      </c>
      <c r="C977" s="16" t="str">
        <f>TEXT(106732,"0000000")</f>
        <v>0106732</v>
      </c>
      <c r="D977" s="17" t="s">
        <v>2185</v>
      </c>
      <c r="E977" s="16" t="s">
        <v>2183</v>
      </c>
      <c r="F977" s="16" t="s">
        <v>5</v>
      </c>
      <c r="G977" s="35" t="s">
        <v>2184</v>
      </c>
      <c r="H977" s="39">
        <v>0</v>
      </c>
      <c r="I977" s="39">
        <v>0</v>
      </c>
      <c r="J977" s="39">
        <v>0</v>
      </c>
      <c r="K977" s="39">
        <v>0</v>
      </c>
      <c r="L977" s="39">
        <v>0</v>
      </c>
      <c r="M977" s="39">
        <v>0</v>
      </c>
      <c r="N977" s="39">
        <v>0</v>
      </c>
      <c r="O977" s="39">
        <v>0</v>
      </c>
      <c r="P977" s="39">
        <v>0</v>
      </c>
      <c r="Q977" s="39">
        <v>0</v>
      </c>
      <c r="R977" s="39">
        <v>0</v>
      </c>
      <c r="S977" s="39">
        <v>0</v>
      </c>
      <c r="T977" s="39">
        <v>0</v>
      </c>
      <c r="U977" s="39">
        <v>0</v>
      </c>
      <c r="V977" s="39">
        <v>0</v>
      </c>
      <c r="W977" s="39">
        <v>0</v>
      </c>
      <c r="X977" s="39">
        <v>0</v>
      </c>
      <c r="Y977" s="39">
        <v>0</v>
      </c>
      <c r="Z977" s="39">
        <v>0</v>
      </c>
      <c r="AA977" s="39">
        <v>0</v>
      </c>
      <c r="AB977" s="39">
        <v>0</v>
      </c>
      <c r="AC977" s="39">
        <v>335.41</v>
      </c>
      <c r="AD977" s="39">
        <v>355.44</v>
      </c>
      <c r="AE977" s="39">
        <v>362.51</v>
      </c>
      <c r="AF977" s="39">
        <v>0</v>
      </c>
      <c r="AG977" s="39">
        <v>0</v>
      </c>
      <c r="AH977" s="39">
        <v>0</v>
      </c>
      <c r="AI977" s="39">
        <v>335.41</v>
      </c>
      <c r="AJ977" s="39">
        <v>355.44</v>
      </c>
      <c r="AK977" s="39">
        <v>362.51</v>
      </c>
      <c r="AL977" s="39">
        <v>0</v>
      </c>
      <c r="AM977" s="39">
        <v>0</v>
      </c>
      <c r="AN977" s="39">
        <v>0</v>
      </c>
      <c r="AO977" s="39">
        <v>335.41</v>
      </c>
      <c r="AP977" s="39">
        <v>355.44</v>
      </c>
      <c r="AQ977" s="39">
        <v>362.51</v>
      </c>
      <c r="AR977" s="39">
        <v>362.51</v>
      </c>
    </row>
    <row r="978" spans="1:44" x14ac:dyDescent="0.35">
      <c r="A978" s="16" t="str">
        <f t="shared" si="85"/>
        <v>37</v>
      </c>
      <c r="B978" s="19">
        <v>68338</v>
      </c>
      <c r="C978" s="16" t="str">
        <f>TEXT(106799,"0000000")</f>
        <v>0106799</v>
      </c>
      <c r="D978" s="17" t="s">
        <v>2188</v>
      </c>
      <c r="E978" s="16" t="s">
        <v>2186</v>
      </c>
      <c r="F978" s="16" t="s">
        <v>5</v>
      </c>
      <c r="G978" s="35" t="s">
        <v>2187</v>
      </c>
      <c r="H978" s="39">
        <v>0</v>
      </c>
      <c r="I978" s="39">
        <v>0</v>
      </c>
      <c r="J978" s="39">
        <v>0</v>
      </c>
      <c r="K978" s="39">
        <v>0</v>
      </c>
      <c r="L978" s="39">
        <v>0</v>
      </c>
      <c r="M978" s="39">
        <v>0</v>
      </c>
      <c r="N978" s="39">
        <v>0</v>
      </c>
      <c r="O978" s="39">
        <v>0</v>
      </c>
      <c r="P978" s="39">
        <v>0</v>
      </c>
      <c r="Q978" s="39">
        <v>0</v>
      </c>
      <c r="R978" s="39">
        <v>0</v>
      </c>
      <c r="S978" s="39">
        <v>0</v>
      </c>
      <c r="T978" s="39">
        <v>0</v>
      </c>
      <c r="U978" s="39">
        <v>0</v>
      </c>
      <c r="V978" s="39">
        <v>0</v>
      </c>
      <c r="W978" s="39">
        <v>0</v>
      </c>
      <c r="X978" s="39">
        <v>0</v>
      </c>
      <c r="Y978" s="39">
        <v>0</v>
      </c>
      <c r="Z978" s="39">
        <v>0</v>
      </c>
      <c r="AA978" s="39">
        <v>0</v>
      </c>
      <c r="AB978" s="39">
        <v>0</v>
      </c>
      <c r="AC978" s="39">
        <v>184.83</v>
      </c>
      <c r="AD978" s="39">
        <v>188.09</v>
      </c>
      <c r="AE978" s="39">
        <v>167.88</v>
      </c>
      <c r="AF978" s="39">
        <v>0</v>
      </c>
      <c r="AG978" s="39">
        <v>0</v>
      </c>
      <c r="AH978" s="39">
        <v>0</v>
      </c>
      <c r="AI978" s="39">
        <v>184.83</v>
      </c>
      <c r="AJ978" s="39">
        <v>188.09</v>
      </c>
      <c r="AK978" s="39">
        <v>167.88</v>
      </c>
      <c r="AL978" s="39">
        <v>0</v>
      </c>
      <c r="AM978" s="39">
        <v>0</v>
      </c>
      <c r="AN978" s="39">
        <v>0</v>
      </c>
      <c r="AO978" s="39">
        <v>184.83</v>
      </c>
      <c r="AP978" s="39">
        <v>188.09</v>
      </c>
      <c r="AQ978" s="39">
        <v>167.88</v>
      </c>
      <c r="AR978" s="39">
        <v>188.09</v>
      </c>
    </row>
    <row r="979" spans="1:44" x14ac:dyDescent="0.35">
      <c r="A979" s="16" t="str">
        <f t="shared" si="85"/>
        <v>37</v>
      </c>
      <c r="B979" s="19">
        <v>68338</v>
      </c>
      <c r="C979" s="16" t="str">
        <f>TEXT(107573,"0000000")</f>
        <v>0107573</v>
      </c>
      <c r="D979" s="17" t="s">
        <v>2191</v>
      </c>
      <c r="E979" s="16" t="s">
        <v>2189</v>
      </c>
      <c r="F979" s="16" t="s">
        <v>5</v>
      </c>
      <c r="G979" s="35" t="s">
        <v>2190</v>
      </c>
      <c r="H979" s="39">
        <v>0</v>
      </c>
      <c r="I979" s="39">
        <v>0</v>
      </c>
      <c r="J979" s="39">
        <v>0</v>
      </c>
      <c r="K979" s="39">
        <v>0</v>
      </c>
      <c r="L979" s="39">
        <v>0</v>
      </c>
      <c r="M979" s="39">
        <v>0</v>
      </c>
      <c r="N979" s="39">
        <v>0</v>
      </c>
      <c r="O979" s="39">
        <v>0</v>
      </c>
      <c r="P979" s="39">
        <v>0</v>
      </c>
      <c r="Q979" s="39">
        <v>0</v>
      </c>
      <c r="R979" s="39">
        <v>0</v>
      </c>
      <c r="S979" s="39">
        <v>0</v>
      </c>
      <c r="T979" s="39">
        <v>0</v>
      </c>
      <c r="U979" s="39">
        <v>0</v>
      </c>
      <c r="V979" s="39">
        <v>0</v>
      </c>
      <c r="W979" s="39">
        <v>0</v>
      </c>
      <c r="X979" s="39">
        <v>0</v>
      </c>
      <c r="Y979" s="39">
        <v>0</v>
      </c>
      <c r="Z979" s="39">
        <v>0</v>
      </c>
      <c r="AA979" s="39">
        <v>0</v>
      </c>
      <c r="AB979" s="39">
        <v>0</v>
      </c>
      <c r="AC979" s="39">
        <v>304.8</v>
      </c>
      <c r="AD979" s="39">
        <v>311.08</v>
      </c>
      <c r="AE979" s="39">
        <v>310.89999999999998</v>
      </c>
      <c r="AF979" s="39">
        <v>0</v>
      </c>
      <c r="AG979" s="39">
        <v>0</v>
      </c>
      <c r="AH979" s="39">
        <v>0</v>
      </c>
      <c r="AI979" s="39">
        <v>304.8</v>
      </c>
      <c r="AJ979" s="39">
        <v>311.08</v>
      </c>
      <c r="AK979" s="39">
        <v>310.89999999999998</v>
      </c>
      <c r="AL979" s="39">
        <v>0</v>
      </c>
      <c r="AM979" s="39">
        <v>0</v>
      </c>
      <c r="AN979" s="39">
        <v>0</v>
      </c>
      <c r="AO979" s="39">
        <v>304.8</v>
      </c>
      <c r="AP979" s="39">
        <v>311.08</v>
      </c>
      <c r="AQ979" s="39">
        <v>310.89999999999998</v>
      </c>
      <c r="AR979" s="39">
        <v>311.08</v>
      </c>
    </row>
    <row r="980" spans="1:44" ht="31" x14ac:dyDescent="0.35">
      <c r="A980" s="16" t="str">
        <f>TEXT(1,"00")</f>
        <v>01</v>
      </c>
      <c r="B980" s="19">
        <v>61259</v>
      </c>
      <c r="C980" s="16" t="str">
        <f>TEXT(118224,"0000000")</f>
        <v>0118224</v>
      </c>
      <c r="D980" s="19">
        <v>1023</v>
      </c>
      <c r="E980" s="16" t="s">
        <v>108</v>
      </c>
      <c r="F980" s="16" t="s">
        <v>5</v>
      </c>
      <c r="G980" s="35" t="s">
        <v>109</v>
      </c>
      <c r="H980" s="39">
        <v>0</v>
      </c>
      <c r="I980" s="39">
        <v>0</v>
      </c>
      <c r="J980" s="39">
        <v>0</v>
      </c>
      <c r="K980" s="39">
        <v>0</v>
      </c>
      <c r="L980" s="39">
        <v>0</v>
      </c>
      <c r="M980" s="39">
        <v>0</v>
      </c>
      <c r="N980" s="39">
        <v>0</v>
      </c>
      <c r="O980" s="39">
        <v>0</v>
      </c>
      <c r="P980" s="39">
        <v>0</v>
      </c>
      <c r="Q980" s="39">
        <v>0</v>
      </c>
      <c r="R980" s="39">
        <v>0</v>
      </c>
      <c r="S980" s="39">
        <v>0</v>
      </c>
      <c r="T980" s="39">
        <v>0</v>
      </c>
      <c r="U980" s="39">
        <v>0</v>
      </c>
      <c r="V980" s="39">
        <v>0</v>
      </c>
      <c r="W980" s="39">
        <v>0</v>
      </c>
      <c r="X980" s="39">
        <v>0</v>
      </c>
      <c r="Y980" s="39">
        <v>0</v>
      </c>
      <c r="Z980" s="39">
        <v>0</v>
      </c>
      <c r="AA980" s="39">
        <v>0</v>
      </c>
      <c r="AB980" s="39">
        <v>0</v>
      </c>
      <c r="AC980" s="39">
        <v>368.87</v>
      </c>
      <c r="AD980" s="39">
        <v>395.15</v>
      </c>
      <c r="AE980" s="39">
        <v>398.33</v>
      </c>
      <c r="AF980" s="39">
        <v>0</v>
      </c>
      <c r="AG980" s="39">
        <v>0</v>
      </c>
      <c r="AH980" s="39">
        <v>0</v>
      </c>
      <c r="AI980" s="39">
        <v>368.87</v>
      </c>
      <c r="AJ980" s="39">
        <v>395.15</v>
      </c>
      <c r="AK980" s="39">
        <v>398.33</v>
      </c>
      <c r="AL980" s="39">
        <v>0</v>
      </c>
      <c r="AM980" s="39">
        <v>0</v>
      </c>
      <c r="AN980" s="39">
        <v>0</v>
      </c>
      <c r="AO980" s="39">
        <v>368.87</v>
      </c>
      <c r="AP980" s="39">
        <v>395.15</v>
      </c>
      <c r="AQ980" s="39">
        <v>398.33</v>
      </c>
      <c r="AR980" s="39">
        <v>398.33</v>
      </c>
    </row>
    <row r="981" spans="1:44" x14ac:dyDescent="0.35">
      <c r="A981" s="16" t="str">
        <f t="shared" ref="A981:A990" si="86">TEXT(37,"00")</f>
        <v>37</v>
      </c>
      <c r="B981" s="19">
        <v>68338</v>
      </c>
      <c r="C981" s="16" t="str">
        <f>TEXT(108787,"0000000")</f>
        <v>0108787</v>
      </c>
      <c r="D981" s="17" t="s">
        <v>2194</v>
      </c>
      <c r="E981" s="16" t="s">
        <v>2192</v>
      </c>
      <c r="F981" s="16" t="s">
        <v>5</v>
      </c>
      <c r="G981" s="35" t="s">
        <v>2193</v>
      </c>
      <c r="H981" s="39">
        <v>0</v>
      </c>
      <c r="I981" s="39">
        <v>0</v>
      </c>
      <c r="J981" s="39">
        <v>0</v>
      </c>
      <c r="K981" s="39">
        <v>0</v>
      </c>
      <c r="L981" s="39">
        <v>0</v>
      </c>
      <c r="M981" s="39">
        <v>0</v>
      </c>
      <c r="N981" s="39">
        <v>0</v>
      </c>
      <c r="O981" s="39">
        <v>0</v>
      </c>
      <c r="P981" s="39">
        <v>0</v>
      </c>
      <c r="Q981" s="39">
        <v>0</v>
      </c>
      <c r="R981" s="39">
        <v>0</v>
      </c>
      <c r="S981" s="39">
        <v>0</v>
      </c>
      <c r="T981" s="39">
        <v>0</v>
      </c>
      <c r="U981" s="39">
        <v>0</v>
      </c>
      <c r="V981" s="39">
        <v>0</v>
      </c>
      <c r="W981" s="39">
        <v>0</v>
      </c>
      <c r="X981" s="39">
        <v>0</v>
      </c>
      <c r="Y981" s="39">
        <v>0</v>
      </c>
      <c r="Z981" s="39">
        <v>0</v>
      </c>
      <c r="AA981" s="39">
        <v>0</v>
      </c>
      <c r="AB981" s="39">
        <v>0</v>
      </c>
      <c r="AC981" s="39">
        <v>318.04000000000002</v>
      </c>
      <c r="AD981" s="39">
        <v>348.8</v>
      </c>
      <c r="AE981" s="39">
        <v>352.98</v>
      </c>
      <c r="AF981" s="39">
        <v>0</v>
      </c>
      <c r="AG981" s="39">
        <v>0</v>
      </c>
      <c r="AH981" s="39">
        <v>0</v>
      </c>
      <c r="AI981" s="39">
        <v>318.04000000000002</v>
      </c>
      <c r="AJ981" s="39">
        <v>348.8</v>
      </c>
      <c r="AK981" s="39">
        <v>352.98</v>
      </c>
      <c r="AL981" s="39">
        <v>0</v>
      </c>
      <c r="AM981" s="39">
        <v>0</v>
      </c>
      <c r="AN981" s="39">
        <v>0</v>
      </c>
      <c r="AO981" s="39">
        <v>318.04000000000002</v>
      </c>
      <c r="AP981" s="39">
        <v>348.8</v>
      </c>
      <c r="AQ981" s="39">
        <v>352.98</v>
      </c>
      <c r="AR981" s="39">
        <v>352.98</v>
      </c>
    </row>
    <row r="982" spans="1:44" x14ac:dyDescent="0.35">
      <c r="A982" s="16" t="str">
        <f t="shared" si="86"/>
        <v>37</v>
      </c>
      <c r="B982" s="19">
        <v>68338</v>
      </c>
      <c r="C982" s="16" t="str">
        <f>TEXT(109033,"0000000")</f>
        <v>0109033</v>
      </c>
      <c r="D982" s="17" t="s">
        <v>2197</v>
      </c>
      <c r="E982" s="16" t="s">
        <v>2195</v>
      </c>
      <c r="F982" s="16" t="s">
        <v>5</v>
      </c>
      <c r="G982" s="35" t="s">
        <v>2196</v>
      </c>
      <c r="H982" s="39">
        <v>0</v>
      </c>
      <c r="I982" s="39">
        <v>0</v>
      </c>
      <c r="J982" s="39">
        <v>0</v>
      </c>
      <c r="K982" s="39">
        <v>0</v>
      </c>
      <c r="L982" s="39">
        <v>0</v>
      </c>
      <c r="M982" s="39">
        <v>0</v>
      </c>
      <c r="N982" s="39">
        <v>0</v>
      </c>
      <c r="O982" s="39">
        <v>0</v>
      </c>
      <c r="P982" s="39">
        <v>0</v>
      </c>
      <c r="Q982" s="39">
        <v>0</v>
      </c>
      <c r="R982" s="39">
        <v>0</v>
      </c>
      <c r="S982" s="39">
        <v>0</v>
      </c>
      <c r="T982" s="39">
        <v>0</v>
      </c>
      <c r="U982" s="39">
        <v>0</v>
      </c>
      <c r="V982" s="39">
        <v>0</v>
      </c>
      <c r="W982" s="39">
        <v>0</v>
      </c>
      <c r="X982" s="39">
        <v>0</v>
      </c>
      <c r="Y982" s="39">
        <v>0</v>
      </c>
      <c r="Z982" s="39">
        <v>0</v>
      </c>
      <c r="AA982" s="39">
        <v>0</v>
      </c>
      <c r="AB982" s="39">
        <v>0</v>
      </c>
      <c r="AC982" s="39">
        <v>149.54</v>
      </c>
      <c r="AD982" s="39">
        <v>148.41</v>
      </c>
      <c r="AE982" s="39">
        <v>166.37</v>
      </c>
      <c r="AF982" s="39">
        <v>0</v>
      </c>
      <c r="AG982" s="39">
        <v>0</v>
      </c>
      <c r="AH982" s="39">
        <v>0</v>
      </c>
      <c r="AI982" s="39">
        <v>149.54</v>
      </c>
      <c r="AJ982" s="39">
        <v>148.41</v>
      </c>
      <c r="AK982" s="39">
        <v>166.37</v>
      </c>
      <c r="AL982" s="39">
        <v>0</v>
      </c>
      <c r="AM982" s="39">
        <v>0</v>
      </c>
      <c r="AN982" s="39">
        <v>0</v>
      </c>
      <c r="AO982" s="39">
        <v>149.54</v>
      </c>
      <c r="AP982" s="39">
        <v>148.41</v>
      </c>
      <c r="AQ982" s="39">
        <v>166.37</v>
      </c>
      <c r="AR982" s="39">
        <v>166.37</v>
      </c>
    </row>
    <row r="983" spans="1:44" x14ac:dyDescent="0.35">
      <c r="A983" s="16" t="str">
        <f t="shared" si="86"/>
        <v>37</v>
      </c>
      <c r="B983" s="19">
        <v>68338</v>
      </c>
      <c r="C983" s="16" t="str">
        <f>TEXT(109157,"0000000")</f>
        <v>0109157</v>
      </c>
      <c r="D983" s="17" t="s">
        <v>2200</v>
      </c>
      <c r="E983" s="16" t="s">
        <v>2198</v>
      </c>
      <c r="F983" s="16" t="s">
        <v>5</v>
      </c>
      <c r="G983" s="35" t="s">
        <v>2199</v>
      </c>
      <c r="H983" s="39">
        <v>0</v>
      </c>
      <c r="I983" s="39">
        <v>0</v>
      </c>
      <c r="J983" s="39">
        <v>0</v>
      </c>
      <c r="K983" s="39">
        <v>0</v>
      </c>
      <c r="L983" s="39">
        <v>0</v>
      </c>
      <c r="M983" s="39">
        <v>0</v>
      </c>
      <c r="N983" s="39">
        <v>0</v>
      </c>
      <c r="O983" s="39">
        <v>0</v>
      </c>
      <c r="P983" s="39">
        <v>0</v>
      </c>
      <c r="Q983" s="39">
        <v>0</v>
      </c>
      <c r="R983" s="39">
        <v>0</v>
      </c>
      <c r="S983" s="39">
        <v>0</v>
      </c>
      <c r="T983" s="39">
        <v>0</v>
      </c>
      <c r="U983" s="39">
        <v>0</v>
      </c>
      <c r="V983" s="39">
        <v>0</v>
      </c>
      <c r="W983" s="39">
        <v>0</v>
      </c>
      <c r="X983" s="39">
        <v>0</v>
      </c>
      <c r="Y983" s="39">
        <v>0</v>
      </c>
      <c r="Z983" s="39">
        <v>0</v>
      </c>
      <c r="AA983" s="39">
        <v>0</v>
      </c>
      <c r="AB983" s="39">
        <v>0</v>
      </c>
      <c r="AC983" s="39">
        <v>435.8</v>
      </c>
      <c r="AD983" s="39">
        <v>413.05</v>
      </c>
      <c r="AE983" s="39">
        <v>389.96</v>
      </c>
      <c r="AF983" s="39">
        <v>0</v>
      </c>
      <c r="AG983" s="39">
        <v>0</v>
      </c>
      <c r="AH983" s="39">
        <v>0</v>
      </c>
      <c r="AI983" s="39">
        <v>435.8</v>
      </c>
      <c r="AJ983" s="39">
        <v>413.05</v>
      </c>
      <c r="AK983" s="39">
        <v>389.96</v>
      </c>
      <c r="AL983" s="39">
        <v>0</v>
      </c>
      <c r="AM983" s="39">
        <v>0</v>
      </c>
      <c r="AN983" s="39">
        <v>0</v>
      </c>
      <c r="AO983" s="39">
        <v>435.8</v>
      </c>
      <c r="AP983" s="39">
        <v>413.05</v>
      </c>
      <c r="AQ983" s="39">
        <v>389.96</v>
      </c>
      <c r="AR983" s="39">
        <v>435.8</v>
      </c>
    </row>
    <row r="984" spans="1:44" x14ac:dyDescent="0.35">
      <c r="A984" s="16" t="str">
        <f t="shared" si="86"/>
        <v>37</v>
      </c>
      <c r="B984" s="19">
        <v>68338</v>
      </c>
      <c r="C984" s="16" t="str">
        <f>TEXT(111898,"0000000")</f>
        <v>0111898</v>
      </c>
      <c r="D984" s="17" t="s">
        <v>2203</v>
      </c>
      <c r="E984" s="16" t="s">
        <v>2201</v>
      </c>
      <c r="F984" s="16" t="s">
        <v>5</v>
      </c>
      <c r="G984" s="35" t="s">
        <v>2202</v>
      </c>
      <c r="H984" s="39">
        <v>0</v>
      </c>
      <c r="I984" s="39">
        <v>0</v>
      </c>
      <c r="J984" s="39">
        <v>0</v>
      </c>
      <c r="K984" s="39">
        <v>0</v>
      </c>
      <c r="L984" s="39">
        <v>0</v>
      </c>
      <c r="M984" s="39">
        <v>0</v>
      </c>
      <c r="N984" s="39">
        <v>0</v>
      </c>
      <c r="O984" s="39">
        <v>0</v>
      </c>
      <c r="P984" s="39">
        <v>0</v>
      </c>
      <c r="Q984" s="39">
        <v>0</v>
      </c>
      <c r="R984" s="39">
        <v>0</v>
      </c>
      <c r="S984" s="39">
        <v>0</v>
      </c>
      <c r="T984" s="39">
        <v>0</v>
      </c>
      <c r="U984" s="39">
        <v>0</v>
      </c>
      <c r="V984" s="39">
        <v>0</v>
      </c>
      <c r="W984" s="39">
        <v>0</v>
      </c>
      <c r="X984" s="39">
        <v>0</v>
      </c>
      <c r="Y984" s="39">
        <v>0</v>
      </c>
      <c r="Z984" s="39">
        <v>0</v>
      </c>
      <c r="AA984" s="39">
        <v>0</v>
      </c>
      <c r="AB984" s="39">
        <v>0</v>
      </c>
      <c r="AC984" s="39">
        <v>1367.72</v>
      </c>
      <c r="AD984" s="39">
        <v>1366.58</v>
      </c>
      <c r="AE984" s="39">
        <v>1348.03</v>
      </c>
      <c r="AF984" s="39">
        <v>0</v>
      </c>
      <c r="AG984" s="39">
        <v>0</v>
      </c>
      <c r="AH984" s="39">
        <v>0</v>
      </c>
      <c r="AI984" s="39">
        <v>1367.72</v>
      </c>
      <c r="AJ984" s="39">
        <v>1366.58</v>
      </c>
      <c r="AK984" s="39">
        <v>1348.03</v>
      </c>
      <c r="AL984" s="39">
        <v>0</v>
      </c>
      <c r="AM984" s="39">
        <v>0</v>
      </c>
      <c r="AN984" s="39">
        <v>0</v>
      </c>
      <c r="AO984" s="39">
        <v>1367.72</v>
      </c>
      <c r="AP984" s="39">
        <v>1366.58</v>
      </c>
      <c r="AQ984" s="39">
        <v>1348.03</v>
      </c>
      <c r="AR984" s="39">
        <v>1367.72</v>
      </c>
    </row>
    <row r="985" spans="1:44" x14ac:dyDescent="0.35">
      <c r="A985" s="16" t="str">
        <f t="shared" si="86"/>
        <v>37</v>
      </c>
      <c r="B985" s="19">
        <v>68338</v>
      </c>
      <c r="C985" s="16" t="str">
        <f>TEXT(111906,"0000000")</f>
        <v>0111906</v>
      </c>
      <c r="D985" s="17" t="s">
        <v>2206</v>
      </c>
      <c r="E985" s="16" t="s">
        <v>2204</v>
      </c>
      <c r="F985" s="16" t="s">
        <v>5</v>
      </c>
      <c r="G985" s="35" t="s">
        <v>2205</v>
      </c>
      <c r="H985" s="39">
        <v>0</v>
      </c>
      <c r="I985" s="39">
        <v>0</v>
      </c>
      <c r="J985" s="39">
        <v>0</v>
      </c>
      <c r="K985" s="39">
        <v>0</v>
      </c>
      <c r="L985" s="39">
        <v>0</v>
      </c>
      <c r="M985" s="39">
        <v>0</v>
      </c>
      <c r="N985" s="39">
        <v>0</v>
      </c>
      <c r="O985" s="39">
        <v>0</v>
      </c>
      <c r="P985" s="39">
        <v>0</v>
      </c>
      <c r="Q985" s="39">
        <v>0</v>
      </c>
      <c r="R985" s="39">
        <v>0</v>
      </c>
      <c r="S985" s="39">
        <v>0</v>
      </c>
      <c r="T985" s="39">
        <v>0</v>
      </c>
      <c r="U985" s="39">
        <v>0</v>
      </c>
      <c r="V985" s="39">
        <v>0</v>
      </c>
      <c r="W985" s="39">
        <v>0</v>
      </c>
      <c r="X985" s="39">
        <v>0</v>
      </c>
      <c r="Y985" s="39">
        <v>0</v>
      </c>
      <c r="Z985" s="39">
        <v>0</v>
      </c>
      <c r="AA985" s="39">
        <v>0</v>
      </c>
      <c r="AB985" s="39">
        <v>0</v>
      </c>
      <c r="AC985" s="39">
        <v>183.79</v>
      </c>
      <c r="AD985" s="39">
        <v>216.38</v>
      </c>
      <c r="AE985" s="39">
        <v>241.43</v>
      </c>
      <c r="AF985" s="39">
        <v>0</v>
      </c>
      <c r="AG985" s="39">
        <v>0</v>
      </c>
      <c r="AH985" s="39">
        <v>0</v>
      </c>
      <c r="AI985" s="39">
        <v>183.79</v>
      </c>
      <c r="AJ985" s="39">
        <v>216.38</v>
      </c>
      <c r="AK985" s="39">
        <v>241.43</v>
      </c>
      <c r="AL985" s="39">
        <v>0</v>
      </c>
      <c r="AM985" s="39">
        <v>0</v>
      </c>
      <c r="AN985" s="39">
        <v>0</v>
      </c>
      <c r="AO985" s="39">
        <v>183.79</v>
      </c>
      <c r="AP985" s="39">
        <v>216.38</v>
      </c>
      <c r="AQ985" s="39">
        <v>241.43</v>
      </c>
      <c r="AR985" s="39">
        <v>241.43</v>
      </c>
    </row>
    <row r="986" spans="1:44" x14ac:dyDescent="0.35">
      <c r="A986" s="16" t="str">
        <f t="shared" si="86"/>
        <v>37</v>
      </c>
      <c r="B986" s="19">
        <v>68338</v>
      </c>
      <c r="C986" s="16" t="str">
        <f>TEXT(118083,"0000000")</f>
        <v>0118083</v>
      </c>
      <c r="D986" s="19">
        <v>1024</v>
      </c>
      <c r="E986" s="16" t="s">
        <v>2210</v>
      </c>
      <c r="F986" s="16" t="s">
        <v>5</v>
      </c>
      <c r="G986" s="35" t="s">
        <v>2211</v>
      </c>
      <c r="H986" s="39">
        <v>0</v>
      </c>
      <c r="I986" s="39">
        <v>0</v>
      </c>
      <c r="J986" s="39">
        <v>0</v>
      </c>
      <c r="K986" s="39">
        <v>0</v>
      </c>
      <c r="L986" s="39">
        <v>0</v>
      </c>
      <c r="M986" s="39">
        <v>0</v>
      </c>
      <c r="N986" s="39">
        <v>0</v>
      </c>
      <c r="O986" s="39">
        <v>0</v>
      </c>
      <c r="P986" s="39">
        <v>0</v>
      </c>
      <c r="Q986" s="39">
        <v>0</v>
      </c>
      <c r="R986" s="39">
        <v>0</v>
      </c>
      <c r="S986" s="39">
        <v>0</v>
      </c>
      <c r="T986" s="39">
        <v>0</v>
      </c>
      <c r="U986" s="39">
        <v>0</v>
      </c>
      <c r="V986" s="39">
        <v>0</v>
      </c>
      <c r="W986" s="39">
        <v>0</v>
      </c>
      <c r="X986" s="39">
        <v>0</v>
      </c>
      <c r="Y986" s="39">
        <v>0</v>
      </c>
      <c r="Z986" s="39">
        <v>0</v>
      </c>
      <c r="AA986" s="39">
        <v>0</v>
      </c>
      <c r="AB986" s="39">
        <v>0</v>
      </c>
      <c r="AC986" s="39">
        <v>417.6</v>
      </c>
      <c r="AD986" s="39">
        <v>416.85</v>
      </c>
      <c r="AE986" s="39">
        <v>440.39</v>
      </c>
      <c r="AF986" s="39">
        <v>0</v>
      </c>
      <c r="AG986" s="39">
        <v>0</v>
      </c>
      <c r="AH986" s="39">
        <v>0</v>
      </c>
      <c r="AI986" s="39">
        <v>417.6</v>
      </c>
      <c r="AJ986" s="39">
        <v>416.85</v>
      </c>
      <c r="AK986" s="39">
        <v>440.39</v>
      </c>
      <c r="AL986" s="39">
        <v>0</v>
      </c>
      <c r="AM986" s="39">
        <v>0</v>
      </c>
      <c r="AN986" s="39">
        <v>0</v>
      </c>
      <c r="AO986" s="39">
        <v>417.6</v>
      </c>
      <c r="AP986" s="39">
        <v>416.85</v>
      </c>
      <c r="AQ986" s="39">
        <v>440.39</v>
      </c>
      <c r="AR986" s="39">
        <v>440.39</v>
      </c>
    </row>
    <row r="987" spans="1:44" x14ac:dyDescent="0.35">
      <c r="A987" s="16" t="str">
        <f t="shared" si="86"/>
        <v>37</v>
      </c>
      <c r="B987" s="19">
        <v>68338</v>
      </c>
      <c r="C987" s="16" t="str">
        <f>TEXT(118851,"0000000")</f>
        <v>0118851</v>
      </c>
      <c r="D987" s="19">
        <v>1015</v>
      </c>
      <c r="E987" s="16" t="s">
        <v>2212</v>
      </c>
      <c r="F987" s="16" t="s">
        <v>5</v>
      </c>
      <c r="G987" s="35" t="s">
        <v>2213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200.85</v>
      </c>
      <c r="AD987" s="39">
        <v>215.77</v>
      </c>
      <c r="AE987" s="39">
        <v>227.28</v>
      </c>
      <c r="AF987" s="39">
        <v>0</v>
      </c>
      <c r="AG987" s="39">
        <v>0</v>
      </c>
      <c r="AH987" s="39">
        <v>0</v>
      </c>
      <c r="AI987" s="39">
        <v>200.85</v>
      </c>
      <c r="AJ987" s="39">
        <v>215.77</v>
      </c>
      <c r="AK987" s="39">
        <v>227.28</v>
      </c>
      <c r="AL987" s="39">
        <v>0</v>
      </c>
      <c r="AM987" s="39">
        <v>0</v>
      </c>
      <c r="AN987" s="39">
        <v>0</v>
      </c>
      <c r="AO987" s="39">
        <v>200.85</v>
      </c>
      <c r="AP987" s="39">
        <v>215.77</v>
      </c>
      <c r="AQ987" s="39">
        <v>227.28</v>
      </c>
      <c r="AR987" s="39">
        <v>227.28</v>
      </c>
    </row>
    <row r="988" spans="1:44" x14ac:dyDescent="0.35">
      <c r="A988" s="16" t="str">
        <f t="shared" si="86"/>
        <v>37</v>
      </c>
      <c r="B988" s="19">
        <v>68338</v>
      </c>
      <c r="C988" s="16" t="str">
        <f>TEXT(119610,"0000000")</f>
        <v>0119610</v>
      </c>
      <c r="D988" s="19">
        <v>1080</v>
      </c>
      <c r="E988" s="16" t="s">
        <v>2214</v>
      </c>
      <c r="F988" s="16" t="s">
        <v>5</v>
      </c>
      <c r="G988" s="35" t="s">
        <v>2215</v>
      </c>
      <c r="H988" s="39">
        <v>0</v>
      </c>
      <c r="I988" s="39">
        <v>0</v>
      </c>
      <c r="J988" s="39">
        <v>0</v>
      </c>
      <c r="K988" s="39">
        <v>0</v>
      </c>
      <c r="L988" s="39">
        <v>0</v>
      </c>
      <c r="M988" s="39">
        <v>0</v>
      </c>
      <c r="N988" s="39">
        <v>0</v>
      </c>
      <c r="O988" s="39">
        <v>0</v>
      </c>
      <c r="P988" s="39">
        <v>0</v>
      </c>
      <c r="Q988" s="39">
        <v>0</v>
      </c>
      <c r="R988" s="39">
        <v>0</v>
      </c>
      <c r="S988" s="39">
        <v>0</v>
      </c>
      <c r="T988" s="39">
        <v>0</v>
      </c>
      <c r="U988" s="39">
        <v>0</v>
      </c>
      <c r="V988" s="39">
        <v>0</v>
      </c>
      <c r="W988" s="39">
        <v>0</v>
      </c>
      <c r="X988" s="39">
        <v>0</v>
      </c>
      <c r="Y988" s="39">
        <v>0</v>
      </c>
      <c r="Z988" s="39">
        <v>0</v>
      </c>
      <c r="AA988" s="39">
        <v>0</v>
      </c>
      <c r="AB988" s="39">
        <v>0</v>
      </c>
      <c r="AC988" s="39">
        <v>1095.17</v>
      </c>
      <c r="AD988" s="39">
        <v>1129.01</v>
      </c>
      <c r="AE988" s="39">
        <v>1159.07</v>
      </c>
      <c r="AF988" s="39">
        <v>0</v>
      </c>
      <c r="AG988" s="39">
        <v>0</v>
      </c>
      <c r="AH988" s="39">
        <v>0</v>
      </c>
      <c r="AI988" s="39">
        <v>1095.17</v>
      </c>
      <c r="AJ988" s="39">
        <v>1129.01</v>
      </c>
      <c r="AK988" s="39">
        <v>1159.07</v>
      </c>
      <c r="AL988" s="39">
        <v>0</v>
      </c>
      <c r="AM988" s="39">
        <v>0</v>
      </c>
      <c r="AN988" s="39">
        <v>0</v>
      </c>
      <c r="AO988" s="39">
        <v>1095.17</v>
      </c>
      <c r="AP988" s="39">
        <v>1129.01</v>
      </c>
      <c r="AQ988" s="39">
        <v>1159.07</v>
      </c>
      <c r="AR988" s="39">
        <v>1159.07</v>
      </c>
    </row>
    <row r="989" spans="1:44" x14ac:dyDescent="0.35">
      <c r="A989" s="16" t="str">
        <f t="shared" si="86"/>
        <v>37</v>
      </c>
      <c r="B989" s="19">
        <v>68338</v>
      </c>
      <c r="C989" s="16" t="str">
        <f>TEXT(121681,"0000000")</f>
        <v>0121681</v>
      </c>
      <c r="D989" s="19">
        <v>1190</v>
      </c>
      <c r="E989" s="16" t="s">
        <v>2216</v>
      </c>
      <c r="F989" s="16" t="s">
        <v>5</v>
      </c>
      <c r="G989" s="35" t="s">
        <v>3537</v>
      </c>
      <c r="H989" s="39">
        <v>0</v>
      </c>
      <c r="I989" s="39">
        <v>0</v>
      </c>
      <c r="J989" s="39">
        <v>0</v>
      </c>
      <c r="K989" s="39">
        <v>0</v>
      </c>
      <c r="L989" s="39">
        <v>0</v>
      </c>
      <c r="M989" s="39">
        <v>0</v>
      </c>
      <c r="N989" s="39">
        <v>0</v>
      </c>
      <c r="O989" s="39">
        <v>0</v>
      </c>
      <c r="P989" s="39">
        <v>0</v>
      </c>
      <c r="Q989" s="39">
        <v>0</v>
      </c>
      <c r="R989" s="39">
        <v>0</v>
      </c>
      <c r="S989" s="39">
        <v>0</v>
      </c>
      <c r="T989" s="39">
        <v>0</v>
      </c>
      <c r="U989" s="39">
        <v>0</v>
      </c>
      <c r="V989" s="39">
        <v>0</v>
      </c>
      <c r="W989" s="39">
        <v>0</v>
      </c>
      <c r="X989" s="39">
        <v>0</v>
      </c>
      <c r="Y989" s="39">
        <v>0</v>
      </c>
      <c r="Z989" s="39">
        <v>0</v>
      </c>
      <c r="AA989" s="39">
        <v>0</v>
      </c>
      <c r="AB989" s="39">
        <v>0</v>
      </c>
      <c r="AC989" s="39">
        <v>439.43</v>
      </c>
      <c r="AD989" s="39">
        <v>402.89</v>
      </c>
      <c r="AE989" s="39">
        <v>386.56</v>
      </c>
      <c r="AF989" s="39">
        <v>0</v>
      </c>
      <c r="AG989" s="39">
        <v>0</v>
      </c>
      <c r="AH989" s="39">
        <v>0</v>
      </c>
      <c r="AI989" s="39">
        <v>439.43</v>
      </c>
      <c r="AJ989" s="39">
        <v>402.89</v>
      </c>
      <c r="AK989" s="39">
        <v>386.56</v>
      </c>
      <c r="AL989" s="39">
        <v>0</v>
      </c>
      <c r="AM989" s="39">
        <v>0</v>
      </c>
      <c r="AN989" s="39">
        <v>0</v>
      </c>
      <c r="AO989" s="39">
        <v>439.43</v>
      </c>
      <c r="AP989" s="39">
        <v>402.89</v>
      </c>
      <c r="AQ989" s="39">
        <v>386.56</v>
      </c>
      <c r="AR989" s="39">
        <v>439.43</v>
      </c>
    </row>
    <row r="990" spans="1:44" x14ac:dyDescent="0.35">
      <c r="A990" s="16" t="str">
        <f t="shared" si="86"/>
        <v>37</v>
      </c>
      <c r="B990" s="19">
        <v>68338</v>
      </c>
      <c r="C990" s="16" t="str">
        <f>TEXT(122788,"0000000")</f>
        <v>0122788</v>
      </c>
      <c r="D990" s="19">
        <v>1253</v>
      </c>
      <c r="E990" s="16" t="s">
        <v>2218</v>
      </c>
      <c r="F990" s="16" t="s">
        <v>5</v>
      </c>
      <c r="G990" s="35" t="s">
        <v>2219</v>
      </c>
      <c r="H990" s="39">
        <v>0</v>
      </c>
      <c r="I990" s="39">
        <v>0</v>
      </c>
      <c r="J990" s="39">
        <v>0</v>
      </c>
      <c r="K990" s="39">
        <v>0</v>
      </c>
      <c r="L990" s="39">
        <v>0</v>
      </c>
      <c r="M990" s="39">
        <v>0</v>
      </c>
      <c r="N990" s="39">
        <v>0</v>
      </c>
      <c r="O990" s="39">
        <v>0</v>
      </c>
      <c r="P990" s="39">
        <v>0</v>
      </c>
      <c r="Q990" s="39">
        <v>0</v>
      </c>
      <c r="R990" s="39">
        <v>0</v>
      </c>
      <c r="S990" s="39">
        <v>0</v>
      </c>
      <c r="T990" s="39">
        <v>0</v>
      </c>
      <c r="U990" s="39">
        <v>0</v>
      </c>
      <c r="V990" s="39">
        <v>0</v>
      </c>
      <c r="W990" s="39">
        <v>0</v>
      </c>
      <c r="X990" s="39">
        <v>0</v>
      </c>
      <c r="Y990" s="39">
        <v>0</v>
      </c>
      <c r="Z990" s="39">
        <v>0</v>
      </c>
      <c r="AA990" s="39">
        <v>0</v>
      </c>
      <c r="AB990" s="39">
        <v>0</v>
      </c>
      <c r="AC990" s="39">
        <v>240</v>
      </c>
      <c r="AD990" s="39">
        <v>227.28</v>
      </c>
      <c r="AE990" s="39">
        <v>207.87</v>
      </c>
      <c r="AF990" s="39">
        <v>0</v>
      </c>
      <c r="AG990" s="39">
        <v>0</v>
      </c>
      <c r="AH990" s="39">
        <v>0</v>
      </c>
      <c r="AI990" s="39">
        <v>240</v>
      </c>
      <c r="AJ990" s="39">
        <v>227.28</v>
      </c>
      <c r="AK990" s="39">
        <v>207.87</v>
      </c>
      <c r="AL990" s="39">
        <v>0</v>
      </c>
      <c r="AM990" s="39">
        <v>0</v>
      </c>
      <c r="AN990" s="39">
        <v>0</v>
      </c>
      <c r="AO990" s="39">
        <v>240</v>
      </c>
      <c r="AP990" s="39">
        <v>227.28</v>
      </c>
      <c r="AQ990" s="39">
        <v>207.87</v>
      </c>
      <c r="AR990" s="39">
        <v>240</v>
      </c>
    </row>
    <row r="991" spans="1:44" x14ac:dyDescent="0.35">
      <c r="A991" s="16" t="str">
        <f>TEXT(1,"00")</f>
        <v>01</v>
      </c>
      <c r="B991" s="19">
        <v>61259</v>
      </c>
      <c r="C991" s="16" t="str">
        <f>TEXT(126748,"0000000")</f>
        <v>0126748</v>
      </c>
      <c r="D991" s="19">
        <v>1449</v>
      </c>
      <c r="E991" s="16" t="s">
        <v>110</v>
      </c>
      <c r="F991" s="16" t="s">
        <v>5</v>
      </c>
      <c r="G991" s="35" t="s">
        <v>111</v>
      </c>
      <c r="H991" s="39">
        <v>0</v>
      </c>
      <c r="I991" s="39">
        <v>0</v>
      </c>
      <c r="J991" s="39">
        <v>0</v>
      </c>
      <c r="K991" s="39">
        <v>0</v>
      </c>
      <c r="L991" s="39">
        <v>0</v>
      </c>
      <c r="M991" s="39">
        <v>0</v>
      </c>
      <c r="N991" s="39">
        <v>0</v>
      </c>
      <c r="O991" s="39">
        <v>0</v>
      </c>
      <c r="P991" s="39">
        <v>0</v>
      </c>
      <c r="Q991" s="39">
        <v>0</v>
      </c>
      <c r="R991" s="39">
        <v>0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0</v>
      </c>
      <c r="AA991" s="39">
        <v>0</v>
      </c>
      <c r="AB991" s="39">
        <v>0</v>
      </c>
      <c r="AC991" s="39">
        <v>149</v>
      </c>
      <c r="AD991" s="39">
        <v>187.52</v>
      </c>
      <c r="AE991" s="39">
        <v>293.23</v>
      </c>
      <c r="AF991" s="39">
        <v>0</v>
      </c>
      <c r="AG991" s="39">
        <v>0</v>
      </c>
      <c r="AH991" s="39">
        <v>0</v>
      </c>
      <c r="AI991" s="39">
        <v>149</v>
      </c>
      <c r="AJ991" s="39">
        <v>187.52</v>
      </c>
      <c r="AK991" s="39">
        <v>293.23</v>
      </c>
      <c r="AL991" s="39">
        <v>0</v>
      </c>
      <c r="AM991" s="39">
        <v>0</v>
      </c>
      <c r="AN991" s="39">
        <v>0</v>
      </c>
      <c r="AO991" s="39">
        <v>149</v>
      </c>
      <c r="AP991" s="39">
        <v>187.52</v>
      </c>
      <c r="AQ991" s="39">
        <v>293.23</v>
      </c>
      <c r="AR991" s="39">
        <v>293.23</v>
      </c>
    </row>
    <row r="992" spans="1:44" x14ac:dyDescent="0.35">
      <c r="A992" s="16" t="str">
        <f t="shared" ref="A992:A1001" si="87">TEXT(37,"00")</f>
        <v>37</v>
      </c>
      <c r="B992" s="19">
        <v>68338</v>
      </c>
      <c r="C992" s="16" t="str">
        <f>TEXT(123778,"0000000")</f>
        <v>0123778</v>
      </c>
      <c r="D992" s="19">
        <v>1279</v>
      </c>
      <c r="E992" s="16" t="s">
        <v>2220</v>
      </c>
      <c r="F992" s="16" t="s">
        <v>5</v>
      </c>
      <c r="G992" s="35" t="s">
        <v>2221</v>
      </c>
      <c r="H992" s="39">
        <v>0</v>
      </c>
      <c r="I992" s="39">
        <v>0</v>
      </c>
      <c r="J992" s="39">
        <v>0</v>
      </c>
      <c r="K992" s="39">
        <v>0</v>
      </c>
      <c r="L992" s="39">
        <v>0</v>
      </c>
      <c r="M992" s="39">
        <v>0</v>
      </c>
      <c r="N992" s="39">
        <v>0</v>
      </c>
      <c r="O992" s="39">
        <v>0</v>
      </c>
      <c r="P992" s="39">
        <v>0</v>
      </c>
      <c r="Q992" s="39">
        <v>0</v>
      </c>
      <c r="R992" s="39">
        <v>0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0</v>
      </c>
      <c r="AA992" s="39">
        <v>0</v>
      </c>
      <c r="AB992" s="39">
        <v>0</v>
      </c>
      <c r="AC992" s="39">
        <v>183.06</v>
      </c>
      <c r="AD992" s="39">
        <v>182.29</v>
      </c>
      <c r="AE992" s="39">
        <v>208.86</v>
      </c>
      <c r="AF992" s="39">
        <v>0</v>
      </c>
      <c r="AG992" s="39">
        <v>0</v>
      </c>
      <c r="AH992" s="39">
        <v>0</v>
      </c>
      <c r="AI992" s="39">
        <v>183.06</v>
      </c>
      <c r="AJ992" s="39">
        <v>182.29</v>
      </c>
      <c r="AK992" s="39">
        <v>208.86</v>
      </c>
      <c r="AL992" s="39">
        <v>0</v>
      </c>
      <c r="AM992" s="39">
        <v>0</v>
      </c>
      <c r="AN992" s="39">
        <v>0</v>
      </c>
      <c r="AO992" s="39">
        <v>183.06</v>
      </c>
      <c r="AP992" s="39">
        <v>182.29</v>
      </c>
      <c r="AQ992" s="39">
        <v>208.86</v>
      </c>
      <c r="AR992" s="39">
        <v>208.86</v>
      </c>
    </row>
    <row r="993" spans="1:44" x14ac:dyDescent="0.35">
      <c r="A993" s="16" t="str">
        <f t="shared" si="87"/>
        <v>37</v>
      </c>
      <c r="B993" s="19">
        <v>68338</v>
      </c>
      <c r="C993" s="16" t="str">
        <f>TEXT(124347,"0000000")</f>
        <v>0124347</v>
      </c>
      <c r="D993" s="19">
        <v>1312</v>
      </c>
      <c r="E993" s="16" t="s">
        <v>2222</v>
      </c>
      <c r="F993" s="16" t="s">
        <v>5</v>
      </c>
      <c r="G993" s="35" t="s">
        <v>2223</v>
      </c>
      <c r="H993" s="39">
        <v>0</v>
      </c>
      <c r="I993" s="39">
        <v>0</v>
      </c>
      <c r="J993" s="39">
        <v>0</v>
      </c>
      <c r="K993" s="39">
        <v>0</v>
      </c>
      <c r="L993" s="39">
        <v>0</v>
      </c>
      <c r="M993" s="39">
        <v>0</v>
      </c>
      <c r="N993" s="39">
        <v>0</v>
      </c>
      <c r="O993" s="39">
        <v>0</v>
      </c>
      <c r="P993" s="39">
        <v>0</v>
      </c>
      <c r="Q993" s="39">
        <v>0</v>
      </c>
      <c r="R993" s="39">
        <v>0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0</v>
      </c>
      <c r="AA993" s="39">
        <v>0</v>
      </c>
      <c r="AB993" s="39">
        <v>0</v>
      </c>
      <c r="AC993" s="39">
        <v>147.06</v>
      </c>
      <c r="AD993" s="39">
        <v>149.13999999999999</v>
      </c>
      <c r="AE993" s="39">
        <v>133.80000000000001</v>
      </c>
      <c r="AF993" s="39">
        <v>0</v>
      </c>
      <c r="AG993" s="39">
        <v>0</v>
      </c>
      <c r="AH993" s="39">
        <v>0</v>
      </c>
      <c r="AI993" s="39">
        <v>147.06</v>
      </c>
      <c r="AJ993" s="39">
        <v>149.13999999999999</v>
      </c>
      <c r="AK993" s="39">
        <v>133.80000000000001</v>
      </c>
      <c r="AL993" s="39">
        <v>0</v>
      </c>
      <c r="AM993" s="39">
        <v>0</v>
      </c>
      <c r="AN993" s="39">
        <v>0</v>
      </c>
      <c r="AO993" s="39">
        <v>147.06</v>
      </c>
      <c r="AP993" s="39">
        <v>149.13999999999999</v>
      </c>
      <c r="AQ993" s="39">
        <v>133.80000000000001</v>
      </c>
      <c r="AR993" s="39">
        <v>149.13999999999999</v>
      </c>
    </row>
    <row r="994" spans="1:44" x14ac:dyDescent="0.35">
      <c r="A994" s="16" t="str">
        <f t="shared" si="87"/>
        <v>37</v>
      </c>
      <c r="B994" s="19">
        <v>68338</v>
      </c>
      <c r="C994" s="16" t="str">
        <f>TEXT(126730,"0000000")</f>
        <v>0126730</v>
      </c>
      <c r="D994" s="19">
        <v>1447</v>
      </c>
      <c r="E994" s="16" t="s">
        <v>2224</v>
      </c>
      <c r="F994" s="16" t="s">
        <v>5</v>
      </c>
      <c r="G994" s="35" t="s">
        <v>2225</v>
      </c>
      <c r="H994" s="39">
        <v>0</v>
      </c>
      <c r="I994" s="39">
        <v>0</v>
      </c>
      <c r="J994" s="39">
        <v>0</v>
      </c>
      <c r="K994" s="39">
        <v>0</v>
      </c>
      <c r="L994" s="39">
        <v>0</v>
      </c>
      <c r="M994" s="39">
        <v>0</v>
      </c>
      <c r="N994" s="39">
        <v>0</v>
      </c>
      <c r="O994" s="39">
        <v>0</v>
      </c>
      <c r="P994" s="39">
        <v>0</v>
      </c>
      <c r="Q994" s="39">
        <v>0</v>
      </c>
      <c r="R994" s="39">
        <v>0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0</v>
      </c>
      <c r="AA994" s="39">
        <v>0</v>
      </c>
      <c r="AB994" s="39">
        <v>0</v>
      </c>
      <c r="AC994" s="39">
        <v>372.12</v>
      </c>
      <c r="AD994" s="39">
        <v>365.81</v>
      </c>
      <c r="AE994" s="39">
        <v>357.56</v>
      </c>
      <c r="AF994" s="39">
        <v>0</v>
      </c>
      <c r="AG994" s="39">
        <v>0</v>
      </c>
      <c r="AH994" s="39">
        <v>0</v>
      </c>
      <c r="AI994" s="39">
        <v>372.12</v>
      </c>
      <c r="AJ994" s="39">
        <v>365.81</v>
      </c>
      <c r="AK994" s="39">
        <v>357.56</v>
      </c>
      <c r="AL994" s="39">
        <v>0</v>
      </c>
      <c r="AM994" s="39">
        <v>0</v>
      </c>
      <c r="AN994" s="39">
        <v>0</v>
      </c>
      <c r="AO994" s="39">
        <v>372.12</v>
      </c>
      <c r="AP994" s="39">
        <v>365.81</v>
      </c>
      <c r="AQ994" s="39">
        <v>357.56</v>
      </c>
      <c r="AR994" s="39">
        <v>372.12</v>
      </c>
    </row>
    <row r="995" spans="1:44" x14ac:dyDescent="0.35">
      <c r="A995" s="16" t="str">
        <f t="shared" si="87"/>
        <v>37</v>
      </c>
      <c r="B995" s="19">
        <v>68338</v>
      </c>
      <c r="C995" s="16" t="str">
        <f>TEXT(127647,"0000000")</f>
        <v>0127647</v>
      </c>
      <c r="D995" s="19">
        <v>1302</v>
      </c>
      <c r="E995" s="16" t="s">
        <v>2226</v>
      </c>
      <c r="F995" s="16" t="s">
        <v>5</v>
      </c>
      <c r="G995" s="35" t="s">
        <v>2227</v>
      </c>
      <c r="H995" s="39">
        <v>0</v>
      </c>
      <c r="I995" s="39">
        <v>0</v>
      </c>
      <c r="J995" s="39">
        <v>0</v>
      </c>
      <c r="K995" s="39">
        <v>0</v>
      </c>
      <c r="L995" s="39">
        <v>0</v>
      </c>
      <c r="M995" s="39">
        <v>0</v>
      </c>
      <c r="N995" s="39">
        <v>0</v>
      </c>
      <c r="O995" s="39">
        <v>0</v>
      </c>
      <c r="P995" s="39">
        <v>0</v>
      </c>
      <c r="Q995" s="39">
        <v>0</v>
      </c>
      <c r="R995" s="39">
        <v>0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0</v>
      </c>
      <c r="AA995" s="39">
        <v>0</v>
      </c>
      <c r="AB995" s="39">
        <v>0</v>
      </c>
      <c r="AC995" s="39">
        <v>336.85</v>
      </c>
      <c r="AD995" s="39">
        <v>327.18</v>
      </c>
      <c r="AE995" s="39">
        <v>352.29</v>
      </c>
      <c r="AF995" s="39">
        <v>0</v>
      </c>
      <c r="AG995" s="39">
        <v>0</v>
      </c>
      <c r="AH995" s="39">
        <v>0</v>
      </c>
      <c r="AI995" s="39">
        <v>336.85</v>
      </c>
      <c r="AJ995" s="39">
        <v>327.18</v>
      </c>
      <c r="AK995" s="39">
        <v>352.29</v>
      </c>
      <c r="AL995" s="39">
        <v>0</v>
      </c>
      <c r="AM995" s="39">
        <v>0</v>
      </c>
      <c r="AN995" s="39">
        <v>0</v>
      </c>
      <c r="AO995" s="39">
        <v>336.85</v>
      </c>
      <c r="AP995" s="39">
        <v>327.18</v>
      </c>
      <c r="AQ995" s="39">
        <v>352.29</v>
      </c>
      <c r="AR995" s="39">
        <v>352.29</v>
      </c>
    </row>
    <row r="996" spans="1:44" x14ac:dyDescent="0.35">
      <c r="A996" s="16" t="str">
        <f t="shared" si="87"/>
        <v>37</v>
      </c>
      <c r="B996" s="19">
        <v>68338</v>
      </c>
      <c r="C996" s="16" t="str">
        <f>TEXT(129387,"0000000")</f>
        <v>0129387</v>
      </c>
      <c r="D996" s="19">
        <v>1634</v>
      </c>
      <c r="E996" s="16" t="s">
        <v>2228</v>
      </c>
      <c r="F996" s="16" t="s">
        <v>5</v>
      </c>
      <c r="G996" s="35" t="s">
        <v>2229</v>
      </c>
      <c r="H996" s="39">
        <v>0</v>
      </c>
      <c r="I996" s="39">
        <v>0</v>
      </c>
      <c r="J996" s="39">
        <v>0</v>
      </c>
      <c r="K996" s="39">
        <v>0</v>
      </c>
      <c r="L996" s="39">
        <v>0</v>
      </c>
      <c r="M996" s="39">
        <v>0</v>
      </c>
      <c r="N996" s="39">
        <v>0</v>
      </c>
      <c r="O996" s="39">
        <v>0</v>
      </c>
      <c r="P996" s="39">
        <v>0</v>
      </c>
      <c r="Q996" s="39">
        <v>0</v>
      </c>
      <c r="R996" s="39">
        <v>0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0</v>
      </c>
      <c r="AA996" s="39">
        <v>0</v>
      </c>
      <c r="AB996" s="39">
        <v>0</v>
      </c>
      <c r="AC996" s="39">
        <v>141.37</v>
      </c>
      <c r="AD996" s="39">
        <v>137.03</v>
      </c>
      <c r="AE996" s="39">
        <v>133.94999999999999</v>
      </c>
      <c r="AF996" s="39">
        <v>0</v>
      </c>
      <c r="AG996" s="39">
        <v>0</v>
      </c>
      <c r="AH996" s="39">
        <v>0</v>
      </c>
      <c r="AI996" s="39">
        <v>141.37</v>
      </c>
      <c r="AJ996" s="39">
        <v>137.03</v>
      </c>
      <c r="AK996" s="39">
        <v>133.94999999999999</v>
      </c>
      <c r="AL996" s="39">
        <v>0</v>
      </c>
      <c r="AM996" s="39">
        <v>0</v>
      </c>
      <c r="AN996" s="39">
        <v>0</v>
      </c>
      <c r="AO996" s="39">
        <v>141.37</v>
      </c>
      <c r="AP996" s="39">
        <v>137.03</v>
      </c>
      <c r="AQ996" s="39">
        <v>133.94999999999999</v>
      </c>
      <c r="AR996" s="39">
        <v>141.37</v>
      </c>
    </row>
    <row r="997" spans="1:44" x14ac:dyDescent="0.35">
      <c r="A997" s="16" t="str">
        <f t="shared" si="87"/>
        <v>37</v>
      </c>
      <c r="B997" s="19">
        <v>68338</v>
      </c>
      <c r="C997" s="16" t="str">
        <f>TEXT(129395,"0000000")</f>
        <v>0129395</v>
      </c>
      <c r="D997" s="19">
        <v>1633</v>
      </c>
      <c r="E997" s="16" t="s">
        <v>2230</v>
      </c>
      <c r="F997" s="16" t="s">
        <v>5</v>
      </c>
      <c r="G997" s="35" t="s">
        <v>2231</v>
      </c>
      <c r="H997" s="39">
        <v>0</v>
      </c>
      <c r="I997" s="39">
        <v>0</v>
      </c>
      <c r="J997" s="39">
        <v>0</v>
      </c>
      <c r="K997" s="39">
        <v>0</v>
      </c>
      <c r="L997" s="39">
        <v>0</v>
      </c>
      <c r="M997" s="39">
        <v>0</v>
      </c>
      <c r="N997" s="39">
        <v>0</v>
      </c>
      <c r="O997" s="39">
        <v>0</v>
      </c>
      <c r="P997" s="39">
        <v>0</v>
      </c>
      <c r="Q997" s="39">
        <v>0</v>
      </c>
      <c r="R997" s="39">
        <v>0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0</v>
      </c>
      <c r="AA997" s="39">
        <v>0</v>
      </c>
      <c r="AB997" s="39">
        <v>0</v>
      </c>
      <c r="AC997" s="39">
        <v>454.34</v>
      </c>
      <c r="AD997" s="39">
        <v>451.4</v>
      </c>
      <c r="AE997" s="39">
        <v>437.94</v>
      </c>
      <c r="AF997" s="39">
        <v>0</v>
      </c>
      <c r="AG997" s="39">
        <v>0</v>
      </c>
      <c r="AH997" s="39">
        <v>0</v>
      </c>
      <c r="AI997" s="39">
        <v>454.34</v>
      </c>
      <c r="AJ997" s="39">
        <v>451.4</v>
      </c>
      <c r="AK997" s="39">
        <v>437.94</v>
      </c>
      <c r="AL997" s="39">
        <v>0</v>
      </c>
      <c r="AM997" s="39">
        <v>0</v>
      </c>
      <c r="AN997" s="39">
        <v>0</v>
      </c>
      <c r="AO997" s="39">
        <v>454.34</v>
      </c>
      <c r="AP997" s="39">
        <v>451.4</v>
      </c>
      <c r="AQ997" s="39">
        <v>437.94</v>
      </c>
      <c r="AR997" s="39">
        <v>454.34</v>
      </c>
    </row>
    <row r="998" spans="1:44" x14ac:dyDescent="0.35">
      <c r="A998" s="16" t="str">
        <f t="shared" si="87"/>
        <v>37</v>
      </c>
      <c r="B998" s="19">
        <v>68338</v>
      </c>
      <c r="C998" s="16" t="str">
        <f>TEXT(131565,"0000000")</f>
        <v>0131565</v>
      </c>
      <c r="D998" s="19">
        <v>1709</v>
      </c>
      <c r="E998" s="16" t="s">
        <v>2232</v>
      </c>
      <c r="F998" s="16" t="s">
        <v>5</v>
      </c>
      <c r="G998" s="35" t="s">
        <v>2233</v>
      </c>
      <c r="H998" s="39">
        <v>0</v>
      </c>
      <c r="I998" s="39">
        <v>0</v>
      </c>
      <c r="J998" s="39">
        <v>0</v>
      </c>
      <c r="K998" s="39">
        <v>0</v>
      </c>
      <c r="L998" s="39">
        <v>0</v>
      </c>
      <c r="M998" s="39">
        <v>0</v>
      </c>
      <c r="N998" s="39">
        <v>0</v>
      </c>
      <c r="O998" s="39">
        <v>0</v>
      </c>
      <c r="P998" s="39">
        <v>0</v>
      </c>
      <c r="Q998" s="39">
        <v>0</v>
      </c>
      <c r="R998" s="39">
        <v>0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0</v>
      </c>
      <c r="AA998" s="39">
        <v>0</v>
      </c>
      <c r="AB998" s="39">
        <v>0</v>
      </c>
      <c r="AC998" s="39">
        <v>405.2</v>
      </c>
      <c r="AD998" s="39">
        <v>384.32</v>
      </c>
      <c r="AE998" s="39">
        <v>390.16</v>
      </c>
      <c r="AF998" s="39">
        <v>0</v>
      </c>
      <c r="AG998" s="39">
        <v>0</v>
      </c>
      <c r="AH998" s="39">
        <v>0</v>
      </c>
      <c r="AI998" s="39">
        <v>405.2</v>
      </c>
      <c r="AJ998" s="39">
        <v>384.32</v>
      </c>
      <c r="AK998" s="39">
        <v>390.16</v>
      </c>
      <c r="AL998" s="39">
        <v>0</v>
      </c>
      <c r="AM998" s="39">
        <v>0</v>
      </c>
      <c r="AN998" s="39">
        <v>0</v>
      </c>
      <c r="AO998" s="39">
        <v>405.2</v>
      </c>
      <c r="AP998" s="39">
        <v>384.32</v>
      </c>
      <c r="AQ998" s="39">
        <v>390.16</v>
      </c>
      <c r="AR998" s="39">
        <v>405.2</v>
      </c>
    </row>
    <row r="999" spans="1:44" x14ac:dyDescent="0.35">
      <c r="A999" s="16" t="str">
        <f t="shared" si="87"/>
        <v>37</v>
      </c>
      <c r="B999" s="19">
        <v>68338</v>
      </c>
      <c r="C999" s="16" t="str">
        <f>TEXT(131979,"0000000")</f>
        <v>0131979</v>
      </c>
      <c r="D999" s="19">
        <v>1719</v>
      </c>
      <c r="E999" s="16" t="s">
        <v>2234</v>
      </c>
      <c r="F999" s="16" t="s">
        <v>5</v>
      </c>
      <c r="G999" s="35" t="s">
        <v>2235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174.29</v>
      </c>
      <c r="AD999" s="39">
        <v>148.13</v>
      </c>
      <c r="AE999" s="39">
        <v>177.41</v>
      </c>
      <c r="AF999" s="39">
        <v>0</v>
      </c>
      <c r="AG999" s="39">
        <v>0</v>
      </c>
      <c r="AH999" s="39">
        <v>0</v>
      </c>
      <c r="AI999" s="39">
        <v>174.29</v>
      </c>
      <c r="AJ999" s="39">
        <v>148.13</v>
      </c>
      <c r="AK999" s="39">
        <v>177.41</v>
      </c>
      <c r="AL999" s="39">
        <v>0</v>
      </c>
      <c r="AM999" s="39">
        <v>0</v>
      </c>
      <c r="AN999" s="39">
        <v>0</v>
      </c>
      <c r="AO999" s="39">
        <v>174.29</v>
      </c>
      <c r="AP999" s="39">
        <v>148.13</v>
      </c>
      <c r="AQ999" s="39">
        <v>177.41</v>
      </c>
      <c r="AR999" s="39">
        <v>177.41</v>
      </c>
    </row>
    <row r="1000" spans="1:44" x14ac:dyDescent="0.35">
      <c r="A1000" s="16" t="str">
        <f t="shared" si="87"/>
        <v>37</v>
      </c>
      <c r="B1000" s="19">
        <v>68338</v>
      </c>
      <c r="C1000" s="16" t="str">
        <f>TEXT(135913,"0000000")</f>
        <v>0135913</v>
      </c>
      <c r="D1000" s="19">
        <v>1008</v>
      </c>
      <c r="E1000" s="16" t="s">
        <v>2236</v>
      </c>
      <c r="F1000" s="16" t="s">
        <v>5</v>
      </c>
      <c r="G1000" s="35" t="s">
        <v>2237</v>
      </c>
      <c r="H1000" s="39">
        <v>0</v>
      </c>
      <c r="I1000" s="39">
        <v>0</v>
      </c>
      <c r="J1000" s="39">
        <v>0</v>
      </c>
      <c r="K1000" s="39">
        <v>0</v>
      </c>
      <c r="L1000" s="39">
        <v>0</v>
      </c>
      <c r="M1000" s="39">
        <v>0</v>
      </c>
      <c r="N1000" s="39">
        <v>0</v>
      </c>
      <c r="O1000" s="39">
        <v>0</v>
      </c>
      <c r="P1000" s="39">
        <v>0</v>
      </c>
      <c r="Q1000" s="39">
        <v>0</v>
      </c>
      <c r="R1000" s="39">
        <v>0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0</v>
      </c>
      <c r="AA1000" s="39">
        <v>0</v>
      </c>
      <c r="AB1000" s="39">
        <v>0</v>
      </c>
      <c r="AC1000" s="39">
        <v>281.77999999999997</v>
      </c>
      <c r="AD1000" s="39">
        <v>280.33</v>
      </c>
      <c r="AE1000" s="39">
        <v>327.87</v>
      </c>
      <c r="AF1000" s="39">
        <v>0</v>
      </c>
      <c r="AG1000" s="39">
        <v>0</v>
      </c>
      <c r="AH1000" s="39">
        <v>0</v>
      </c>
      <c r="AI1000" s="39">
        <v>281.77999999999997</v>
      </c>
      <c r="AJ1000" s="39">
        <v>280.33</v>
      </c>
      <c r="AK1000" s="39">
        <v>327.87</v>
      </c>
      <c r="AL1000" s="39">
        <v>0</v>
      </c>
      <c r="AM1000" s="39">
        <v>0</v>
      </c>
      <c r="AN1000" s="39">
        <v>0</v>
      </c>
      <c r="AO1000" s="39">
        <v>281.77999999999997</v>
      </c>
      <c r="AP1000" s="39">
        <v>280.33</v>
      </c>
      <c r="AQ1000" s="39">
        <v>327.87</v>
      </c>
      <c r="AR1000" s="39">
        <v>327.87</v>
      </c>
    </row>
    <row r="1001" spans="1:44" x14ac:dyDescent="0.35">
      <c r="A1001" s="16" t="str">
        <f t="shared" si="87"/>
        <v>37</v>
      </c>
      <c r="B1001" s="19">
        <v>68338</v>
      </c>
      <c r="C1001" s="16" t="str">
        <f>TEXT(136663,"0000000")</f>
        <v>0136663</v>
      </c>
      <c r="D1001" s="19">
        <v>1301</v>
      </c>
      <c r="E1001" s="16" t="s">
        <v>2238</v>
      </c>
      <c r="F1001" s="16" t="s">
        <v>5</v>
      </c>
      <c r="G1001" s="35" t="s">
        <v>2239</v>
      </c>
      <c r="H1001" s="39">
        <v>0</v>
      </c>
      <c r="I1001" s="39">
        <v>0</v>
      </c>
      <c r="J1001" s="39">
        <v>0</v>
      </c>
      <c r="K1001" s="39">
        <v>0</v>
      </c>
      <c r="L1001" s="39">
        <v>0</v>
      </c>
      <c r="M1001" s="39">
        <v>0</v>
      </c>
      <c r="N1001" s="39">
        <v>0</v>
      </c>
      <c r="O1001" s="39">
        <v>0</v>
      </c>
      <c r="P1001" s="39">
        <v>0</v>
      </c>
      <c r="Q1001" s="39">
        <v>0</v>
      </c>
      <c r="R1001" s="39">
        <v>0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0</v>
      </c>
      <c r="AA1001" s="39">
        <v>0</v>
      </c>
      <c r="AB1001" s="39">
        <v>0</v>
      </c>
      <c r="AC1001" s="39">
        <v>350.71</v>
      </c>
      <c r="AD1001" s="39">
        <v>412.65</v>
      </c>
      <c r="AE1001" s="39">
        <v>404.28</v>
      </c>
      <c r="AF1001" s="39">
        <v>0</v>
      </c>
      <c r="AG1001" s="39">
        <v>0</v>
      </c>
      <c r="AH1001" s="39">
        <v>0</v>
      </c>
      <c r="AI1001" s="39">
        <v>350.71</v>
      </c>
      <c r="AJ1001" s="39">
        <v>412.65</v>
      </c>
      <c r="AK1001" s="39">
        <v>404.28</v>
      </c>
      <c r="AL1001" s="39">
        <v>0</v>
      </c>
      <c r="AM1001" s="39">
        <v>0</v>
      </c>
      <c r="AN1001" s="39">
        <v>0</v>
      </c>
      <c r="AO1001" s="39">
        <v>350.71</v>
      </c>
      <c r="AP1001" s="39">
        <v>412.65</v>
      </c>
      <c r="AQ1001" s="39">
        <v>404.28</v>
      </c>
      <c r="AR1001" s="39">
        <v>412.65</v>
      </c>
    </row>
    <row r="1002" spans="1:44" x14ac:dyDescent="0.35">
      <c r="A1002" s="16" t="str">
        <f>TEXT(1,"00")</f>
        <v>01</v>
      </c>
      <c r="B1002" s="19">
        <v>61259</v>
      </c>
      <c r="C1002" s="16" t="str">
        <f>TEXT(128413,"0000000")</f>
        <v>0128413</v>
      </c>
      <c r="D1002" s="19">
        <v>1577</v>
      </c>
      <c r="E1002" s="16" t="s">
        <v>112</v>
      </c>
      <c r="F1002" s="16" t="s">
        <v>5</v>
      </c>
      <c r="G1002" s="35" t="s">
        <v>113</v>
      </c>
      <c r="H1002" s="39">
        <v>0</v>
      </c>
      <c r="I1002" s="39">
        <v>0</v>
      </c>
      <c r="J1002" s="39">
        <v>0</v>
      </c>
      <c r="K1002" s="39">
        <v>0</v>
      </c>
      <c r="L1002" s="39">
        <v>0</v>
      </c>
      <c r="M1002" s="39">
        <v>0</v>
      </c>
      <c r="N1002" s="39">
        <v>0</v>
      </c>
      <c r="O1002" s="39">
        <v>0</v>
      </c>
      <c r="P1002" s="39">
        <v>0</v>
      </c>
      <c r="Q1002" s="39">
        <v>0</v>
      </c>
      <c r="R1002" s="39">
        <v>0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0</v>
      </c>
      <c r="AA1002" s="39">
        <v>0</v>
      </c>
      <c r="AB1002" s="39">
        <v>0</v>
      </c>
      <c r="AC1002" s="39">
        <v>189.59</v>
      </c>
      <c r="AD1002" s="39">
        <v>186.22</v>
      </c>
      <c r="AE1002" s="39">
        <v>180.38</v>
      </c>
      <c r="AF1002" s="39">
        <v>0</v>
      </c>
      <c r="AG1002" s="39">
        <v>0</v>
      </c>
      <c r="AH1002" s="39">
        <v>0</v>
      </c>
      <c r="AI1002" s="39">
        <v>189.59</v>
      </c>
      <c r="AJ1002" s="39">
        <v>186.22</v>
      </c>
      <c r="AK1002" s="39">
        <v>180.38</v>
      </c>
      <c r="AL1002" s="39">
        <v>0</v>
      </c>
      <c r="AM1002" s="39">
        <v>0</v>
      </c>
      <c r="AN1002" s="39">
        <v>0</v>
      </c>
      <c r="AO1002" s="39">
        <v>189.59</v>
      </c>
      <c r="AP1002" s="39">
        <v>186.22</v>
      </c>
      <c r="AQ1002" s="39">
        <v>180.38</v>
      </c>
      <c r="AR1002" s="39">
        <v>189.59</v>
      </c>
    </row>
    <row r="1003" spans="1:44" x14ac:dyDescent="0.35">
      <c r="A1003" s="16" t="str">
        <f t="shared" ref="A1003:A1012" si="88">TEXT(37,"00")</f>
        <v>37</v>
      </c>
      <c r="B1003" s="19">
        <v>68338</v>
      </c>
      <c r="C1003" s="16" t="str">
        <f>TEXT(3730959,"0000000")</f>
        <v>3730959</v>
      </c>
      <c r="D1003" s="17" t="s">
        <v>2242</v>
      </c>
      <c r="E1003" s="16" t="s">
        <v>2240</v>
      </c>
      <c r="F1003" s="16" t="s">
        <v>5</v>
      </c>
      <c r="G1003" s="35" t="s">
        <v>2241</v>
      </c>
      <c r="H1003" s="39">
        <v>0</v>
      </c>
      <c r="I1003" s="39">
        <v>0</v>
      </c>
      <c r="J1003" s="39">
        <v>0</v>
      </c>
      <c r="K1003" s="39">
        <v>0</v>
      </c>
      <c r="L1003" s="39">
        <v>0</v>
      </c>
      <c r="M1003" s="39">
        <v>0</v>
      </c>
      <c r="N1003" s="39">
        <v>0</v>
      </c>
      <c r="O1003" s="39">
        <v>0</v>
      </c>
      <c r="P1003" s="39">
        <v>0</v>
      </c>
      <c r="Q1003" s="39">
        <v>0</v>
      </c>
      <c r="R1003" s="39">
        <v>0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0</v>
      </c>
      <c r="AA1003" s="39">
        <v>0</v>
      </c>
      <c r="AB1003" s="39">
        <v>0</v>
      </c>
      <c r="AC1003" s="39">
        <v>1505.31</v>
      </c>
      <c r="AD1003" s="39">
        <v>1615.75</v>
      </c>
      <c r="AE1003" s="39">
        <v>1556.95</v>
      </c>
      <c r="AF1003" s="39">
        <v>0</v>
      </c>
      <c r="AG1003" s="39">
        <v>0</v>
      </c>
      <c r="AH1003" s="39">
        <v>0</v>
      </c>
      <c r="AI1003" s="39">
        <v>1505.31</v>
      </c>
      <c r="AJ1003" s="39">
        <v>1615.75</v>
      </c>
      <c r="AK1003" s="39">
        <v>1556.95</v>
      </c>
      <c r="AL1003" s="39">
        <v>0</v>
      </c>
      <c r="AM1003" s="39">
        <v>0</v>
      </c>
      <c r="AN1003" s="39">
        <v>0</v>
      </c>
      <c r="AO1003" s="39">
        <v>1505.31</v>
      </c>
      <c r="AP1003" s="39">
        <v>1615.75</v>
      </c>
      <c r="AQ1003" s="39">
        <v>1556.95</v>
      </c>
      <c r="AR1003" s="39">
        <v>1615.75</v>
      </c>
    </row>
    <row r="1004" spans="1:44" x14ac:dyDescent="0.35">
      <c r="A1004" s="16" t="str">
        <f t="shared" si="88"/>
        <v>37</v>
      </c>
      <c r="B1004" s="19">
        <v>68338</v>
      </c>
      <c r="C1004" s="16" t="str">
        <f>TEXT(6039457,"0000000")</f>
        <v>6039457</v>
      </c>
      <c r="D1004" s="17" t="s">
        <v>2254</v>
      </c>
      <c r="E1004" s="16" t="s">
        <v>2252</v>
      </c>
      <c r="F1004" s="16" t="s">
        <v>5</v>
      </c>
      <c r="G1004" s="35" t="s">
        <v>2253</v>
      </c>
      <c r="H1004" s="39">
        <v>0</v>
      </c>
      <c r="I1004" s="39">
        <v>0</v>
      </c>
      <c r="J1004" s="39">
        <v>0</v>
      </c>
      <c r="K1004" s="39">
        <v>0</v>
      </c>
      <c r="L1004" s="39">
        <v>0</v>
      </c>
      <c r="M1004" s="39">
        <v>0</v>
      </c>
      <c r="N1004" s="39">
        <v>0</v>
      </c>
      <c r="O1004" s="39">
        <v>0</v>
      </c>
      <c r="P1004" s="39">
        <v>0</v>
      </c>
      <c r="Q1004" s="39">
        <v>0</v>
      </c>
      <c r="R1004" s="39">
        <v>0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0</v>
      </c>
      <c r="AA1004" s="39">
        <v>0</v>
      </c>
      <c r="AB1004" s="39">
        <v>0</v>
      </c>
      <c r="AC1004" s="39">
        <v>411.3</v>
      </c>
      <c r="AD1004" s="39">
        <v>408.6</v>
      </c>
      <c r="AE1004" s="39">
        <v>420.8</v>
      </c>
      <c r="AF1004" s="39">
        <v>0</v>
      </c>
      <c r="AG1004" s="39">
        <v>0</v>
      </c>
      <c r="AH1004" s="39">
        <v>0</v>
      </c>
      <c r="AI1004" s="39">
        <v>411.3</v>
      </c>
      <c r="AJ1004" s="39">
        <v>408.6</v>
      </c>
      <c r="AK1004" s="39">
        <v>420.8</v>
      </c>
      <c r="AL1004" s="39">
        <v>0</v>
      </c>
      <c r="AM1004" s="39">
        <v>0</v>
      </c>
      <c r="AN1004" s="39">
        <v>0</v>
      </c>
      <c r="AO1004" s="39">
        <v>411.3</v>
      </c>
      <c r="AP1004" s="39">
        <v>408.6</v>
      </c>
      <c r="AQ1004" s="39">
        <v>420.8</v>
      </c>
      <c r="AR1004" s="39">
        <v>420.8</v>
      </c>
    </row>
    <row r="1005" spans="1:44" x14ac:dyDescent="0.35">
      <c r="A1005" s="16" t="str">
        <f t="shared" si="88"/>
        <v>37</v>
      </c>
      <c r="B1005" s="19">
        <v>68338</v>
      </c>
      <c r="C1005" s="16" t="str">
        <f>TEXT(6039812,"0000000")</f>
        <v>6039812</v>
      </c>
      <c r="D1005" s="17" t="s">
        <v>2257</v>
      </c>
      <c r="E1005" s="16" t="s">
        <v>2255</v>
      </c>
      <c r="F1005" s="16" t="s">
        <v>5</v>
      </c>
      <c r="G1005" s="35" t="s">
        <v>2256</v>
      </c>
      <c r="H1005" s="39">
        <v>0</v>
      </c>
      <c r="I1005" s="39">
        <v>0</v>
      </c>
      <c r="J1005" s="39">
        <v>0</v>
      </c>
      <c r="K1005" s="39">
        <v>0</v>
      </c>
      <c r="L1005" s="39">
        <v>0</v>
      </c>
      <c r="M1005" s="39">
        <v>0</v>
      </c>
      <c r="N1005" s="39">
        <v>0</v>
      </c>
      <c r="O1005" s="39">
        <v>0</v>
      </c>
      <c r="P1005" s="39">
        <v>0</v>
      </c>
      <c r="Q1005" s="39">
        <v>0</v>
      </c>
      <c r="R1005" s="39">
        <v>0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0</v>
      </c>
      <c r="AA1005" s="39">
        <v>0</v>
      </c>
      <c r="AB1005" s="39">
        <v>0</v>
      </c>
      <c r="AC1005" s="39">
        <v>586.79</v>
      </c>
      <c r="AD1005" s="39">
        <v>554.35</v>
      </c>
      <c r="AE1005" s="39">
        <v>554.19000000000005</v>
      </c>
      <c r="AF1005" s="39">
        <v>0</v>
      </c>
      <c r="AG1005" s="39">
        <v>0</v>
      </c>
      <c r="AH1005" s="39">
        <v>0</v>
      </c>
      <c r="AI1005" s="39">
        <v>586.79</v>
      </c>
      <c r="AJ1005" s="39">
        <v>554.35</v>
      </c>
      <c r="AK1005" s="39">
        <v>554.19000000000005</v>
      </c>
      <c r="AL1005" s="39">
        <v>0</v>
      </c>
      <c r="AM1005" s="39">
        <v>0</v>
      </c>
      <c r="AN1005" s="39">
        <v>0</v>
      </c>
      <c r="AO1005" s="39">
        <v>586.79</v>
      </c>
      <c r="AP1005" s="39">
        <v>554.35</v>
      </c>
      <c r="AQ1005" s="39">
        <v>554.19000000000005</v>
      </c>
      <c r="AR1005" s="39">
        <v>586.79</v>
      </c>
    </row>
    <row r="1006" spans="1:44" x14ac:dyDescent="0.35">
      <c r="A1006" s="16" t="str">
        <f t="shared" si="88"/>
        <v>37</v>
      </c>
      <c r="B1006" s="19">
        <v>68338</v>
      </c>
      <c r="C1006" s="16" t="str">
        <f>TEXT(6040018,"0000000")</f>
        <v>6040018</v>
      </c>
      <c r="D1006" s="17" t="s">
        <v>2260</v>
      </c>
      <c r="E1006" s="16" t="s">
        <v>2258</v>
      </c>
      <c r="F1006" s="16" t="s">
        <v>5</v>
      </c>
      <c r="G1006" s="35" t="s">
        <v>2259</v>
      </c>
      <c r="H1006" s="39">
        <v>0</v>
      </c>
      <c r="I1006" s="39">
        <v>0</v>
      </c>
      <c r="J1006" s="39">
        <v>0</v>
      </c>
      <c r="K1006" s="39">
        <v>0</v>
      </c>
      <c r="L1006" s="39">
        <v>0</v>
      </c>
      <c r="M1006" s="39">
        <v>0</v>
      </c>
      <c r="N1006" s="39">
        <v>0</v>
      </c>
      <c r="O1006" s="39">
        <v>0</v>
      </c>
      <c r="P1006" s="39">
        <v>0</v>
      </c>
      <c r="Q1006" s="39">
        <v>0</v>
      </c>
      <c r="R1006" s="39">
        <v>0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0</v>
      </c>
      <c r="AA1006" s="39">
        <v>0</v>
      </c>
      <c r="AB1006" s="39">
        <v>0</v>
      </c>
      <c r="AC1006" s="39">
        <v>411.89</v>
      </c>
      <c r="AD1006" s="39">
        <v>395.39</v>
      </c>
      <c r="AE1006" s="39">
        <v>398.44</v>
      </c>
      <c r="AF1006" s="39">
        <v>0</v>
      </c>
      <c r="AG1006" s="39">
        <v>0</v>
      </c>
      <c r="AH1006" s="39">
        <v>0</v>
      </c>
      <c r="AI1006" s="39">
        <v>411.89</v>
      </c>
      <c r="AJ1006" s="39">
        <v>395.39</v>
      </c>
      <c r="AK1006" s="39">
        <v>398.44</v>
      </c>
      <c r="AL1006" s="39">
        <v>0</v>
      </c>
      <c r="AM1006" s="39">
        <v>0</v>
      </c>
      <c r="AN1006" s="39">
        <v>0</v>
      </c>
      <c r="AO1006" s="39">
        <v>411.89</v>
      </c>
      <c r="AP1006" s="39">
        <v>395.39</v>
      </c>
      <c r="AQ1006" s="39">
        <v>398.44</v>
      </c>
      <c r="AR1006" s="39">
        <v>411.89</v>
      </c>
    </row>
    <row r="1007" spans="1:44" x14ac:dyDescent="0.35">
      <c r="A1007" s="16" t="str">
        <f t="shared" si="88"/>
        <v>37</v>
      </c>
      <c r="B1007" s="19">
        <v>68338</v>
      </c>
      <c r="C1007" s="16" t="str">
        <f>TEXT(6040190,"0000000")</f>
        <v>6040190</v>
      </c>
      <c r="D1007" s="17" t="s">
        <v>2263</v>
      </c>
      <c r="E1007" s="16" t="s">
        <v>2261</v>
      </c>
      <c r="F1007" s="16" t="s">
        <v>5</v>
      </c>
      <c r="G1007" s="35" t="s">
        <v>2262</v>
      </c>
      <c r="H1007" s="39">
        <v>0</v>
      </c>
      <c r="I1007" s="39">
        <v>0</v>
      </c>
      <c r="J1007" s="39">
        <v>0</v>
      </c>
      <c r="K1007" s="39">
        <v>0</v>
      </c>
      <c r="L1007" s="39">
        <v>0</v>
      </c>
      <c r="M1007" s="39">
        <v>0</v>
      </c>
      <c r="N1007" s="39">
        <v>0</v>
      </c>
      <c r="O1007" s="39">
        <v>0</v>
      </c>
      <c r="P1007" s="39">
        <v>0</v>
      </c>
      <c r="Q1007" s="39">
        <v>0</v>
      </c>
      <c r="R1007" s="39">
        <v>0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0</v>
      </c>
      <c r="AA1007" s="39">
        <v>0</v>
      </c>
      <c r="AB1007" s="39">
        <v>0</v>
      </c>
      <c r="AC1007" s="39">
        <v>317.83999999999997</v>
      </c>
      <c r="AD1007" s="39">
        <v>333.27</v>
      </c>
      <c r="AE1007" s="39">
        <v>309.47000000000003</v>
      </c>
      <c r="AF1007" s="39">
        <v>0</v>
      </c>
      <c r="AG1007" s="39">
        <v>0</v>
      </c>
      <c r="AH1007" s="39">
        <v>0</v>
      </c>
      <c r="AI1007" s="39">
        <v>317.83999999999997</v>
      </c>
      <c r="AJ1007" s="39">
        <v>333.27</v>
      </c>
      <c r="AK1007" s="39">
        <v>309.47000000000003</v>
      </c>
      <c r="AL1007" s="39">
        <v>0</v>
      </c>
      <c r="AM1007" s="39">
        <v>0</v>
      </c>
      <c r="AN1007" s="39">
        <v>0</v>
      </c>
      <c r="AO1007" s="39">
        <v>317.83999999999997</v>
      </c>
      <c r="AP1007" s="39">
        <v>333.27</v>
      </c>
      <c r="AQ1007" s="39">
        <v>309.47000000000003</v>
      </c>
      <c r="AR1007" s="39">
        <v>333.27</v>
      </c>
    </row>
    <row r="1008" spans="1:44" x14ac:dyDescent="0.35">
      <c r="A1008" s="16" t="str">
        <f t="shared" si="88"/>
        <v>37</v>
      </c>
      <c r="B1008" s="19">
        <v>68338</v>
      </c>
      <c r="C1008" s="16" t="str">
        <f>TEXT(6113211,"0000000")</f>
        <v>6113211</v>
      </c>
      <c r="D1008" s="17" t="s">
        <v>2269</v>
      </c>
      <c r="E1008" s="16" t="s">
        <v>2267</v>
      </c>
      <c r="F1008" s="16" t="s">
        <v>5</v>
      </c>
      <c r="G1008" s="35" t="s">
        <v>2268</v>
      </c>
      <c r="H1008" s="39">
        <v>0</v>
      </c>
      <c r="I1008" s="39">
        <v>0</v>
      </c>
      <c r="J1008" s="39">
        <v>0</v>
      </c>
      <c r="K1008" s="39">
        <v>0</v>
      </c>
      <c r="L1008" s="39">
        <v>0</v>
      </c>
      <c r="M1008" s="39">
        <v>0</v>
      </c>
      <c r="N1008" s="39">
        <v>0</v>
      </c>
      <c r="O1008" s="39">
        <v>0</v>
      </c>
      <c r="P1008" s="39">
        <v>0</v>
      </c>
      <c r="Q1008" s="39">
        <v>0</v>
      </c>
      <c r="R1008" s="39">
        <v>0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0</v>
      </c>
      <c r="AA1008" s="39">
        <v>0</v>
      </c>
      <c r="AB1008" s="39">
        <v>0</v>
      </c>
      <c r="AC1008" s="39">
        <v>101.34</v>
      </c>
      <c r="AD1008" s="39">
        <v>102.23</v>
      </c>
      <c r="AE1008" s="39">
        <v>104.16</v>
      </c>
      <c r="AF1008" s="39">
        <v>0</v>
      </c>
      <c r="AG1008" s="39">
        <v>0</v>
      </c>
      <c r="AH1008" s="39">
        <v>0</v>
      </c>
      <c r="AI1008" s="39">
        <v>101.34</v>
      </c>
      <c r="AJ1008" s="39">
        <v>102.23</v>
      </c>
      <c r="AK1008" s="39">
        <v>104.16</v>
      </c>
      <c r="AL1008" s="39">
        <v>0</v>
      </c>
      <c r="AM1008" s="39">
        <v>0</v>
      </c>
      <c r="AN1008" s="39">
        <v>0</v>
      </c>
      <c r="AO1008" s="39">
        <v>101.34</v>
      </c>
      <c r="AP1008" s="39">
        <v>102.23</v>
      </c>
      <c r="AQ1008" s="39">
        <v>104.16</v>
      </c>
      <c r="AR1008" s="39">
        <v>104.16</v>
      </c>
    </row>
    <row r="1009" spans="1:44" x14ac:dyDescent="0.35">
      <c r="A1009" s="16" t="str">
        <f t="shared" si="88"/>
        <v>37</v>
      </c>
      <c r="B1009" s="19">
        <v>68338</v>
      </c>
      <c r="C1009" s="16" t="str">
        <f>TEXT(6115570,"0000000")</f>
        <v>6115570</v>
      </c>
      <c r="D1009" s="17" t="s">
        <v>2272</v>
      </c>
      <c r="E1009" s="16" t="s">
        <v>2270</v>
      </c>
      <c r="F1009" s="16" t="s">
        <v>5</v>
      </c>
      <c r="G1009" s="35" t="s">
        <v>2271</v>
      </c>
      <c r="H1009" s="39">
        <v>0</v>
      </c>
      <c r="I1009" s="39">
        <v>0</v>
      </c>
      <c r="J1009" s="39">
        <v>0</v>
      </c>
      <c r="K1009" s="39">
        <v>0</v>
      </c>
      <c r="L1009" s="39">
        <v>0</v>
      </c>
      <c r="M1009" s="39">
        <v>0</v>
      </c>
      <c r="N1009" s="39">
        <v>0</v>
      </c>
      <c r="O1009" s="39">
        <v>0</v>
      </c>
      <c r="P1009" s="39">
        <v>0</v>
      </c>
      <c r="Q1009" s="39">
        <v>0</v>
      </c>
      <c r="R1009" s="39">
        <v>0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0</v>
      </c>
      <c r="AA1009" s="39">
        <v>0</v>
      </c>
      <c r="AB1009" s="39">
        <v>0</v>
      </c>
      <c r="AC1009" s="39">
        <v>206.66</v>
      </c>
      <c r="AD1009" s="39">
        <v>195.51</v>
      </c>
      <c r="AE1009" s="39">
        <v>206.33</v>
      </c>
      <c r="AF1009" s="39">
        <v>0</v>
      </c>
      <c r="AG1009" s="39">
        <v>0</v>
      </c>
      <c r="AH1009" s="39">
        <v>0</v>
      </c>
      <c r="AI1009" s="39">
        <v>206.66</v>
      </c>
      <c r="AJ1009" s="39">
        <v>195.51</v>
      </c>
      <c r="AK1009" s="39">
        <v>206.33</v>
      </c>
      <c r="AL1009" s="39">
        <v>0</v>
      </c>
      <c r="AM1009" s="39">
        <v>0</v>
      </c>
      <c r="AN1009" s="39">
        <v>0</v>
      </c>
      <c r="AO1009" s="39">
        <v>206.66</v>
      </c>
      <c r="AP1009" s="39">
        <v>195.51</v>
      </c>
      <c r="AQ1009" s="39">
        <v>206.33</v>
      </c>
      <c r="AR1009" s="39">
        <v>206.66</v>
      </c>
    </row>
    <row r="1010" spans="1:44" x14ac:dyDescent="0.35">
      <c r="A1010" s="16" t="str">
        <f t="shared" si="88"/>
        <v>37</v>
      </c>
      <c r="B1010" s="19">
        <v>68338</v>
      </c>
      <c r="C1010" s="16" t="str">
        <f>TEXT(6117279,"0000000")</f>
        <v>6117279</v>
      </c>
      <c r="D1010" s="17" t="s">
        <v>2275</v>
      </c>
      <c r="E1010" s="16" t="s">
        <v>2273</v>
      </c>
      <c r="F1010" s="16" t="s">
        <v>5</v>
      </c>
      <c r="G1010" s="35" t="s">
        <v>2274</v>
      </c>
      <c r="H1010" s="39">
        <v>0</v>
      </c>
      <c r="I1010" s="39">
        <v>0</v>
      </c>
      <c r="J1010" s="39">
        <v>0</v>
      </c>
      <c r="K1010" s="39">
        <v>0</v>
      </c>
      <c r="L1010" s="39">
        <v>0</v>
      </c>
      <c r="M1010" s="39">
        <v>0</v>
      </c>
      <c r="N1010" s="39">
        <v>0</v>
      </c>
      <c r="O1010" s="39">
        <v>0</v>
      </c>
      <c r="P1010" s="39">
        <v>0</v>
      </c>
      <c r="Q1010" s="39">
        <v>0</v>
      </c>
      <c r="R1010" s="39">
        <v>0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0</v>
      </c>
      <c r="AA1010" s="39">
        <v>0</v>
      </c>
      <c r="AB1010" s="39">
        <v>0</v>
      </c>
      <c r="AC1010" s="39">
        <v>95.51</v>
      </c>
      <c r="AD1010" s="39">
        <v>95.51</v>
      </c>
      <c r="AE1010" s="39">
        <v>86.65</v>
      </c>
      <c r="AF1010" s="39">
        <v>0</v>
      </c>
      <c r="AG1010" s="39">
        <v>0</v>
      </c>
      <c r="AH1010" s="39">
        <v>0</v>
      </c>
      <c r="AI1010" s="39">
        <v>95.51</v>
      </c>
      <c r="AJ1010" s="39">
        <v>95.51</v>
      </c>
      <c r="AK1010" s="39">
        <v>86.65</v>
      </c>
      <c r="AL1010" s="39">
        <v>0</v>
      </c>
      <c r="AM1010" s="39">
        <v>0</v>
      </c>
      <c r="AN1010" s="39">
        <v>0</v>
      </c>
      <c r="AO1010" s="39">
        <v>95.51</v>
      </c>
      <c r="AP1010" s="39">
        <v>95.51</v>
      </c>
      <c r="AQ1010" s="39">
        <v>86.65</v>
      </c>
      <c r="AR1010" s="39">
        <v>95.51</v>
      </c>
    </row>
    <row r="1011" spans="1:44" x14ac:dyDescent="0.35">
      <c r="A1011" s="16" t="str">
        <f t="shared" si="88"/>
        <v>37</v>
      </c>
      <c r="B1011" s="19">
        <v>68338</v>
      </c>
      <c r="C1011" s="16" t="str">
        <f>TEXT(6117683,"0000000")</f>
        <v>6117683</v>
      </c>
      <c r="D1011" s="17" t="s">
        <v>2278</v>
      </c>
      <c r="E1011" s="16" t="s">
        <v>2276</v>
      </c>
      <c r="F1011" s="16" t="s">
        <v>5</v>
      </c>
      <c r="G1011" s="35" t="s">
        <v>2277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355.96</v>
      </c>
      <c r="AD1011" s="39">
        <v>340.41</v>
      </c>
      <c r="AE1011" s="39">
        <v>340.44</v>
      </c>
      <c r="AF1011" s="39">
        <v>0</v>
      </c>
      <c r="AG1011" s="39">
        <v>0</v>
      </c>
      <c r="AH1011" s="39">
        <v>0</v>
      </c>
      <c r="AI1011" s="39">
        <v>355.96</v>
      </c>
      <c r="AJ1011" s="39">
        <v>340.41</v>
      </c>
      <c r="AK1011" s="39">
        <v>340.44</v>
      </c>
      <c r="AL1011" s="39">
        <v>0</v>
      </c>
      <c r="AM1011" s="39">
        <v>0</v>
      </c>
      <c r="AN1011" s="39">
        <v>0</v>
      </c>
      <c r="AO1011" s="39">
        <v>355.96</v>
      </c>
      <c r="AP1011" s="39">
        <v>340.41</v>
      </c>
      <c r="AQ1011" s="39">
        <v>340.44</v>
      </c>
      <c r="AR1011" s="39">
        <v>355.96</v>
      </c>
    </row>
    <row r="1012" spans="1:44" x14ac:dyDescent="0.35">
      <c r="A1012" s="16" t="str">
        <f t="shared" si="88"/>
        <v>37</v>
      </c>
      <c r="B1012" s="19">
        <v>68338</v>
      </c>
      <c r="C1012" s="16" t="str">
        <f>TEXT(6119168,"0000000")</f>
        <v>6119168</v>
      </c>
      <c r="D1012" s="17" t="s">
        <v>2281</v>
      </c>
      <c r="E1012" s="16" t="s">
        <v>2279</v>
      </c>
      <c r="F1012" s="16" t="s">
        <v>5</v>
      </c>
      <c r="G1012" s="35" t="s">
        <v>2280</v>
      </c>
      <c r="H1012" s="39">
        <v>0</v>
      </c>
      <c r="I1012" s="39">
        <v>0</v>
      </c>
      <c r="J1012" s="39">
        <v>0</v>
      </c>
      <c r="K1012" s="39">
        <v>0</v>
      </c>
      <c r="L1012" s="39">
        <v>0</v>
      </c>
      <c r="M1012" s="39">
        <v>0</v>
      </c>
      <c r="N1012" s="39">
        <v>0</v>
      </c>
      <c r="O1012" s="39">
        <v>0</v>
      </c>
      <c r="P1012" s="39">
        <v>0</v>
      </c>
      <c r="Q1012" s="39">
        <v>0</v>
      </c>
      <c r="R1012" s="39">
        <v>0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0</v>
      </c>
      <c r="AA1012" s="39">
        <v>0</v>
      </c>
      <c r="AB1012" s="39">
        <v>0</v>
      </c>
      <c r="AC1012" s="39">
        <v>439.73</v>
      </c>
      <c r="AD1012" s="39">
        <v>433.6</v>
      </c>
      <c r="AE1012" s="39">
        <v>404.77</v>
      </c>
      <c r="AF1012" s="39">
        <v>0</v>
      </c>
      <c r="AG1012" s="39">
        <v>0</v>
      </c>
      <c r="AH1012" s="39">
        <v>0</v>
      </c>
      <c r="AI1012" s="39">
        <v>439.73</v>
      </c>
      <c r="AJ1012" s="39">
        <v>433.6</v>
      </c>
      <c r="AK1012" s="39">
        <v>404.77</v>
      </c>
      <c r="AL1012" s="39">
        <v>0</v>
      </c>
      <c r="AM1012" s="39">
        <v>0</v>
      </c>
      <c r="AN1012" s="39">
        <v>0</v>
      </c>
      <c r="AO1012" s="39">
        <v>439.73</v>
      </c>
      <c r="AP1012" s="39">
        <v>433.6</v>
      </c>
      <c r="AQ1012" s="39">
        <v>404.77</v>
      </c>
      <c r="AR1012" s="39">
        <v>439.73</v>
      </c>
    </row>
    <row r="1013" spans="1:44" x14ac:dyDescent="0.35">
      <c r="A1013" s="16" t="str">
        <f>TEXT(1,"00")</f>
        <v>01</v>
      </c>
      <c r="B1013" s="19">
        <v>61259</v>
      </c>
      <c r="C1013" s="16" t="str">
        <f>TEXT(129635,"0000000")</f>
        <v>0129635</v>
      </c>
      <c r="D1013" s="19">
        <v>1661</v>
      </c>
      <c r="E1013" s="16" t="s">
        <v>114</v>
      </c>
      <c r="F1013" s="16" t="s">
        <v>5</v>
      </c>
      <c r="G1013" s="35" t="s">
        <v>115</v>
      </c>
      <c r="H1013" s="39">
        <v>0</v>
      </c>
      <c r="I1013" s="39">
        <v>0</v>
      </c>
      <c r="J1013" s="39">
        <v>0</v>
      </c>
      <c r="K1013" s="39">
        <v>0</v>
      </c>
      <c r="L1013" s="39">
        <v>0</v>
      </c>
      <c r="M1013" s="39">
        <v>0</v>
      </c>
      <c r="N1013" s="39">
        <v>0</v>
      </c>
      <c r="O1013" s="39">
        <v>0</v>
      </c>
      <c r="P1013" s="39">
        <v>0</v>
      </c>
      <c r="Q1013" s="39">
        <v>0</v>
      </c>
      <c r="R1013" s="39">
        <v>0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0</v>
      </c>
      <c r="AA1013" s="39">
        <v>0</v>
      </c>
      <c r="AB1013" s="39">
        <v>0</v>
      </c>
      <c r="AC1013" s="39">
        <v>297.14</v>
      </c>
      <c r="AD1013" s="39">
        <v>255.29</v>
      </c>
      <c r="AE1013" s="39">
        <v>251.87</v>
      </c>
      <c r="AF1013" s="39">
        <v>0</v>
      </c>
      <c r="AG1013" s="39">
        <v>0</v>
      </c>
      <c r="AH1013" s="39">
        <v>0</v>
      </c>
      <c r="AI1013" s="39">
        <v>297.14</v>
      </c>
      <c r="AJ1013" s="39">
        <v>255.29</v>
      </c>
      <c r="AK1013" s="39">
        <v>251.87</v>
      </c>
      <c r="AL1013" s="39">
        <v>0</v>
      </c>
      <c r="AM1013" s="39">
        <v>0</v>
      </c>
      <c r="AN1013" s="39">
        <v>0</v>
      </c>
      <c r="AO1013" s="39">
        <v>297.14</v>
      </c>
      <c r="AP1013" s="39">
        <v>255.29</v>
      </c>
      <c r="AQ1013" s="39">
        <v>251.87</v>
      </c>
      <c r="AR1013" s="39">
        <v>297.14</v>
      </c>
    </row>
    <row r="1014" spans="1:44" x14ac:dyDescent="0.35">
      <c r="A1014" s="16" t="str">
        <f t="shared" ref="A1014:A1023" si="89">TEXT(37,"00")</f>
        <v>37</v>
      </c>
      <c r="B1014" s="19">
        <v>68338</v>
      </c>
      <c r="C1014" s="16" t="str">
        <f>TEXT(6119598,"0000000")</f>
        <v>6119598</v>
      </c>
      <c r="D1014" s="17" t="s">
        <v>2284</v>
      </c>
      <c r="E1014" s="16" t="s">
        <v>2282</v>
      </c>
      <c r="F1014" s="16" t="s">
        <v>5</v>
      </c>
      <c r="G1014" s="35" t="s">
        <v>2283</v>
      </c>
      <c r="H1014" s="39">
        <v>0</v>
      </c>
      <c r="I1014" s="39">
        <v>0</v>
      </c>
      <c r="J1014" s="39">
        <v>0</v>
      </c>
      <c r="K1014" s="39">
        <v>0</v>
      </c>
      <c r="L1014" s="39">
        <v>0</v>
      </c>
      <c r="M1014" s="39">
        <v>0</v>
      </c>
      <c r="N1014" s="39">
        <v>0</v>
      </c>
      <c r="O1014" s="39">
        <v>0</v>
      </c>
      <c r="P1014" s="39">
        <v>0</v>
      </c>
      <c r="Q1014" s="39">
        <v>0</v>
      </c>
      <c r="R1014" s="39">
        <v>0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0</v>
      </c>
      <c r="AA1014" s="39">
        <v>0</v>
      </c>
      <c r="AB1014" s="39">
        <v>0</v>
      </c>
      <c r="AC1014" s="39">
        <v>223.72</v>
      </c>
      <c r="AD1014" s="39">
        <v>229.5</v>
      </c>
      <c r="AE1014" s="39">
        <v>225.73</v>
      </c>
      <c r="AF1014" s="39">
        <v>0</v>
      </c>
      <c r="AG1014" s="39">
        <v>0</v>
      </c>
      <c r="AH1014" s="39">
        <v>0</v>
      </c>
      <c r="AI1014" s="39">
        <v>223.72</v>
      </c>
      <c r="AJ1014" s="39">
        <v>229.5</v>
      </c>
      <c r="AK1014" s="39">
        <v>225.73</v>
      </c>
      <c r="AL1014" s="39">
        <v>0</v>
      </c>
      <c r="AM1014" s="39">
        <v>0</v>
      </c>
      <c r="AN1014" s="39">
        <v>0</v>
      </c>
      <c r="AO1014" s="39">
        <v>223.72</v>
      </c>
      <c r="AP1014" s="39">
        <v>229.5</v>
      </c>
      <c r="AQ1014" s="39">
        <v>225.73</v>
      </c>
      <c r="AR1014" s="39">
        <v>229.5</v>
      </c>
    </row>
    <row r="1015" spans="1:44" x14ac:dyDescent="0.35">
      <c r="A1015" s="16" t="str">
        <f t="shared" si="89"/>
        <v>37</v>
      </c>
      <c r="B1015" s="19">
        <v>68338</v>
      </c>
      <c r="C1015" s="16" t="str">
        <f>TEXT(6061964,"0000000")</f>
        <v>6061964</v>
      </c>
      <c r="D1015" s="17" t="s">
        <v>2266</v>
      </c>
      <c r="E1015" s="16" t="s">
        <v>2264</v>
      </c>
      <c r="F1015" s="16" t="s">
        <v>5</v>
      </c>
      <c r="G1015" s="35" t="s">
        <v>2265</v>
      </c>
      <c r="H1015" s="39">
        <v>0</v>
      </c>
      <c r="I1015" s="39">
        <v>0</v>
      </c>
      <c r="J1015" s="39">
        <v>0</v>
      </c>
      <c r="K1015" s="39">
        <v>0</v>
      </c>
      <c r="L1015" s="39">
        <v>0</v>
      </c>
      <c r="M1015" s="39">
        <v>0</v>
      </c>
      <c r="N1015" s="39">
        <v>0</v>
      </c>
      <c r="O1015" s="39">
        <v>0</v>
      </c>
      <c r="P1015" s="39">
        <v>0</v>
      </c>
      <c r="Q1015" s="39">
        <v>0</v>
      </c>
      <c r="R1015" s="39">
        <v>0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0</v>
      </c>
      <c r="AA1015" s="39">
        <v>0</v>
      </c>
      <c r="AB1015" s="39">
        <v>0</v>
      </c>
      <c r="AC1015" s="39">
        <v>1770.46</v>
      </c>
      <c r="AD1015" s="39">
        <v>1727.95</v>
      </c>
      <c r="AE1015" s="39">
        <v>1718.84</v>
      </c>
      <c r="AF1015" s="39">
        <v>0</v>
      </c>
      <c r="AG1015" s="39">
        <v>0</v>
      </c>
      <c r="AH1015" s="39">
        <v>0</v>
      </c>
      <c r="AI1015" s="39">
        <v>1770.46</v>
      </c>
      <c r="AJ1015" s="39">
        <v>1727.95</v>
      </c>
      <c r="AK1015" s="39">
        <v>1718.84</v>
      </c>
      <c r="AL1015" s="39">
        <v>0</v>
      </c>
      <c r="AM1015" s="39">
        <v>0</v>
      </c>
      <c r="AN1015" s="39">
        <v>0</v>
      </c>
      <c r="AO1015" s="39">
        <v>1770.46</v>
      </c>
      <c r="AP1015" s="39">
        <v>1727.95</v>
      </c>
      <c r="AQ1015" s="39">
        <v>1718.84</v>
      </c>
      <c r="AR1015" s="39">
        <v>1770.46</v>
      </c>
    </row>
    <row r="1016" spans="1:44" x14ac:dyDescent="0.35">
      <c r="A1016" s="16" t="str">
        <f t="shared" si="89"/>
        <v>37</v>
      </c>
      <c r="B1016" s="19">
        <v>68338</v>
      </c>
      <c r="C1016" s="16" t="str">
        <f>TEXT(3731189,"0000000")</f>
        <v>3731189</v>
      </c>
      <c r="D1016" s="17" t="s">
        <v>2245</v>
      </c>
      <c r="E1016" s="16" t="s">
        <v>2243</v>
      </c>
      <c r="F1016" s="16" t="s">
        <v>5</v>
      </c>
      <c r="G1016" s="35" t="s">
        <v>2244</v>
      </c>
      <c r="H1016" s="39">
        <v>0</v>
      </c>
      <c r="I1016" s="39">
        <v>0</v>
      </c>
      <c r="J1016" s="39">
        <v>0</v>
      </c>
      <c r="K1016" s="39">
        <v>0</v>
      </c>
      <c r="L1016" s="39">
        <v>0</v>
      </c>
      <c r="M1016" s="39">
        <v>0</v>
      </c>
      <c r="N1016" s="39">
        <v>0</v>
      </c>
      <c r="O1016" s="39">
        <v>0</v>
      </c>
      <c r="P1016" s="39">
        <v>0</v>
      </c>
      <c r="Q1016" s="39">
        <v>0</v>
      </c>
      <c r="R1016" s="39">
        <v>0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0</v>
      </c>
      <c r="AA1016" s="39">
        <v>0</v>
      </c>
      <c r="AB1016" s="39">
        <v>0</v>
      </c>
      <c r="AC1016" s="39">
        <v>787.6</v>
      </c>
      <c r="AD1016" s="39">
        <v>806.67</v>
      </c>
      <c r="AE1016" s="39">
        <v>790.44</v>
      </c>
      <c r="AF1016" s="39">
        <v>0</v>
      </c>
      <c r="AG1016" s="39">
        <v>0</v>
      </c>
      <c r="AH1016" s="39">
        <v>0</v>
      </c>
      <c r="AI1016" s="39">
        <v>787.6</v>
      </c>
      <c r="AJ1016" s="39">
        <v>806.67</v>
      </c>
      <c r="AK1016" s="39">
        <v>790.44</v>
      </c>
      <c r="AL1016" s="39">
        <v>0</v>
      </c>
      <c r="AM1016" s="39">
        <v>0</v>
      </c>
      <c r="AN1016" s="39">
        <v>0</v>
      </c>
      <c r="AO1016" s="39">
        <v>787.6</v>
      </c>
      <c r="AP1016" s="39">
        <v>806.67</v>
      </c>
      <c r="AQ1016" s="39">
        <v>790.44</v>
      </c>
      <c r="AR1016" s="39">
        <v>806.67</v>
      </c>
    </row>
    <row r="1017" spans="1:44" x14ac:dyDescent="0.35">
      <c r="A1017" s="16" t="str">
        <f t="shared" si="89"/>
        <v>37</v>
      </c>
      <c r="B1017" s="19">
        <v>68338</v>
      </c>
      <c r="C1017" s="16" t="str">
        <f>TEXT(3731247,"0000000")</f>
        <v>3731247</v>
      </c>
      <c r="D1017" s="17" t="s">
        <v>2248</v>
      </c>
      <c r="E1017" s="16" t="s">
        <v>2246</v>
      </c>
      <c r="F1017" s="16" t="s">
        <v>5</v>
      </c>
      <c r="G1017" s="35" t="s">
        <v>2247</v>
      </c>
      <c r="H1017" s="39">
        <v>0</v>
      </c>
      <c r="I1017" s="39">
        <v>0</v>
      </c>
      <c r="J1017" s="39">
        <v>0</v>
      </c>
      <c r="K1017" s="39">
        <v>0</v>
      </c>
      <c r="L1017" s="39">
        <v>0</v>
      </c>
      <c r="M1017" s="39">
        <v>0</v>
      </c>
      <c r="N1017" s="39">
        <v>0</v>
      </c>
      <c r="O1017" s="39">
        <v>0</v>
      </c>
      <c r="P1017" s="39">
        <v>0</v>
      </c>
      <c r="Q1017" s="39">
        <v>0</v>
      </c>
      <c r="R1017" s="39">
        <v>0</v>
      </c>
      <c r="S1017" s="39">
        <v>0</v>
      </c>
      <c r="T1017" s="39">
        <v>0</v>
      </c>
      <c r="U1017" s="39">
        <v>0</v>
      </c>
      <c r="V1017" s="39">
        <v>0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378.27</v>
      </c>
      <c r="AD1017" s="39">
        <v>441.76</v>
      </c>
      <c r="AE1017" s="39">
        <v>466.31</v>
      </c>
      <c r="AF1017" s="39">
        <v>0</v>
      </c>
      <c r="AG1017" s="39">
        <v>0</v>
      </c>
      <c r="AH1017" s="39">
        <v>0</v>
      </c>
      <c r="AI1017" s="39">
        <v>378.27</v>
      </c>
      <c r="AJ1017" s="39">
        <v>441.76</v>
      </c>
      <c r="AK1017" s="39">
        <v>466.31</v>
      </c>
      <c r="AL1017" s="39">
        <v>0</v>
      </c>
      <c r="AM1017" s="39">
        <v>0</v>
      </c>
      <c r="AN1017" s="39">
        <v>0</v>
      </c>
      <c r="AO1017" s="39">
        <v>378.27</v>
      </c>
      <c r="AP1017" s="39">
        <v>441.76</v>
      </c>
      <c r="AQ1017" s="39">
        <v>466.31</v>
      </c>
      <c r="AR1017" s="39">
        <v>466.31</v>
      </c>
    </row>
    <row r="1018" spans="1:44" x14ac:dyDescent="0.35">
      <c r="A1018" s="16" t="str">
        <f t="shared" si="89"/>
        <v>37</v>
      </c>
      <c r="B1018" s="19">
        <v>68338</v>
      </c>
      <c r="C1018" s="16" t="str">
        <f>TEXT(3731395,"0000000")</f>
        <v>3731395</v>
      </c>
      <c r="D1018" s="17" t="s">
        <v>2251</v>
      </c>
      <c r="E1018" s="16" t="s">
        <v>2249</v>
      </c>
      <c r="F1018" s="16" t="s">
        <v>5</v>
      </c>
      <c r="G1018" s="35" t="s">
        <v>2250</v>
      </c>
      <c r="H1018" s="39">
        <v>0</v>
      </c>
      <c r="I1018" s="39">
        <v>0</v>
      </c>
      <c r="J1018" s="39">
        <v>0</v>
      </c>
      <c r="K1018" s="39">
        <v>0</v>
      </c>
      <c r="L1018" s="39">
        <v>0</v>
      </c>
      <c r="M1018" s="39">
        <v>0</v>
      </c>
      <c r="N1018" s="39">
        <v>0</v>
      </c>
      <c r="O1018" s="39">
        <v>0</v>
      </c>
      <c r="P1018" s="39">
        <v>0</v>
      </c>
      <c r="Q1018" s="39">
        <v>0</v>
      </c>
      <c r="R1018" s="39">
        <v>0</v>
      </c>
      <c r="S1018" s="39">
        <v>0</v>
      </c>
      <c r="T1018" s="39">
        <v>0</v>
      </c>
      <c r="U1018" s="39">
        <v>0</v>
      </c>
      <c r="V1018" s="39">
        <v>0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578.59</v>
      </c>
      <c r="AD1018" s="39">
        <v>535.73</v>
      </c>
      <c r="AE1018" s="39">
        <v>415.83</v>
      </c>
      <c r="AF1018" s="39">
        <v>0</v>
      </c>
      <c r="AG1018" s="39">
        <v>0</v>
      </c>
      <c r="AH1018" s="39">
        <v>0</v>
      </c>
      <c r="AI1018" s="39">
        <v>578.59</v>
      </c>
      <c r="AJ1018" s="39">
        <v>535.73</v>
      </c>
      <c r="AK1018" s="39">
        <v>415.83</v>
      </c>
      <c r="AL1018" s="39">
        <v>0</v>
      </c>
      <c r="AM1018" s="39">
        <v>0</v>
      </c>
      <c r="AN1018" s="39">
        <v>0</v>
      </c>
      <c r="AO1018" s="39">
        <v>578.59</v>
      </c>
      <c r="AP1018" s="39">
        <v>535.73</v>
      </c>
      <c r="AQ1018" s="39">
        <v>415.83</v>
      </c>
      <c r="AR1018" s="39">
        <v>578.59</v>
      </c>
    </row>
    <row r="1019" spans="1:44" x14ac:dyDescent="0.35">
      <c r="A1019" s="16" t="str">
        <f t="shared" si="89"/>
        <v>37</v>
      </c>
      <c r="B1019" s="19">
        <v>68411</v>
      </c>
      <c r="C1019" s="16" t="str">
        <f>TEXT(126086,"0000000")</f>
        <v>0126086</v>
      </c>
      <c r="D1019" s="19">
        <v>1407</v>
      </c>
      <c r="E1019" s="16" t="s">
        <v>2301</v>
      </c>
      <c r="F1019" s="16" t="s">
        <v>5</v>
      </c>
      <c r="G1019" s="35" t="s">
        <v>2302</v>
      </c>
      <c r="H1019" s="39">
        <v>0</v>
      </c>
      <c r="I1019" s="39">
        <v>0</v>
      </c>
      <c r="J1019" s="39">
        <v>0</v>
      </c>
      <c r="K1019" s="39">
        <v>0</v>
      </c>
      <c r="L1019" s="39">
        <v>0</v>
      </c>
      <c r="M1019" s="39">
        <v>0</v>
      </c>
      <c r="N1019" s="39">
        <v>0</v>
      </c>
      <c r="O1019" s="39">
        <v>0</v>
      </c>
      <c r="P1019" s="39">
        <v>0</v>
      </c>
      <c r="Q1019" s="39">
        <v>0</v>
      </c>
      <c r="R1019" s="39">
        <v>0</v>
      </c>
      <c r="S1019" s="39">
        <v>0</v>
      </c>
      <c r="T1019" s="39">
        <v>0</v>
      </c>
      <c r="U1019" s="39">
        <v>0</v>
      </c>
      <c r="V1019" s="39">
        <v>0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1237.4000000000001</v>
      </c>
      <c r="AD1019" s="39">
        <v>1206.77</v>
      </c>
      <c r="AE1019" s="39">
        <v>1181.73</v>
      </c>
      <c r="AF1019" s="39">
        <v>0</v>
      </c>
      <c r="AG1019" s="39">
        <v>0</v>
      </c>
      <c r="AH1019" s="39">
        <v>0</v>
      </c>
      <c r="AI1019" s="39">
        <v>1237.4000000000001</v>
      </c>
      <c r="AJ1019" s="39">
        <v>1206.77</v>
      </c>
      <c r="AK1019" s="39">
        <v>1181.73</v>
      </c>
      <c r="AL1019" s="39">
        <v>0</v>
      </c>
      <c r="AM1019" s="39">
        <v>0</v>
      </c>
      <c r="AN1019" s="39">
        <v>0</v>
      </c>
      <c r="AO1019" s="39">
        <v>1237.4000000000001</v>
      </c>
      <c r="AP1019" s="39">
        <v>1206.77</v>
      </c>
      <c r="AQ1019" s="39">
        <v>1181.73</v>
      </c>
      <c r="AR1019" s="39">
        <v>1237.4000000000001</v>
      </c>
    </row>
    <row r="1020" spans="1:44" x14ac:dyDescent="0.35">
      <c r="A1020" s="16" t="str">
        <f t="shared" si="89"/>
        <v>37</v>
      </c>
      <c r="B1020" s="19">
        <v>68411</v>
      </c>
      <c r="C1020" s="16" t="str">
        <f>TEXT(3731304,"0000000")</f>
        <v>3731304</v>
      </c>
      <c r="D1020" s="17" t="s">
        <v>2305</v>
      </c>
      <c r="E1020" s="16" t="s">
        <v>2303</v>
      </c>
      <c r="F1020" s="16" t="s">
        <v>5</v>
      </c>
      <c r="G1020" s="35" t="s">
        <v>2304</v>
      </c>
      <c r="H1020" s="39">
        <v>0</v>
      </c>
      <c r="I1020" s="39">
        <v>0</v>
      </c>
      <c r="J1020" s="39">
        <v>0</v>
      </c>
      <c r="K1020" s="39">
        <v>0</v>
      </c>
      <c r="L1020" s="39">
        <v>0</v>
      </c>
      <c r="M1020" s="39">
        <v>0</v>
      </c>
      <c r="N1020" s="39">
        <v>0</v>
      </c>
      <c r="O1020" s="39">
        <v>0</v>
      </c>
      <c r="P1020" s="39">
        <v>0</v>
      </c>
      <c r="Q1020" s="39">
        <v>0</v>
      </c>
      <c r="R1020" s="39">
        <v>0</v>
      </c>
      <c r="S1020" s="39">
        <v>0</v>
      </c>
      <c r="T1020" s="39">
        <v>0</v>
      </c>
      <c r="U1020" s="39">
        <v>0</v>
      </c>
      <c r="V1020" s="39">
        <v>0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163.18</v>
      </c>
      <c r="AD1020" s="39">
        <v>155.49</v>
      </c>
      <c r="AE1020" s="39">
        <v>175.78</v>
      </c>
      <c r="AF1020" s="39">
        <v>0</v>
      </c>
      <c r="AG1020" s="39">
        <v>0</v>
      </c>
      <c r="AH1020" s="39">
        <v>0</v>
      </c>
      <c r="AI1020" s="39">
        <v>163.18</v>
      </c>
      <c r="AJ1020" s="39">
        <v>155.49</v>
      </c>
      <c r="AK1020" s="39">
        <v>175.78</v>
      </c>
      <c r="AL1020" s="39">
        <v>0</v>
      </c>
      <c r="AM1020" s="39">
        <v>0</v>
      </c>
      <c r="AN1020" s="39">
        <v>0</v>
      </c>
      <c r="AO1020" s="39">
        <v>163.18</v>
      </c>
      <c r="AP1020" s="39">
        <v>155.49</v>
      </c>
      <c r="AQ1020" s="39">
        <v>175.78</v>
      </c>
      <c r="AR1020" s="39">
        <v>175.78</v>
      </c>
    </row>
    <row r="1021" spans="1:44" x14ac:dyDescent="0.35">
      <c r="A1021" s="16" t="str">
        <f t="shared" si="89"/>
        <v>37</v>
      </c>
      <c r="B1021" s="19">
        <v>68452</v>
      </c>
      <c r="C1021" s="16" t="str">
        <f>TEXT(124917,"0000000")</f>
        <v>0124917</v>
      </c>
      <c r="D1021" s="19">
        <v>1351</v>
      </c>
      <c r="E1021" s="16" t="s">
        <v>2310</v>
      </c>
      <c r="F1021" s="16" t="s">
        <v>5</v>
      </c>
      <c r="G1021" s="35" t="s">
        <v>2311</v>
      </c>
      <c r="H1021" s="39">
        <v>0</v>
      </c>
      <c r="I1021" s="39">
        <v>0</v>
      </c>
      <c r="J1021" s="39">
        <v>0</v>
      </c>
      <c r="K1021" s="39">
        <v>0</v>
      </c>
      <c r="L1021" s="39">
        <v>0</v>
      </c>
      <c r="M1021" s="39">
        <v>0</v>
      </c>
      <c r="N1021" s="39">
        <v>0</v>
      </c>
      <c r="O1021" s="39">
        <v>0</v>
      </c>
      <c r="P1021" s="39">
        <v>0</v>
      </c>
      <c r="Q1021" s="39">
        <v>0</v>
      </c>
      <c r="R1021" s="39">
        <v>0</v>
      </c>
      <c r="S1021" s="39">
        <v>0</v>
      </c>
      <c r="T1021" s="39">
        <v>0</v>
      </c>
      <c r="U1021" s="39">
        <v>0</v>
      </c>
      <c r="V1021" s="39">
        <v>0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59.41</v>
      </c>
      <c r="AD1021" s="39">
        <v>73.959999999999994</v>
      </c>
      <c r="AE1021" s="39">
        <v>59.51</v>
      </c>
      <c r="AF1021" s="39">
        <v>0</v>
      </c>
      <c r="AG1021" s="39">
        <v>0</v>
      </c>
      <c r="AH1021" s="39">
        <v>0</v>
      </c>
      <c r="AI1021" s="39">
        <v>59.41</v>
      </c>
      <c r="AJ1021" s="39">
        <v>73.959999999999994</v>
      </c>
      <c r="AK1021" s="39">
        <v>59.51</v>
      </c>
      <c r="AL1021" s="39">
        <v>0</v>
      </c>
      <c r="AM1021" s="39">
        <v>0</v>
      </c>
      <c r="AN1021" s="39">
        <v>0</v>
      </c>
      <c r="AO1021" s="39">
        <v>59.41</v>
      </c>
      <c r="AP1021" s="39">
        <v>73.959999999999994</v>
      </c>
      <c r="AQ1021" s="39">
        <v>59.51</v>
      </c>
      <c r="AR1021" s="39">
        <v>73.959999999999994</v>
      </c>
    </row>
    <row r="1022" spans="1:44" x14ac:dyDescent="0.35">
      <c r="A1022" s="16" t="str">
        <f t="shared" si="89"/>
        <v>37</v>
      </c>
      <c r="B1022" s="19">
        <v>68452</v>
      </c>
      <c r="C1022" s="16" t="str">
        <f>TEXT(128223,"0000000")</f>
        <v>0128223</v>
      </c>
      <c r="D1022" s="19">
        <v>1515</v>
      </c>
      <c r="E1022" s="16" t="s">
        <v>2312</v>
      </c>
      <c r="F1022" s="16" t="s">
        <v>5</v>
      </c>
      <c r="G1022" s="35" t="s">
        <v>2313</v>
      </c>
      <c r="H1022" s="39">
        <v>0</v>
      </c>
      <c r="I1022" s="39">
        <v>0</v>
      </c>
      <c r="J1022" s="39">
        <v>0</v>
      </c>
      <c r="K1022" s="39">
        <v>0</v>
      </c>
      <c r="L1022" s="39">
        <v>0</v>
      </c>
      <c r="M1022" s="39">
        <v>0</v>
      </c>
      <c r="N1022" s="39">
        <v>0</v>
      </c>
      <c r="O1022" s="39">
        <v>0</v>
      </c>
      <c r="P1022" s="39">
        <v>0</v>
      </c>
      <c r="Q1022" s="39">
        <v>0</v>
      </c>
      <c r="R1022" s="39">
        <v>0</v>
      </c>
      <c r="S1022" s="39">
        <v>0</v>
      </c>
      <c r="T1022" s="39">
        <v>0</v>
      </c>
      <c r="U1022" s="39">
        <v>0</v>
      </c>
      <c r="V1022" s="39">
        <v>0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410.54</v>
      </c>
      <c r="AD1022" s="39">
        <v>390.4</v>
      </c>
      <c r="AE1022" s="39">
        <v>343.02</v>
      </c>
      <c r="AF1022" s="39">
        <v>0</v>
      </c>
      <c r="AG1022" s="39">
        <v>0</v>
      </c>
      <c r="AH1022" s="39">
        <v>0</v>
      </c>
      <c r="AI1022" s="39">
        <v>410.54</v>
      </c>
      <c r="AJ1022" s="39">
        <v>390.4</v>
      </c>
      <c r="AK1022" s="39">
        <v>343.02</v>
      </c>
      <c r="AL1022" s="39">
        <v>0</v>
      </c>
      <c r="AM1022" s="39">
        <v>0</v>
      </c>
      <c r="AN1022" s="39">
        <v>0</v>
      </c>
      <c r="AO1022" s="39">
        <v>410.54</v>
      </c>
      <c r="AP1022" s="39">
        <v>390.4</v>
      </c>
      <c r="AQ1022" s="39">
        <v>343.02</v>
      </c>
      <c r="AR1022" s="39">
        <v>410.54</v>
      </c>
    </row>
    <row r="1023" spans="1:44" x14ac:dyDescent="0.35">
      <c r="A1023" s="16" t="str">
        <f t="shared" si="89"/>
        <v>37</v>
      </c>
      <c r="B1023" s="19">
        <v>68452</v>
      </c>
      <c r="C1023" s="16" t="str">
        <f>TEXT(3730942,"0000000")</f>
        <v>3730942</v>
      </c>
      <c r="D1023" s="17" t="s">
        <v>2316</v>
      </c>
      <c r="E1023" s="16" t="s">
        <v>2314</v>
      </c>
      <c r="F1023" s="16" t="s">
        <v>5</v>
      </c>
      <c r="G1023" s="35" t="s">
        <v>2315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1263.25</v>
      </c>
      <c r="AD1023" s="39">
        <v>1265.97</v>
      </c>
      <c r="AE1023" s="39">
        <v>1244.44</v>
      </c>
      <c r="AF1023" s="39">
        <v>0</v>
      </c>
      <c r="AG1023" s="39">
        <v>0</v>
      </c>
      <c r="AH1023" s="39">
        <v>0</v>
      </c>
      <c r="AI1023" s="39">
        <v>1263.25</v>
      </c>
      <c r="AJ1023" s="39">
        <v>1265.97</v>
      </c>
      <c r="AK1023" s="39">
        <v>1244.44</v>
      </c>
      <c r="AL1023" s="39">
        <v>0</v>
      </c>
      <c r="AM1023" s="39">
        <v>0</v>
      </c>
      <c r="AN1023" s="39">
        <v>0</v>
      </c>
      <c r="AO1023" s="39">
        <v>1263.25</v>
      </c>
      <c r="AP1023" s="39">
        <v>1265.97</v>
      </c>
      <c r="AQ1023" s="39">
        <v>1244.44</v>
      </c>
      <c r="AR1023" s="39">
        <v>1265.97</v>
      </c>
    </row>
    <row r="1024" spans="1:44" x14ac:dyDescent="0.35">
      <c r="A1024" s="16" t="str">
        <f>TEXT(1,"00")</f>
        <v>01</v>
      </c>
      <c r="B1024" s="19">
        <v>61259</v>
      </c>
      <c r="C1024" s="16" t="str">
        <f>TEXT(129932,"0000000")</f>
        <v>0129932</v>
      </c>
      <c r="D1024" s="19">
        <v>1620</v>
      </c>
      <c r="E1024" s="16" t="s">
        <v>116</v>
      </c>
      <c r="F1024" s="16" t="s">
        <v>5</v>
      </c>
      <c r="G1024" s="35" t="s">
        <v>117</v>
      </c>
      <c r="H1024" s="39">
        <v>0</v>
      </c>
      <c r="I1024" s="39">
        <v>0</v>
      </c>
      <c r="J1024" s="39">
        <v>0</v>
      </c>
      <c r="K1024" s="39">
        <v>0</v>
      </c>
      <c r="L1024" s="39">
        <v>0</v>
      </c>
      <c r="M1024" s="39">
        <v>0</v>
      </c>
      <c r="N1024" s="39">
        <v>0</v>
      </c>
      <c r="O1024" s="39">
        <v>0</v>
      </c>
      <c r="P1024" s="39">
        <v>0</v>
      </c>
      <c r="Q1024" s="39">
        <v>0</v>
      </c>
      <c r="R1024" s="39">
        <v>0</v>
      </c>
      <c r="S1024" s="39">
        <v>0</v>
      </c>
      <c r="T1024" s="39">
        <v>0</v>
      </c>
      <c r="U1024" s="39">
        <v>0</v>
      </c>
      <c r="V1024" s="39">
        <v>0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428.34</v>
      </c>
      <c r="AD1024" s="39">
        <v>481.21</v>
      </c>
      <c r="AE1024" s="39">
        <v>502.45</v>
      </c>
      <c r="AF1024" s="39">
        <v>0</v>
      </c>
      <c r="AG1024" s="39">
        <v>0</v>
      </c>
      <c r="AH1024" s="39">
        <v>0</v>
      </c>
      <c r="AI1024" s="39">
        <v>428.34</v>
      </c>
      <c r="AJ1024" s="39">
        <v>481.21</v>
      </c>
      <c r="AK1024" s="39">
        <v>502.45</v>
      </c>
      <c r="AL1024" s="39">
        <v>0</v>
      </c>
      <c r="AM1024" s="39">
        <v>0</v>
      </c>
      <c r="AN1024" s="39">
        <v>0</v>
      </c>
      <c r="AO1024" s="39">
        <v>428.34</v>
      </c>
      <c r="AP1024" s="39">
        <v>481.21</v>
      </c>
      <c r="AQ1024" s="39">
        <v>502.45</v>
      </c>
      <c r="AR1024" s="39">
        <v>502.45</v>
      </c>
    </row>
    <row r="1025" spans="1:44" x14ac:dyDescent="0.35">
      <c r="A1025" s="16" t="str">
        <f t="shared" ref="A1025:A1034" si="90">TEXT(37,"00")</f>
        <v>37</v>
      </c>
      <c r="B1025" s="19">
        <v>73569</v>
      </c>
      <c r="C1025" s="16" t="str">
        <f>TEXT(136267,"0000000")</f>
        <v>0136267</v>
      </c>
      <c r="D1025" s="17" t="s">
        <v>2323</v>
      </c>
      <c r="E1025" s="16" t="s">
        <v>2321</v>
      </c>
      <c r="F1025" s="16" t="s">
        <v>5</v>
      </c>
      <c r="G1025" s="35" t="s">
        <v>2322</v>
      </c>
      <c r="H1025" s="39">
        <v>0</v>
      </c>
      <c r="I1025" s="39">
        <v>0</v>
      </c>
      <c r="J1025" s="39">
        <v>0</v>
      </c>
      <c r="K1025" s="39">
        <v>0</v>
      </c>
      <c r="L1025" s="39">
        <v>0</v>
      </c>
      <c r="M1025" s="39">
        <v>0</v>
      </c>
      <c r="N1025" s="39">
        <v>0</v>
      </c>
      <c r="O1025" s="39">
        <v>0</v>
      </c>
      <c r="P1025" s="39">
        <v>0</v>
      </c>
      <c r="Q1025" s="39">
        <v>0</v>
      </c>
      <c r="R1025" s="39">
        <v>0</v>
      </c>
      <c r="S1025" s="39">
        <v>0</v>
      </c>
      <c r="T1025" s="39">
        <v>0</v>
      </c>
      <c r="U1025" s="39">
        <v>0</v>
      </c>
      <c r="V1025" s="39">
        <v>0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1967.13</v>
      </c>
      <c r="AD1025" s="39">
        <v>1842.78</v>
      </c>
      <c r="AE1025" s="39">
        <v>1778.73</v>
      </c>
      <c r="AF1025" s="39">
        <v>0</v>
      </c>
      <c r="AG1025" s="39">
        <v>0</v>
      </c>
      <c r="AH1025" s="39">
        <v>0</v>
      </c>
      <c r="AI1025" s="39">
        <v>1967.13</v>
      </c>
      <c r="AJ1025" s="39">
        <v>1842.78</v>
      </c>
      <c r="AK1025" s="39">
        <v>1778.73</v>
      </c>
      <c r="AL1025" s="39">
        <v>0</v>
      </c>
      <c r="AM1025" s="39">
        <v>0</v>
      </c>
      <c r="AN1025" s="39">
        <v>0</v>
      </c>
      <c r="AO1025" s="39">
        <v>1967.13</v>
      </c>
      <c r="AP1025" s="39">
        <v>1842.78</v>
      </c>
      <c r="AQ1025" s="39">
        <v>1778.73</v>
      </c>
      <c r="AR1025" s="39">
        <v>1967.13</v>
      </c>
    </row>
    <row r="1026" spans="1:44" x14ac:dyDescent="0.35">
      <c r="A1026" s="16" t="str">
        <f t="shared" si="90"/>
        <v>37</v>
      </c>
      <c r="B1026" s="19">
        <v>73569</v>
      </c>
      <c r="C1026" s="16" t="str">
        <f>TEXT(3731221,"0000000")</f>
        <v>3731221</v>
      </c>
      <c r="D1026" s="17" t="s">
        <v>2326</v>
      </c>
      <c r="E1026" s="16" t="s">
        <v>2324</v>
      </c>
      <c r="F1026" s="16" t="s">
        <v>5</v>
      </c>
      <c r="G1026" s="35" t="s">
        <v>2325</v>
      </c>
      <c r="H1026" s="39">
        <v>0</v>
      </c>
      <c r="I1026" s="39">
        <v>0</v>
      </c>
      <c r="J1026" s="39">
        <v>0</v>
      </c>
      <c r="K1026" s="39">
        <v>0</v>
      </c>
      <c r="L1026" s="39">
        <v>0</v>
      </c>
      <c r="M1026" s="39">
        <v>0</v>
      </c>
      <c r="N1026" s="39">
        <v>0</v>
      </c>
      <c r="O1026" s="39">
        <v>0</v>
      </c>
      <c r="P1026" s="39">
        <v>0</v>
      </c>
      <c r="Q1026" s="39">
        <v>0</v>
      </c>
      <c r="R1026" s="39">
        <v>0</v>
      </c>
      <c r="S1026" s="39">
        <v>0</v>
      </c>
      <c r="T1026" s="39">
        <v>0</v>
      </c>
      <c r="U1026" s="39">
        <v>0</v>
      </c>
      <c r="V1026" s="39">
        <v>0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573.86</v>
      </c>
      <c r="AD1026" s="39">
        <v>765.88</v>
      </c>
      <c r="AE1026" s="39">
        <v>762.52</v>
      </c>
      <c r="AF1026" s="39">
        <v>0</v>
      </c>
      <c r="AG1026" s="39">
        <v>0</v>
      </c>
      <c r="AH1026" s="39">
        <v>0</v>
      </c>
      <c r="AI1026" s="39">
        <v>573.86</v>
      </c>
      <c r="AJ1026" s="39">
        <v>765.88</v>
      </c>
      <c r="AK1026" s="39">
        <v>762.52</v>
      </c>
      <c r="AL1026" s="39">
        <v>0</v>
      </c>
      <c r="AM1026" s="39">
        <v>0</v>
      </c>
      <c r="AN1026" s="39">
        <v>0</v>
      </c>
      <c r="AO1026" s="39">
        <v>573.86</v>
      </c>
      <c r="AP1026" s="39">
        <v>765.88</v>
      </c>
      <c r="AQ1026" s="39">
        <v>762.52</v>
      </c>
      <c r="AR1026" s="39">
        <v>765.88</v>
      </c>
    </row>
    <row r="1027" spans="1:44" x14ac:dyDescent="0.35">
      <c r="A1027" s="16" t="str">
        <f t="shared" si="90"/>
        <v>37</v>
      </c>
      <c r="B1027" s="19">
        <v>73791</v>
      </c>
      <c r="C1027" s="16" t="str">
        <f>TEXT(138222,"0000000")</f>
        <v>0138222</v>
      </c>
      <c r="D1027" s="19">
        <v>1983</v>
      </c>
      <c r="E1027" s="16" t="s">
        <v>2329</v>
      </c>
      <c r="F1027" s="16" t="s">
        <v>5</v>
      </c>
      <c r="G1027" s="35" t="s">
        <v>2330</v>
      </c>
      <c r="H1027" s="39">
        <v>0</v>
      </c>
      <c r="I1027" s="39">
        <v>0</v>
      </c>
      <c r="J1027" s="39">
        <v>0</v>
      </c>
      <c r="K1027" s="39">
        <v>0</v>
      </c>
      <c r="L1027" s="39">
        <v>0</v>
      </c>
      <c r="M1027" s="39">
        <v>0</v>
      </c>
      <c r="N1027" s="39">
        <v>0</v>
      </c>
      <c r="O1027" s="39">
        <v>0</v>
      </c>
      <c r="P1027" s="39">
        <v>0</v>
      </c>
      <c r="Q1027" s="39">
        <v>0</v>
      </c>
      <c r="R1027" s="39">
        <v>0</v>
      </c>
      <c r="S1027" s="39">
        <v>0</v>
      </c>
      <c r="T1027" s="39">
        <v>0</v>
      </c>
      <c r="U1027" s="39">
        <v>0</v>
      </c>
      <c r="V1027" s="39">
        <v>0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92.23</v>
      </c>
      <c r="AD1027" s="39">
        <v>86.36</v>
      </c>
      <c r="AE1027" s="39">
        <v>79.97</v>
      </c>
      <c r="AF1027" s="39">
        <v>0</v>
      </c>
      <c r="AG1027" s="39">
        <v>0</v>
      </c>
      <c r="AH1027" s="39">
        <v>0</v>
      </c>
      <c r="AI1027" s="39">
        <v>92.23</v>
      </c>
      <c r="AJ1027" s="39">
        <v>86.36</v>
      </c>
      <c r="AK1027" s="39">
        <v>79.97</v>
      </c>
      <c r="AL1027" s="39">
        <v>0</v>
      </c>
      <c r="AM1027" s="39">
        <v>0</v>
      </c>
      <c r="AN1027" s="39">
        <v>0</v>
      </c>
      <c r="AO1027" s="39">
        <v>92.23</v>
      </c>
      <c r="AP1027" s="39">
        <v>86.36</v>
      </c>
      <c r="AQ1027" s="39">
        <v>79.97</v>
      </c>
      <c r="AR1027" s="39">
        <v>92.23</v>
      </c>
    </row>
    <row r="1028" spans="1:44" x14ac:dyDescent="0.35">
      <c r="A1028" s="16" t="str">
        <f t="shared" si="90"/>
        <v>37</v>
      </c>
      <c r="B1028" s="19">
        <v>75416</v>
      </c>
      <c r="C1028" s="16" t="str">
        <f>TEXT(122796,"0000000")</f>
        <v>0122796</v>
      </c>
      <c r="D1028" s="19">
        <v>1262</v>
      </c>
      <c r="E1028" s="16" t="s">
        <v>2333</v>
      </c>
      <c r="F1028" s="16" t="s">
        <v>5</v>
      </c>
      <c r="G1028" s="35" t="s">
        <v>2334</v>
      </c>
      <c r="H1028" s="39">
        <v>0</v>
      </c>
      <c r="I1028" s="39">
        <v>0</v>
      </c>
      <c r="J1028" s="39">
        <v>0</v>
      </c>
      <c r="K1028" s="39">
        <v>0</v>
      </c>
      <c r="L1028" s="39">
        <v>0</v>
      </c>
      <c r="M1028" s="39">
        <v>0</v>
      </c>
      <c r="N1028" s="39">
        <v>0</v>
      </c>
      <c r="O1028" s="39">
        <v>0</v>
      </c>
      <c r="P1028" s="39">
        <v>0</v>
      </c>
      <c r="Q1028" s="39">
        <v>0</v>
      </c>
      <c r="R1028" s="39">
        <v>0</v>
      </c>
      <c r="S1028" s="39">
        <v>0</v>
      </c>
      <c r="T1028" s="39">
        <v>0</v>
      </c>
      <c r="U1028" s="39">
        <v>0</v>
      </c>
      <c r="V1028" s="39">
        <v>0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74.41</v>
      </c>
      <c r="AD1028" s="39">
        <v>56.25</v>
      </c>
      <c r="AE1028" s="39">
        <v>47.97</v>
      </c>
      <c r="AF1028" s="39">
        <v>0</v>
      </c>
      <c r="AG1028" s="39">
        <v>0</v>
      </c>
      <c r="AH1028" s="39">
        <v>0</v>
      </c>
      <c r="AI1028" s="39">
        <v>74.41</v>
      </c>
      <c r="AJ1028" s="39">
        <v>56.25</v>
      </c>
      <c r="AK1028" s="39">
        <v>47.97</v>
      </c>
      <c r="AL1028" s="39">
        <v>0</v>
      </c>
      <c r="AM1028" s="39">
        <v>0</v>
      </c>
      <c r="AN1028" s="39">
        <v>0</v>
      </c>
      <c r="AO1028" s="39">
        <v>74.41</v>
      </c>
      <c r="AP1028" s="39">
        <v>56.25</v>
      </c>
      <c r="AQ1028" s="39">
        <v>47.97</v>
      </c>
      <c r="AR1028" s="39">
        <v>74.41</v>
      </c>
    </row>
    <row r="1029" spans="1:44" x14ac:dyDescent="0.35">
      <c r="A1029" s="16" t="str">
        <f t="shared" si="90"/>
        <v>37</v>
      </c>
      <c r="B1029" s="19">
        <v>75416</v>
      </c>
      <c r="C1029" s="16" t="str">
        <f>TEXT(138651,"0000000")</f>
        <v>0138651</v>
      </c>
      <c r="D1029" s="19">
        <v>2020</v>
      </c>
      <c r="E1029" s="16" t="s">
        <v>2337</v>
      </c>
      <c r="F1029" s="16" t="s">
        <v>5</v>
      </c>
      <c r="G1029" s="35" t="s">
        <v>2338</v>
      </c>
      <c r="H1029" s="39">
        <v>0</v>
      </c>
      <c r="I1029" s="39">
        <v>0</v>
      </c>
      <c r="J1029" s="39">
        <v>0</v>
      </c>
      <c r="K1029" s="39">
        <v>0</v>
      </c>
      <c r="L1029" s="39">
        <v>0</v>
      </c>
      <c r="M1029" s="39">
        <v>0</v>
      </c>
      <c r="N1029" s="39">
        <v>0</v>
      </c>
      <c r="O1029" s="39">
        <v>0</v>
      </c>
      <c r="P1029" s="39">
        <v>0</v>
      </c>
      <c r="Q1029" s="39">
        <v>0</v>
      </c>
      <c r="R1029" s="39">
        <v>0</v>
      </c>
      <c r="S1029" s="39">
        <v>0</v>
      </c>
      <c r="T1029" s="39">
        <v>0</v>
      </c>
      <c r="U1029" s="39">
        <v>0</v>
      </c>
      <c r="V1029" s="39">
        <v>0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570.47</v>
      </c>
      <c r="AD1029" s="39">
        <v>381.63</v>
      </c>
      <c r="AE1029" s="39">
        <v>230.7</v>
      </c>
      <c r="AF1029" s="39">
        <v>0</v>
      </c>
      <c r="AG1029" s="39">
        <v>0</v>
      </c>
      <c r="AH1029" s="39">
        <v>0</v>
      </c>
      <c r="AI1029" s="39">
        <v>570.47</v>
      </c>
      <c r="AJ1029" s="39">
        <v>381.63</v>
      </c>
      <c r="AK1029" s="39">
        <v>230.7</v>
      </c>
      <c r="AL1029" s="39">
        <v>0</v>
      </c>
      <c r="AM1029" s="39">
        <v>0</v>
      </c>
      <c r="AN1029" s="39">
        <v>0</v>
      </c>
      <c r="AO1029" s="39">
        <v>570.47</v>
      </c>
      <c r="AP1029" s="39">
        <v>381.63</v>
      </c>
      <c r="AQ1029" s="39">
        <v>230.7</v>
      </c>
      <c r="AR1029" s="39">
        <v>570.47</v>
      </c>
    </row>
    <row r="1030" spans="1:44" x14ac:dyDescent="0.35">
      <c r="A1030" s="16" t="str">
        <f t="shared" si="90"/>
        <v>37</v>
      </c>
      <c r="B1030" s="19">
        <v>75416</v>
      </c>
      <c r="C1030" s="16" t="str">
        <f>TEXT(6119275,"0000000")</f>
        <v>6119275</v>
      </c>
      <c r="D1030" s="19">
        <v>1057</v>
      </c>
      <c r="E1030" s="16" t="s">
        <v>2344</v>
      </c>
      <c r="F1030" s="16" t="s">
        <v>5</v>
      </c>
      <c r="G1030" s="35" t="s">
        <v>2345</v>
      </c>
      <c r="H1030" s="39">
        <v>0</v>
      </c>
      <c r="I1030" s="39">
        <v>0</v>
      </c>
      <c r="J1030" s="39">
        <v>0</v>
      </c>
      <c r="K1030" s="39">
        <v>0</v>
      </c>
      <c r="L1030" s="39">
        <v>0</v>
      </c>
      <c r="M1030" s="39">
        <v>0</v>
      </c>
      <c r="N1030" s="39">
        <v>0</v>
      </c>
      <c r="O1030" s="39">
        <v>0</v>
      </c>
      <c r="P1030" s="39">
        <v>0</v>
      </c>
      <c r="Q1030" s="39">
        <v>0</v>
      </c>
      <c r="R1030" s="39">
        <v>0</v>
      </c>
      <c r="S1030" s="39">
        <v>0</v>
      </c>
      <c r="T1030" s="39">
        <v>0</v>
      </c>
      <c r="U1030" s="39">
        <v>0</v>
      </c>
      <c r="V1030" s="39">
        <v>0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78.709999999999994</v>
      </c>
      <c r="AD1030" s="39">
        <v>65.31</v>
      </c>
      <c r="AE1030" s="39">
        <v>57.77</v>
      </c>
      <c r="AF1030" s="39">
        <v>0</v>
      </c>
      <c r="AG1030" s="39">
        <v>0</v>
      </c>
      <c r="AH1030" s="39">
        <v>0</v>
      </c>
      <c r="AI1030" s="39">
        <v>78.709999999999994</v>
      </c>
      <c r="AJ1030" s="39">
        <v>65.31</v>
      </c>
      <c r="AK1030" s="39">
        <v>57.77</v>
      </c>
      <c r="AL1030" s="39">
        <v>0</v>
      </c>
      <c r="AM1030" s="39">
        <v>0</v>
      </c>
      <c r="AN1030" s="39">
        <v>0</v>
      </c>
      <c r="AO1030" s="39">
        <v>78.709999999999994</v>
      </c>
      <c r="AP1030" s="39">
        <v>65.31</v>
      </c>
      <c r="AQ1030" s="39">
        <v>57.77</v>
      </c>
      <c r="AR1030" s="39">
        <v>78.709999999999994</v>
      </c>
    </row>
    <row r="1031" spans="1:44" x14ac:dyDescent="0.35">
      <c r="A1031" s="16" t="str">
        <f t="shared" si="90"/>
        <v>37</v>
      </c>
      <c r="B1031" s="19">
        <v>76471</v>
      </c>
      <c r="C1031" s="16" t="str">
        <f>TEXT(114678,"0000000")</f>
        <v>0114678</v>
      </c>
      <c r="D1031" s="17" t="s">
        <v>2350</v>
      </c>
      <c r="E1031" s="16" t="s">
        <v>2348</v>
      </c>
      <c r="F1031" s="16" t="s">
        <v>5</v>
      </c>
      <c r="G1031" s="35" t="s">
        <v>2349</v>
      </c>
      <c r="H1031" s="39">
        <v>0</v>
      </c>
      <c r="I1031" s="39">
        <v>0</v>
      </c>
      <c r="J1031" s="39">
        <v>0</v>
      </c>
      <c r="K1031" s="39">
        <v>0</v>
      </c>
      <c r="L1031" s="39">
        <v>0</v>
      </c>
      <c r="M1031" s="39">
        <v>0</v>
      </c>
      <c r="N1031" s="39">
        <v>0</v>
      </c>
      <c r="O1031" s="39">
        <v>0</v>
      </c>
      <c r="P1031" s="39">
        <v>0</v>
      </c>
      <c r="Q1031" s="39">
        <v>0</v>
      </c>
      <c r="R1031" s="39">
        <v>0</v>
      </c>
      <c r="S1031" s="39">
        <v>0</v>
      </c>
      <c r="T1031" s="39">
        <v>0</v>
      </c>
      <c r="U1031" s="39">
        <v>0</v>
      </c>
      <c r="V1031" s="39">
        <v>0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582.1</v>
      </c>
      <c r="AG1031" s="39">
        <v>591.23</v>
      </c>
      <c r="AH1031" s="39">
        <v>584.29</v>
      </c>
      <c r="AI1031" s="39">
        <v>582.1</v>
      </c>
      <c r="AJ1031" s="39">
        <v>591.23</v>
      </c>
      <c r="AK1031" s="39">
        <v>584.29</v>
      </c>
      <c r="AL1031" s="39">
        <v>0</v>
      </c>
      <c r="AM1031" s="39">
        <v>0</v>
      </c>
      <c r="AN1031" s="39">
        <v>0</v>
      </c>
      <c r="AO1031" s="39">
        <v>582.1</v>
      </c>
      <c r="AP1031" s="39">
        <v>591.23</v>
      </c>
      <c r="AQ1031" s="39">
        <v>584.29</v>
      </c>
      <c r="AR1031" s="39">
        <v>591.23</v>
      </c>
    </row>
    <row r="1032" spans="1:44" x14ac:dyDescent="0.35">
      <c r="A1032" s="16" t="str">
        <f t="shared" si="90"/>
        <v>37</v>
      </c>
      <c r="B1032" s="19">
        <v>76471</v>
      </c>
      <c r="C1032" s="16" t="str">
        <f>TEXT(114694,"0000000")</f>
        <v>0114694</v>
      </c>
      <c r="D1032" s="17" t="s">
        <v>2350</v>
      </c>
      <c r="E1032" s="16" t="s">
        <v>2351</v>
      </c>
      <c r="F1032" s="16" t="s">
        <v>5</v>
      </c>
      <c r="G1032" s="35" t="s">
        <v>2352</v>
      </c>
      <c r="H1032" s="39">
        <v>0</v>
      </c>
      <c r="I1032" s="39">
        <v>0</v>
      </c>
      <c r="J1032" s="39">
        <v>0</v>
      </c>
      <c r="K1032" s="39">
        <v>0</v>
      </c>
      <c r="L1032" s="39">
        <v>0</v>
      </c>
      <c r="M1032" s="39">
        <v>0</v>
      </c>
      <c r="N1032" s="39">
        <v>0</v>
      </c>
      <c r="O1032" s="39">
        <v>0</v>
      </c>
      <c r="P1032" s="39">
        <v>0</v>
      </c>
      <c r="Q1032" s="39">
        <v>0</v>
      </c>
      <c r="R1032" s="39">
        <v>0</v>
      </c>
      <c r="S1032" s="39">
        <v>0</v>
      </c>
      <c r="T1032" s="39">
        <v>0</v>
      </c>
      <c r="U1032" s="39">
        <v>0</v>
      </c>
      <c r="V1032" s="39">
        <v>0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384.83</v>
      </c>
      <c r="AG1032" s="39">
        <v>378.24</v>
      </c>
      <c r="AH1032" s="39">
        <v>383.1</v>
      </c>
      <c r="AI1032" s="39">
        <v>384.83</v>
      </c>
      <c r="AJ1032" s="39">
        <v>378.24</v>
      </c>
      <c r="AK1032" s="39">
        <v>383.1</v>
      </c>
      <c r="AL1032" s="39">
        <v>0</v>
      </c>
      <c r="AM1032" s="39">
        <v>0</v>
      </c>
      <c r="AN1032" s="39">
        <v>0</v>
      </c>
      <c r="AO1032" s="39">
        <v>384.83</v>
      </c>
      <c r="AP1032" s="39">
        <v>378.24</v>
      </c>
      <c r="AQ1032" s="39">
        <v>383.1</v>
      </c>
      <c r="AR1032" s="39">
        <v>384.83</v>
      </c>
    </row>
    <row r="1033" spans="1:44" x14ac:dyDescent="0.35">
      <c r="A1033" s="16" t="str">
        <f t="shared" si="90"/>
        <v>37</v>
      </c>
      <c r="B1033" s="19">
        <v>76471</v>
      </c>
      <c r="C1033" s="16" t="str">
        <f>TEXT(119271,"0000000")</f>
        <v>0119271</v>
      </c>
      <c r="D1033" s="17" t="s">
        <v>2350</v>
      </c>
      <c r="E1033" s="16" t="s">
        <v>2353</v>
      </c>
      <c r="F1033" s="16" t="s">
        <v>5</v>
      </c>
      <c r="G1033" s="35" t="s">
        <v>2354</v>
      </c>
      <c r="H1033" s="39">
        <v>0</v>
      </c>
      <c r="I1033" s="39">
        <v>0</v>
      </c>
      <c r="J1033" s="39">
        <v>0</v>
      </c>
      <c r="K1033" s="39">
        <v>0</v>
      </c>
      <c r="L1033" s="39">
        <v>0</v>
      </c>
      <c r="M1033" s="39">
        <v>0</v>
      </c>
      <c r="N1033" s="39">
        <v>0</v>
      </c>
      <c r="O1033" s="39">
        <v>0</v>
      </c>
      <c r="P1033" s="39">
        <v>0</v>
      </c>
      <c r="Q1033" s="39">
        <v>0</v>
      </c>
      <c r="R1033" s="39">
        <v>0</v>
      </c>
      <c r="S1033" s="39">
        <v>0</v>
      </c>
      <c r="T1033" s="39">
        <v>0</v>
      </c>
      <c r="U1033" s="39">
        <v>0</v>
      </c>
      <c r="V1033" s="39">
        <v>0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326.5</v>
      </c>
      <c r="AG1033" s="39">
        <v>318.36</v>
      </c>
      <c r="AH1033" s="39">
        <v>314.16000000000003</v>
      </c>
      <c r="AI1033" s="39">
        <v>326.5</v>
      </c>
      <c r="AJ1033" s="39">
        <v>318.36</v>
      </c>
      <c r="AK1033" s="39">
        <v>314.16000000000003</v>
      </c>
      <c r="AL1033" s="39">
        <v>0</v>
      </c>
      <c r="AM1033" s="39">
        <v>0</v>
      </c>
      <c r="AN1033" s="39">
        <v>0</v>
      </c>
      <c r="AO1033" s="39">
        <v>326.5</v>
      </c>
      <c r="AP1033" s="39">
        <v>318.36</v>
      </c>
      <c r="AQ1033" s="39">
        <v>314.16000000000003</v>
      </c>
      <c r="AR1033" s="39">
        <v>326.5</v>
      </c>
    </row>
    <row r="1034" spans="1:44" x14ac:dyDescent="0.35">
      <c r="A1034" s="16" t="str">
        <f t="shared" si="90"/>
        <v>37</v>
      </c>
      <c r="B1034" s="19">
        <v>76471</v>
      </c>
      <c r="C1034" s="16" t="str">
        <f>TEXT(123042,"0000000")</f>
        <v>0123042</v>
      </c>
      <c r="D1034" s="17" t="s">
        <v>2350</v>
      </c>
      <c r="E1034" s="16" t="s">
        <v>2355</v>
      </c>
      <c r="F1034" s="16" t="s">
        <v>5</v>
      </c>
      <c r="G1034" s="35" t="s">
        <v>2356</v>
      </c>
      <c r="H1034" s="39">
        <v>0</v>
      </c>
      <c r="I1034" s="39">
        <v>0</v>
      </c>
      <c r="J1034" s="39">
        <v>0</v>
      </c>
      <c r="K1034" s="39">
        <v>0</v>
      </c>
      <c r="L1034" s="39">
        <v>0</v>
      </c>
      <c r="M1034" s="39">
        <v>0</v>
      </c>
      <c r="N1034" s="39">
        <v>0</v>
      </c>
      <c r="O1034" s="39">
        <v>0</v>
      </c>
      <c r="P1034" s="39">
        <v>0</v>
      </c>
      <c r="Q1034" s="39">
        <v>0</v>
      </c>
      <c r="R1034" s="39">
        <v>0</v>
      </c>
      <c r="S1034" s="39">
        <v>0</v>
      </c>
      <c r="T1034" s="39">
        <v>0</v>
      </c>
      <c r="U1034" s="39">
        <v>0</v>
      </c>
      <c r="V1034" s="39">
        <v>0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310.01</v>
      </c>
      <c r="AG1034" s="39">
        <v>313.55</v>
      </c>
      <c r="AH1034" s="39">
        <v>306.61</v>
      </c>
      <c r="AI1034" s="39">
        <v>310.01</v>
      </c>
      <c r="AJ1034" s="39">
        <v>313.55</v>
      </c>
      <c r="AK1034" s="39">
        <v>306.61</v>
      </c>
      <c r="AL1034" s="39">
        <v>0</v>
      </c>
      <c r="AM1034" s="39">
        <v>0</v>
      </c>
      <c r="AN1034" s="39">
        <v>0</v>
      </c>
      <c r="AO1034" s="39">
        <v>310.01</v>
      </c>
      <c r="AP1034" s="39">
        <v>313.55</v>
      </c>
      <c r="AQ1034" s="39">
        <v>306.61</v>
      </c>
      <c r="AR1034" s="39">
        <v>313.55</v>
      </c>
    </row>
    <row r="1035" spans="1:44" ht="31" x14ac:dyDescent="0.35">
      <c r="A1035" s="16" t="str">
        <f>TEXT(1,"00")</f>
        <v>01</v>
      </c>
      <c r="B1035" s="19">
        <v>61259</v>
      </c>
      <c r="C1035" s="16" t="str">
        <f>TEXT(130617,"0000000")</f>
        <v>0130617</v>
      </c>
      <c r="D1035" s="17" t="s">
        <v>120</v>
      </c>
      <c r="E1035" s="16" t="s">
        <v>118</v>
      </c>
      <c r="F1035" s="16" t="s">
        <v>5</v>
      </c>
      <c r="G1035" s="35" t="s">
        <v>119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455.29</v>
      </c>
      <c r="AD1035" s="39">
        <v>466.87</v>
      </c>
      <c r="AE1035" s="39">
        <v>419.88</v>
      </c>
      <c r="AF1035" s="39">
        <v>0</v>
      </c>
      <c r="AG1035" s="39">
        <v>0</v>
      </c>
      <c r="AH1035" s="39">
        <v>0</v>
      </c>
      <c r="AI1035" s="39">
        <v>455.29</v>
      </c>
      <c r="AJ1035" s="39">
        <v>466.87</v>
      </c>
      <c r="AK1035" s="39">
        <v>419.88</v>
      </c>
      <c r="AL1035" s="39">
        <v>0</v>
      </c>
      <c r="AM1035" s="39">
        <v>0</v>
      </c>
      <c r="AN1035" s="39">
        <v>0</v>
      </c>
      <c r="AO1035" s="39">
        <v>455.29</v>
      </c>
      <c r="AP1035" s="39">
        <v>466.87</v>
      </c>
      <c r="AQ1035" s="39">
        <v>419.88</v>
      </c>
      <c r="AR1035" s="39">
        <v>466.87</v>
      </c>
    </row>
    <row r="1036" spans="1:44" x14ac:dyDescent="0.35">
      <c r="A1036" s="16" t="str">
        <f t="shared" ref="A1036:A1045" si="91">TEXT(37,"00")</f>
        <v>37</v>
      </c>
      <c r="B1036" s="19">
        <v>76471</v>
      </c>
      <c r="C1036" s="16" t="str">
        <f>TEXT(123059,"0000000")</f>
        <v>0123059</v>
      </c>
      <c r="D1036" s="17" t="s">
        <v>2350</v>
      </c>
      <c r="E1036" s="16" t="s">
        <v>2357</v>
      </c>
      <c r="F1036" s="16" t="s">
        <v>5</v>
      </c>
      <c r="G1036" s="35" t="s">
        <v>2358</v>
      </c>
      <c r="H1036" s="39">
        <v>0</v>
      </c>
      <c r="I1036" s="39">
        <v>0</v>
      </c>
      <c r="J1036" s="39">
        <v>0</v>
      </c>
      <c r="K1036" s="39">
        <v>0</v>
      </c>
      <c r="L1036" s="39">
        <v>0</v>
      </c>
      <c r="M1036" s="39">
        <v>0</v>
      </c>
      <c r="N1036" s="39">
        <v>0</v>
      </c>
      <c r="O1036" s="39">
        <v>0</v>
      </c>
      <c r="P1036" s="39">
        <v>0</v>
      </c>
      <c r="Q1036" s="39">
        <v>0</v>
      </c>
      <c r="R1036" s="39">
        <v>0</v>
      </c>
      <c r="S1036" s="39">
        <v>0</v>
      </c>
      <c r="T1036" s="39">
        <v>0</v>
      </c>
      <c r="U1036" s="39">
        <v>0</v>
      </c>
      <c r="V1036" s="39">
        <v>0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413.99</v>
      </c>
      <c r="AG1036" s="39">
        <v>414.92</v>
      </c>
      <c r="AH1036" s="39">
        <v>395.67</v>
      </c>
      <c r="AI1036" s="39">
        <v>413.99</v>
      </c>
      <c r="AJ1036" s="39">
        <v>414.92</v>
      </c>
      <c r="AK1036" s="39">
        <v>395.67</v>
      </c>
      <c r="AL1036" s="39">
        <v>0</v>
      </c>
      <c r="AM1036" s="39">
        <v>0</v>
      </c>
      <c r="AN1036" s="39">
        <v>0</v>
      </c>
      <c r="AO1036" s="39">
        <v>413.99</v>
      </c>
      <c r="AP1036" s="39">
        <v>414.92</v>
      </c>
      <c r="AQ1036" s="39">
        <v>395.67</v>
      </c>
      <c r="AR1036" s="39">
        <v>414.92</v>
      </c>
    </row>
    <row r="1037" spans="1:44" x14ac:dyDescent="0.35">
      <c r="A1037" s="16" t="str">
        <f t="shared" si="91"/>
        <v>37</v>
      </c>
      <c r="B1037" s="19">
        <v>76471</v>
      </c>
      <c r="C1037" s="16" t="str">
        <f>TEXT(127605,"0000000")</f>
        <v>0127605</v>
      </c>
      <c r="D1037" s="17" t="s">
        <v>2350</v>
      </c>
      <c r="E1037" s="16" t="s">
        <v>2359</v>
      </c>
      <c r="F1037" s="16" t="s">
        <v>5</v>
      </c>
      <c r="G1037" s="35" t="s">
        <v>2360</v>
      </c>
      <c r="H1037" s="39">
        <v>0</v>
      </c>
      <c r="I1037" s="39">
        <v>0</v>
      </c>
      <c r="J1037" s="39">
        <v>0</v>
      </c>
      <c r="K1037" s="39">
        <v>0</v>
      </c>
      <c r="L1037" s="39">
        <v>0</v>
      </c>
      <c r="M1037" s="39">
        <v>0</v>
      </c>
      <c r="N1037" s="39">
        <v>0</v>
      </c>
      <c r="O1037" s="39">
        <v>0</v>
      </c>
      <c r="P1037" s="39">
        <v>0</v>
      </c>
      <c r="Q1037" s="39">
        <v>0</v>
      </c>
      <c r="R1037" s="39">
        <v>0</v>
      </c>
      <c r="S1037" s="39">
        <v>0</v>
      </c>
      <c r="T1037" s="39">
        <v>0</v>
      </c>
      <c r="U1037" s="39">
        <v>0</v>
      </c>
      <c r="V1037" s="39">
        <v>0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413.3</v>
      </c>
      <c r="AG1037" s="39">
        <v>418</v>
      </c>
      <c r="AH1037" s="39">
        <v>407.43</v>
      </c>
      <c r="AI1037" s="39">
        <v>413.3</v>
      </c>
      <c r="AJ1037" s="39">
        <v>418</v>
      </c>
      <c r="AK1037" s="39">
        <v>407.43</v>
      </c>
      <c r="AL1037" s="39">
        <v>0</v>
      </c>
      <c r="AM1037" s="39">
        <v>0</v>
      </c>
      <c r="AN1037" s="39">
        <v>0</v>
      </c>
      <c r="AO1037" s="39">
        <v>413.3</v>
      </c>
      <c r="AP1037" s="39">
        <v>418</v>
      </c>
      <c r="AQ1037" s="39">
        <v>407.43</v>
      </c>
      <c r="AR1037" s="39">
        <v>418</v>
      </c>
    </row>
    <row r="1038" spans="1:44" x14ac:dyDescent="0.35">
      <c r="A1038" s="16" t="str">
        <f t="shared" si="91"/>
        <v>37</v>
      </c>
      <c r="B1038" s="19">
        <v>76471</v>
      </c>
      <c r="C1038" s="16" t="str">
        <f>TEXT(137067,"0000000")</f>
        <v>0137067</v>
      </c>
      <c r="D1038" s="17" t="s">
        <v>2350</v>
      </c>
      <c r="E1038" s="16" t="s">
        <v>2361</v>
      </c>
      <c r="F1038" s="16" t="s">
        <v>5</v>
      </c>
      <c r="G1038" s="35" t="s">
        <v>2362</v>
      </c>
      <c r="H1038" s="39">
        <v>0</v>
      </c>
      <c r="I1038" s="39">
        <v>0</v>
      </c>
      <c r="J1038" s="39">
        <v>0</v>
      </c>
      <c r="K1038" s="39">
        <v>0</v>
      </c>
      <c r="L1038" s="39">
        <v>0</v>
      </c>
      <c r="M1038" s="39">
        <v>0</v>
      </c>
      <c r="N1038" s="39">
        <v>0</v>
      </c>
      <c r="O1038" s="39">
        <v>0</v>
      </c>
      <c r="P1038" s="39">
        <v>0</v>
      </c>
      <c r="Q1038" s="39">
        <v>0</v>
      </c>
      <c r="R1038" s="39">
        <v>0</v>
      </c>
      <c r="S1038" s="39">
        <v>0</v>
      </c>
      <c r="T1038" s="39">
        <v>0</v>
      </c>
      <c r="U1038" s="39">
        <v>0</v>
      </c>
      <c r="V1038" s="39">
        <v>0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410.01</v>
      </c>
      <c r="AG1038" s="39">
        <v>400.46</v>
      </c>
      <c r="AH1038" s="39">
        <v>398.56</v>
      </c>
      <c r="AI1038" s="39">
        <v>410.01</v>
      </c>
      <c r="AJ1038" s="39">
        <v>400.46</v>
      </c>
      <c r="AK1038" s="39">
        <v>398.56</v>
      </c>
      <c r="AL1038" s="39">
        <v>0</v>
      </c>
      <c r="AM1038" s="39">
        <v>0</v>
      </c>
      <c r="AN1038" s="39">
        <v>0</v>
      </c>
      <c r="AO1038" s="39">
        <v>410.01</v>
      </c>
      <c r="AP1038" s="39">
        <v>400.46</v>
      </c>
      <c r="AQ1038" s="39">
        <v>398.56</v>
      </c>
      <c r="AR1038" s="39">
        <v>410.01</v>
      </c>
    </row>
    <row r="1039" spans="1:44" x14ac:dyDescent="0.35">
      <c r="A1039" s="16" t="str">
        <f t="shared" si="91"/>
        <v>37</v>
      </c>
      <c r="B1039" s="19">
        <v>76471</v>
      </c>
      <c r="C1039" s="16" t="str">
        <f>TEXT(138768,"0000000")</f>
        <v>0138768</v>
      </c>
      <c r="D1039" s="17" t="s">
        <v>2350</v>
      </c>
      <c r="E1039" s="16" t="s">
        <v>2363</v>
      </c>
      <c r="F1039" s="16" t="s">
        <v>5</v>
      </c>
      <c r="G1039" s="35" t="s">
        <v>2364</v>
      </c>
      <c r="H1039" s="39">
        <v>0</v>
      </c>
      <c r="I1039" s="39">
        <v>0</v>
      </c>
      <c r="J1039" s="39">
        <v>0</v>
      </c>
      <c r="K1039" s="39">
        <v>0</v>
      </c>
      <c r="L1039" s="39">
        <v>0</v>
      </c>
      <c r="M1039" s="39">
        <v>0</v>
      </c>
      <c r="N1039" s="39">
        <v>0</v>
      </c>
      <c r="O1039" s="39">
        <v>0</v>
      </c>
      <c r="P1039" s="39">
        <v>0</v>
      </c>
      <c r="Q1039" s="39">
        <v>0</v>
      </c>
      <c r="R1039" s="39">
        <v>0</v>
      </c>
      <c r="S1039" s="39">
        <v>0</v>
      </c>
      <c r="T1039" s="39">
        <v>0</v>
      </c>
      <c r="U1039" s="39">
        <v>0</v>
      </c>
      <c r="V1039" s="39">
        <v>0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332.13</v>
      </c>
      <c r="AG1039" s="39">
        <v>317.29000000000002</v>
      </c>
      <c r="AH1039" s="39">
        <v>314.49</v>
      </c>
      <c r="AI1039" s="39">
        <v>332.13</v>
      </c>
      <c r="AJ1039" s="39">
        <v>317.29000000000002</v>
      </c>
      <c r="AK1039" s="39">
        <v>314.49</v>
      </c>
      <c r="AL1039" s="39">
        <v>0</v>
      </c>
      <c r="AM1039" s="39">
        <v>0</v>
      </c>
      <c r="AN1039" s="39">
        <v>0</v>
      </c>
      <c r="AO1039" s="39">
        <v>332.13</v>
      </c>
      <c r="AP1039" s="39">
        <v>317.29000000000002</v>
      </c>
      <c r="AQ1039" s="39">
        <v>314.49</v>
      </c>
      <c r="AR1039" s="39">
        <v>332.13</v>
      </c>
    </row>
    <row r="1040" spans="1:44" x14ac:dyDescent="0.35">
      <c r="A1040" s="16" t="str">
        <f t="shared" si="91"/>
        <v>37</v>
      </c>
      <c r="B1040" s="19">
        <v>76471</v>
      </c>
      <c r="C1040" s="16" t="str">
        <f>TEXT(138776,"0000000")</f>
        <v>0138776</v>
      </c>
      <c r="D1040" s="17" t="s">
        <v>2350</v>
      </c>
      <c r="E1040" s="16" t="s">
        <v>2365</v>
      </c>
      <c r="F1040" s="16" t="s">
        <v>5</v>
      </c>
      <c r="G1040" s="35" t="s">
        <v>2366</v>
      </c>
      <c r="H1040" s="39">
        <v>0</v>
      </c>
      <c r="I1040" s="39">
        <v>0</v>
      </c>
      <c r="J1040" s="39">
        <v>0</v>
      </c>
      <c r="K1040" s="39">
        <v>0</v>
      </c>
      <c r="L1040" s="39">
        <v>0</v>
      </c>
      <c r="M1040" s="39">
        <v>0</v>
      </c>
      <c r="N1040" s="39">
        <v>0</v>
      </c>
      <c r="O1040" s="39">
        <v>0</v>
      </c>
      <c r="P1040" s="39">
        <v>0</v>
      </c>
      <c r="Q1040" s="39">
        <v>0</v>
      </c>
      <c r="R1040" s="39">
        <v>0</v>
      </c>
      <c r="S1040" s="39">
        <v>0</v>
      </c>
      <c r="T1040" s="39">
        <v>0</v>
      </c>
      <c r="U1040" s="39">
        <v>0</v>
      </c>
      <c r="V1040" s="39">
        <v>0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398.24</v>
      </c>
      <c r="AG1040" s="39">
        <v>411.12</v>
      </c>
      <c r="AH1040" s="39">
        <v>396.33</v>
      </c>
      <c r="AI1040" s="39">
        <v>398.24</v>
      </c>
      <c r="AJ1040" s="39">
        <v>411.12</v>
      </c>
      <c r="AK1040" s="39">
        <v>396.33</v>
      </c>
      <c r="AL1040" s="39">
        <v>0</v>
      </c>
      <c r="AM1040" s="39">
        <v>0</v>
      </c>
      <c r="AN1040" s="39">
        <v>0</v>
      </c>
      <c r="AO1040" s="39">
        <v>398.24</v>
      </c>
      <c r="AP1040" s="39">
        <v>411.12</v>
      </c>
      <c r="AQ1040" s="39">
        <v>396.33</v>
      </c>
      <c r="AR1040" s="39">
        <v>411.12</v>
      </c>
    </row>
    <row r="1041" spans="1:44" x14ac:dyDescent="0.35">
      <c r="A1041" s="16" t="str">
        <f t="shared" si="91"/>
        <v>37</v>
      </c>
      <c r="B1041" s="19">
        <v>77099</v>
      </c>
      <c r="C1041" s="16" t="str">
        <f>TEXT(136077,"0000000")</f>
        <v>0136077</v>
      </c>
      <c r="D1041" s="19">
        <v>1889</v>
      </c>
      <c r="E1041" s="16" t="s">
        <v>2369</v>
      </c>
      <c r="F1041" s="16" t="s">
        <v>5</v>
      </c>
      <c r="G1041" s="35" t="s">
        <v>2370</v>
      </c>
      <c r="H1041" s="39">
        <v>0</v>
      </c>
      <c r="I1041" s="39">
        <v>0</v>
      </c>
      <c r="J1041" s="39">
        <v>0</v>
      </c>
      <c r="K1041" s="39">
        <v>0</v>
      </c>
      <c r="L1041" s="39">
        <v>0</v>
      </c>
      <c r="M1041" s="39">
        <v>0</v>
      </c>
      <c r="N1041" s="39">
        <v>0</v>
      </c>
      <c r="O1041" s="39">
        <v>0</v>
      </c>
      <c r="P1041" s="39">
        <v>0</v>
      </c>
      <c r="Q1041" s="39">
        <v>0</v>
      </c>
      <c r="R1041" s="39">
        <v>0</v>
      </c>
      <c r="S1041" s="39">
        <v>0</v>
      </c>
      <c r="T1041" s="39">
        <v>0</v>
      </c>
      <c r="U1041" s="39">
        <v>0</v>
      </c>
      <c r="V1041" s="39">
        <v>0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307.64999999999998</v>
      </c>
      <c r="AD1041" s="39">
        <v>310.72000000000003</v>
      </c>
      <c r="AE1041" s="39">
        <v>276.88</v>
      </c>
      <c r="AF1041" s="39">
        <v>0</v>
      </c>
      <c r="AG1041" s="39">
        <v>0</v>
      </c>
      <c r="AH1041" s="39">
        <v>0</v>
      </c>
      <c r="AI1041" s="39">
        <v>307.64999999999998</v>
      </c>
      <c r="AJ1041" s="39">
        <v>310.72000000000003</v>
      </c>
      <c r="AK1041" s="39">
        <v>276.88</v>
      </c>
      <c r="AL1041" s="39">
        <v>0</v>
      </c>
      <c r="AM1041" s="39">
        <v>0</v>
      </c>
      <c r="AN1041" s="39">
        <v>0</v>
      </c>
      <c r="AO1041" s="39">
        <v>307.64999999999998</v>
      </c>
      <c r="AP1041" s="39">
        <v>310.72000000000003</v>
      </c>
      <c r="AQ1041" s="39">
        <v>276.88</v>
      </c>
      <c r="AR1041" s="39">
        <v>310.72000000000003</v>
      </c>
    </row>
    <row r="1042" spans="1:44" x14ac:dyDescent="0.35">
      <c r="A1042" s="16" t="str">
        <f t="shared" si="91"/>
        <v>37</v>
      </c>
      <c r="B1042" s="19">
        <v>77107</v>
      </c>
      <c r="C1042" s="16" t="str">
        <f>TEXT(136473,"0000000")</f>
        <v>0136473</v>
      </c>
      <c r="D1042" s="19">
        <v>1903</v>
      </c>
      <c r="E1042" s="16" t="s">
        <v>2371</v>
      </c>
      <c r="F1042" s="16" t="s">
        <v>5</v>
      </c>
      <c r="G1042" s="35" t="s">
        <v>2372</v>
      </c>
      <c r="H1042" s="39">
        <v>0</v>
      </c>
      <c r="I1042" s="39">
        <v>0</v>
      </c>
      <c r="J1042" s="39">
        <v>0</v>
      </c>
      <c r="K1042" s="39">
        <v>0</v>
      </c>
      <c r="L1042" s="39">
        <v>0</v>
      </c>
      <c r="M1042" s="39">
        <v>0</v>
      </c>
      <c r="N1042" s="39">
        <v>0</v>
      </c>
      <c r="O1042" s="39">
        <v>0</v>
      </c>
      <c r="P1042" s="39">
        <v>0</v>
      </c>
      <c r="Q1042" s="39">
        <v>0</v>
      </c>
      <c r="R1042" s="39">
        <v>0</v>
      </c>
      <c r="S1042" s="39">
        <v>0</v>
      </c>
      <c r="T1042" s="39">
        <v>0</v>
      </c>
      <c r="U1042" s="39">
        <v>0</v>
      </c>
      <c r="V1042" s="39">
        <v>0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414.04</v>
      </c>
      <c r="AD1042" s="39">
        <v>394.7</v>
      </c>
      <c r="AE1042" s="39">
        <v>387.95</v>
      </c>
      <c r="AF1042" s="39">
        <v>0</v>
      </c>
      <c r="AG1042" s="39">
        <v>0</v>
      </c>
      <c r="AH1042" s="39">
        <v>0</v>
      </c>
      <c r="AI1042" s="39">
        <v>414.04</v>
      </c>
      <c r="AJ1042" s="39">
        <v>394.7</v>
      </c>
      <c r="AK1042" s="39">
        <v>387.95</v>
      </c>
      <c r="AL1042" s="39">
        <v>0</v>
      </c>
      <c r="AM1042" s="39">
        <v>0</v>
      </c>
      <c r="AN1042" s="39">
        <v>0</v>
      </c>
      <c r="AO1042" s="39">
        <v>414.04</v>
      </c>
      <c r="AP1042" s="39">
        <v>394.7</v>
      </c>
      <c r="AQ1042" s="39">
        <v>387.95</v>
      </c>
      <c r="AR1042" s="39">
        <v>414.04</v>
      </c>
    </row>
    <row r="1043" spans="1:44" x14ac:dyDescent="0.35">
      <c r="A1043" s="16" t="str">
        <f t="shared" si="91"/>
        <v>37</v>
      </c>
      <c r="B1043" s="19">
        <v>77156</v>
      </c>
      <c r="C1043" s="16" t="str">
        <f>TEXT(137323,"0000000")</f>
        <v>0137323</v>
      </c>
      <c r="D1043" s="19">
        <v>1968</v>
      </c>
      <c r="E1043" s="16" t="s">
        <v>2373</v>
      </c>
      <c r="F1043" s="16" t="s">
        <v>5</v>
      </c>
      <c r="G1043" s="35" t="s">
        <v>2374</v>
      </c>
      <c r="H1043" s="39">
        <v>0</v>
      </c>
      <c r="I1043" s="39">
        <v>0</v>
      </c>
      <c r="J1043" s="39">
        <v>0</v>
      </c>
      <c r="K1043" s="39">
        <v>0</v>
      </c>
      <c r="L1043" s="39">
        <v>0</v>
      </c>
      <c r="M1043" s="39">
        <v>0</v>
      </c>
      <c r="N1043" s="39">
        <v>0</v>
      </c>
      <c r="O1043" s="39">
        <v>0</v>
      </c>
      <c r="P1043" s="39">
        <v>0</v>
      </c>
      <c r="Q1043" s="39">
        <v>0</v>
      </c>
      <c r="R1043" s="39">
        <v>0</v>
      </c>
      <c r="S1043" s="39">
        <v>0</v>
      </c>
      <c r="T1043" s="39">
        <v>0</v>
      </c>
      <c r="U1043" s="39">
        <v>0</v>
      </c>
      <c r="V1043" s="39">
        <v>0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242.1</v>
      </c>
      <c r="AD1043" s="39">
        <v>229.24</v>
      </c>
      <c r="AE1043" s="39">
        <v>232.22</v>
      </c>
      <c r="AF1043" s="39">
        <v>0</v>
      </c>
      <c r="AG1043" s="39">
        <v>0</v>
      </c>
      <c r="AH1043" s="39">
        <v>0</v>
      </c>
      <c r="AI1043" s="39">
        <v>242.1</v>
      </c>
      <c r="AJ1043" s="39">
        <v>229.24</v>
      </c>
      <c r="AK1043" s="39">
        <v>232.22</v>
      </c>
      <c r="AL1043" s="39">
        <v>0</v>
      </c>
      <c r="AM1043" s="39">
        <v>0</v>
      </c>
      <c r="AN1043" s="39">
        <v>0</v>
      </c>
      <c r="AO1043" s="39">
        <v>242.1</v>
      </c>
      <c r="AP1043" s="39">
        <v>229.24</v>
      </c>
      <c r="AQ1043" s="39">
        <v>232.22</v>
      </c>
      <c r="AR1043" s="39">
        <v>242.1</v>
      </c>
    </row>
    <row r="1044" spans="1:44" x14ac:dyDescent="0.35">
      <c r="A1044" s="16" t="str">
        <f t="shared" si="91"/>
        <v>37</v>
      </c>
      <c r="B1044" s="19">
        <v>77164</v>
      </c>
      <c r="C1044" s="16" t="str">
        <f>TEXT(137356,"0000000")</f>
        <v>0137356</v>
      </c>
      <c r="D1044" s="19">
        <v>1967</v>
      </c>
      <c r="E1044" s="16" t="s">
        <v>2375</v>
      </c>
      <c r="F1044" s="16" t="s">
        <v>5</v>
      </c>
      <c r="G1044" s="35" t="s">
        <v>2376</v>
      </c>
      <c r="H1044" s="39">
        <v>0</v>
      </c>
      <c r="I1044" s="39">
        <v>0</v>
      </c>
      <c r="J1044" s="39">
        <v>0</v>
      </c>
      <c r="K1044" s="39">
        <v>0</v>
      </c>
      <c r="L1044" s="39">
        <v>0</v>
      </c>
      <c r="M1044" s="39">
        <v>0</v>
      </c>
      <c r="N1044" s="39">
        <v>0</v>
      </c>
      <c r="O1044" s="39">
        <v>0</v>
      </c>
      <c r="P1044" s="39">
        <v>0</v>
      </c>
      <c r="Q1044" s="39">
        <v>0</v>
      </c>
      <c r="R1044" s="39">
        <v>0</v>
      </c>
      <c r="S1044" s="39">
        <v>0</v>
      </c>
      <c r="T1044" s="39">
        <v>0</v>
      </c>
      <c r="U1044" s="39">
        <v>0</v>
      </c>
      <c r="V1044" s="39">
        <v>0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389.36</v>
      </c>
      <c r="AD1044" s="39">
        <v>392.32</v>
      </c>
      <c r="AE1044" s="39">
        <v>385.81</v>
      </c>
      <c r="AF1044" s="39">
        <v>0</v>
      </c>
      <c r="AG1044" s="39">
        <v>0</v>
      </c>
      <c r="AH1044" s="39">
        <v>0</v>
      </c>
      <c r="AI1044" s="39">
        <v>389.36</v>
      </c>
      <c r="AJ1044" s="39">
        <v>392.32</v>
      </c>
      <c r="AK1044" s="39">
        <v>385.81</v>
      </c>
      <c r="AL1044" s="39">
        <v>0</v>
      </c>
      <c r="AM1044" s="39">
        <v>0</v>
      </c>
      <c r="AN1044" s="39">
        <v>0</v>
      </c>
      <c r="AO1044" s="39">
        <v>389.36</v>
      </c>
      <c r="AP1044" s="39">
        <v>392.32</v>
      </c>
      <c r="AQ1044" s="39">
        <v>385.81</v>
      </c>
      <c r="AR1044" s="39">
        <v>392.32</v>
      </c>
    </row>
    <row r="1045" spans="1:44" x14ac:dyDescent="0.35">
      <c r="A1045" s="16" t="str">
        <f t="shared" si="91"/>
        <v>37</v>
      </c>
      <c r="B1045" s="19">
        <v>77172</v>
      </c>
      <c r="C1045" s="16" t="str">
        <f>TEXT(138099,"0000000")</f>
        <v>0138099</v>
      </c>
      <c r="D1045" s="19">
        <v>1966</v>
      </c>
      <c r="E1045" s="16" t="s">
        <v>2377</v>
      </c>
      <c r="F1045" s="16" t="s">
        <v>5</v>
      </c>
      <c r="G1045" s="35" t="s">
        <v>2378</v>
      </c>
      <c r="H1045" s="39">
        <v>0</v>
      </c>
      <c r="I1045" s="39">
        <v>0</v>
      </c>
      <c r="J1045" s="39">
        <v>0</v>
      </c>
      <c r="K1045" s="39">
        <v>0</v>
      </c>
      <c r="L1045" s="39">
        <v>0</v>
      </c>
      <c r="M1045" s="39">
        <v>0</v>
      </c>
      <c r="N1045" s="39">
        <v>0</v>
      </c>
      <c r="O1045" s="39">
        <v>0</v>
      </c>
      <c r="P1045" s="39">
        <v>0</v>
      </c>
      <c r="Q1045" s="39">
        <v>0</v>
      </c>
      <c r="R1045" s="39">
        <v>0</v>
      </c>
      <c r="S1045" s="39">
        <v>0</v>
      </c>
      <c r="T1045" s="39">
        <v>0</v>
      </c>
      <c r="U1045" s="39">
        <v>0</v>
      </c>
      <c r="V1045" s="39">
        <v>0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150.51</v>
      </c>
      <c r="AD1045" s="39">
        <v>222.47</v>
      </c>
      <c r="AE1045" s="39">
        <v>189.89</v>
      </c>
      <c r="AF1045" s="39">
        <v>0</v>
      </c>
      <c r="AG1045" s="39">
        <v>0</v>
      </c>
      <c r="AH1045" s="39">
        <v>0</v>
      </c>
      <c r="AI1045" s="39">
        <v>150.51</v>
      </c>
      <c r="AJ1045" s="39">
        <v>222.47</v>
      </c>
      <c r="AK1045" s="39">
        <v>189.89</v>
      </c>
      <c r="AL1045" s="39">
        <v>0</v>
      </c>
      <c r="AM1045" s="39">
        <v>0</v>
      </c>
      <c r="AN1045" s="39">
        <v>0</v>
      </c>
      <c r="AO1045" s="39">
        <v>150.51</v>
      </c>
      <c r="AP1045" s="39">
        <v>222.47</v>
      </c>
      <c r="AQ1045" s="39">
        <v>189.89</v>
      </c>
      <c r="AR1045" s="39">
        <v>222.47</v>
      </c>
    </row>
    <row r="1046" spans="1:44" x14ac:dyDescent="0.35">
      <c r="A1046" s="16" t="str">
        <f>TEXT(1,"00")</f>
        <v>01</v>
      </c>
      <c r="B1046" s="19">
        <v>61259</v>
      </c>
      <c r="C1046" s="16" t="str">
        <f>TEXT(130633,"0000000")</f>
        <v>0130633</v>
      </c>
      <c r="D1046" s="17" t="s">
        <v>123</v>
      </c>
      <c r="E1046" s="16" t="s">
        <v>121</v>
      </c>
      <c r="F1046" s="16" t="s">
        <v>5</v>
      </c>
      <c r="G1046" s="35" t="s">
        <v>122</v>
      </c>
      <c r="H1046" s="39">
        <v>0</v>
      </c>
      <c r="I1046" s="39">
        <v>0</v>
      </c>
      <c r="J1046" s="39">
        <v>0</v>
      </c>
      <c r="K1046" s="39">
        <v>0</v>
      </c>
      <c r="L1046" s="39">
        <v>0</v>
      </c>
      <c r="M1046" s="39">
        <v>0</v>
      </c>
      <c r="N1046" s="39">
        <v>0</v>
      </c>
      <c r="O1046" s="39">
        <v>0</v>
      </c>
      <c r="P1046" s="39">
        <v>0</v>
      </c>
      <c r="Q1046" s="39">
        <v>0</v>
      </c>
      <c r="R1046" s="39">
        <v>0</v>
      </c>
      <c r="S1046" s="39">
        <v>0</v>
      </c>
      <c r="T1046" s="39">
        <v>0</v>
      </c>
      <c r="U1046" s="39">
        <v>0</v>
      </c>
      <c r="V1046" s="39">
        <v>0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505.22</v>
      </c>
      <c r="AD1046" s="39">
        <v>499.19</v>
      </c>
      <c r="AE1046" s="39">
        <v>496.29</v>
      </c>
      <c r="AF1046" s="39">
        <v>0</v>
      </c>
      <c r="AG1046" s="39">
        <v>0</v>
      </c>
      <c r="AH1046" s="39">
        <v>0</v>
      </c>
      <c r="AI1046" s="39">
        <v>505.22</v>
      </c>
      <c r="AJ1046" s="39">
        <v>499.19</v>
      </c>
      <c r="AK1046" s="39">
        <v>496.29</v>
      </c>
      <c r="AL1046" s="39">
        <v>0</v>
      </c>
      <c r="AM1046" s="39">
        <v>0</v>
      </c>
      <c r="AN1046" s="39">
        <v>0</v>
      </c>
      <c r="AO1046" s="39">
        <v>505.22</v>
      </c>
      <c r="AP1046" s="39">
        <v>499.19</v>
      </c>
      <c r="AQ1046" s="39">
        <v>496.29</v>
      </c>
      <c r="AR1046" s="39">
        <v>505.22</v>
      </c>
    </row>
    <row r="1047" spans="1:44" x14ac:dyDescent="0.35">
      <c r="A1047" s="16" t="str">
        <f t="shared" ref="A1047:A1056" si="92">TEXT(38,"00")</f>
        <v>38</v>
      </c>
      <c r="B1047" s="19">
        <v>68478</v>
      </c>
      <c r="C1047" s="16" t="str">
        <f>TEXT(101337,"0000000")</f>
        <v>0101337</v>
      </c>
      <c r="D1047" s="17" t="s">
        <v>2385</v>
      </c>
      <c r="E1047" s="16" t="s">
        <v>2383</v>
      </c>
      <c r="F1047" s="16" t="s">
        <v>5</v>
      </c>
      <c r="G1047" s="35" t="s">
        <v>2384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152.78</v>
      </c>
      <c r="AD1047" s="39">
        <v>163.13</v>
      </c>
      <c r="AE1047" s="39">
        <v>170.58</v>
      </c>
      <c r="AF1047" s="39">
        <v>0</v>
      </c>
      <c r="AG1047" s="39">
        <v>0</v>
      </c>
      <c r="AH1047" s="39">
        <v>0</v>
      </c>
      <c r="AI1047" s="39">
        <v>152.78</v>
      </c>
      <c r="AJ1047" s="39">
        <v>163.13</v>
      </c>
      <c r="AK1047" s="39">
        <v>170.58</v>
      </c>
      <c r="AL1047" s="39">
        <v>0</v>
      </c>
      <c r="AM1047" s="39">
        <v>0</v>
      </c>
      <c r="AN1047" s="39">
        <v>0</v>
      </c>
      <c r="AO1047" s="39">
        <v>152.78</v>
      </c>
      <c r="AP1047" s="39">
        <v>163.13</v>
      </c>
      <c r="AQ1047" s="39">
        <v>170.58</v>
      </c>
      <c r="AR1047" s="39">
        <v>170.58</v>
      </c>
    </row>
    <row r="1048" spans="1:44" x14ac:dyDescent="0.35">
      <c r="A1048" s="16" t="str">
        <f t="shared" si="92"/>
        <v>38</v>
      </c>
      <c r="B1048" s="19">
        <v>68478</v>
      </c>
      <c r="C1048" s="16" t="str">
        <f>TEXT(101352,"0000000")</f>
        <v>0101352</v>
      </c>
      <c r="D1048" s="17" t="s">
        <v>2388</v>
      </c>
      <c r="E1048" s="16" t="s">
        <v>2386</v>
      </c>
      <c r="F1048" s="16" t="s">
        <v>5</v>
      </c>
      <c r="G1048" s="35" t="s">
        <v>2387</v>
      </c>
      <c r="H1048" s="39">
        <v>0</v>
      </c>
      <c r="I1048" s="39">
        <v>0</v>
      </c>
      <c r="J1048" s="39">
        <v>0</v>
      </c>
      <c r="K1048" s="39">
        <v>0</v>
      </c>
      <c r="L1048" s="39">
        <v>0</v>
      </c>
      <c r="M1048" s="39">
        <v>0</v>
      </c>
      <c r="N1048" s="39">
        <v>0</v>
      </c>
      <c r="O1048" s="39">
        <v>0</v>
      </c>
      <c r="P1048" s="39">
        <v>0</v>
      </c>
      <c r="Q1048" s="39">
        <v>0</v>
      </c>
      <c r="R1048" s="39">
        <v>0</v>
      </c>
      <c r="S1048" s="39">
        <v>0</v>
      </c>
      <c r="T1048" s="39">
        <v>0</v>
      </c>
      <c r="U1048" s="39">
        <v>0</v>
      </c>
      <c r="V1048" s="39">
        <v>0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245.78</v>
      </c>
      <c r="AD1048" s="39">
        <v>243.71</v>
      </c>
      <c r="AE1048" s="39">
        <v>252.89</v>
      </c>
      <c r="AF1048" s="39">
        <v>0</v>
      </c>
      <c r="AG1048" s="39">
        <v>0</v>
      </c>
      <c r="AH1048" s="39">
        <v>0</v>
      </c>
      <c r="AI1048" s="39">
        <v>245.78</v>
      </c>
      <c r="AJ1048" s="39">
        <v>243.71</v>
      </c>
      <c r="AK1048" s="39">
        <v>252.89</v>
      </c>
      <c r="AL1048" s="39">
        <v>0</v>
      </c>
      <c r="AM1048" s="39">
        <v>0</v>
      </c>
      <c r="AN1048" s="39">
        <v>0</v>
      </c>
      <c r="AO1048" s="39">
        <v>245.78</v>
      </c>
      <c r="AP1048" s="39">
        <v>243.71</v>
      </c>
      <c r="AQ1048" s="39">
        <v>252.89</v>
      </c>
      <c r="AR1048" s="39">
        <v>252.89</v>
      </c>
    </row>
    <row r="1049" spans="1:44" x14ac:dyDescent="0.35">
      <c r="A1049" s="16" t="str">
        <f t="shared" si="92"/>
        <v>38</v>
      </c>
      <c r="B1049" s="19">
        <v>68478</v>
      </c>
      <c r="C1049" s="16" t="str">
        <f>TEXT(101774,"0000000")</f>
        <v>0101774</v>
      </c>
      <c r="D1049" s="17" t="s">
        <v>2391</v>
      </c>
      <c r="E1049" s="16" t="s">
        <v>2389</v>
      </c>
      <c r="F1049" s="16" t="s">
        <v>5</v>
      </c>
      <c r="G1049" s="35" t="s">
        <v>2390</v>
      </c>
      <c r="H1049" s="39">
        <v>0</v>
      </c>
      <c r="I1049" s="39">
        <v>0</v>
      </c>
      <c r="J1049" s="39">
        <v>0</v>
      </c>
      <c r="K1049" s="39">
        <v>0</v>
      </c>
      <c r="L1049" s="39">
        <v>0</v>
      </c>
      <c r="M1049" s="39">
        <v>0</v>
      </c>
      <c r="N1049" s="39">
        <v>0</v>
      </c>
      <c r="O1049" s="39">
        <v>0</v>
      </c>
      <c r="P1049" s="39">
        <v>0</v>
      </c>
      <c r="Q1049" s="39">
        <v>0</v>
      </c>
      <c r="R1049" s="39">
        <v>0</v>
      </c>
      <c r="S1049" s="39">
        <v>0</v>
      </c>
      <c r="T1049" s="39">
        <v>0</v>
      </c>
      <c r="U1049" s="39">
        <v>0</v>
      </c>
      <c r="V1049" s="39">
        <v>0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131.13</v>
      </c>
      <c r="AD1049" s="39">
        <v>109.4</v>
      </c>
      <c r="AE1049" s="39">
        <v>91.82</v>
      </c>
      <c r="AF1049" s="39">
        <v>0</v>
      </c>
      <c r="AG1049" s="39">
        <v>0</v>
      </c>
      <c r="AH1049" s="39">
        <v>0</v>
      </c>
      <c r="AI1049" s="39">
        <v>131.13</v>
      </c>
      <c r="AJ1049" s="39">
        <v>109.4</v>
      </c>
      <c r="AK1049" s="39">
        <v>91.82</v>
      </c>
      <c r="AL1049" s="39">
        <v>0</v>
      </c>
      <c r="AM1049" s="39">
        <v>0</v>
      </c>
      <c r="AN1049" s="39">
        <v>0</v>
      </c>
      <c r="AO1049" s="39">
        <v>131.13</v>
      </c>
      <c r="AP1049" s="39">
        <v>109.4</v>
      </c>
      <c r="AQ1049" s="39">
        <v>91.82</v>
      </c>
      <c r="AR1049" s="39">
        <v>131.13</v>
      </c>
    </row>
    <row r="1050" spans="1:44" x14ac:dyDescent="0.35">
      <c r="A1050" s="16" t="str">
        <f t="shared" si="92"/>
        <v>38</v>
      </c>
      <c r="B1050" s="19">
        <v>68478</v>
      </c>
      <c r="C1050" s="16" t="str">
        <f>TEXT(107300,"0000000")</f>
        <v>0107300</v>
      </c>
      <c r="D1050" s="17" t="s">
        <v>2394</v>
      </c>
      <c r="E1050" s="16" t="s">
        <v>2392</v>
      </c>
      <c r="F1050" s="16" t="s">
        <v>5</v>
      </c>
      <c r="G1050" s="35" t="s">
        <v>2393</v>
      </c>
      <c r="H1050" s="39">
        <v>0</v>
      </c>
      <c r="I1050" s="39">
        <v>0</v>
      </c>
      <c r="J1050" s="39">
        <v>0</v>
      </c>
      <c r="K1050" s="39">
        <v>0</v>
      </c>
      <c r="L1050" s="39">
        <v>0</v>
      </c>
      <c r="M1050" s="39">
        <v>0</v>
      </c>
      <c r="N1050" s="39">
        <v>0</v>
      </c>
      <c r="O1050" s="39">
        <v>0</v>
      </c>
      <c r="P1050" s="39">
        <v>0</v>
      </c>
      <c r="Q1050" s="39">
        <v>0</v>
      </c>
      <c r="R1050" s="39">
        <v>0</v>
      </c>
      <c r="S1050" s="39">
        <v>0</v>
      </c>
      <c r="T1050" s="39">
        <v>0</v>
      </c>
      <c r="U1050" s="39">
        <v>0</v>
      </c>
      <c r="V1050" s="39">
        <v>0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351.68</v>
      </c>
      <c r="AD1050" s="39">
        <v>370.04</v>
      </c>
      <c r="AE1050" s="39">
        <v>411.93</v>
      </c>
      <c r="AF1050" s="39">
        <v>0</v>
      </c>
      <c r="AG1050" s="39">
        <v>0</v>
      </c>
      <c r="AH1050" s="39">
        <v>0</v>
      </c>
      <c r="AI1050" s="39">
        <v>351.68</v>
      </c>
      <c r="AJ1050" s="39">
        <v>370.04</v>
      </c>
      <c r="AK1050" s="39">
        <v>411.93</v>
      </c>
      <c r="AL1050" s="39">
        <v>0</v>
      </c>
      <c r="AM1050" s="39">
        <v>0</v>
      </c>
      <c r="AN1050" s="39">
        <v>0</v>
      </c>
      <c r="AO1050" s="39">
        <v>351.68</v>
      </c>
      <c r="AP1050" s="39">
        <v>370.04</v>
      </c>
      <c r="AQ1050" s="39">
        <v>411.93</v>
      </c>
      <c r="AR1050" s="39">
        <v>411.93</v>
      </c>
    </row>
    <row r="1051" spans="1:44" x14ac:dyDescent="0.35">
      <c r="A1051" s="16" t="str">
        <f t="shared" si="92"/>
        <v>38</v>
      </c>
      <c r="B1051" s="19">
        <v>68478</v>
      </c>
      <c r="C1051" s="16" t="str">
        <f>TEXT(118141,"0000000")</f>
        <v>0118141</v>
      </c>
      <c r="D1051" s="19">
        <v>1028</v>
      </c>
      <c r="E1051" s="16" t="s">
        <v>2395</v>
      </c>
      <c r="F1051" s="16" t="s">
        <v>5</v>
      </c>
      <c r="G1051" s="35" t="s">
        <v>2396</v>
      </c>
      <c r="H1051" s="39">
        <v>0</v>
      </c>
      <c r="I1051" s="39">
        <v>0</v>
      </c>
      <c r="J1051" s="39">
        <v>0</v>
      </c>
      <c r="K1051" s="39">
        <v>0</v>
      </c>
      <c r="L1051" s="39">
        <v>0</v>
      </c>
      <c r="M1051" s="39">
        <v>0</v>
      </c>
      <c r="N1051" s="39">
        <v>0</v>
      </c>
      <c r="O1051" s="39">
        <v>0</v>
      </c>
      <c r="P1051" s="39">
        <v>0</v>
      </c>
      <c r="Q1051" s="39">
        <v>0</v>
      </c>
      <c r="R1051" s="39">
        <v>0</v>
      </c>
      <c r="S1051" s="39">
        <v>0</v>
      </c>
      <c r="T1051" s="39">
        <v>0</v>
      </c>
      <c r="U1051" s="39">
        <v>0</v>
      </c>
      <c r="V1051" s="39">
        <v>0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2484.2800000000002</v>
      </c>
      <c r="AD1051" s="39">
        <v>2163.0100000000002</v>
      </c>
      <c r="AE1051" s="39">
        <v>1890.82</v>
      </c>
      <c r="AF1051" s="39">
        <v>0</v>
      </c>
      <c r="AG1051" s="39">
        <v>0</v>
      </c>
      <c r="AH1051" s="39">
        <v>0</v>
      </c>
      <c r="AI1051" s="39">
        <v>2484.2800000000002</v>
      </c>
      <c r="AJ1051" s="39">
        <v>2163.0100000000002</v>
      </c>
      <c r="AK1051" s="39">
        <v>1890.82</v>
      </c>
      <c r="AL1051" s="39">
        <v>0</v>
      </c>
      <c r="AM1051" s="39">
        <v>0</v>
      </c>
      <c r="AN1051" s="39">
        <v>0</v>
      </c>
      <c r="AO1051" s="39">
        <v>2484.2800000000002</v>
      </c>
      <c r="AP1051" s="39">
        <v>2163.0100000000002</v>
      </c>
      <c r="AQ1051" s="39">
        <v>1890.82</v>
      </c>
      <c r="AR1051" s="39">
        <v>2484.2800000000002</v>
      </c>
    </row>
    <row r="1052" spans="1:44" x14ac:dyDescent="0.35">
      <c r="A1052" s="16" t="str">
        <f t="shared" si="92"/>
        <v>38</v>
      </c>
      <c r="B1052" s="19">
        <v>68478</v>
      </c>
      <c r="C1052" s="16" t="str">
        <f>TEXT(123505,"0000000")</f>
        <v>0123505</v>
      </c>
      <c r="D1052" s="19">
        <v>1270</v>
      </c>
      <c r="E1052" s="16" t="s">
        <v>2397</v>
      </c>
      <c r="F1052" s="16" t="s">
        <v>5</v>
      </c>
      <c r="G1052" s="35" t="s">
        <v>2398</v>
      </c>
      <c r="H1052" s="39">
        <v>0</v>
      </c>
      <c r="I1052" s="39">
        <v>0</v>
      </c>
      <c r="J1052" s="39">
        <v>0</v>
      </c>
      <c r="K1052" s="39">
        <v>0</v>
      </c>
      <c r="L1052" s="39">
        <v>0</v>
      </c>
      <c r="M1052" s="39">
        <v>0</v>
      </c>
      <c r="N1052" s="39">
        <v>0</v>
      </c>
      <c r="O1052" s="39">
        <v>0</v>
      </c>
      <c r="P1052" s="39">
        <v>0</v>
      </c>
      <c r="Q1052" s="39">
        <v>0</v>
      </c>
      <c r="R1052" s="39">
        <v>0</v>
      </c>
      <c r="S1052" s="39">
        <v>0</v>
      </c>
      <c r="T1052" s="39">
        <v>0</v>
      </c>
      <c r="U1052" s="39">
        <v>0</v>
      </c>
      <c r="V1052" s="39">
        <v>0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460.22</v>
      </c>
      <c r="AD1052" s="39">
        <v>459.05</v>
      </c>
      <c r="AE1052" s="39">
        <v>435.48</v>
      </c>
      <c r="AF1052" s="39">
        <v>0</v>
      </c>
      <c r="AG1052" s="39">
        <v>0</v>
      </c>
      <c r="AH1052" s="39">
        <v>0</v>
      </c>
      <c r="AI1052" s="39">
        <v>460.22</v>
      </c>
      <c r="AJ1052" s="39">
        <v>459.05</v>
      </c>
      <c r="AK1052" s="39">
        <v>435.48</v>
      </c>
      <c r="AL1052" s="39">
        <v>0</v>
      </c>
      <c r="AM1052" s="39">
        <v>0</v>
      </c>
      <c r="AN1052" s="39">
        <v>0</v>
      </c>
      <c r="AO1052" s="39">
        <v>460.22</v>
      </c>
      <c r="AP1052" s="39">
        <v>459.05</v>
      </c>
      <c r="AQ1052" s="39">
        <v>435.48</v>
      </c>
      <c r="AR1052" s="39">
        <v>460.22</v>
      </c>
    </row>
    <row r="1053" spans="1:44" x14ac:dyDescent="0.35">
      <c r="A1053" s="16" t="str">
        <f t="shared" si="92"/>
        <v>38</v>
      </c>
      <c r="B1053" s="19">
        <v>68478</v>
      </c>
      <c r="C1053" s="16" t="str">
        <f>TEXT(127530,"0000000")</f>
        <v>0127530</v>
      </c>
      <c r="D1053" s="19">
        <v>1502</v>
      </c>
      <c r="E1053" s="16" t="s">
        <v>2399</v>
      </c>
      <c r="F1053" s="16" t="s">
        <v>5</v>
      </c>
      <c r="G1053" s="35" t="s">
        <v>2400</v>
      </c>
      <c r="H1053" s="39">
        <v>0</v>
      </c>
      <c r="I1053" s="39">
        <v>0</v>
      </c>
      <c r="J1053" s="39">
        <v>0</v>
      </c>
      <c r="K1053" s="39">
        <v>0</v>
      </c>
      <c r="L1053" s="39">
        <v>0</v>
      </c>
      <c r="M1053" s="39">
        <v>0</v>
      </c>
      <c r="N1053" s="39">
        <v>0</v>
      </c>
      <c r="O1053" s="39">
        <v>0</v>
      </c>
      <c r="P1053" s="39">
        <v>0</v>
      </c>
      <c r="Q1053" s="39">
        <v>0</v>
      </c>
      <c r="R1053" s="39">
        <v>0</v>
      </c>
      <c r="S1053" s="39">
        <v>0</v>
      </c>
      <c r="T1053" s="39">
        <v>0</v>
      </c>
      <c r="U1053" s="39">
        <v>0</v>
      </c>
      <c r="V1053" s="39">
        <v>0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168.59</v>
      </c>
      <c r="AD1053" s="39">
        <v>229.97</v>
      </c>
      <c r="AE1053" s="39">
        <v>280.23</v>
      </c>
      <c r="AF1053" s="39">
        <v>0</v>
      </c>
      <c r="AG1053" s="39">
        <v>0</v>
      </c>
      <c r="AH1053" s="39">
        <v>0</v>
      </c>
      <c r="AI1053" s="39">
        <v>168.59</v>
      </c>
      <c r="AJ1053" s="39">
        <v>229.97</v>
      </c>
      <c r="AK1053" s="39">
        <v>280.23</v>
      </c>
      <c r="AL1053" s="39">
        <v>0</v>
      </c>
      <c r="AM1053" s="39">
        <v>0</v>
      </c>
      <c r="AN1053" s="39">
        <v>0</v>
      </c>
      <c r="AO1053" s="39">
        <v>168.59</v>
      </c>
      <c r="AP1053" s="39">
        <v>229.97</v>
      </c>
      <c r="AQ1053" s="39">
        <v>280.23</v>
      </c>
      <c r="AR1053" s="39">
        <v>280.23</v>
      </c>
    </row>
    <row r="1054" spans="1:44" x14ac:dyDescent="0.35">
      <c r="A1054" s="16" t="str">
        <f t="shared" si="92"/>
        <v>38</v>
      </c>
      <c r="B1054" s="19">
        <v>68478</v>
      </c>
      <c r="C1054" s="16" t="str">
        <f>TEXT(6040935,"0000000")</f>
        <v>6040935</v>
      </c>
      <c r="D1054" s="17" t="s">
        <v>2403</v>
      </c>
      <c r="E1054" s="16" t="s">
        <v>2401</v>
      </c>
      <c r="F1054" s="16" t="s">
        <v>5</v>
      </c>
      <c r="G1054" s="35" t="s">
        <v>2402</v>
      </c>
      <c r="H1054" s="39">
        <v>0</v>
      </c>
      <c r="I1054" s="39">
        <v>0</v>
      </c>
      <c r="J1054" s="39">
        <v>0</v>
      </c>
      <c r="K1054" s="39">
        <v>0</v>
      </c>
      <c r="L1054" s="39">
        <v>0</v>
      </c>
      <c r="M1054" s="39">
        <v>0</v>
      </c>
      <c r="N1054" s="39">
        <v>0</v>
      </c>
      <c r="O1054" s="39">
        <v>0</v>
      </c>
      <c r="P1054" s="39">
        <v>0</v>
      </c>
      <c r="Q1054" s="39">
        <v>0</v>
      </c>
      <c r="R1054" s="39">
        <v>0</v>
      </c>
      <c r="S1054" s="39">
        <v>0</v>
      </c>
      <c r="T1054" s="39">
        <v>0</v>
      </c>
      <c r="U1054" s="39">
        <v>0</v>
      </c>
      <c r="V1054" s="39">
        <v>0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526.87</v>
      </c>
      <c r="AD1054" s="39">
        <v>510.74</v>
      </c>
      <c r="AE1054" s="39">
        <v>529</v>
      </c>
      <c r="AF1054" s="39">
        <v>0</v>
      </c>
      <c r="AG1054" s="39">
        <v>0</v>
      </c>
      <c r="AH1054" s="39">
        <v>0</v>
      </c>
      <c r="AI1054" s="39">
        <v>526.87</v>
      </c>
      <c r="AJ1054" s="39">
        <v>510.74</v>
      </c>
      <c r="AK1054" s="39">
        <v>529</v>
      </c>
      <c r="AL1054" s="39">
        <v>0</v>
      </c>
      <c r="AM1054" s="39">
        <v>0</v>
      </c>
      <c r="AN1054" s="39">
        <v>0</v>
      </c>
      <c r="AO1054" s="39">
        <v>526.87</v>
      </c>
      <c r="AP1054" s="39">
        <v>510.74</v>
      </c>
      <c r="AQ1054" s="39">
        <v>529</v>
      </c>
      <c r="AR1054" s="39">
        <v>529</v>
      </c>
    </row>
    <row r="1055" spans="1:44" x14ac:dyDescent="0.35">
      <c r="A1055" s="16" t="str">
        <f t="shared" si="92"/>
        <v>38</v>
      </c>
      <c r="B1055" s="19">
        <v>76927</v>
      </c>
      <c r="C1055" s="16" t="str">
        <f>TEXT(132183,"0000000")</f>
        <v>0132183</v>
      </c>
      <c r="D1055" s="19">
        <v>1742</v>
      </c>
      <c r="E1055" s="16" t="s">
        <v>2404</v>
      </c>
      <c r="F1055" s="16" t="s">
        <v>5</v>
      </c>
      <c r="G1055" s="35" t="s">
        <v>2405</v>
      </c>
      <c r="H1055" s="39">
        <v>0</v>
      </c>
      <c r="I1055" s="39">
        <v>0</v>
      </c>
      <c r="J1055" s="39">
        <v>0</v>
      </c>
      <c r="K1055" s="39">
        <v>0</v>
      </c>
      <c r="L1055" s="39">
        <v>0</v>
      </c>
      <c r="M1055" s="39">
        <v>0</v>
      </c>
      <c r="N1055" s="39">
        <v>0</v>
      </c>
      <c r="O1055" s="39">
        <v>0</v>
      </c>
      <c r="P1055" s="39">
        <v>0</v>
      </c>
      <c r="Q1055" s="39">
        <v>0</v>
      </c>
      <c r="R1055" s="39">
        <v>0</v>
      </c>
      <c r="S1055" s="39">
        <v>0</v>
      </c>
      <c r="T1055" s="39">
        <v>0</v>
      </c>
      <c r="U1055" s="39">
        <v>0</v>
      </c>
      <c r="V1055" s="39">
        <v>0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428.71</v>
      </c>
      <c r="AD1055" s="39">
        <v>415.03</v>
      </c>
      <c r="AE1055" s="39">
        <v>404.03</v>
      </c>
      <c r="AF1055" s="39">
        <v>0</v>
      </c>
      <c r="AG1055" s="39">
        <v>0</v>
      </c>
      <c r="AH1055" s="39">
        <v>0</v>
      </c>
      <c r="AI1055" s="39">
        <v>428.71</v>
      </c>
      <c r="AJ1055" s="39">
        <v>415.03</v>
      </c>
      <c r="AK1055" s="39">
        <v>404.03</v>
      </c>
      <c r="AL1055" s="39">
        <v>0</v>
      </c>
      <c r="AM1055" s="39">
        <v>0</v>
      </c>
      <c r="AN1055" s="39">
        <v>0</v>
      </c>
      <c r="AO1055" s="39">
        <v>428.71</v>
      </c>
      <c r="AP1055" s="39">
        <v>415.03</v>
      </c>
      <c r="AQ1055" s="39">
        <v>404.03</v>
      </c>
      <c r="AR1055" s="39">
        <v>428.71</v>
      </c>
    </row>
    <row r="1056" spans="1:44" x14ac:dyDescent="0.35">
      <c r="A1056" s="16" t="str">
        <f t="shared" si="92"/>
        <v>38</v>
      </c>
      <c r="B1056" s="19">
        <v>77131</v>
      </c>
      <c r="C1056" s="16" t="str">
        <f>TEXT(137307,"0000000")</f>
        <v>0137307</v>
      </c>
      <c r="D1056" s="19">
        <v>1954</v>
      </c>
      <c r="E1056" s="16" t="s">
        <v>2406</v>
      </c>
      <c r="F1056" s="16" t="s">
        <v>5</v>
      </c>
      <c r="G1056" s="35" t="s">
        <v>2407</v>
      </c>
      <c r="H1056" s="39">
        <v>0</v>
      </c>
      <c r="I1056" s="39">
        <v>0</v>
      </c>
      <c r="J1056" s="39">
        <v>0</v>
      </c>
      <c r="K1056" s="39">
        <v>0</v>
      </c>
      <c r="L1056" s="39">
        <v>0</v>
      </c>
      <c r="M1056" s="39">
        <v>0</v>
      </c>
      <c r="N1056" s="39">
        <v>0</v>
      </c>
      <c r="O1056" s="39">
        <v>0</v>
      </c>
      <c r="P1056" s="39">
        <v>0</v>
      </c>
      <c r="Q1056" s="39">
        <v>0</v>
      </c>
      <c r="R1056" s="39">
        <v>0</v>
      </c>
      <c r="S1056" s="39">
        <v>0</v>
      </c>
      <c r="T1056" s="39">
        <v>0</v>
      </c>
      <c r="U1056" s="39">
        <v>0</v>
      </c>
      <c r="V1056" s="39">
        <v>0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122.81</v>
      </c>
      <c r="AD1056" s="39">
        <v>129.72</v>
      </c>
      <c r="AE1056" s="39">
        <v>132.08000000000001</v>
      </c>
      <c r="AF1056" s="39">
        <v>0</v>
      </c>
      <c r="AG1056" s="39">
        <v>0</v>
      </c>
      <c r="AH1056" s="39">
        <v>0</v>
      </c>
      <c r="AI1056" s="39">
        <v>122.81</v>
      </c>
      <c r="AJ1056" s="39">
        <v>129.72</v>
      </c>
      <c r="AK1056" s="39">
        <v>132.08000000000001</v>
      </c>
      <c r="AL1056" s="39">
        <v>0</v>
      </c>
      <c r="AM1056" s="39">
        <v>0</v>
      </c>
      <c r="AN1056" s="39">
        <v>0</v>
      </c>
      <c r="AO1056" s="39">
        <v>122.81</v>
      </c>
      <c r="AP1056" s="39">
        <v>129.72</v>
      </c>
      <c r="AQ1056" s="39">
        <v>132.08000000000001</v>
      </c>
      <c r="AR1056" s="39">
        <v>132.08000000000001</v>
      </c>
    </row>
    <row r="1057" spans="1:44" ht="31" x14ac:dyDescent="0.35">
      <c r="A1057" s="16" t="str">
        <f>TEXT(1,"00")</f>
        <v>01</v>
      </c>
      <c r="B1057" s="19">
        <v>61259</v>
      </c>
      <c r="C1057" s="16" t="str">
        <f>TEXT(130666,"0000000")</f>
        <v>0130666</v>
      </c>
      <c r="D1057" s="17" t="s">
        <v>126</v>
      </c>
      <c r="E1057" s="16" t="s">
        <v>124</v>
      </c>
      <c r="F1057" s="16" t="s">
        <v>5</v>
      </c>
      <c r="G1057" s="35" t="s">
        <v>125</v>
      </c>
      <c r="H1057" s="39">
        <v>0</v>
      </c>
      <c r="I1057" s="39">
        <v>0</v>
      </c>
      <c r="J1057" s="39">
        <v>0</v>
      </c>
      <c r="K1057" s="39">
        <v>0</v>
      </c>
      <c r="L1057" s="39">
        <v>0</v>
      </c>
      <c r="M1057" s="39">
        <v>0</v>
      </c>
      <c r="N1057" s="39">
        <v>0</v>
      </c>
      <c r="O1057" s="39">
        <v>0</v>
      </c>
      <c r="P1057" s="39">
        <v>0</v>
      </c>
      <c r="Q1057" s="39">
        <v>0</v>
      </c>
      <c r="R1057" s="39">
        <v>0</v>
      </c>
      <c r="S1057" s="39">
        <v>0</v>
      </c>
      <c r="T1057" s="39">
        <v>0</v>
      </c>
      <c r="U1057" s="39">
        <v>0</v>
      </c>
      <c r="V1057" s="39">
        <v>0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360.17</v>
      </c>
      <c r="AD1057" s="39">
        <v>369.43</v>
      </c>
      <c r="AE1057" s="39">
        <v>411.21</v>
      </c>
      <c r="AF1057" s="39">
        <v>0</v>
      </c>
      <c r="AG1057" s="39">
        <v>0</v>
      </c>
      <c r="AH1057" s="39">
        <v>0</v>
      </c>
      <c r="AI1057" s="39">
        <v>360.17</v>
      </c>
      <c r="AJ1057" s="39">
        <v>369.43</v>
      </c>
      <c r="AK1057" s="39">
        <v>411.21</v>
      </c>
      <c r="AL1057" s="39">
        <v>0</v>
      </c>
      <c r="AM1057" s="39">
        <v>0</v>
      </c>
      <c r="AN1057" s="39">
        <v>0</v>
      </c>
      <c r="AO1057" s="39">
        <v>360.17</v>
      </c>
      <c r="AP1057" s="39">
        <v>369.43</v>
      </c>
      <c r="AQ1057" s="39">
        <v>411.21</v>
      </c>
      <c r="AR1057" s="39">
        <v>411.21</v>
      </c>
    </row>
    <row r="1058" spans="1:44" x14ac:dyDescent="0.35">
      <c r="A1058" s="16" t="str">
        <f t="shared" ref="A1058:A1067" si="93">TEXT(39,"00")</f>
        <v>39</v>
      </c>
      <c r="B1058" s="19">
        <v>10397</v>
      </c>
      <c r="C1058" s="16" t="str">
        <f>TEXT(124958,"0000000")</f>
        <v>0124958</v>
      </c>
      <c r="D1058" s="19">
        <v>1360</v>
      </c>
      <c r="E1058" s="16" t="s">
        <v>2410</v>
      </c>
      <c r="F1058" s="16" t="s">
        <v>5</v>
      </c>
      <c r="G1058" s="35" t="s">
        <v>2411</v>
      </c>
      <c r="H1058" s="39">
        <v>0</v>
      </c>
      <c r="I1058" s="39">
        <v>0</v>
      </c>
      <c r="J1058" s="39">
        <v>0</v>
      </c>
      <c r="K1058" s="39">
        <v>0</v>
      </c>
      <c r="L1058" s="39">
        <v>0</v>
      </c>
      <c r="M1058" s="39">
        <v>0</v>
      </c>
      <c r="N1058" s="39">
        <v>0</v>
      </c>
      <c r="O1058" s="39">
        <v>0</v>
      </c>
      <c r="P1058" s="39">
        <v>0</v>
      </c>
      <c r="Q1058" s="39">
        <v>0</v>
      </c>
      <c r="R1058" s="39">
        <v>0</v>
      </c>
      <c r="S1058" s="39">
        <v>0</v>
      </c>
      <c r="T1058" s="39">
        <v>0</v>
      </c>
      <c r="U1058" s="39">
        <v>0</v>
      </c>
      <c r="V1058" s="39">
        <v>0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445.84</v>
      </c>
      <c r="AD1058" s="39">
        <v>444.86</v>
      </c>
      <c r="AE1058" s="39">
        <v>478.83</v>
      </c>
      <c r="AF1058" s="39">
        <v>0</v>
      </c>
      <c r="AG1058" s="39">
        <v>0</v>
      </c>
      <c r="AH1058" s="39">
        <v>0</v>
      </c>
      <c r="AI1058" s="39">
        <v>445.84</v>
      </c>
      <c r="AJ1058" s="39">
        <v>444.86</v>
      </c>
      <c r="AK1058" s="39">
        <v>478.83</v>
      </c>
      <c r="AL1058" s="39">
        <v>0</v>
      </c>
      <c r="AM1058" s="39">
        <v>0</v>
      </c>
      <c r="AN1058" s="39">
        <v>0</v>
      </c>
      <c r="AO1058" s="39">
        <v>445.84</v>
      </c>
      <c r="AP1058" s="39">
        <v>444.86</v>
      </c>
      <c r="AQ1058" s="39">
        <v>478.83</v>
      </c>
      <c r="AR1058" s="39">
        <v>478.83</v>
      </c>
    </row>
    <row r="1059" spans="1:44" ht="31" x14ac:dyDescent="0.35">
      <c r="A1059" s="16" t="str">
        <f t="shared" si="93"/>
        <v>39</v>
      </c>
      <c r="B1059" s="19">
        <v>68585</v>
      </c>
      <c r="C1059" s="16" t="str">
        <f>TEXT(101956,"0000000")</f>
        <v>0101956</v>
      </c>
      <c r="D1059" s="17" t="s">
        <v>2423</v>
      </c>
      <c r="E1059" s="16" t="s">
        <v>2421</v>
      </c>
      <c r="F1059" s="16" t="s">
        <v>5</v>
      </c>
      <c r="G1059" s="35" t="s">
        <v>2422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652.73</v>
      </c>
      <c r="AD1059" s="39">
        <v>652.78</v>
      </c>
      <c r="AE1059" s="39">
        <v>639.33000000000004</v>
      </c>
      <c r="AF1059" s="39">
        <v>0</v>
      </c>
      <c r="AG1059" s="39">
        <v>0</v>
      </c>
      <c r="AH1059" s="39">
        <v>0</v>
      </c>
      <c r="AI1059" s="39">
        <v>652.73</v>
      </c>
      <c r="AJ1059" s="39">
        <v>652.78</v>
      </c>
      <c r="AK1059" s="39">
        <v>639.33000000000004</v>
      </c>
      <c r="AL1059" s="39">
        <v>0</v>
      </c>
      <c r="AM1059" s="39">
        <v>0</v>
      </c>
      <c r="AN1059" s="39">
        <v>0</v>
      </c>
      <c r="AO1059" s="39">
        <v>652.73</v>
      </c>
      <c r="AP1059" s="39">
        <v>652.78</v>
      </c>
      <c r="AQ1059" s="39">
        <v>639.33000000000004</v>
      </c>
      <c r="AR1059" s="39">
        <v>652.78</v>
      </c>
    </row>
    <row r="1060" spans="1:44" x14ac:dyDescent="0.35">
      <c r="A1060" s="16" t="str">
        <f t="shared" si="93"/>
        <v>39</v>
      </c>
      <c r="B1060" s="19">
        <v>68585</v>
      </c>
      <c r="C1060" s="16" t="str">
        <f>TEXT(133678,"0000000")</f>
        <v>0133678</v>
      </c>
      <c r="D1060" s="19">
        <v>1782</v>
      </c>
      <c r="E1060" s="16" t="s">
        <v>2426</v>
      </c>
      <c r="F1060" s="16" t="s">
        <v>5</v>
      </c>
      <c r="G1060" s="35" t="s">
        <v>2427</v>
      </c>
      <c r="H1060" s="39">
        <v>0</v>
      </c>
      <c r="I1060" s="39">
        <v>0</v>
      </c>
      <c r="J1060" s="39">
        <v>0</v>
      </c>
      <c r="K1060" s="39">
        <v>0</v>
      </c>
      <c r="L1060" s="39">
        <v>0</v>
      </c>
      <c r="M1060" s="39">
        <v>0</v>
      </c>
      <c r="N1060" s="39">
        <v>0</v>
      </c>
      <c r="O1060" s="39">
        <v>0</v>
      </c>
      <c r="P1060" s="39">
        <v>0</v>
      </c>
      <c r="Q1060" s="39">
        <v>0</v>
      </c>
      <c r="R1060" s="39">
        <v>0</v>
      </c>
      <c r="S1060" s="39">
        <v>0</v>
      </c>
      <c r="T1060" s="39">
        <v>0</v>
      </c>
      <c r="U1060" s="39">
        <v>0</v>
      </c>
      <c r="V1060" s="39">
        <v>0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538.04999999999995</v>
      </c>
      <c r="AD1060" s="39">
        <v>541.82000000000005</v>
      </c>
      <c r="AE1060" s="39">
        <v>532.15</v>
      </c>
      <c r="AF1060" s="39">
        <v>0</v>
      </c>
      <c r="AG1060" s="39">
        <v>0</v>
      </c>
      <c r="AH1060" s="39">
        <v>0</v>
      </c>
      <c r="AI1060" s="39">
        <v>538.04999999999995</v>
      </c>
      <c r="AJ1060" s="39">
        <v>541.82000000000005</v>
      </c>
      <c r="AK1060" s="39">
        <v>532.15</v>
      </c>
      <c r="AL1060" s="39">
        <v>0</v>
      </c>
      <c r="AM1060" s="39">
        <v>0</v>
      </c>
      <c r="AN1060" s="39">
        <v>0</v>
      </c>
      <c r="AO1060" s="39">
        <v>538.04999999999995</v>
      </c>
      <c r="AP1060" s="39">
        <v>541.82000000000005</v>
      </c>
      <c r="AQ1060" s="39">
        <v>532.15</v>
      </c>
      <c r="AR1060" s="39">
        <v>541.82000000000005</v>
      </c>
    </row>
    <row r="1061" spans="1:44" x14ac:dyDescent="0.35">
      <c r="A1061" s="16" t="str">
        <f t="shared" si="93"/>
        <v>39</v>
      </c>
      <c r="B1061" s="19">
        <v>68585</v>
      </c>
      <c r="C1061" s="16" t="str">
        <f>TEXT(6116594,"0000000")</f>
        <v>6116594</v>
      </c>
      <c r="D1061" s="17" t="s">
        <v>2430</v>
      </c>
      <c r="E1061" s="16" t="s">
        <v>2428</v>
      </c>
      <c r="F1061" s="16" t="s">
        <v>5</v>
      </c>
      <c r="G1061" s="35" t="s">
        <v>2429</v>
      </c>
      <c r="H1061" s="39">
        <v>0</v>
      </c>
      <c r="I1061" s="39">
        <v>0</v>
      </c>
      <c r="J1061" s="39">
        <v>0</v>
      </c>
      <c r="K1061" s="39">
        <v>0</v>
      </c>
      <c r="L1061" s="39">
        <v>0</v>
      </c>
      <c r="M1061" s="39">
        <v>0</v>
      </c>
      <c r="N1061" s="39">
        <v>0</v>
      </c>
      <c r="O1061" s="39">
        <v>0</v>
      </c>
      <c r="P1061" s="39">
        <v>0</v>
      </c>
      <c r="Q1061" s="39">
        <v>0</v>
      </c>
      <c r="R1061" s="39">
        <v>0</v>
      </c>
      <c r="S1061" s="39">
        <v>0</v>
      </c>
      <c r="T1061" s="39">
        <v>0</v>
      </c>
      <c r="U1061" s="39">
        <v>0</v>
      </c>
      <c r="V1061" s="39">
        <v>0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422.17</v>
      </c>
      <c r="AD1061" s="39">
        <v>421.98</v>
      </c>
      <c r="AE1061" s="39">
        <v>414.34</v>
      </c>
      <c r="AF1061" s="39">
        <v>0</v>
      </c>
      <c r="AG1061" s="39">
        <v>0</v>
      </c>
      <c r="AH1061" s="39">
        <v>0</v>
      </c>
      <c r="AI1061" s="39">
        <v>422.17</v>
      </c>
      <c r="AJ1061" s="39">
        <v>421.98</v>
      </c>
      <c r="AK1061" s="39">
        <v>414.34</v>
      </c>
      <c r="AL1061" s="39">
        <v>0</v>
      </c>
      <c r="AM1061" s="39">
        <v>0</v>
      </c>
      <c r="AN1061" s="39">
        <v>0</v>
      </c>
      <c r="AO1061" s="39">
        <v>422.17</v>
      </c>
      <c r="AP1061" s="39">
        <v>421.98</v>
      </c>
      <c r="AQ1061" s="39">
        <v>414.34</v>
      </c>
      <c r="AR1061" s="39">
        <v>422.17</v>
      </c>
    </row>
    <row r="1062" spans="1:44" x14ac:dyDescent="0.35">
      <c r="A1062" s="16" t="str">
        <f t="shared" si="93"/>
        <v>39</v>
      </c>
      <c r="B1062" s="19">
        <v>68585</v>
      </c>
      <c r="C1062" s="16" t="str">
        <f>TEXT(6118921,"0000000")</f>
        <v>6118921</v>
      </c>
      <c r="D1062" s="17" t="s">
        <v>2433</v>
      </c>
      <c r="E1062" s="16" t="s">
        <v>2431</v>
      </c>
      <c r="F1062" s="16" t="s">
        <v>5</v>
      </c>
      <c r="G1062" s="35" t="s">
        <v>2432</v>
      </c>
      <c r="H1062" s="39">
        <v>0</v>
      </c>
      <c r="I1062" s="39">
        <v>0</v>
      </c>
      <c r="J1062" s="39">
        <v>0</v>
      </c>
      <c r="K1062" s="39">
        <v>0</v>
      </c>
      <c r="L1062" s="39">
        <v>0</v>
      </c>
      <c r="M1062" s="39">
        <v>0</v>
      </c>
      <c r="N1062" s="39">
        <v>0</v>
      </c>
      <c r="O1062" s="39">
        <v>0</v>
      </c>
      <c r="P1062" s="39">
        <v>0</v>
      </c>
      <c r="Q1062" s="39">
        <v>0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428.12</v>
      </c>
      <c r="AD1062" s="39">
        <v>424.9</v>
      </c>
      <c r="AE1062" s="39">
        <v>418.05</v>
      </c>
      <c r="AF1062" s="39">
        <v>0</v>
      </c>
      <c r="AG1062" s="39">
        <v>0</v>
      </c>
      <c r="AH1062" s="39">
        <v>0</v>
      </c>
      <c r="AI1062" s="39">
        <v>428.12</v>
      </c>
      <c r="AJ1062" s="39">
        <v>424.9</v>
      </c>
      <c r="AK1062" s="39">
        <v>418.05</v>
      </c>
      <c r="AL1062" s="39">
        <v>0</v>
      </c>
      <c r="AM1062" s="39">
        <v>0</v>
      </c>
      <c r="AN1062" s="39">
        <v>0</v>
      </c>
      <c r="AO1062" s="39">
        <v>428.12</v>
      </c>
      <c r="AP1062" s="39">
        <v>424.9</v>
      </c>
      <c r="AQ1062" s="39">
        <v>418.05</v>
      </c>
      <c r="AR1062" s="39">
        <v>428.12</v>
      </c>
    </row>
    <row r="1063" spans="1:44" x14ac:dyDescent="0.35">
      <c r="A1063" s="16" t="str">
        <f t="shared" si="93"/>
        <v>39</v>
      </c>
      <c r="B1063" s="19">
        <v>68627</v>
      </c>
      <c r="C1063" s="16" t="str">
        <f>TEXT(117796,"0000000")</f>
        <v>0117796</v>
      </c>
      <c r="D1063" s="19">
        <v>1003</v>
      </c>
      <c r="E1063" s="16" t="s">
        <v>2440</v>
      </c>
      <c r="F1063" s="16" t="s">
        <v>5</v>
      </c>
      <c r="G1063" s="35" t="s">
        <v>2441</v>
      </c>
      <c r="H1063" s="39">
        <v>0</v>
      </c>
      <c r="I1063" s="39">
        <v>0</v>
      </c>
      <c r="J1063" s="39">
        <v>0</v>
      </c>
      <c r="K1063" s="39">
        <v>0</v>
      </c>
      <c r="L1063" s="39">
        <v>0</v>
      </c>
      <c r="M1063" s="39">
        <v>0</v>
      </c>
      <c r="N1063" s="39">
        <v>0</v>
      </c>
      <c r="O1063" s="39">
        <v>0</v>
      </c>
      <c r="P1063" s="39">
        <v>0</v>
      </c>
      <c r="Q1063" s="39">
        <v>0</v>
      </c>
      <c r="R1063" s="39">
        <v>0</v>
      </c>
      <c r="S1063" s="39">
        <v>0</v>
      </c>
      <c r="T1063" s="39">
        <v>0</v>
      </c>
      <c r="U1063" s="39">
        <v>0</v>
      </c>
      <c r="V1063" s="39">
        <v>0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203</v>
      </c>
      <c r="AD1063" s="39">
        <v>219.03</v>
      </c>
      <c r="AE1063" s="39">
        <v>219.1</v>
      </c>
      <c r="AF1063" s="39">
        <v>0</v>
      </c>
      <c r="AG1063" s="39">
        <v>0</v>
      </c>
      <c r="AH1063" s="39">
        <v>0</v>
      </c>
      <c r="AI1063" s="39">
        <v>203</v>
      </c>
      <c r="AJ1063" s="39">
        <v>219.03</v>
      </c>
      <c r="AK1063" s="39">
        <v>219.1</v>
      </c>
      <c r="AL1063" s="39">
        <v>0</v>
      </c>
      <c r="AM1063" s="39">
        <v>0</v>
      </c>
      <c r="AN1063" s="39">
        <v>0</v>
      </c>
      <c r="AO1063" s="39">
        <v>203</v>
      </c>
      <c r="AP1063" s="39">
        <v>219.03</v>
      </c>
      <c r="AQ1063" s="39">
        <v>219.1</v>
      </c>
      <c r="AR1063" s="39">
        <v>219.1</v>
      </c>
    </row>
    <row r="1064" spans="1:44" x14ac:dyDescent="0.35">
      <c r="A1064" s="16" t="str">
        <f t="shared" si="93"/>
        <v>39</v>
      </c>
      <c r="B1064" s="19">
        <v>68627</v>
      </c>
      <c r="C1064" s="16" t="str">
        <f>TEXT(127191,"0000000")</f>
        <v>0127191</v>
      </c>
      <c r="D1064" s="19">
        <v>1489</v>
      </c>
      <c r="E1064" s="16" t="s">
        <v>2444</v>
      </c>
      <c r="F1064" s="16" t="s">
        <v>5</v>
      </c>
      <c r="G1064" s="35" t="s">
        <v>2445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3145.31</v>
      </c>
      <c r="AD1064" s="39">
        <v>2866.64</v>
      </c>
      <c r="AE1064" s="39">
        <v>2521.54</v>
      </c>
      <c r="AF1064" s="39">
        <v>0</v>
      </c>
      <c r="AG1064" s="39">
        <v>0</v>
      </c>
      <c r="AH1064" s="39">
        <v>0</v>
      </c>
      <c r="AI1064" s="39">
        <v>3145.31</v>
      </c>
      <c r="AJ1064" s="39">
        <v>2866.64</v>
      </c>
      <c r="AK1064" s="39">
        <v>2521.54</v>
      </c>
      <c r="AL1064" s="39">
        <v>0</v>
      </c>
      <c r="AM1064" s="39">
        <v>0</v>
      </c>
      <c r="AN1064" s="39">
        <v>0</v>
      </c>
      <c r="AO1064" s="39">
        <v>3145.31</v>
      </c>
      <c r="AP1064" s="39">
        <v>2866.64</v>
      </c>
      <c r="AQ1064" s="39">
        <v>2521.54</v>
      </c>
      <c r="AR1064" s="39">
        <v>3145.31</v>
      </c>
    </row>
    <row r="1065" spans="1:44" x14ac:dyDescent="0.35">
      <c r="A1065" s="16" t="str">
        <f t="shared" si="93"/>
        <v>39</v>
      </c>
      <c r="B1065" s="19">
        <v>68627</v>
      </c>
      <c r="C1065" s="16" t="str">
        <f>TEXT(129890,"0000000")</f>
        <v>0129890</v>
      </c>
      <c r="D1065" s="19">
        <v>1646</v>
      </c>
      <c r="E1065" s="16" t="s">
        <v>2446</v>
      </c>
      <c r="F1065" s="16" t="s">
        <v>5</v>
      </c>
      <c r="G1065" s="35" t="s">
        <v>2447</v>
      </c>
      <c r="H1065" s="39">
        <v>0</v>
      </c>
      <c r="I1065" s="39">
        <v>0</v>
      </c>
      <c r="J1065" s="39">
        <v>0</v>
      </c>
      <c r="K1065" s="39">
        <v>0</v>
      </c>
      <c r="L1065" s="39">
        <v>0</v>
      </c>
      <c r="M1065" s="39">
        <v>0</v>
      </c>
      <c r="N1065" s="39">
        <v>0</v>
      </c>
      <c r="O1065" s="39">
        <v>0</v>
      </c>
      <c r="P1065" s="39">
        <v>0</v>
      </c>
      <c r="Q1065" s="39">
        <v>0</v>
      </c>
      <c r="R1065" s="39">
        <v>0</v>
      </c>
      <c r="S1065" s="39">
        <v>0</v>
      </c>
      <c r="T1065" s="39">
        <v>0</v>
      </c>
      <c r="U1065" s="39">
        <v>0</v>
      </c>
      <c r="V1065" s="39">
        <v>0</v>
      </c>
      <c r="W1065" s="39">
        <v>0</v>
      </c>
      <c r="X1065" s="39">
        <v>0</v>
      </c>
      <c r="Y1065" s="39">
        <v>0</v>
      </c>
      <c r="Z1065" s="39">
        <v>0</v>
      </c>
      <c r="AA1065" s="39">
        <v>0</v>
      </c>
      <c r="AB1065" s="39">
        <v>0</v>
      </c>
      <c r="AC1065" s="39">
        <v>257.02999999999997</v>
      </c>
      <c r="AD1065" s="39">
        <v>243.56</v>
      </c>
      <c r="AE1065" s="39">
        <v>256.42</v>
      </c>
      <c r="AF1065" s="39">
        <v>0</v>
      </c>
      <c r="AG1065" s="39">
        <v>0</v>
      </c>
      <c r="AH1065" s="39">
        <v>0</v>
      </c>
      <c r="AI1065" s="39">
        <v>257.02999999999997</v>
      </c>
      <c r="AJ1065" s="39">
        <v>243.56</v>
      </c>
      <c r="AK1065" s="39">
        <v>256.42</v>
      </c>
      <c r="AL1065" s="39">
        <v>0</v>
      </c>
      <c r="AM1065" s="39">
        <v>0</v>
      </c>
      <c r="AN1065" s="39">
        <v>0</v>
      </c>
      <c r="AO1065" s="39">
        <v>257.02999999999997</v>
      </c>
      <c r="AP1065" s="39">
        <v>243.56</v>
      </c>
      <c r="AQ1065" s="39">
        <v>256.42</v>
      </c>
      <c r="AR1065" s="39">
        <v>257.02999999999997</v>
      </c>
    </row>
    <row r="1066" spans="1:44" x14ac:dyDescent="0.35">
      <c r="A1066" s="16" t="str">
        <f t="shared" si="93"/>
        <v>39</v>
      </c>
      <c r="B1066" s="19">
        <v>68627</v>
      </c>
      <c r="C1066" s="16" t="str">
        <f>TEXT(129916,"0000000")</f>
        <v>0129916</v>
      </c>
      <c r="D1066" s="19">
        <v>1644</v>
      </c>
      <c r="E1066" s="16" t="s">
        <v>2448</v>
      </c>
      <c r="F1066" s="16" t="s">
        <v>5</v>
      </c>
      <c r="G1066" s="35" t="s">
        <v>2449</v>
      </c>
      <c r="H1066" s="39">
        <v>0</v>
      </c>
      <c r="I1066" s="39">
        <v>0</v>
      </c>
      <c r="J1066" s="39">
        <v>0</v>
      </c>
      <c r="K1066" s="39">
        <v>0</v>
      </c>
      <c r="L1066" s="39">
        <v>0</v>
      </c>
      <c r="M1066" s="39">
        <v>0</v>
      </c>
      <c r="N1066" s="39">
        <v>0</v>
      </c>
      <c r="O1066" s="39">
        <v>0</v>
      </c>
      <c r="P1066" s="39">
        <v>0</v>
      </c>
      <c r="Q1066" s="39">
        <v>0</v>
      </c>
      <c r="R1066" s="39">
        <v>0</v>
      </c>
      <c r="S1066" s="39">
        <v>0</v>
      </c>
      <c r="T1066" s="39">
        <v>0</v>
      </c>
      <c r="U1066" s="39">
        <v>0</v>
      </c>
      <c r="V1066" s="39">
        <v>0</v>
      </c>
      <c r="W1066" s="39">
        <v>0</v>
      </c>
      <c r="X1066" s="39">
        <v>0</v>
      </c>
      <c r="Y1066" s="39">
        <v>0</v>
      </c>
      <c r="Z1066" s="39">
        <v>0</v>
      </c>
      <c r="AA1066" s="39">
        <v>0</v>
      </c>
      <c r="AB1066" s="39">
        <v>0</v>
      </c>
      <c r="AC1066" s="39">
        <v>640.5</v>
      </c>
      <c r="AD1066" s="39">
        <v>661.14</v>
      </c>
      <c r="AE1066" s="39">
        <v>605.46</v>
      </c>
      <c r="AF1066" s="39">
        <v>0</v>
      </c>
      <c r="AG1066" s="39">
        <v>0</v>
      </c>
      <c r="AH1066" s="39">
        <v>0</v>
      </c>
      <c r="AI1066" s="39">
        <v>640.5</v>
      </c>
      <c r="AJ1066" s="39">
        <v>661.14</v>
      </c>
      <c r="AK1066" s="39">
        <v>605.46</v>
      </c>
      <c r="AL1066" s="39">
        <v>0</v>
      </c>
      <c r="AM1066" s="39">
        <v>0</v>
      </c>
      <c r="AN1066" s="39">
        <v>0</v>
      </c>
      <c r="AO1066" s="39">
        <v>640.5</v>
      </c>
      <c r="AP1066" s="39">
        <v>661.14</v>
      </c>
      <c r="AQ1066" s="39">
        <v>605.46</v>
      </c>
      <c r="AR1066" s="39">
        <v>661.14</v>
      </c>
    </row>
    <row r="1067" spans="1:44" x14ac:dyDescent="0.35">
      <c r="A1067" s="16" t="str">
        <f t="shared" si="93"/>
        <v>39</v>
      </c>
      <c r="B1067" s="19">
        <v>68627</v>
      </c>
      <c r="C1067" s="16" t="str">
        <f>TEXT(132050,"0000000")</f>
        <v>0132050</v>
      </c>
      <c r="D1067" s="19">
        <v>1731</v>
      </c>
      <c r="E1067" s="16" t="s">
        <v>2450</v>
      </c>
      <c r="F1067" s="16" t="s">
        <v>5</v>
      </c>
      <c r="G1067" s="35" t="s">
        <v>2451</v>
      </c>
      <c r="H1067" s="39">
        <v>0</v>
      </c>
      <c r="I1067" s="39">
        <v>0</v>
      </c>
      <c r="J1067" s="39">
        <v>0</v>
      </c>
      <c r="K1067" s="39">
        <v>0</v>
      </c>
      <c r="L1067" s="39">
        <v>0</v>
      </c>
      <c r="M1067" s="39">
        <v>0</v>
      </c>
      <c r="N1067" s="39">
        <v>0</v>
      </c>
      <c r="O1067" s="39">
        <v>0</v>
      </c>
      <c r="P1067" s="39">
        <v>0</v>
      </c>
      <c r="Q1067" s="39">
        <v>0</v>
      </c>
      <c r="R1067" s="39">
        <v>0</v>
      </c>
      <c r="S1067" s="39">
        <v>0</v>
      </c>
      <c r="T1067" s="39">
        <v>0</v>
      </c>
      <c r="U1067" s="39">
        <v>0</v>
      </c>
      <c r="V1067" s="39">
        <v>0</v>
      </c>
      <c r="W1067" s="39">
        <v>0</v>
      </c>
      <c r="X1067" s="39">
        <v>0</v>
      </c>
      <c r="Y1067" s="39">
        <v>0</v>
      </c>
      <c r="Z1067" s="39">
        <v>0</v>
      </c>
      <c r="AA1067" s="39">
        <v>0</v>
      </c>
      <c r="AB1067" s="39">
        <v>0</v>
      </c>
      <c r="AC1067" s="39">
        <v>192.57</v>
      </c>
      <c r="AD1067" s="39">
        <v>188.09</v>
      </c>
      <c r="AE1067" s="39">
        <v>186.36</v>
      </c>
      <c r="AF1067" s="39">
        <v>0</v>
      </c>
      <c r="AG1067" s="39">
        <v>0</v>
      </c>
      <c r="AH1067" s="39">
        <v>0</v>
      </c>
      <c r="AI1067" s="39">
        <v>192.57</v>
      </c>
      <c r="AJ1067" s="39">
        <v>188.09</v>
      </c>
      <c r="AK1067" s="39">
        <v>186.36</v>
      </c>
      <c r="AL1067" s="39">
        <v>0</v>
      </c>
      <c r="AM1067" s="39">
        <v>0</v>
      </c>
      <c r="AN1067" s="39">
        <v>0</v>
      </c>
      <c r="AO1067" s="39">
        <v>192.57</v>
      </c>
      <c r="AP1067" s="39">
        <v>188.09</v>
      </c>
      <c r="AQ1067" s="39">
        <v>186.36</v>
      </c>
      <c r="AR1067" s="39">
        <v>192.57</v>
      </c>
    </row>
    <row r="1068" spans="1:44" x14ac:dyDescent="0.35">
      <c r="A1068" s="16" t="str">
        <f>TEXT(1,"00")</f>
        <v>01</v>
      </c>
      <c r="B1068" s="19">
        <v>61259</v>
      </c>
      <c r="C1068" s="16" t="str">
        <f>TEXT(130732,"0000000")</f>
        <v>0130732</v>
      </c>
      <c r="D1068" s="19">
        <v>1663</v>
      </c>
      <c r="E1068" s="16" t="s">
        <v>127</v>
      </c>
      <c r="F1068" s="16" t="s">
        <v>5</v>
      </c>
      <c r="G1068" s="35" t="s">
        <v>128</v>
      </c>
      <c r="H1068" s="39">
        <v>0</v>
      </c>
      <c r="I1068" s="39">
        <v>0</v>
      </c>
      <c r="J1068" s="39">
        <v>0</v>
      </c>
      <c r="K1068" s="39">
        <v>0</v>
      </c>
      <c r="L1068" s="39">
        <v>0</v>
      </c>
      <c r="M1068" s="39">
        <v>0</v>
      </c>
      <c r="N1068" s="39">
        <v>0</v>
      </c>
      <c r="O1068" s="39">
        <v>0</v>
      </c>
      <c r="P1068" s="39">
        <v>0</v>
      </c>
      <c r="Q1068" s="39">
        <v>0</v>
      </c>
      <c r="R1068" s="39">
        <v>0</v>
      </c>
      <c r="S1068" s="39">
        <v>0</v>
      </c>
      <c r="T1068" s="39">
        <v>0</v>
      </c>
      <c r="U1068" s="39">
        <v>0</v>
      </c>
      <c r="V1068" s="39">
        <v>0</v>
      </c>
      <c r="W1068" s="39">
        <v>0</v>
      </c>
      <c r="X1068" s="39">
        <v>0</v>
      </c>
      <c r="Y1068" s="39">
        <v>0</v>
      </c>
      <c r="Z1068" s="39">
        <v>0</v>
      </c>
      <c r="AA1068" s="39">
        <v>0</v>
      </c>
      <c r="AB1068" s="39">
        <v>0</v>
      </c>
      <c r="AC1068" s="39">
        <v>191.98</v>
      </c>
      <c r="AD1068" s="39">
        <v>214.19</v>
      </c>
      <c r="AE1068" s="39">
        <v>208.06</v>
      </c>
      <c r="AF1068" s="39">
        <v>0</v>
      </c>
      <c r="AG1068" s="39">
        <v>0</v>
      </c>
      <c r="AH1068" s="39">
        <v>0</v>
      </c>
      <c r="AI1068" s="39">
        <v>191.98</v>
      </c>
      <c r="AJ1068" s="39">
        <v>214.19</v>
      </c>
      <c r="AK1068" s="39">
        <v>208.06</v>
      </c>
      <c r="AL1068" s="39">
        <v>0</v>
      </c>
      <c r="AM1068" s="39">
        <v>0</v>
      </c>
      <c r="AN1068" s="39">
        <v>0</v>
      </c>
      <c r="AO1068" s="39">
        <v>191.98</v>
      </c>
      <c r="AP1068" s="39">
        <v>214.19</v>
      </c>
      <c r="AQ1068" s="39">
        <v>208.06</v>
      </c>
      <c r="AR1068" s="39">
        <v>214.19</v>
      </c>
    </row>
    <row r="1069" spans="1:44" x14ac:dyDescent="0.35">
      <c r="A1069" s="16" t="str">
        <f t="shared" ref="A1069:A1078" si="94">TEXT(39,"00")</f>
        <v>39</v>
      </c>
      <c r="B1069" s="19">
        <v>68627</v>
      </c>
      <c r="C1069" s="16" t="str">
        <f>TEXT(133116,"0000000")</f>
        <v>0133116</v>
      </c>
      <c r="D1069" s="19">
        <v>1762</v>
      </c>
      <c r="E1069" s="16" t="s">
        <v>2452</v>
      </c>
      <c r="F1069" s="16" t="s">
        <v>5</v>
      </c>
      <c r="G1069" s="35" t="s">
        <v>2453</v>
      </c>
      <c r="H1069" s="39">
        <v>0</v>
      </c>
      <c r="I1069" s="39">
        <v>0</v>
      </c>
      <c r="J1069" s="39">
        <v>0</v>
      </c>
      <c r="K1069" s="39">
        <v>0</v>
      </c>
      <c r="L1069" s="39">
        <v>0</v>
      </c>
      <c r="M1069" s="39">
        <v>0</v>
      </c>
      <c r="N1069" s="39">
        <v>0</v>
      </c>
      <c r="O1069" s="39">
        <v>0</v>
      </c>
      <c r="P1069" s="39">
        <v>0</v>
      </c>
      <c r="Q1069" s="39">
        <v>0</v>
      </c>
      <c r="R1069" s="39">
        <v>0</v>
      </c>
      <c r="S1069" s="39">
        <v>0</v>
      </c>
      <c r="T1069" s="39">
        <v>0</v>
      </c>
      <c r="U1069" s="39">
        <v>0</v>
      </c>
      <c r="V1069" s="39">
        <v>0</v>
      </c>
      <c r="W1069" s="39">
        <v>0</v>
      </c>
      <c r="X1069" s="39">
        <v>0</v>
      </c>
      <c r="Y1069" s="39">
        <v>0</v>
      </c>
      <c r="Z1069" s="39">
        <v>0</v>
      </c>
      <c r="AA1069" s="39">
        <v>0</v>
      </c>
      <c r="AB1069" s="39">
        <v>0</v>
      </c>
      <c r="AC1069" s="39">
        <v>346.5</v>
      </c>
      <c r="AD1069" s="39">
        <v>259.11</v>
      </c>
      <c r="AE1069" s="39">
        <v>185.12</v>
      </c>
      <c r="AF1069" s="39">
        <v>0</v>
      </c>
      <c r="AG1069" s="39">
        <v>0</v>
      </c>
      <c r="AH1069" s="39">
        <v>0</v>
      </c>
      <c r="AI1069" s="39">
        <v>346.5</v>
      </c>
      <c r="AJ1069" s="39">
        <v>259.11</v>
      </c>
      <c r="AK1069" s="39">
        <v>185.12</v>
      </c>
      <c r="AL1069" s="39">
        <v>0</v>
      </c>
      <c r="AM1069" s="39">
        <v>0</v>
      </c>
      <c r="AN1069" s="39">
        <v>0</v>
      </c>
      <c r="AO1069" s="39">
        <v>346.5</v>
      </c>
      <c r="AP1069" s="39">
        <v>259.11</v>
      </c>
      <c r="AQ1069" s="39">
        <v>185.12</v>
      </c>
      <c r="AR1069" s="39">
        <v>346.5</v>
      </c>
    </row>
    <row r="1070" spans="1:44" x14ac:dyDescent="0.35">
      <c r="A1070" s="16" t="str">
        <f t="shared" si="94"/>
        <v>39</v>
      </c>
      <c r="B1070" s="19">
        <v>68627</v>
      </c>
      <c r="C1070" s="16" t="str">
        <f>TEXT(136028,"0000000")</f>
        <v>0136028</v>
      </c>
      <c r="D1070" s="19">
        <v>1878</v>
      </c>
      <c r="E1070" s="16" t="s">
        <v>2454</v>
      </c>
      <c r="F1070" s="16" t="s">
        <v>5</v>
      </c>
      <c r="G1070" s="35" t="s">
        <v>2455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147.35</v>
      </c>
      <c r="AD1070" s="39">
        <v>130.41999999999999</v>
      </c>
      <c r="AE1070" s="39">
        <v>129.06</v>
      </c>
      <c r="AF1070" s="39">
        <v>0</v>
      </c>
      <c r="AG1070" s="39">
        <v>0</v>
      </c>
      <c r="AH1070" s="39">
        <v>0</v>
      </c>
      <c r="AI1070" s="39">
        <v>147.35</v>
      </c>
      <c r="AJ1070" s="39">
        <v>130.41999999999999</v>
      </c>
      <c r="AK1070" s="39">
        <v>129.06</v>
      </c>
      <c r="AL1070" s="39">
        <v>0</v>
      </c>
      <c r="AM1070" s="39">
        <v>0</v>
      </c>
      <c r="AN1070" s="39">
        <v>0</v>
      </c>
      <c r="AO1070" s="39">
        <v>147.35</v>
      </c>
      <c r="AP1070" s="39">
        <v>130.41999999999999</v>
      </c>
      <c r="AQ1070" s="39">
        <v>129.06</v>
      </c>
      <c r="AR1070" s="39">
        <v>147.35</v>
      </c>
    </row>
    <row r="1071" spans="1:44" x14ac:dyDescent="0.35">
      <c r="A1071" s="16" t="str">
        <f t="shared" si="94"/>
        <v>39</v>
      </c>
      <c r="B1071" s="19">
        <v>68627</v>
      </c>
      <c r="C1071" s="16" t="str">
        <f>TEXT(136135,"0000000")</f>
        <v>0136135</v>
      </c>
      <c r="D1071" s="19">
        <v>1879</v>
      </c>
      <c r="E1071" s="16" t="s">
        <v>2456</v>
      </c>
      <c r="F1071" s="16" t="s">
        <v>5</v>
      </c>
      <c r="G1071" s="35" t="s">
        <v>2457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216.2</v>
      </c>
      <c r="AD1071" s="39">
        <v>240.89</v>
      </c>
      <c r="AE1071" s="39">
        <v>257.39</v>
      </c>
      <c r="AF1071" s="39">
        <v>0</v>
      </c>
      <c r="AG1071" s="39">
        <v>0</v>
      </c>
      <c r="AH1071" s="39">
        <v>0</v>
      </c>
      <c r="AI1071" s="39">
        <v>216.2</v>
      </c>
      <c r="AJ1071" s="39">
        <v>240.89</v>
      </c>
      <c r="AK1071" s="39">
        <v>257.39</v>
      </c>
      <c r="AL1071" s="39">
        <v>0</v>
      </c>
      <c r="AM1071" s="39">
        <v>0</v>
      </c>
      <c r="AN1071" s="39">
        <v>0</v>
      </c>
      <c r="AO1071" s="39">
        <v>216.2</v>
      </c>
      <c r="AP1071" s="39">
        <v>240.89</v>
      </c>
      <c r="AQ1071" s="39">
        <v>257.39</v>
      </c>
      <c r="AR1071" s="39">
        <v>257.39</v>
      </c>
    </row>
    <row r="1072" spans="1:44" x14ac:dyDescent="0.35">
      <c r="A1072" s="16" t="str">
        <f t="shared" si="94"/>
        <v>39</v>
      </c>
      <c r="B1072" s="19">
        <v>68627</v>
      </c>
      <c r="C1072" s="16" t="str">
        <f>TEXT(6119309,"0000000")</f>
        <v>6119309</v>
      </c>
      <c r="D1072" s="17" t="s">
        <v>2460</v>
      </c>
      <c r="E1072" s="16" t="s">
        <v>2458</v>
      </c>
      <c r="F1072" s="16" t="s">
        <v>5</v>
      </c>
      <c r="G1072" s="35" t="s">
        <v>2459</v>
      </c>
      <c r="H1072" s="39">
        <v>0</v>
      </c>
      <c r="I1072" s="39">
        <v>0</v>
      </c>
      <c r="J1072" s="39">
        <v>0</v>
      </c>
      <c r="K1072" s="39">
        <v>0</v>
      </c>
      <c r="L1072" s="39">
        <v>0</v>
      </c>
      <c r="M1072" s="39">
        <v>0</v>
      </c>
      <c r="N1072" s="39">
        <v>0</v>
      </c>
      <c r="O1072" s="39">
        <v>0</v>
      </c>
      <c r="P1072" s="39">
        <v>0</v>
      </c>
      <c r="Q1072" s="39">
        <v>0</v>
      </c>
      <c r="R1072" s="39">
        <v>0</v>
      </c>
      <c r="S1072" s="39">
        <v>0</v>
      </c>
      <c r="T1072" s="39">
        <v>0</v>
      </c>
      <c r="U1072" s="39">
        <v>0</v>
      </c>
      <c r="V1072" s="39">
        <v>0</v>
      </c>
      <c r="W1072" s="39">
        <v>0</v>
      </c>
      <c r="X1072" s="39">
        <v>0</v>
      </c>
      <c r="Y1072" s="39">
        <v>0</v>
      </c>
      <c r="Z1072" s="39">
        <v>0</v>
      </c>
      <c r="AA1072" s="39">
        <v>0</v>
      </c>
      <c r="AB1072" s="39">
        <v>0</v>
      </c>
      <c r="AC1072" s="39">
        <v>735.11</v>
      </c>
      <c r="AD1072" s="39">
        <v>782.12</v>
      </c>
      <c r="AE1072" s="39">
        <v>774</v>
      </c>
      <c r="AF1072" s="39">
        <v>0</v>
      </c>
      <c r="AG1072" s="39">
        <v>0</v>
      </c>
      <c r="AH1072" s="39">
        <v>0</v>
      </c>
      <c r="AI1072" s="39">
        <v>735.11</v>
      </c>
      <c r="AJ1072" s="39">
        <v>782.12</v>
      </c>
      <c r="AK1072" s="39">
        <v>774</v>
      </c>
      <c r="AL1072" s="39">
        <v>0</v>
      </c>
      <c r="AM1072" s="39">
        <v>0</v>
      </c>
      <c r="AN1072" s="39">
        <v>0</v>
      </c>
      <c r="AO1072" s="39">
        <v>735.11</v>
      </c>
      <c r="AP1072" s="39">
        <v>782.12</v>
      </c>
      <c r="AQ1072" s="39">
        <v>774</v>
      </c>
      <c r="AR1072" s="39">
        <v>782.12</v>
      </c>
    </row>
    <row r="1073" spans="1:44" ht="31" x14ac:dyDescent="0.35">
      <c r="A1073" s="16" t="str">
        <f t="shared" si="94"/>
        <v>39</v>
      </c>
      <c r="B1073" s="19">
        <v>68650</v>
      </c>
      <c r="C1073" s="16" t="str">
        <f>TEXT(125849,"0000000")</f>
        <v>0125849</v>
      </c>
      <c r="D1073" s="19">
        <v>1398</v>
      </c>
      <c r="E1073" s="16" t="s">
        <v>2465</v>
      </c>
      <c r="F1073" s="16" t="s">
        <v>5</v>
      </c>
      <c r="G1073" s="35" t="s">
        <v>2466</v>
      </c>
      <c r="H1073" s="39">
        <v>0</v>
      </c>
      <c r="I1073" s="39">
        <v>0</v>
      </c>
      <c r="J1073" s="39">
        <v>0</v>
      </c>
      <c r="K1073" s="39">
        <v>0</v>
      </c>
      <c r="L1073" s="39">
        <v>0</v>
      </c>
      <c r="M1073" s="39">
        <v>0</v>
      </c>
      <c r="N1073" s="39">
        <v>0</v>
      </c>
      <c r="O1073" s="39">
        <v>0</v>
      </c>
      <c r="P1073" s="39">
        <v>0</v>
      </c>
      <c r="Q1073" s="39">
        <v>0</v>
      </c>
      <c r="R1073" s="39">
        <v>0</v>
      </c>
      <c r="S1073" s="39">
        <v>0</v>
      </c>
      <c r="T1073" s="39">
        <v>0</v>
      </c>
      <c r="U1073" s="39">
        <v>0</v>
      </c>
      <c r="V1073" s="39">
        <v>0</v>
      </c>
      <c r="W1073" s="39">
        <v>0</v>
      </c>
      <c r="X1073" s="39">
        <v>0</v>
      </c>
      <c r="Y1073" s="39">
        <v>0</v>
      </c>
      <c r="Z1073" s="39">
        <v>0</v>
      </c>
      <c r="AA1073" s="39">
        <v>0</v>
      </c>
      <c r="AB1073" s="39">
        <v>0</v>
      </c>
      <c r="AC1073" s="39">
        <v>1535.18</v>
      </c>
      <c r="AD1073" s="39">
        <v>1725.99</v>
      </c>
      <c r="AE1073" s="39">
        <v>1664.09</v>
      </c>
      <c r="AF1073" s="39">
        <v>0</v>
      </c>
      <c r="AG1073" s="39">
        <v>0</v>
      </c>
      <c r="AH1073" s="39">
        <v>0</v>
      </c>
      <c r="AI1073" s="39">
        <v>1535.18</v>
      </c>
      <c r="AJ1073" s="39">
        <v>1725.99</v>
      </c>
      <c r="AK1073" s="39">
        <v>1664.09</v>
      </c>
      <c r="AL1073" s="39">
        <v>0</v>
      </c>
      <c r="AM1073" s="39">
        <v>0</v>
      </c>
      <c r="AN1073" s="39">
        <v>0</v>
      </c>
      <c r="AO1073" s="39">
        <v>1535.18</v>
      </c>
      <c r="AP1073" s="39">
        <v>1725.99</v>
      </c>
      <c r="AQ1073" s="39">
        <v>1664.09</v>
      </c>
      <c r="AR1073" s="39">
        <v>1725.99</v>
      </c>
    </row>
    <row r="1074" spans="1:44" x14ac:dyDescent="0.35">
      <c r="A1074" s="16" t="str">
        <f t="shared" si="94"/>
        <v>39</v>
      </c>
      <c r="B1074" s="19">
        <v>68676</v>
      </c>
      <c r="C1074" s="16" t="str">
        <f>TEXT(108647,"0000000")</f>
        <v>0108647</v>
      </c>
      <c r="D1074" s="17" t="s">
        <v>2471</v>
      </c>
      <c r="E1074" s="16" t="s">
        <v>2469</v>
      </c>
      <c r="F1074" s="16" t="s">
        <v>5</v>
      </c>
      <c r="G1074" s="35" t="s">
        <v>2470</v>
      </c>
      <c r="H1074" s="39">
        <v>0</v>
      </c>
      <c r="I1074" s="39">
        <v>0</v>
      </c>
      <c r="J1074" s="39">
        <v>0</v>
      </c>
      <c r="K1074" s="39">
        <v>0</v>
      </c>
      <c r="L1074" s="39">
        <v>0</v>
      </c>
      <c r="M1074" s="39">
        <v>0</v>
      </c>
      <c r="N1074" s="39">
        <v>0</v>
      </c>
      <c r="O1074" s="39">
        <v>0</v>
      </c>
      <c r="P1074" s="39">
        <v>0</v>
      </c>
      <c r="Q1074" s="39">
        <v>0</v>
      </c>
      <c r="R1074" s="39">
        <v>0</v>
      </c>
      <c r="S1074" s="39">
        <v>0</v>
      </c>
      <c r="T1074" s="39">
        <v>0</v>
      </c>
      <c r="U1074" s="39">
        <v>0</v>
      </c>
      <c r="V1074" s="39">
        <v>0</v>
      </c>
      <c r="W1074" s="39">
        <v>0</v>
      </c>
      <c r="X1074" s="39">
        <v>0</v>
      </c>
      <c r="Y1074" s="39">
        <v>0</v>
      </c>
      <c r="Z1074" s="39">
        <v>0</v>
      </c>
      <c r="AA1074" s="39">
        <v>0</v>
      </c>
      <c r="AB1074" s="39">
        <v>0</v>
      </c>
      <c r="AC1074" s="39">
        <v>370.45</v>
      </c>
      <c r="AD1074" s="39">
        <v>368.47</v>
      </c>
      <c r="AE1074" s="39">
        <v>345.33</v>
      </c>
      <c r="AF1074" s="39">
        <v>0</v>
      </c>
      <c r="AG1074" s="39">
        <v>0</v>
      </c>
      <c r="AH1074" s="39">
        <v>0</v>
      </c>
      <c r="AI1074" s="39">
        <v>370.45</v>
      </c>
      <c r="AJ1074" s="39">
        <v>368.47</v>
      </c>
      <c r="AK1074" s="39">
        <v>345.33</v>
      </c>
      <c r="AL1074" s="39">
        <v>0</v>
      </c>
      <c r="AM1074" s="39">
        <v>0</v>
      </c>
      <c r="AN1074" s="39">
        <v>0</v>
      </c>
      <c r="AO1074" s="39">
        <v>370.45</v>
      </c>
      <c r="AP1074" s="39">
        <v>368.47</v>
      </c>
      <c r="AQ1074" s="39">
        <v>345.33</v>
      </c>
      <c r="AR1074" s="39">
        <v>370.45</v>
      </c>
    </row>
    <row r="1075" spans="1:44" x14ac:dyDescent="0.35">
      <c r="A1075" s="16" t="str">
        <f t="shared" si="94"/>
        <v>39</v>
      </c>
      <c r="B1075" s="19">
        <v>68676</v>
      </c>
      <c r="C1075" s="16" t="str">
        <f>TEXT(114876,"0000000")</f>
        <v>0114876</v>
      </c>
      <c r="D1075" s="19">
        <v>1553</v>
      </c>
      <c r="E1075" s="16" t="s">
        <v>2472</v>
      </c>
      <c r="F1075" s="16" t="s">
        <v>5</v>
      </c>
      <c r="G1075" s="35" t="s">
        <v>2473</v>
      </c>
      <c r="H1075" s="39">
        <v>0</v>
      </c>
      <c r="I1075" s="39">
        <v>0</v>
      </c>
      <c r="J1075" s="39">
        <v>0</v>
      </c>
      <c r="K1075" s="39">
        <v>0</v>
      </c>
      <c r="L1075" s="39">
        <v>0</v>
      </c>
      <c r="M1075" s="39">
        <v>0</v>
      </c>
      <c r="N1075" s="39">
        <v>0</v>
      </c>
      <c r="O1075" s="39">
        <v>0</v>
      </c>
      <c r="P1075" s="39">
        <v>0</v>
      </c>
      <c r="Q1075" s="39">
        <v>0</v>
      </c>
      <c r="R1075" s="39">
        <v>0</v>
      </c>
      <c r="S1075" s="39">
        <v>0</v>
      </c>
      <c r="T1075" s="39">
        <v>0</v>
      </c>
      <c r="U1075" s="39">
        <v>0</v>
      </c>
      <c r="V1075" s="39">
        <v>0</v>
      </c>
      <c r="W1075" s="39">
        <v>0</v>
      </c>
      <c r="X1075" s="39">
        <v>0</v>
      </c>
      <c r="Y1075" s="39">
        <v>0</v>
      </c>
      <c r="Z1075" s="39">
        <v>0</v>
      </c>
      <c r="AA1075" s="39">
        <v>0</v>
      </c>
      <c r="AB1075" s="39">
        <v>0</v>
      </c>
      <c r="AC1075" s="39">
        <v>411.31</v>
      </c>
      <c r="AD1075" s="39">
        <v>414.61</v>
      </c>
      <c r="AE1075" s="39">
        <v>395.25</v>
      </c>
      <c r="AF1075" s="39">
        <v>0</v>
      </c>
      <c r="AG1075" s="39">
        <v>0</v>
      </c>
      <c r="AH1075" s="39">
        <v>0</v>
      </c>
      <c r="AI1075" s="39">
        <v>411.31</v>
      </c>
      <c r="AJ1075" s="39">
        <v>414.61</v>
      </c>
      <c r="AK1075" s="39">
        <v>395.25</v>
      </c>
      <c r="AL1075" s="39">
        <v>0</v>
      </c>
      <c r="AM1075" s="39">
        <v>0</v>
      </c>
      <c r="AN1075" s="39">
        <v>0</v>
      </c>
      <c r="AO1075" s="39">
        <v>411.31</v>
      </c>
      <c r="AP1075" s="39">
        <v>414.61</v>
      </c>
      <c r="AQ1075" s="39">
        <v>395.25</v>
      </c>
      <c r="AR1075" s="39">
        <v>414.61</v>
      </c>
    </row>
    <row r="1076" spans="1:44" x14ac:dyDescent="0.35">
      <c r="A1076" s="16" t="str">
        <f t="shared" si="94"/>
        <v>39</v>
      </c>
      <c r="B1076" s="19">
        <v>68676</v>
      </c>
      <c r="C1076" s="16" t="str">
        <f>TEXT(117853,"0000000")</f>
        <v>0117853</v>
      </c>
      <c r="D1076" s="19">
        <v>1027</v>
      </c>
      <c r="E1076" s="16" t="s">
        <v>2474</v>
      </c>
      <c r="F1076" s="16" t="s">
        <v>5</v>
      </c>
      <c r="G1076" s="35" t="s">
        <v>2475</v>
      </c>
      <c r="H1076" s="39">
        <v>0</v>
      </c>
      <c r="I1076" s="39">
        <v>0</v>
      </c>
      <c r="J1076" s="39">
        <v>0</v>
      </c>
      <c r="K1076" s="39">
        <v>0</v>
      </c>
      <c r="L1076" s="39">
        <v>0</v>
      </c>
      <c r="M1076" s="39">
        <v>0</v>
      </c>
      <c r="N1076" s="39">
        <v>0</v>
      </c>
      <c r="O1076" s="39">
        <v>0</v>
      </c>
      <c r="P1076" s="39">
        <v>0</v>
      </c>
      <c r="Q1076" s="39">
        <v>0</v>
      </c>
      <c r="R1076" s="39">
        <v>0</v>
      </c>
      <c r="S1076" s="39">
        <v>0</v>
      </c>
      <c r="T1076" s="39">
        <v>0</v>
      </c>
      <c r="U1076" s="39">
        <v>0</v>
      </c>
      <c r="V1076" s="39">
        <v>0</v>
      </c>
      <c r="W1076" s="39">
        <v>0</v>
      </c>
      <c r="X1076" s="39">
        <v>0</v>
      </c>
      <c r="Y1076" s="39">
        <v>0</v>
      </c>
      <c r="Z1076" s="39">
        <v>0</v>
      </c>
      <c r="AA1076" s="39">
        <v>0</v>
      </c>
      <c r="AB1076" s="39">
        <v>0</v>
      </c>
      <c r="AC1076" s="39">
        <v>230.09</v>
      </c>
      <c r="AD1076" s="39">
        <v>211.49</v>
      </c>
      <c r="AE1076" s="39">
        <v>226.29</v>
      </c>
      <c r="AF1076" s="39">
        <v>0</v>
      </c>
      <c r="AG1076" s="39">
        <v>0</v>
      </c>
      <c r="AH1076" s="39">
        <v>0</v>
      </c>
      <c r="AI1076" s="39">
        <v>230.09</v>
      </c>
      <c r="AJ1076" s="39">
        <v>211.49</v>
      </c>
      <c r="AK1076" s="39">
        <v>226.29</v>
      </c>
      <c r="AL1076" s="39">
        <v>0</v>
      </c>
      <c r="AM1076" s="39">
        <v>0</v>
      </c>
      <c r="AN1076" s="39">
        <v>0</v>
      </c>
      <c r="AO1076" s="39">
        <v>230.09</v>
      </c>
      <c r="AP1076" s="39">
        <v>211.49</v>
      </c>
      <c r="AQ1076" s="39">
        <v>226.29</v>
      </c>
      <c r="AR1076" s="39">
        <v>230.09</v>
      </c>
    </row>
    <row r="1077" spans="1:44" x14ac:dyDescent="0.35">
      <c r="A1077" s="16" t="str">
        <f t="shared" si="94"/>
        <v>39</v>
      </c>
      <c r="B1077" s="19">
        <v>68676</v>
      </c>
      <c r="C1077" s="16" t="str">
        <f>TEXT(118497,"0000000")</f>
        <v>0118497</v>
      </c>
      <c r="D1077" s="19">
        <v>1048</v>
      </c>
      <c r="E1077" s="16" t="s">
        <v>2476</v>
      </c>
      <c r="F1077" s="16" t="s">
        <v>5</v>
      </c>
      <c r="G1077" s="35" t="s">
        <v>2477</v>
      </c>
      <c r="H1077" s="39">
        <v>0</v>
      </c>
      <c r="I1077" s="39">
        <v>0</v>
      </c>
      <c r="J1077" s="39">
        <v>0</v>
      </c>
      <c r="K1077" s="39">
        <v>0</v>
      </c>
      <c r="L1077" s="39">
        <v>0</v>
      </c>
      <c r="M1077" s="39">
        <v>0</v>
      </c>
      <c r="N1077" s="39">
        <v>0</v>
      </c>
      <c r="O1077" s="39">
        <v>0</v>
      </c>
      <c r="P1077" s="39">
        <v>0</v>
      </c>
      <c r="Q1077" s="39">
        <v>0</v>
      </c>
      <c r="R1077" s="39">
        <v>0</v>
      </c>
      <c r="S1077" s="39">
        <v>0</v>
      </c>
      <c r="T1077" s="39">
        <v>0</v>
      </c>
      <c r="U1077" s="39">
        <v>0</v>
      </c>
      <c r="V1077" s="39">
        <v>0</v>
      </c>
      <c r="W1077" s="39">
        <v>0</v>
      </c>
      <c r="X1077" s="39">
        <v>0</v>
      </c>
      <c r="Y1077" s="39">
        <v>0</v>
      </c>
      <c r="Z1077" s="39">
        <v>0</v>
      </c>
      <c r="AA1077" s="39">
        <v>0</v>
      </c>
      <c r="AB1077" s="39">
        <v>0</v>
      </c>
      <c r="AC1077" s="39">
        <v>703.98</v>
      </c>
      <c r="AD1077" s="39">
        <v>697.99</v>
      </c>
      <c r="AE1077" s="39">
        <v>702.22</v>
      </c>
      <c r="AF1077" s="39">
        <v>0</v>
      </c>
      <c r="AG1077" s="39">
        <v>0</v>
      </c>
      <c r="AH1077" s="39">
        <v>0</v>
      </c>
      <c r="AI1077" s="39">
        <v>703.98</v>
      </c>
      <c r="AJ1077" s="39">
        <v>697.99</v>
      </c>
      <c r="AK1077" s="39">
        <v>702.22</v>
      </c>
      <c r="AL1077" s="39">
        <v>0</v>
      </c>
      <c r="AM1077" s="39">
        <v>0</v>
      </c>
      <c r="AN1077" s="39">
        <v>0</v>
      </c>
      <c r="AO1077" s="39">
        <v>703.98</v>
      </c>
      <c r="AP1077" s="39">
        <v>697.99</v>
      </c>
      <c r="AQ1077" s="39">
        <v>702.22</v>
      </c>
      <c r="AR1077" s="39">
        <v>703.98</v>
      </c>
    </row>
    <row r="1078" spans="1:44" x14ac:dyDescent="0.35">
      <c r="A1078" s="16" t="str">
        <f t="shared" si="94"/>
        <v>39</v>
      </c>
      <c r="B1078" s="19">
        <v>68676</v>
      </c>
      <c r="C1078" s="16" t="str">
        <f>TEXT(120725,"0000000")</f>
        <v>0120725</v>
      </c>
      <c r="D1078" s="19">
        <v>1142</v>
      </c>
      <c r="E1078" s="16" t="s">
        <v>2478</v>
      </c>
      <c r="F1078" s="16" t="s">
        <v>5</v>
      </c>
      <c r="G1078" s="35" t="s">
        <v>2479</v>
      </c>
      <c r="H1078" s="39">
        <v>0</v>
      </c>
      <c r="I1078" s="39">
        <v>0</v>
      </c>
      <c r="J1078" s="39">
        <v>0</v>
      </c>
      <c r="K1078" s="39">
        <v>0</v>
      </c>
      <c r="L1078" s="39">
        <v>0</v>
      </c>
      <c r="M1078" s="39">
        <v>0</v>
      </c>
      <c r="N1078" s="39">
        <v>0</v>
      </c>
      <c r="O1078" s="39">
        <v>0</v>
      </c>
      <c r="P1078" s="39">
        <v>0</v>
      </c>
      <c r="Q1078" s="39">
        <v>0</v>
      </c>
      <c r="R1078" s="39">
        <v>0</v>
      </c>
      <c r="S1078" s="39">
        <v>0</v>
      </c>
      <c r="T1078" s="39">
        <v>0</v>
      </c>
      <c r="U1078" s="39">
        <v>0</v>
      </c>
      <c r="V1078" s="39">
        <v>0</v>
      </c>
      <c r="W1078" s="39">
        <v>0</v>
      </c>
      <c r="X1078" s="39">
        <v>0</v>
      </c>
      <c r="Y1078" s="39">
        <v>0</v>
      </c>
      <c r="Z1078" s="39">
        <v>0</v>
      </c>
      <c r="AA1078" s="39">
        <v>0</v>
      </c>
      <c r="AB1078" s="39">
        <v>0</v>
      </c>
      <c r="AC1078" s="39">
        <v>329.33</v>
      </c>
      <c r="AD1078" s="39">
        <v>344.55</v>
      </c>
      <c r="AE1078" s="39">
        <v>349</v>
      </c>
      <c r="AF1078" s="39">
        <v>0</v>
      </c>
      <c r="AG1078" s="39">
        <v>0</v>
      </c>
      <c r="AH1078" s="39">
        <v>0</v>
      </c>
      <c r="AI1078" s="39">
        <v>329.33</v>
      </c>
      <c r="AJ1078" s="39">
        <v>344.55</v>
      </c>
      <c r="AK1078" s="39">
        <v>349</v>
      </c>
      <c r="AL1078" s="39">
        <v>0</v>
      </c>
      <c r="AM1078" s="39">
        <v>0</v>
      </c>
      <c r="AN1078" s="39">
        <v>0</v>
      </c>
      <c r="AO1078" s="39">
        <v>329.33</v>
      </c>
      <c r="AP1078" s="39">
        <v>344.55</v>
      </c>
      <c r="AQ1078" s="39">
        <v>349</v>
      </c>
      <c r="AR1078" s="39">
        <v>349</v>
      </c>
    </row>
    <row r="1079" spans="1:44" x14ac:dyDescent="0.35">
      <c r="A1079" s="16" t="str">
        <f>TEXT(1,"00")</f>
        <v>01</v>
      </c>
      <c r="B1079" s="19">
        <v>61259</v>
      </c>
      <c r="C1079" s="16" t="str">
        <f>TEXT(132514,"0000000")</f>
        <v>0132514</v>
      </c>
      <c r="D1079" s="19">
        <v>1708</v>
      </c>
      <c r="E1079" s="16" t="s">
        <v>129</v>
      </c>
      <c r="F1079" s="16" t="s">
        <v>5</v>
      </c>
      <c r="G1079" s="35" t="s">
        <v>130</v>
      </c>
      <c r="H1079" s="39">
        <v>0</v>
      </c>
      <c r="I1079" s="39">
        <v>0</v>
      </c>
      <c r="J1079" s="39">
        <v>0</v>
      </c>
      <c r="K1079" s="39">
        <v>0</v>
      </c>
      <c r="L1079" s="39">
        <v>0</v>
      </c>
      <c r="M1079" s="39">
        <v>0</v>
      </c>
      <c r="N1079" s="39">
        <v>0</v>
      </c>
      <c r="O1079" s="39">
        <v>0</v>
      </c>
      <c r="P1079" s="39">
        <v>0</v>
      </c>
      <c r="Q1079" s="39">
        <v>0</v>
      </c>
      <c r="R1079" s="39">
        <v>0</v>
      </c>
      <c r="S1079" s="39">
        <v>0</v>
      </c>
      <c r="T1079" s="39">
        <v>0</v>
      </c>
      <c r="U1079" s="39">
        <v>0</v>
      </c>
      <c r="V1079" s="39">
        <v>0</v>
      </c>
      <c r="W1079" s="39">
        <v>0</v>
      </c>
      <c r="X1079" s="39">
        <v>0</v>
      </c>
      <c r="Y1079" s="39">
        <v>0</v>
      </c>
      <c r="Z1079" s="39">
        <v>0</v>
      </c>
      <c r="AA1079" s="39">
        <v>0</v>
      </c>
      <c r="AB1079" s="39">
        <v>0</v>
      </c>
      <c r="AC1079" s="39">
        <v>303.17</v>
      </c>
      <c r="AD1079" s="39">
        <v>306.37</v>
      </c>
      <c r="AE1079" s="39">
        <v>306.92</v>
      </c>
      <c r="AF1079" s="39">
        <v>0</v>
      </c>
      <c r="AG1079" s="39">
        <v>0</v>
      </c>
      <c r="AH1079" s="39">
        <v>0</v>
      </c>
      <c r="AI1079" s="39">
        <v>303.17</v>
      </c>
      <c r="AJ1079" s="39">
        <v>306.37</v>
      </c>
      <c r="AK1079" s="39">
        <v>306.92</v>
      </c>
      <c r="AL1079" s="39">
        <v>0</v>
      </c>
      <c r="AM1079" s="39">
        <v>0</v>
      </c>
      <c r="AN1079" s="39">
        <v>0</v>
      </c>
      <c r="AO1079" s="39">
        <v>303.17</v>
      </c>
      <c r="AP1079" s="39">
        <v>306.37</v>
      </c>
      <c r="AQ1079" s="39">
        <v>306.92</v>
      </c>
      <c r="AR1079" s="39">
        <v>306.92</v>
      </c>
    </row>
    <row r="1080" spans="1:44" x14ac:dyDescent="0.35">
      <c r="A1080" s="16" t="str">
        <f t="shared" ref="A1080:A1089" si="95">TEXT(39,"00")</f>
        <v>39</v>
      </c>
      <c r="B1080" s="19">
        <v>68676</v>
      </c>
      <c r="C1080" s="16" t="str">
        <f>TEXT(120733,"0000000")</f>
        <v>0120733</v>
      </c>
      <c r="D1080" s="19">
        <v>1143</v>
      </c>
      <c r="E1080" s="16" t="s">
        <v>2480</v>
      </c>
      <c r="F1080" s="16" t="s">
        <v>5</v>
      </c>
      <c r="G1080" s="35" t="s">
        <v>2481</v>
      </c>
      <c r="H1080" s="39">
        <v>0</v>
      </c>
      <c r="I1080" s="39">
        <v>0</v>
      </c>
      <c r="J1080" s="39">
        <v>0</v>
      </c>
      <c r="K1080" s="39">
        <v>0</v>
      </c>
      <c r="L1080" s="39">
        <v>0</v>
      </c>
      <c r="M1080" s="39">
        <v>0</v>
      </c>
      <c r="N1080" s="39">
        <v>0</v>
      </c>
      <c r="O1080" s="39">
        <v>0</v>
      </c>
      <c r="P1080" s="39">
        <v>0</v>
      </c>
      <c r="Q1080" s="39">
        <v>0</v>
      </c>
      <c r="R1080" s="39">
        <v>0</v>
      </c>
      <c r="S1080" s="39">
        <v>0</v>
      </c>
      <c r="T1080" s="39">
        <v>0</v>
      </c>
      <c r="U1080" s="39">
        <v>0</v>
      </c>
      <c r="V1080" s="39">
        <v>0</v>
      </c>
      <c r="W1080" s="39">
        <v>0</v>
      </c>
      <c r="X1080" s="39">
        <v>0</v>
      </c>
      <c r="Y1080" s="39">
        <v>0</v>
      </c>
      <c r="Z1080" s="39">
        <v>0</v>
      </c>
      <c r="AA1080" s="39">
        <v>0</v>
      </c>
      <c r="AB1080" s="39">
        <v>0</v>
      </c>
      <c r="AC1080" s="39">
        <v>423.77</v>
      </c>
      <c r="AD1080" s="39">
        <v>418.96</v>
      </c>
      <c r="AE1080" s="39">
        <v>411.08</v>
      </c>
      <c r="AF1080" s="39">
        <v>0</v>
      </c>
      <c r="AG1080" s="39">
        <v>0</v>
      </c>
      <c r="AH1080" s="39">
        <v>0</v>
      </c>
      <c r="AI1080" s="39">
        <v>423.77</v>
      </c>
      <c r="AJ1080" s="39">
        <v>418.96</v>
      </c>
      <c r="AK1080" s="39">
        <v>411.08</v>
      </c>
      <c r="AL1080" s="39">
        <v>0</v>
      </c>
      <c r="AM1080" s="39">
        <v>0</v>
      </c>
      <c r="AN1080" s="39">
        <v>0</v>
      </c>
      <c r="AO1080" s="39">
        <v>423.77</v>
      </c>
      <c r="AP1080" s="39">
        <v>418.96</v>
      </c>
      <c r="AQ1080" s="39">
        <v>411.08</v>
      </c>
      <c r="AR1080" s="39">
        <v>423.77</v>
      </c>
    </row>
    <row r="1081" spans="1:44" x14ac:dyDescent="0.35">
      <c r="A1081" s="16" t="str">
        <f t="shared" si="95"/>
        <v>39</v>
      </c>
      <c r="B1081" s="19">
        <v>68676</v>
      </c>
      <c r="C1081" s="16" t="str">
        <f>TEXT(121541,"0000000")</f>
        <v>0121541</v>
      </c>
      <c r="D1081" s="19">
        <v>1552</v>
      </c>
      <c r="E1081" s="16" t="s">
        <v>2482</v>
      </c>
      <c r="F1081" s="16" t="s">
        <v>5</v>
      </c>
      <c r="G1081" s="35" t="s">
        <v>2483</v>
      </c>
      <c r="H1081" s="39">
        <v>0</v>
      </c>
      <c r="I1081" s="39">
        <v>0</v>
      </c>
      <c r="J1081" s="39">
        <v>0</v>
      </c>
      <c r="K1081" s="39">
        <v>0</v>
      </c>
      <c r="L1081" s="39">
        <v>0</v>
      </c>
      <c r="M1081" s="39">
        <v>0</v>
      </c>
      <c r="N1081" s="39">
        <v>0</v>
      </c>
      <c r="O1081" s="39">
        <v>0</v>
      </c>
      <c r="P1081" s="39">
        <v>0</v>
      </c>
      <c r="Q1081" s="39">
        <v>0</v>
      </c>
      <c r="R1081" s="39">
        <v>0</v>
      </c>
      <c r="S1081" s="39">
        <v>0</v>
      </c>
      <c r="T1081" s="39">
        <v>0</v>
      </c>
      <c r="U1081" s="39">
        <v>0</v>
      </c>
      <c r="V1081" s="39">
        <v>0</v>
      </c>
      <c r="W1081" s="39">
        <v>0</v>
      </c>
      <c r="X1081" s="39">
        <v>0</v>
      </c>
      <c r="Y1081" s="39">
        <v>0</v>
      </c>
      <c r="Z1081" s="39">
        <v>0</v>
      </c>
      <c r="AA1081" s="39">
        <v>0</v>
      </c>
      <c r="AB1081" s="39">
        <v>0</v>
      </c>
      <c r="AC1081" s="39">
        <v>336.28</v>
      </c>
      <c r="AD1081" s="39">
        <v>286.02999999999997</v>
      </c>
      <c r="AE1081" s="39">
        <v>255.14</v>
      </c>
      <c r="AF1081" s="39">
        <v>0</v>
      </c>
      <c r="AG1081" s="39">
        <v>0</v>
      </c>
      <c r="AH1081" s="39">
        <v>0</v>
      </c>
      <c r="AI1081" s="39">
        <v>336.28</v>
      </c>
      <c r="AJ1081" s="39">
        <v>286.02999999999997</v>
      </c>
      <c r="AK1081" s="39">
        <v>255.14</v>
      </c>
      <c r="AL1081" s="39">
        <v>0</v>
      </c>
      <c r="AM1081" s="39">
        <v>0</v>
      </c>
      <c r="AN1081" s="39">
        <v>0</v>
      </c>
      <c r="AO1081" s="39">
        <v>336.28</v>
      </c>
      <c r="AP1081" s="39">
        <v>286.02999999999997</v>
      </c>
      <c r="AQ1081" s="39">
        <v>255.14</v>
      </c>
      <c r="AR1081" s="39">
        <v>336.28</v>
      </c>
    </row>
    <row r="1082" spans="1:44" x14ac:dyDescent="0.35">
      <c r="A1082" s="16" t="str">
        <f t="shared" si="95"/>
        <v>39</v>
      </c>
      <c r="B1082" s="19">
        <v>68676</v>
      </c>
      <c r="C1082" s="16" t="str">
        <f>TEXT(136283,"0000000")</f>
        <v>0136283</v>
      </c>
      <c r="D1082" s="19">
        <v>1890</v>
      </c>
      <c r="E1082" s="16" t="s">
        <v>2484</v>
      </c>
      <c r="F1082" s="16" t="s">
        <v>5</v>
      </c>
      <c r="G1082" s="35" t="s">
        <v>2485</v>
      </c>
      <c r="H1082" s="39">
        <v>0</v>
      </c>
      <c r="I1082" s="39">
        <v>0</v>
      </c>
      <c r="J1082" s="39">
        <v>0</v>
      </c>
      <c r="K1082" s="39">
        <v>0</v>
      </c>
      <c r="L1082" s="39">
        <v>0</v>
      </c>
      <c r="M1082" s="39">
        <v>0</v>
      </c>
      <c r="N1082" s="39">
        <v>0</v>
      </c>
      <c r="O1082" s="39">
        <v>0</v>
      </c>
      <c r="P1082" s="39">
        <v>0</v>
      </c>
      <c r="Q1082" s="39">
        <v>0</v>
      </c>
      <c r="R1082" s="39">
        <v>0</v>
      </c>
      <c r="S1082" s="39">
        <v>0</v>
      </c>
      <c r="T1082" s="39">
        <v>0</v>
      </c>
      <c r="U1082" s="39">
        <v>0</v>
      </c>
      <c r="V1082" s="39">
        <v>0</v>
      </c>
      <c r="W1082" s="39">
        <v>0</v>
      </c>
      <c r="X1082" s="39">
        <v>0</v>
      </c>
      <c r="Y1082" s="39">
        <v>0</v>
      </c>
      <c r="Z1082" s="39">
        <v>0</v>
      </c>
      <c r="AA1082" s="39">
        <v>0</v>
      </c>
      <c r="AB1082" s="39">
        <v>0</v>
      </c>
      <c r="AC1082" s="39">
        <v>166.2</v>
      </c>
      <c r="AD1082" s="39">
        <v>156.99</v>
      </c>
      <c r="AE1082" s="39">
        <v>178.75</v>
      </c>
      <c r="AF1082" s="39">
        <v>0</v>
      </c>
      <c r="AG1082" s="39">
        <v>0</v>
      </c>
      <c r="AH1082" s="39">
        <v>0</v>
      </c>
      <c r="AI1082" s="39">
        <v>166.2</v>
      </c>
      <c r="AJ1082" s="39">
        <v>156.99</v>
      </c>
      <c r="AK1082" s="39">
        <v>178.75</v>
      </c>
      <c r="AL1082" s="39">
        <v>0</v>
      </c>
      <c r="AM1082" s="39">
        <v>0</v>
      </c>
      <c r="AN1082" s="39">
        <v>0</v>
      </c>
      <c r="AO1082" s="39">
        <v>166.2</v>
      </c>
      <c r="AP1082" s="39">
        <v>156.99</v>
      </c>
      <c r="AQ1082" s="39">
        <v>178.75</v>
      </c>
      <c r="AR1082" s="39">
        <v>178.75</v>
      </c>
    </row>
    <row r="1083" spans="1:44" x14ac:dyDescent="0.35">
      <c r="A1083" s="16" t="str">
        <f t="shared" si="95"/>
        <v>39</v>
      </c>
      <c r="B1083" s="19">
        <v>68676</v>
      </c>
      <c r="C1083" s="16" t="str">
        <f>TEXT(139865,"0000000")</f>
        <v>0139865</v>
      </c>
      <c r="D1083" s="19">
        <v>2064</v>
      </c>
      <c r="E1083" s="16" t="s">
        <v>2486</v>
      </c>
      <c r="F1083" s="16" t="s">
        <v>5</v>
      </c>
      <c r="G1083" s="35" t="s">
        <v>2487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305.05</v>
      </c>
      <c r="AD1083" s="39">
        <v>208.85</v>
      </c>
      <c r="AE1083" s="39">
        <v>127.45</v>
      </c>
      <c r="AF1083" s="39">
        <v>0</v>
      </c>
      <c r="AG1083" s="39">
        <v>0</v>
      </c>
      <c r="AH1083" s="39">
        <v>0</v>
      </c>
      <c r="AI1083" s="39">
        <v>305.05</v>
      </c>
      <c r="AJ1083" s="39">
        <v>208.85</v>
      </c>
      <c r="AK1083" s="39">
        <v>127.45</v>
      </c>
      <c r="AL1083" s="39">
        <v>0</v>
      </c>
      <c r="AM1083" s="39">
        <v>0</v>
      </c>
      <c r="AN1083" s="39">
        <v>0</v>
      </c>
      <c r="AO1083" s="39">
        <v>305.05</v>
      </c>
      <c r="AP1083" s="39">
        <v>208.85</v>
      </c>
      <c r="AQ1083" s="39">
        <v>127.45</v>
      </c>
      <c r="AR1083" s="39">
        <v>305.05</v>
      </c>
    </row>
    <row r="1084" spans="1:44" x14ac:dyDescent="0.35">
      <c r="A1084" s="16" t="str">
        <f t="shared" si="95"/>
        <v>39</v>
      </c>
      <c r="B1084" s="19">
        <v>68676</v>
      </c>
      <c r="C1084" s="16" t="str">
        <f>TEXT(139923,"0000000")</f>
        <v>0139923</v>
      </c>
      <c r="D1084" s="19">
        <v>2063</v>
      </c>
      <c r="E1084" s="16" t="s">
        <v>2490</v>
      </c>
      <c r="F1084" s="16" t="s">
        <v>5</v>
      </c>
      <c r="G1084" s="35" t="s">
        <v>3545</v>
      </c>
      <c r="H1084" s="39">
        <v>0</v>
      </c>
      <c r="I1084" s="39">
        <v>0</v>
      </c>
      <c r="J1084" s="39">
        <v>0</v>
      </c>
      <c r="K1084" s="39">
        <v>0</v>
      </c>
      <c r="L1084" s="39">
        <v>0</v>
      </c>
      <c r="M1084" s="39">
        <v>0</v>
      </c>
      <c r="N1084" s="39">
        <v>0</v>
      </c>
      <c r="O1084" s="39">
        <v>0</v>
      </c>
      <c r="P1084" s="39">
        <v>0</v>
      </c>
      <c r="Q1084" s="39">
        <v>0</v>
      </c>
      <c r="R1084" s="39">
        <v>0</v>
      </c>
      <c r="S1084" s="39">
        <v>0</v>
      </c>
      <c r="T1084" s="39">
        <v>0</v>
      </c>
      <c r="U1084" s="39">
        <v>0</v>
      </c>
      <c r="V1084" s="39">
        <v>0</v>
      </c>
      <c r="W1084" s="39">
        <v>0</v>
      </c>
      <c r="X1084" s="39">
        <v>0</v>
      </c>
      <c r="Y1084" s="39">
        <v>0</v>
      </c>
      <c r="Z1084" s="39">
        <v>0</v>
      </c>
      <c r="AA1084" s="39">
        <v>0</v>
      </c>
      <c r="AB1084" s="39">
        <v>0</v>
      </c>
      <c r="AC1084" s="39">
        <v>348.52</v>
      </c>
      <c r="AD1084" s="39">
        <v>268.25</v>
      </c>
      <c r="AE1084" s="39">
        <v>155.57</v>
      </c>
      <c r="AF1084" s="39">
        <v>0</v>
      </c>
      <c r="AG1084" s="39">
        <v>0</v>
      </c>
      <c r="AH1084" s="39">
        <v>0</v>
      </c>
      <c r="AI1084" s="39">
        <v>348.52</v>
      </c>
      <c r="AJ1084" s="39">
        <v>268.25</v>
      </c>
      <c r="AK1084" s="39">
        <v>155.57</v>
      </c>
      <c r="AL1084" s="39">
        <v>0</v>
      </c>
      <c r="AM1084" s="39">
        <v>0</v>
      </c>
      <c r="AN1084" s="39">
        <v>0</v>
      </c>
      <c r="AO1084" s="39">
        <v>348.52</v>
      </c>
      <c r="AP1084" s="39">
        <v>268.25</v>
      </c>
      <c r="AQ1084" s="39">
        <v>155.57</v>
      </c>
      <c r="AR1084" s="39">
        <v>348.52</v>
      </c>
    </row>
    <row r="1085" spans="1:44" x14ac:dyDescent="0.35">
      <c r="A1085" s="16" t="str">
        <f t="shared" si="95"/>
        <v>39</v>
      </c>
      <c r="B1085" s="19">
        <v>68676</v>
      </c>
      <c r="C1085" s="16" t="str">
        <f>TEXT(140616,"0000000")</f>
        <v>0140616</v>
      </c>
      <c r="D1085" s="19">
        <v>2109</v>
      </c>
      <c r="E1085" s="16" t="s">
        <v>2492</v>
      </c>
      <c r="F1085" s="16" t="s">
        <v>5</v>
      </c>
      <c r="G1085" s="35" t="s">
        <v>3546</v>
      </c>
      <c r="H1085" s="39">
        <v>0</v>
      </c>
      <c r="I1085" s="39">
        <v>0</v>
      </c>
      <c r="J1085" s="39">
        <v>0</v>
      </c>
      <c r="K1085" s="39">
        <v>0</v>
      </c>
      <c r="L1085" s="39">
        <v>0</v>
      </c>
      <c r="M1085" s="39">
        <v>0</v>
      </c>
      <c r="N1085" s="39">
        <v>0</v>
      </c>
      <c r="O1085" s="39">
        <v>0</v>
      </c>
      <c r="P1085" s="39">
        <v>0</v>
      </c>
      <c r="Q1085" s="39">
        <v>0</v>
      </c>
      <c r="R1085" s="39">
        <v>0</v>
      </c>
      <c r="S1085" s="39">
        <v>0</v>
      </c>
      <c r="T1085" s="39">
        <v>0</v>
      </c>
      <c r="U1085" s="39">
        <v>0</v>
      </c>
      <c r="V1085" s="39">
        <v>0</v>
      </c>
      <c r="W1085" s="39">
        <v>0</v>
      </c>
      <c r="X1085" s="39">
        <v>0</v>
      </c>
      <c r="Y1085" s="39">
        <v>0</v>
      </c>
      <c r="Z1085" s="39">
        <v>0</v>
      </c>
      <c r="AA1085" s="39">
        <v>0</v>
      </c>
      <c r="AB1085" s="39">
        <v>0</v>
      </c>
      <c r="AC1085" s="39">
        <v>238.48</v>
      </c>
      <c r="AD1085" s="39">
        <v>94.54</v>
      </c>
      <c r="AE1085" s="39">
        <v>69.5</v>
      </c>
      <c r="AF1085" s="39">
        <v>0</v>
      </c>
      <c r="AG1085" s="39">
        <v>0</v>
      </c>
      <c r="AH1085" s="39">
        <v>0</v>
      </c>
      <c r="AI1085" s="39">
        <v>238.48</v>
      </c>
      <c r="AJ1085" s="39">
        <v>94.54</v>
      </c>
      <c r="AK1085" s="39">
        <v>69.5</v>
      </c>
      <c r="AL1085" s="39">
        <v>0</v>
      </c>
      <c r="AM1085" s="39">
        <v>0</v>
      </c>
      <c r="AN1085" s="39">
        <v>0</v>
      </c>
      <c r="AO1085" s="39">
        <v>238.48</v>
      </c>
      <c r="AP1085" s="39">
        <v>94.54</v>
      </c>
      <c r="AQ1085" s="39">
        <v>69.5</v>
      </c>
      <c r="AR1085" s="39">
        <v>238.48</v>
      </c>
    </row>
    <row r="1086" spans="1:44" x14ac:dyDescent="0.35">
      <c r="A1086" s="16" t="str">
        <f t="shared" si="95"/>
        <v>39</v>
      </c>
      <c r="B1086" s="19">
        <v>68676</v>
      </c>
      <c r="C1086" s="16" t="str">
        <f>TEXT(141358,"0000000")</f>
        <v>0141358</v>
      </c>
      <c r="D1086" s="19">
        <v>2124</v>
      </c>
      <c r="E1086" s="16" t="s">
        <v>2494</v>
      </c>
      <c r="F1086" s="16" t="s">
        <v>5</v>
      </c>
      <c r="G1086" s="35" t="s">
        <v>3586</v>
      </c>
      <c r="H1086" s="39">
        <v>0</v>
      </c>
      <c r="I1086" s="39">
        <v>0</v>
      </c>
      <c r="J1086" s="39">
        <v>0</v>
      </c>
      <c r="K1086" s="39">
        <v>0</v>
      </c>
      <c r="L1086" s="39">
        <v>0</v>
      </c>
      <c r="M1086" s="39">
        <v>0</v>
      </c>
      <c r="N1086" s="39">
        <v>0</v>
      </c>
      <c r="O1086" s="39">
        <v>0</v>
      </c>
      <c r="P1086" s="39">
        <v>0</v>
      </c>
      <c r="Q1086" s="39">
        <v>0</v>
      </c>
      <c r="R1086" s="39">
        <v>0</v>
      </c>
      <c r="S1086" s="39">
        <v>0</v>
      </c>
      <c r="T1086" s="39">
        <v>0</v>
      </c>
      <c r="U1086" s="39">
        <v>0</v>
      </c>
      <c r="V1086" s="39">
        <v>0</v>
      </c>
      <c r="W1086" s="39">
        <v>0</v>
      </c>
      <c r="X1086" s="39">
        <v>0</v>
      </c>
      <c r="Y1086" s="39">
        <v>0</v>
      </c>
      <c r="Z1086" s="39">
        <v>0</v>
      </c>
      <c r="AA1086" s="39">
        <v>0</v>
      </c>
      <c r="AB1086" s="39">
        <v>0</v>
      </c>
      <c r="AC1086" s="39">
        <v>380.31</v>
      </c>
      <c r="AD1086" s="39">
        <v>234.58</v>
      </c>
      <c r="AE1086" s="39">
        <v>29.19</v>
      </c>
      <c r="AF1086" s="39">
        <v>0</v>
      </c>
      <c r="AG1086" s="39">
        <v>0</v>
      </c>
      <c r="AH1086" s="39">
        <v>0</v>
      </c>
      <c r="AI1086" s="39">
        <v>380.31</v>
      </c>
      <c r="AJ1086" s="39">
        <v>234.58</v>
      </c>
      <c r="AK1086" s="39">
        <v>29.19</v>
      </c>
      <c r="AL1086" s="39">
        <v>0</v>
      </c>
      <c r="AM1086" s="39">
        <v>0</v>
      </c>
      <c r="AN1086" s="39">
        <v>0</v>
      </c>
      <c r="AO1086" s="39">
        <v>380.31</v>
      </c>
      <c r="AP1086" s="39">
        <v>234.58</v>
      </c>
      <c r="AQ1086" s="39">
        <v>29.19</v>
      </c>
      <c r="AR1086" s="39">
        <v>380.31</v>
      </c>
    </row>
    <row r="1087" spans="1:44" x14ac:dyDescent="0.35">
      <c r="A1087" s="16" t="str">
        <f t="shared" si="95"/>
        <v>39</v>
      </c>
      <c r="B1087" s="19">
        <v>75499</v>
      </c>
      <c r="C1087" s="16" t="str">
        <f>TEXT(102384,"0000000")</f>
        <v>0102384</v>
      </c>
      <c r="D1087" s="17" t="s">
        <v>2500</v>
      </c>
      <c r="E1087" s="16" t="s">
        <v>2498</v>
      </c>
      <c r="F1087" s="16" t="s">
        <v>5</v>
      </c>
      <c r="G1087" s="35" t="s">
        <v>2499</v>
      </c>
      <c r="H1087" s="39">
        <v>0</v>
      </c>
      <c r="I1087" s="39">
        <v>0</v>
      </c>
      <c r="J1087" s="39">
        <v>0</v>
      </c>
      <c r="K1087" s="39">
        <v>0</v>
      </c>
      <c r="L1087" s="39">
        <v>0</v>
      </c>
      <c r="M1087" s="39">
        <v>0</v>
      </c>
      <c r="N1087" s="39">
        <v>0</v>
      </c>
      <c r="O1087" s="39">
        <v>0</v>
      </c>
      <c r="P1087" s="39">
        <v>0</v>
      </c>
      <c r="Q1087" s="39">
        <v>0</v>
      </c>
      <c r="R1087" s="39">
        <v>0</v>
      </c>
      <c r="S1087" s="39">
        <v>0</v>
      </c>
      <c r="T1087" s="39">
        <v>0</v>
      </c>
      <c r="U1087" s="39">
        <v>0</v>
      </c>
      <c r="V1087" s="39">
        <v>0</v>
      </c>
      <c r="W1087" s="39">
        <v>0</v>
      </c>
      <c r="X1087" s="39">
        <v>0</v>
      </c>
      <c r="Y1087" s="39">
        <v>0</v>
      </c>
      <c r="Z1087" s="39">
        <v>0</v>
      </c>
      <c r="AA1087" s="39">
        <v>0</v>
      </c>
      <c r="AB1087" s="39">
        <v>0</v>
      </c>
      <c r="AC1087" s="39">
        <v>381.4</v>
      </c>
      <c r="AD1087" s="39">
        <v>382.26</v>
      </c>
      <c r="AE1087" s="39">
        <v>374.12</v>
      </c>
      <c r="AF1087" s="39">
        <v>0</v>
      </c>
      <c r="AG1087" s="39">
        <v>0</v>
      </c>
      <c r="AH1087" s="39">
        <v>0</v>
      </c>
      <c r="AI1087" s="39">
        <v>381.4</v>
      </c>
      <c r="AJ1087" s="39">
        <v>382.26</v>
      </c>
      <c r="AK1087" s="39">
        <v>374.12</v>
      </c>
      <c r="AL1087" s="39">
        <v>0</v>
      </c>
      <c r="AM1087" s="39">
        <v>0</v>
      </c>
      <c r="AN1087" s="39">
        <v>0</v>
      </c>
      <c r="AO1087" s="39">
        <v>381.4</v>
      </c>
      <c r="AP1087" s="39">
        <v>382.26</v>
      </c>
      <c r="AQ1087" s="39">
        <v>374.12</v>
      </c>
      <c r="AR1087" s="39">
        <v>382.26</v>
      </c>
    </row>
    <row r="1088" spans="1:44" x14ac:dyDescent="0.35">
      <c r="A1088" s="16" t="str">
        <f t="shared" si="95"/>
        <v>39</v>
      </c>
      <c r="B1088" s="19">
        <v>75499</v>
      </c>
      <c r="C1088" s="16" t="str">
        <f>TEXT(102392,"0000000")</f>
        <v>0102392</v>
      </c>
      <c r="D1088" s="17" t="s">
        <v>2503</v>
      </c>
      <c r="E1088" s="16" t="s">
        <v>2501</v>
      </c>
      <c r="F1088" s="16" t="s">
        <v>5</v>
      </c>
      <c r="G1088" s="35" t="s">
        <v>2502</v>
      </c>
      <c r="H1088" s="39">
        <v>0</v>
      </c>
      <c r="I1088" s="39">
        <v>0</v>
      </c>
      <c r="J1088" s="39">
        <v>0</v>
      </c>
      <c r="K1088" s="39">
        <v>0</v>
      </c>
      <c r="L1088" s="39">
        <v>0</v>
      </c>
      <c r="M1088" s="39">
        <v>0</v>
      </c>
      <c r="N1088" s="39">
        <v>0</v>
      </c>
      <c r="O1088" s="39">
        <v>0</v>
      </c>
      <c r="P1088" s="39">
        <v>0</v>
      </c>
      <c r="Q1088" s="39">
        <v>0</v>
      </c>
      <c r="R1088" s="39">
        <v>0</v>
      </c>
      <c r="S1088" s="39">
        <v>0</v>
      </c>
      <c r="T1088" s="39">
        <v>0</v>
      </c>
      <c r="U1088" s="39">
        <v>0</v>
      </c>
      <c r="V1088" s="39">
        <v>0</v>
      </c>
      <c r="W1088" s="39">
        <v>0</v>
      </c>
      <c r="X1088" s="39">
        <v>0</v>
      </c>
      <c r="Y1088" s="39">
        <v>0</v>
      </c>
      <c r="Z1088" s="39">
        <v>0</v>
      </c>
      <c r="AA1088" s="39">
        <v>0</v>
      </c>
      <c r="AB1088" s="39">
        <v>0</v>
      </c>
      <c r="AC1088" s="39">
        <v>414.09</v>
      </c>
      <c r="AD1088" s="39">
        <v>460.96</v>
      </c>
      <c r="AE1088" s="39">
        <v>456.64</v>
      </c>
      <c r="AF1088" s="39">
        <v>0</v>
      </c>
      <c r="AG1088" s="39">
        <v>0</v>
      </c>
      <c r="AH1088" s="39">
        <v>0</v>
      </c>
      <c r="AI1088" s="39">
        <v>414.09</v>
      </c>
      <c r="AJ1088" s="39">
        <v>460.96</v>
      </c>
      <c r="AK1088" s="39">
        <v>456.64</v>
      </c>
      <c r="AL1088" s="39">
        <v>0</v>
      </c>
      <c r="AM1088" s="39">
        <v>0</v>
      </c>
      <c r="AN1088" s="39">
        <v>0</v>
      </c>
      <c r="AO1088" s="39">
        <v>414.09</v>
      </c>
      <c r="AP1088" s="39">
        <v>460.96</v>
      </c>
      <c r="AQ1088" s="39">
        <v>456.64</v>
      </c>
      <c r="AR1088" s="39">
        <v>460.96</v>
      </c>
    </row>
    <row r="1089" spans="1:44" x14ac:dyDescent="0.35">
      <c r="A1089" s="16" t="str">
        <f t="shared" si="95"/>
        <v>39</v>
      </c>
      <c r="B1089" s="19">
        <v>75499</v>
      </c>
      <c r="C1089" s="16" t="str">
        <f>TEXT(6118665,"0000000")</f>
        <v>6118665</v>
      </c>
      <c r="D1089" s="17" t="s">
        <v>2506</v>
      </c>
      <c r="E1089" s="16" t="s">
        <v>2504</v>
      </c>
      <c r="F1089" s="16" t="s">
        <v>5</v>
      </c>
      <c r="G1089" s="35" t="s">
        <v>2505</v>
      </c>
      <c r="H1089" s="39">
        <v>0</v>
      </c>
      <c r="I1089" s="39">
        <v>0</v>
      </c>
      <c r="J1089" s="39">
        <v>0</v>
      </c>
      <c r="K1089" s="39">
        <v>0</v>
      </c>
      <c r="L1089" s="39">
        <v>0</v>
      </c>
      <c r="M1089" s="39">
        <v>0</v>
      </c>
      <c r="N1089" s="39">
        <v>0</v>
      </c>
      <c r="O1089" s="39">
        <v>0</v>
      </c>
      <c r="P1089" s="39">
        <v>0</v>
      </c>
      <c r="Q1089" s="39">
        <v>0</v>
      </c>
      <c r="R1089" s="39">
        <v>0</v>
      </c>
      <c r="S1089" s="39">
        <v>0</v>
      </c>
      <c r="T1089" s="39">
        <v>0</v>
      </c>
      <c r="U1089" s="39">
        <v>0</v>
      </c>
      <c r="V1089" s="39">
        <v>0</v>
      </c>
      <c r="W1089" s="39">
        <v>0</v>
      </c>
      <c r="X1089" s="39">
        <v>0</v>
      </c>
      <c r="Y1089" s="39">
        <v>0</v>
      </c>
      <c r="Z1089" s="39">
        <v>0</v>
      </c>
      <c r="AA1089" s="39">
        <v>0</v>
      </c>
      <c r="AB1089" s="39">
        <v>0</v>
      </c>
      <c r="AC1089" s="39">
        <v>351.34</v>
      </c>
      <c r="AD1089" s="39">
        <v>350.18</v>
      </c>
      <c r="AE1089" s="39">
        <v>348.5</v>
      </c>
      <c r="AF1089" s="39">
        <v>0</v>
      </c>
      <c r="AG1089" s="39">
        <v>0</v>
      </c>
      <c r="AH1089" s="39">
        <v>0</v>
      </c>
      <c r="AI1089" s="39">
        <v>351.34</v>
      </c>
      <c r="AJ1089" s="39">
        <v>350.18</v>
      </c>
      <c r="AK1089" s="39">
        <v>348.5</v>
      </c>
      <c r="AL1089" s="39">
        <v>0</v>
      </c>
      <c r="AM1089" s="39">
        <v>0</v>
      </c>
      <c r="AN1089" s="39">
        <v>0</v>
      </c>
      <c r="AO1089" s="39">
        <v>351.34</v>
      </c>
      <c r="AP1089" s="39">
        <v>350.18</v>
      </c>
      <c r="AQ1089" s="39">
        <v>348.5</v>
      </c>
      <c r="AR1089" s="39">
        <v>351.34</v>
      </c>
    </row>
    <row r="1090" spans="1:44" ht="31" x14ac:dyDescent="0.35">
      <c r="A1090" s="16" t="str">
        <f>TEXT(1,"00")</f>
        <v>01</v>
      </c>
      <c r="B1090" s="19">
        <v>61259</v>
      </c>
      <c r="C1090" s="16" t="str">
        <f>TEXT(134015,"0000000")</f>
        <v>0134015</v>
      </c>
      <c r="D1090" s="19">
        <v>1783</v>
      </c>
      <c r="E1090" s="16" t="s">
        <v>131</v>
      </c>
      <c r="F1090" s="16" t="s">
        <v>5</v>
      </c>
      <c r="G1090" s="35" t="s">
        <v>132</v>
      </c>
      <c r="H1090" s="39">
        <v>0</v>
      </c>
      <c r="I1090" s="39">
        <v>0</v>
      </c>
      <c r="J1090" s="39">
        <v>0</v>
      </c>
      <c r="K1090" s="39">
        <v>0</v>
      </c>
      <c r="L1090" s="39">
        <v>0</v>
      </c>
      <c r="M1090" s="39">
        <v>0</v>
      </c>
      <c r="N1090" s="39">
        <v>0</v>
      </c>
      <c r="O1090" s="39">
        <v>0</v>
      </c>
      <c r="P1090" s="39">
        <v>0</v>
      </c>
      <c r="Q1090" s="39">
        <v>0</v>
      </c>
      <c r="R1090" s="39">
        <v>0</v>
      </c>
      <c r="S1090" s="39">
        <v>0</v>
      </c>
      <c r="T1090" s="39">
        <v>0</v>
      </c>
      <c r="U1090" s="39">
        <v>0</v>
      </c>
      <c r="V1090" s="39">
        <v>0</v>
      </c>
      <c r="W1090" s="39">
        <v>0</v>
      </c>
      <c r="X1090" s="39">
        <v>0</v>
      </c>
      <c r="Y1090" s="39">
        <v>0</v>
      </c>
      <c r="Z1090" s="39">
        <v>0</v>
      </c>
      <c r="AA1090" s="39">
        <v>0</v>
      </c>
      <c r="AB1090" s="39">
        <v>0</v>
      </c>
      <c r="AC1090" s="39">
        <v>656.83</v>
      </c>
      <c r="AD1090" s="39">
        <v>656.13</v>
      </c>
      <c r="AE1090" s="39">
        <v>625.91</v>
      </c>
      <c r="AF1090" s="39">
        <v>0</v>
      </c>
      <c r="AG1090" s="39">
        <v>0</v>
      </c>
      <c r="AH1090" s="39">
        <v>0</v>
      </c>
      <c r="AI1090" s="39">
        <v>656.83</v>
      </c>
      <c r="AJ1090" s="39">
        <v>656.13</v>
      </c>
      <c r="AK1090" s="39">
        <v>625.91</v>
      </c>
      <c r="AL1090" s="39">
        <v>0</v>
      </c>
      <c r="AM1090" s="39">
        <v>0</v>
      </c>
      <c r="AN1090" s="39">
        <v>0</v>
      </c>
      <c r="AO1090" s="39">
        <v>656.83</v>
      </c>
      <c r="AP1090" s="39">
        <v>656.13</v>
      </c>
      <c r="AQ1090" s="39">
        <v>625.91</v>
      </c>
      <c r="AR1090" s="39">
        <v>656.83</v>
      </c>
    </row>
    <row r="1091" spans="1:44" x14ac:dyDescent="0.35">
      <c r="A1091" s="16" t="str">
        <f>TEXT(41,"00")</f>
        <v>41</v>
      </c>
      <c r="B1091" s="19">
        <v>68916</v>
      </c>
      <c r="C1091" s="16" t="str">
        <f>TEXT(112284,"0000000")</f>
        <v>0112284</v>
      </c>
      <c r="D1091" s="17" t="s">
        <v>2557</v>
      </c>
      <c r="E1091" s="16" t="s">
        <v>2555</v>
      </c>
      <c r="F1091" s="16" t="s">
        <v>5</v>
      </c>
      <c r="G1091" s="35" t="s">
        <v>2556</v>
      </c>
      <c r="H1091" s="39">
        <v>0</v>
      </c>
      <c r="I1091" s="39">
        <v>0</v>
      </c>
      <c r="J1091" s="39">
        <v>0</v>
      </c>
      <c r="K1091" s="39">
        <v>0</v>
      </c>
      <c r="L1091" s="39">
        <v>0</v>
      </c>
      <c r="M1091" s="39">
        <v>0</v>
      </c>
      <c r="N1091" s="39">
        <v>0</v>
      </c>
      <c r="O1091" s="39">
        <v>0</v>
      </c>
      <c r="P1091" s="39">
        <v>0</v>
      </c>
      <c r="Q1091" s="39">
        <v>0</v>
      </c>
      <c r="R1091" s="39">
        <v>0</v>
      </c>
      <c r="S1091" s="39">
        <v>0</v>
      </c>
      <c r="T1091" s="39">
        <v>0</v>
      </c>
      <c r="U1091" s="39">
        <v>0</v>
      </c>
      <c r="V1091" s="39">
        <v>0</v>
      </c>
      <c r="W1091" s="39">
        <v>0</v>
      </c>
      <c r="X1091" s="39">
        <v>0</v>
      </c>
      <c r="Y1091" s="39">
        <v>0</v>
      </c>
      <c r="Z1091" s="39">
        <v>0</v>
      </c>
      <c r="AA1091" s="39">
        <v>0</v>
      </c>
      <c r="AB1091" s="39">
        <v>0</v>
      </c>
      <c r="AC1091" s="39">
        <v>1134.6300000000001</v>
      </c>
      <c r="AD1091" s="39">
        <v>1044.18</v>
      </c>
      <c r="AE1091" s="39">
        <v>1011.82</v>
      </c>
      <c r="AF1091" s="39">
        <v>0</v>
      </c>
      <c r="AG1091" s="39">
        <v>0</v>
      </c>
      <c r="AH1091" s="39">
        <v>0</v>
      </c>
      <c r="AI1091" s="39">
        <v>1134.6300000000001</v>
      </c>
      <c r="AJ1091" s="39">
        <v>1044.18</v>
      </c>
      <c r="AK1091" s="39">
        <v>1011.82</v>
      </c>
      <c r="AL1091" s="39">
        <v>0</v>
      </c>
      <c r="AM1091" s="39">
        <v>0</v>
      </c>
      <c r="AN1091" s="39">
        <v>0</v>
      </c>
      <c r="AO1091" s="39">
        <v>1134.6300000000001</v>
      </c>
      <c r="AP1091" s="39">
        <v>1044.18</v>
      </c>
      <c r="AQ1091" s="39">
        <v>1011.82</v>
      </c>
      <c r="AR1091" s="39">
        <v>1134.6300000000001</v>
      </c>
    </row>
    <row r="1092" spans="1:44" x14ac:dyDescent="0.35">
      <c r="A1092" s="16" t="str">
        <f>TEXT(41,"00")</f>
        <v>41</v>
      </c>
      <c r="B1092" s="19">
        <v>68924</v>
      </c>
      <c r="C1092" s="16" t="str">
        <f>TEXT(127548,"0000000")</f>
        <v>0127548</v>
      </c>
      <c r="D1092" s="19">
        <v>1500</v>
      </c>
      <c r="E1092" s="16" t="s">
        <v>2560</v>
      </c>
      <c r="F1092" s="16" t="s">
        <v>5</v>
      </c>
      <c r="G1092" s="35" t="s">
        <v>2561</v>
      </c>
      <c r="H1092" s="39">
        <v>0</v>
      </c>
      <c r="I1092" s="39">
        <v>0</v>
      </c>
      <c r="J1092" s="39">
        <v>0</v>
      </c>
      <c r="K1092" s="39">
        <v>0</v>
      </c>
      <c r="L1092" s="39">
        <v>0</v>
      </c>
      <c r="M1092" s="39">
        <v>0</v>
      </c>
      <c r="N1092" s="39">
        <v>0</v>
      </c>
      <c r="O1092" s="39">
        <v>0</v>
      </c>
      <c r="P1092" s="39">
        <v>0</v>
      </c>
      <c r="Q1092" s="39">
        <v>0</v>
      </c>
      <c r="R1092" s="39">
        <v>0</v>
      </c>
      <c r="S1092" s="39">
        <v>0</v>
      </c>
      <c r="T1092" s="39">
        <v>0</v>
      </c>
      <c r="U1092" s="39">
        <v>0</v>
      </c>
      <c r="V1092" s="39">
        <v>0</v>
      </c>
      <c r="W1092" s="39">
        <v>0</v>
      </c>
      <c r="X1092" s="39">
        <v>0</v>
      </c>
      <c r="Y1092" s="39">
        <v>0</v>
      </c>
      <c r="Z1092" s="39">
        <v>0</v>
      </c>
      <c r="AA1092" s="39">
        <v>0</v>
      </c>
      <c r="AB1092" s="39">
        <v>0</v>
      </c>
      <c r="AC1092" s="39">
        <v>432.52</v>
      </c>
      <c r="AD1092" s="39">
        <v>426.5</v>
      </c>
      <c r="AE1092" s="39">
        <v>413.14</v>
      </c>
      <c r="AF1092" s="39">
        <v>0</v>
      </c>
      <c r="AG1092" s="39">
        <v>0</v>
      </c>
      <c r="AH1092" s="39">
        <v>0</v>
      </c>
      <c r="AI1092" s="39">
        <v>432.52</v>
      </c>
      <c r="AJ1092" s="39">
        <v>426.5</v>
      </c>
      <c r="AK1092" s="39">
        <v>413.14</v>
      </c>
      <c r="AL1092" s="39">
        <v>0</v>
      </c>
      <c r="AM1092" s="39">
        <v>0</v>
      </c>
      <c r="AN1092" s="39">
        <v>0</v>
      </c>
      <c r="AO1092" s="39">
        <v>432.52</v>
      </c>
      <c r="AP1092" s="39">
        <v>426.5</v>
      </c>
      <c r="AQ1092" s="39">
        <v>413.14</v>
      </c>
      <c r="AR1092" s="39">
        <v>432.52</v>
      </c>
    </row>
    <row r="1093" spans="1:44" x14ac:dyDescent="0.35">
      <c r="A1093" s="16" t="str">
        <f>TEXT(41,"00")</f>
        <v>41</v>
      </c>
      <c r="B1093" s="19">
        <v>68999</v>
      </c>
      <c r="C1093" s="16" t="str">
        <f>TEXT(134197,"0000000")</f>
        <v>0134197</v>
      </c>
      <c r="D1093" s="17" t="s">
        <v>2578</v>
      </c>
      <c r="E1093" s="16" t="s">
        <v>2576</v>
      </c>
      <c r="F1093" s="16" t="s">
        <v>5</v>
      </c>
      <c r="G1093" s="35" t="s">
        <v>2577</v>
      </c>
      <c r="H1093" s="39">
        <v>0</v>
      </c>
      <c r="I1093" s="39">
        <v>0</v>
      </c>
      <c r="J1093" s="39">
        <v>0</v>
      </c>
      <c r="K1093" s="39">
        <v>0</v>
      </c>
      <c r="L1093" s="39">
        <v>0</v>
      </c>
      <c r="M1093" s="39">
        <v>0</v>
      </c>
      <c r="N1093" s="39">
        <v>0</v>
      </c>
      <c r="O1093" s="39">
        <v>0</v>
      </c>
      <c r="P1093" s="39">
        <v>0</v>
      </c>
      <c r="Q1093" s="39">
        <v>0</v>
      </c>
      <c r="R1093" s="39">
        <v>0</v>
      </c>
      <c r="S1093" s="39">
        <v>0</v>
      </c>
      <c r="T1093" s="39">
        <v>0</v>
      </c>
      <c r="U1093" s="39">
        <v>0</v>
      </c>
      <c r="V1093" s="39">
        <v>0</v>
      </c>
      <c r="W1093" s="39">
        <v>0</v>
      </c>
      <c r="X1093" s="39">
        <v>0</v>
      </c>
      <c r="Y1093" s="39">
        <v>0</v>
      </c>
      <c r="Z1093" s="39">
        <v>0</v>
      </c>
      <c r="AA1093" s="39">
        <v>0</v>
      </c>
      <c r="AB1093" s="39">
        <v>0</v>
      </c>
      <c r="AC1093" s="39">
        <v>463.23</v>
      </c>
      <c r="AD1093" s="39">
        <v>517.14</v>
      </c>
      <c r="AE1093" s="39">
        <v>485.22</v>
      </c>
      <c r="AF1093" s="39">
        <v>0</v>
      </c>
      <c r="AG1093" s="39">
        <v>0</v>
      </c>
      <c r="AH1093" s="39">
        <v>0</v>
      </c>
      <c r="AI1093" s="39">
        <v>463.23</v>
      </c>
      <c r="AJ1093" s="39">
        <v>517.14</v>
      </c>
      <c r="AK1093" s="39">
        <v>485.22</v>
      </c>
      <c r="AL1093" s="39">
        <v>0</v>
      </c>
      <c r="AM1093" s="39">
        <v>0</v>
      </c>
      <c r="AN1093" s="39">
        <v>0</v>
      </c>
      <c r="AO1093" s="39">
        <v>463.23</v>
      </c>
      <c r="AP1093" s="39">
        <v>517.14</v>
      </c>
      <c r="AQ1093" s="39">
        <v>485.22</v>
      </c>
      <c r="AR1093" s="39">
        <v>517.14</v>
      </c>
    </row>
    <row r="1094" spans="1:44" x14ac:dyDescent="0.35">
      <c r="A1094" s="16" t="str">
        <f>TEXT(41,"00")</f>
        <v>41</v>
      </c>
      <c r="B1094" s="19">
        <v>69005</v>
      </c>
      <c r="C1094" s="16" t="str">
        <f>TEXT(132076,"0000000")</f>
        <v>0132076</v>
      </c>
      <c r="D1094" s="19">
        <v>1736</v>
      </c>
      <c r="E1094" s="16" t="s">
        <v>2587</v>
      </c>
      <c r="F1094" s="16" t="s">
        <v>5</v>
      </c>
      <c r="G1094" s="35" t="s">
        <v>2588</v>
      </c>
      <c r="H1094" s="39">
        <v>0</v>
      </c>
      <c r="I1094" s="39">
        <v>0</v>
      </c>
      <c r="J1094" s="39">
        <v>0</v>
      </c>
      <c r="K1094" s="39">
        <v>0</v>
      </c>
      <c r="L1094" s="39">
        <v>0</v>
      </c>
      <c r="M1094" s="39">
        <v>0</v>
      </c>
      <c r="N1094" s="39">
        <v>0</v>
      </c>
      <c r="O1094" s="39">
        <v>0</v>
      </c>
      <c r="P1094" s="39">
        <v>0</v>
      </c>
      <c r="Q1094" s="39">
        <v>0</v>
      </c>
      <c r="R1094" s="39">
        <v>0</v>
      </c>
      <c r="S1094" s="39">
        <v>0</v>
      </c>
      <c r="T1094" s="39">
        <v>0</v>
      </c>
      <c r="U1094" s="39">
        <v>0</v>
      </c>
      <c r="V1094" s="39">
        <v>0</v>
      </c>
      <c r="W1094" s="39">
        <v>0</v>
      </c>
      <c r="X1094" s="39">
        <v>0</v>
      </c>
      <c r="Y1094" s="39">
        <v>0</v>
      </c>
      <c r="Z1094" s="39">
        <v>0</v>
      </c>
      <c r="AA1094" s="39">
        <v>0</v>
      </c>
      <c r="AB1094" s="39">
        <v>0</v>
      </c>
      <c r="AC1094" s="39">
        <v>252.25</v>
      </c>
      <c r="AD1094" s="39">
        <v>278.16000000000003</v>
      </c>
      <c r="AE1094" s="39">
        <v>278.27999999999997</v>
      </c>
      <c r="AF1094" s="39">
        <v>0</v>
      </c>
      <c r="AG1094" s="39">
        <v>0</v>
      </c>
      <c r="AH1094" s="39">
        <v>0</v>
      </c>
      <c r="AI1094" s="39">
        <v>252.25</v>
      </c>
      <c r="AJ1094" s="39">
        <v>278.16000000000003</v>
      </c>
      <c r="AK1094" s="39">
        <v>278.27999999999997</v>
      </c>
      <c r="AL1094" s="39">
        <v>0</v>
      </c>
      <c r="AM1094" s="39">
        <v>0</v>
      </c>
      <c r="AN1094" s="39">
        <v>0</v>
      </c>
      <c r="AO1094" s="39">
        <v>252.25</v>
      </c>
      <c r="AP1094" s="39">
        <v>278.16000000000003</v>
      </c>
      <c r="AQ1094" s="39">
        <v>278.27999999999997</v>
      </c>
      <c r="AR1094" s="39">
        <v>278.27999999999997</v>
      </c>
    </row>
    <row r="1095" spans="1:44" x14ac:dyDescent="0.35">
      <c r="A1095" s="16" t="str">
        <f t="shared" ref="A1095:A1100" si="96">TEXT(42,"00")</f>
        <v>42</v>
      </c>
      <c r="B1095" s="19">
        <v>69112</v>
      </c>
      <c r="C1095" s="16" t="str">
        <f>TEXT(124255,"0000000")</f>
        <v>0124255</v>
      </c>
      <c r="D1095" s="19">
        <v>1319</v>
      </c>
      <c r="E1095" s="16" t="s">
        <v>2626</v>
      </c>
      <c r="F1095" s="16" t="s">
        <v>5</v>
      </c>
      <c r="G1095" s="35" t="s">
        <v>2627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339.73</v>
      </c>
      <c r="AD1095" s="39">
        <v>301.14</v>
      </c>
      <c r="AE1095" s="39">
        <v>307.5</v>
      </c>
      <c r="AF1095" s="39">
        <v>0</v>
      </c>
      <c r="AG1095" s="39">
        <v>0</v>
      </c>
      <c r="AH1095" s="39">
        <v>0</v>
      </c>
      <c r="AI1095" s="39">
        <v>339.73</v>
      </c>
      <c r="AJ1095" s="39">
        <v>301.14</v>
      </c>
      <c r="AK1095" s="39">
        <v>307.5</v>
      </c>
      <c r="AL1095" s="39">
        <v>0</v>
      </c>
      <c r="AM1095" s="39">
        <v>0</v>
      </c>
      <c r="AN1095" s="39">
        <v>0</v>
      </c>
      <c r="AO1095" s="39">
        <v>339.73</v>
      </c>
      <c r="AP1095" s="39">
        <v>301.14</v>
      </c>
      <c r="AQ1095" s="39">
        <v>307.5</v>
      </c>
      <c r="AR1095" s="39">
        <v>339.73</v>
      </c>
    </row>
    <row r="1096" spans="1:44" x14ac:dyDescent="0.35">
      <c r="A1096" s="16" t="str">
        <f t="shared" si="96"/>
        <v>42</v>
      </c>
      <c r="B1096" s="19">
        <v>69112</v>
      </c>
      <c r="C1096" s="16" t="str">
        <f>TEXT(137877,"0000000")</f>
        <v>0137877</v>
      </c>
      <c r="D1096" s="19">
        <v>1994</v>
      </c>
      <c r="E1096" s="16" t="s">
        <v>2628</v>
      </c>
      <c r="F1096" s="16" t="s">
        <v>5</v>
      </c>
      <c r="G1096" s="35" t="s">
        <v>2629</v>
      </c>
      <c r="H1096" s="39">
        <v>0</v>
      </c>
      <c r="I1096" s="39">
        <v>0</v>
      </c>
      <c r="J1096" s="39">
        <v>0</v>
      </c>
      <c r="K1096" s="39">
        <v>0</v>
      </c>
      <c r="L1096" s="39">
        <v>0</v>
      </c>
      <c r="M1096" s="39">
        <v>0</v>
      </c>
      <c r="N1096" s="39">
        <v>0</v>
      </c>
      <c r="O1096" s="39">
        <v>0</v>
      </c>
      <c r="P1096" s="39">
        <v>0</v>
      </c>
      <c r="Q1096" s="39">
        <v>0</v>
      </c>
      <c r="R1096" s="39">
        <v>0</v>
      </c>
      <c r="S1096" s="39">
        <v>0</v>
      </c>
      <c r="T1096" s="39">
        <v>0</v>
      </c>
      <c r="U1096" s="39">
        <v>0</v>
      </c>
      <c r="V1096" s="39">
        <v>0</v>
      </c>
      <c r="W1096" s="39">
        <v>0</v>
      </c>
      <c r="X1096" s="39">
        <v>0</v>
      </c>
      <c r="Y1096" s="39">
        <v>0</v>
      </c>
      <c r="Z1096" s="39">
        <v>0</v>
      </c>
      <c r="AA1096" s="39">
        <v>0</v>
      </c>
      <c r="AB1096" s="39">
        <v>0</v>
      </c>
      <c r="AC1096" s="39">
        <v>286.35000000000002</v>
      </c>
      <c r="AD1096" s="39">
        <v>248.71</v>
      </c>
      <c r="AE1096" s="39">
        <v>244.97</v>
      </c>
      <c r="AF1096" s="39">
        <v>0</v>
      </c>
      <c r="AG1096" s="39">
        <v>0</v>
      </c>
      <c r="AH1096" s="39">
        <v>0</v>
      </c>
      <c r="AI1096" s="39">
        <v>286.35000000000002</v>
      </c>
      <c r="AJ1096" s="39">
        <v>248.71</v>
      </c>
      <c r="AK1096" s="39">
        <v>244.97</v>
      </c>
      <c r="AL1096" s="39">
        <v>0</v>
      </c>
      <c r="AM1096" s="39">
        <v>0</v>
      </c>
      <c r="AN1096" s="39">
        <v>0</v>
      </c>
      <c r="AO1096" s="39">
        <v>286.35000000000002</v>
      </c>
      <c r="AP1096" s="39">
        <v>248.71</v>
      </c>
      <c r="AQ1096" s="39">
        <v>244.97</v>
      </c>
      <c r="AR1096" s="39">
        <v>286.35000000000002</v>
      </c>
    </row>
    <row r="1097" spans="1:44" x14ac:dyDescent="0.35">
      <c r="A1097" s="16" t="str">
        <f t="shared" si="96"/>
        <v>42</v>
      </c>
      <c r="B1097" s="19">
        <v>69112</v>
      </c>
      <c r="C1097" s="16" t="str">
        <f>TEXT(137885,"0000000")</f>
        <v>0137885</v>
      </c>
      <c r="D1097" s="19">
        <v>1995</v>
      </c>
      <c r="E1097" s="16" t="s">
        <v>2630</v>
      </c>
      <c r="F1097" s="16" t="s">
        <v>5</v>
      </c>
      <c r="G1097" s="35" t="s">
        <v>2631</v>
      </c>
      <c r="H1097" s="39">
        <v>0</v>
      </c>
      <c r="I1097" s="39">
        <v>0</v>
      </c>
      <c r="J1097" s="39">
        <v>0</v>
      </c>
      <c r="K1097" s="39">
        <v>0</v>
      </c>
      <c r="L1097" s="39">
        <v>0</v>
      </c>
      <c r="M1097" s="39">
        <v>0</v>
      </c>
      <c r="N1097" s="39">
        <v>0</v>
      </c>
      <c r="O1097" s="39">
        <v>0</v>
      </c>
      <c r="P1097" s="39">
        <v>0</v>
      </c>
      <c r="Q1097" s="39">
        <v>0</v>
      </c>
      <c r="R1097" s="39">
        <v>0</v>
      </c>
      <c r="S1097" s="39">
        <v>0</v>
      </c>
      <c r="T1097" s="39">
        <v>0</v>
      </c>
      <c r="U1097" s="39">
        <v>0</v>
      </c>
      <c r="V1097" s="39">
        <v>0</v>
      </c>
      <c r="W1097" s="39">
        <v>0</v>
      </c>
      <c r="X1097" s="39">
        <v>0</v>
      </c>
      <c r="Y1097" s="39">
        <v>0</v>
      </c>
      <c r="Z1097" s="39">
        <v>0</v>
      </c>
      <c r="AA1097" s="39">
        <v>0</v>
      </c>
      <c r="AB1097" s="39">
        <v>0</v>
      </c>
      <c r="AC1097" s="39">
        <v>318.52</v>
      </c>
      <c r="AD1097" s="39">
        <v>290.54000000000002</v>
      </c>
      <c r="AE1097" s="39">
        <v>284.8</v>
      </c>
      <c r="AF1097" s="39">
        <v>0</v>
      </c>
      <c r="AG1097" s="39">
        <v>0</v>
      </c>
      <c r="AH1097" s="39">
        <v>0</v>
      </c>
      <c r="AI1097" s="39">
        <v>318.52</v>
      </c>
      <c r="AJ1097" s="39">
        <v>290.54000000000002</v>
      </c>
      <c r="AK1097" s="39">
        <v>284.8</v>
      </c>
      <c r="AL1097" s="39">
        <v>0</v>
      </c>
      <c r="AM1097" s="39">
        <v>0</v>
      </c>
      <c r="AN1097" s="39">
        <v>0</v>
      </c>
      <c r="AO1097" s="39">
        <v>318.52</v>
      </c>
      <c r="AP1097" s="39">
        <v>290.54000000000002</v>
      </c>
      <c r="AQ1097" s="39">
        <v>284.8</v>
      </c>
      <c r="AR1097" s="39">
        <v>318.52</v>
      </c>
    </row>
    <row r="1098" spans="1:44" x14ac:dyDescent="0.35">
      <c r="A1098" s="16" t="str">
        <f t="shared" si="96"/>
        <v>42</v>
      </c>
      <c r="B1098" s="19">
        <v>75010</v>
      </c>
      <c r="C1098" s="16" t="str">
        <f>TEXT(138891,"0000000")</f>
        <v>0138891</v>
      </c>
      <c r="D1098" s="19">
        <v>2031</v>
      </c>
      <c r="E1098" s="16" t="s">
        <v>2667</v>
      </c>
      <c r="F1098" s="16" t="s">
        <v>5</v>
      </c>
      <c r="G1098" s="35" t="s">
        <v>2668</v>
      </c>
      <c r="H1098" s="39">
        <v>0</v>
      </c>
      <c r="I1098" s="39">
        <v>0</v>
      </c>
      <c r="J1098" s="39">
        <v>0</v>
      </c>
      <c r="K1098" s="39">
        <v>0</v>
      </c>
      <c r="L1098" s="39">
        <v>0</v>
      </c>
      <c r="M1098" s="39">
        <v>0</v>
      </c>
      <c r="N1098" s="39">
        <v>0</v>
      </c>
      <c r="O1098" s="39">
        <v>0</v>
      </c>
      <c r="P1098" s="39">
        <v>0</v>
      </c>
      <c r="Q1098" s="39">
        <v>0</v>
      </c>
      <c r="R1098" s="39">
        <v>0</v>
      </c>
      <c r="S1098" s="39">
        <v>0</v>
      </c>
      <c r="T1098" s="39">
        <v>0</v>
      </c>
      <c r="U1098" s="39">
        <v>0</v>
      </c>
      <c r="V1098" s="39">
        <v>0</v>
      </c>
      <c r="W1098" s="39">
        <v>0</v>
      </c>
      <c r="X1098" s="39">
        <v>0</v>
      </c>
      <c r="Y1098" s="39">
        <v>0</v>
      </c>
      <c r="Z1098" s="39">
        <v>0</v>
      </c>
      <c r="AA1098" s="39">
        <v>0</v>
      </c>
      <c r="AB1098" s="39">
        <v>0</v>
      </c>
      <c r="AC1098" s="39">
        <v>116.02</v>
      </c>
      <c r="AD1098" s="39">
        <v>134.91999999999999</v>
      </c>
      <c r="AE1098" s="39">
        <v>110.03</v>
      </c>
      <c r="AF1098" s="39">
        <v>0</v>
      </c>
      <c r="AG1098" s="39">
        <v>0</v>
      </c>
      <c r="AH1098" s="39">
        <v>0</v>
      </c>
      <c r="AI1098" s="39">
        <v>116.02</v>
      </c>
      <c r="AJ1098" s="39">
        <v>134.91999999999999</v>
      </c>
      <c r="AK1098" s="39">
        <v>110.03</v>
      </c>
      <c r="AL1098" s="39">
        <v>0</v>
      </c>
      <c r="AM1098" s="39">
        <v>0</v>
      </c>
      <c r="AN1098" s="39">
        <v>0</v>
      </c>
      <c r="AO1098" s="39">
        <v>116.02</v>
      </c>
      <c r="AP1098" s="39">
        <v>134.91999999999999</v>
      </c>
      <c r="AQ1098" s="39">
        <v>110.03</v>
      </c>
      <c r="AR1098" s="39">
        <v>134.91999999999999</v>
      </c>
    </row>
    <row r="1099" spans="1:44" x14ac:dyDescent="0.35">
      <c r="A1099" s="16" t="str">
        <f t="shared" si="96"/>
        <v>42</v>
      </c>
      <c r="B1099" s="19">
        <v>77198</v>
      </c>
      <c r="C1099" s="16" t="str">
        <f>TEXT(138362,"0000000")</f>
        <v>0138362</v>
      </c>
      <c r="D1099" s="19">
        <v>2011</v>
      </c>
      <c r="E1099" s="16" t="s">
        <v>2677</v>
      </c>
      <c r="F1099" s="16" t="s">
        <v>5</v>
      </c>
      <c r="G1099" s="35" t="s">
        <v>2678</v>
      </c>
      <c r="H1099" s="39">
        <v>0</v>
      </c>
      <c r="I1099" s="39">
        <v>0</v>
      </c>
      <c r="J1099" s="39">
        <v>0</v>
      </c>
      <c r="K1099" s="39">
        <v>0</v>
      </c>
      <c r="L1099" s="39">
        <v>0</v>
      </c>
      <c r="M1099" s="39">
        <v>0</v>
      </c>
      <c r="N1099" s="39">
        <v>0</v>
      </c>
      <c r="O1099" s="39">
        <v>0</v>
      </c>
      <c r="P1099" s="39">
        <v>0</v>
      </c>
      <c r="Q1099" s="39">
        <v>0</v>
      </c>
      <c r="R1099" s="39">
        <v>0</v>
      </c>
      <c r="S1099" s="39">
        <v>0</v>
      </c>
      <c r="T1099" s="39">
        <v>0</v>
      </c>
      <c r="U1099" s="39">
        <v>0</v>
      </c>
      <c r="V1099" s="39">
        <v>0</v>
      </c>
      <c r="W1099" s="39">
        <v>0</v>
      </c>
      <c r="X1099" s="39">
        <v>0</v>
      </c>
      <c r="Y1099" s="39">
        <v>0</v>
      </c>
      <c r="Z1099" s="39">
        <v>0</v>
      </c>
      <c r="AA1099" s="39">
        <v>0</v>
      </c>
      <c r="AB1099" s="39">
        <v>0</v>
      </c>
      <c r="AC1099" s="39">
        <v>153.08000000000001</v>
      </c>
      <c r="AD1099" s="39">
        <v>140.97999999999999</v>
      </c>
      <c r="AE1099" s="39">
        <v>147.81</v>
      </c>
      <c r="AF1099" s="39">
        <v>0</v>
      </c>
      <c r="AG1099" s="39">
        <v>0</v>
      </c>
      <c r="AH1099" s="39">
        <v>0</v>
      </c>
      <c r="AI1099" s="39">
        <v>153.08000000000001</v>
      </c>
      <c r="AJ1099" s="39">
        <v>140.97999999999999</v>
      </c>
      <c r="AK1099" s="39">
        <v>147.81</v>
      </c>
      <c r="AL1099" s="39">
        <v>0</v>
      </c>
      <c r="AM1099" s="39">
        <v>0</v>
      </c>
      <c r="AN1099" s="39">
        <v>0</v>
      </c>
      <c r="AO1099" s="39">
        <v>153.08000000000001</v>
      </c>
      <c r="AP1099" s="39">
        <v>140.97999999999999</v>
      </c>
      <c r="AQ1099" s="39">
        <v>147.81</v>
      </c>
      <c r="AR1099" s="39">
        <v>153.08000000000001</v>
      </c>
    </row>
    <row r="1100" spans="1:44" x14ac:dyDescent="0.35">
      <c r="A1100" s="16" t="str">
        <f t="shared" si="96"/>
        <v>42</v>
      </c>
      <c r="B1100" s="19">
        <v>77206</v>
      </c>
      <c r="C1100" s="16" t="str">
        <f>TEXT(138370,"0000000")</f>
        <v>0138370</v>
      </c>
      <c r="D1100" s="19">
        <v>2012</v>
      </c>
      <c r="E1100" s="16" t="s">
        <v>2679</v>
      </c>
      <c r="F1100" s="16" t="s">
        <v>5</v>
      </c>
      <c r="G1100" s="35" t="s">
        <v>2680</v>
      </c>
      <c r="H1100" s="39">
        <v>0</v>
      </c>
      <c r="I1100" s="39">
        <v>0</v>
      </c>
      <c r="J1100" s="39">
        <v>0</v>
      </c>
      <c r="K1100" s="39">
        <v>0</v>
      </c>
      <c r="L1100" s="39">
        <v>0</v>
      </c>
      <c r="M1100" s="39">
        <v>0</v>
      </c>
      <c r="N1100" s="39">
        <v>0</v>
      </c>
      <c r="O1100" s="39">
        <v>0</v>
      </c>
      <c r="P1100" s="39">
        <v>0</v>
      </c>
      <c r="Q1100" s="39">
        <v>0</v>
      </c>
      <c r="R1100" s="39">
        <v>0</v>
      </c>
      <c r="S1100" s="39">
        <v>0</v>
      </c>
      <c r="T1100" s="39">
        <v>0</v>
      </c>
      <c r="U1100" s="39">
        <v>0</v>
      </c>
      <c r="V1100" s="39">
        <v>0</v>
      </c>
      <c r="W1100" s="39">
        <v>0</v>
      </c>
      <c r="X1100" s="39">
        <v>0</v>
      </c>
      <c r="Y1100" s="39">
        <v>0</v>
      </c>
      <c r="Z1100" s="39">
        <v>0</v>
      </c>
      <c r="AA1100" s="39">
        <v>0</v>
      </c>
      <c r="AB1100" s="39">
        <v>0</v>
      </c>
      <c r="AC1100" s="39">
        <v>111.92</v>
      </c>
      <c r="AD1100" s="39">
        <v>101.17</v>
      </c>
      <c r="AE1100" s="39">
        <v>103.08</v>
      </c>
      <c r="AF1100" s="39">
        <v>0</v>
      </c>
      <c r="AG1100" s="39">
        <v>0</v>
      </c>
      <c r="AH1100" s="39">
        <v>0</v>
      </c>
      <c r="AI1100" s="39">
        <v>111.92</v>
      </c>
      <c r="AJ1100" s="39">
        <v>101.17</v>
      </c>
      <c r="AK1100" s="39">
        <v>103.08</v>
      </c>
      <c r="AL1100" s="39">
        <v>0</v>
      </c>
      <c r="AM1100" s="39">
        <v>0</v>
      </c>
      <c r="AN1100" s="39">
        <v>0</v>
      </c>
      <c r="AO1100" s="39">
        <v>111.92</v>
      </c>
      <c r="AP1100" s="39">
        <v>101.17</v>
      </c>
      <c r="AQ1100" s="39">
        <v>103.08</v>
      </c>
      <c r="AR1100" s="39">
        <v>111.92</v>
      </c>
    </row>
    <row r="1101" spans="1:44" x14ac:dyDescent="0.35">
      <c r="A1101" s="16" t="str">
        <f>TEXT(1,"00")</f>
        <v>01</v>
      </c>
      <c r="B1101" s="19">
        <v>61259</v>
      </c>
      <c r="C1101" s="16" t="str">
        <f>TEXT(3030772,"0000000")</f>
        <v>3030772</v>
      </c>
      <c r="D1101" s="17" t="s">
        <v>135</v>
      </c>
      <c r="E1101" s="16" t="s">
        <v>133</v>
      </c>
      <c r="F1101" s="16" t="s">
        <v>5</v>
      </c>
      <c r="G1101" s="35" t="s">
        <v>134</v>
      </c>
      <c r="H1101" s="39">
        <v>0</v>
      </c>
      <c r="I1101" s="39">
        <v>0</v>
      </c>
      <c r="J1101" s="39">
        <v>0</v>
      </c>
      <c r="K1101" s="39">
        <v>0</v>
      </c>
      <c r="L1101" s="39">
        <v>0</v>
      </c>
      <c r="M1101" s="39">
        <v>0</v>
      </c>
      <c r="N1101" s="39">
        <v>0</v>
      </c>
      <c r="O1101" s="39">
        <v>0</v>
      </c>
      <c r="P1101" s="39">
        <v>0</v>
      </c>
      <c r="Q1101" s="39">
        <v>0</v>
      </c>
      <c r="R1101" s="39">
        <v>0</v>
      </c>
      <c r="S1101" s="39">
        <v>0</v>
      </c>
      <c r="T1101" s="39">
        <v>0</v>
      </c>
      <c r="U1101" s="39">
        <v>0</v>
      </c>
      <c r="V1101" s="39">
        <v>0</v>
      </c>
      <c r="W1101" s="39">
        <v>0</v>
      </c>
      <c r="X1101" s="39">
        <v>0</v>
      </c>
      <c r="Y1101" s="39">
        <v>0</v>
      </c>
      <c r="Z1101" s="39">
        <v>0</v>
      </c>
      <c r="AA1101" s="39">
        <v>0</v>
      </c>
      <c r="AB1101" s="39">
        <v>0</v>
      </c>
      <c r="AC1101" s="39">
        <v>787.08</v>
      </c>
      <c r="AD1101" s="39">
        <v>735.61</v>
      </c>
      <c r="AE1101" s="39">
        <v>714.38</v>
      </c>
      <c r="AF1101" s="39">
        <v>0</v>
      </c>
      <c r="AG1101" s="39">
        <v>0</v>
      </c>
      <c r="AH1101" s="39">
        <v>0</v>
      </c>
      <c r="AI1101" s="39">
        <v>787.08</v>
      </c>
      <c r="AJ1101" s="39">
        <v>735.61</v>
      </c>
      <c r="AK1101" s="39">
        <v>714.38</v>
      </c>
      <c r="AL1101" s="39">
        <v>0</v>
      </c>
      <c r="AM1101" s="39">
        <v>0</v>
      </c>
      <c r="AN1101" s="39">
        <v>0</v>
      </c>
      <c r="AO1101" s="39">
        <v>787.08</v>
      </c>
      <c r="AP1101" s="39">
        <v>735.61</v>
      </c>
      <c r="AQ1101" s="39">
        <v>714.38</v>
      </c>
      <c r="AR1101" s="39">
        <v>787.08</v>
      </c>
    </row>
    <row r="1102" spans="1:44" x14ac:dyDescent="0.35">
      <c r="A1102" s="16" t="str">
        <f>TEXT(42,"00")</f>
        <v>42</v>
      </c>
      <c r="B1102" s="19">
        <v>77214</v>
      </c>
      <c r="C1102" s="16" t="str">
        <f>TEXT(138388,"0000000")</f>
        <v>0138388</v>
      </c>
      <c r="D1102" s="19">
        <v>2013</v>
      </c>
      <c r="E1102" s="16" t="s">
        <v>2681</v>
      </c>
      <c r="F1102" s="16" t="s">
        <v>5</v>
      </c>
      <c r="G1102" s="35" t="s">
        <v>2682</v>
      </c>
      <c r="H1102" s="39">
        <v>0</v>
      </c>
      <c r="I1102" s="39">
        <v>0</v>
      </c>
      <c r="J1102" s="39">
        <v>0</v>
      </c>
      <c r="K1102" s="39">
        <v>0</v>
      </c>
      <c r="L1102" s="39">
        <v>0</v>
      </c>
      <c r="M1102" s="39">
        <v>0</v>
      </c>
      <c r="N1102" s="39">
        <v>0</v>
      </c>
      <c r="O1102" s="39">
        <v>0</v>
      </c>
      <c r="P1102" s="39">
        <v>0</v>
      </c>
      <c r="Q1102" s="39">
        <v>0</v>
      </c>
      <c r="R1102" s="39">
        <v>0</v>
      </c>
      <c r="S1102" s="39">
        <v>0</v>
      </c>
      <c r="T1102" s="39">
        <v>0</v>
      </c>
      <c r="U1102" s="39">
        <v>0</v>
      </c>
      <c r="V1102" s="39">
        <v>0</v>
      </c>
      <c r="W1102" s="39">
        <v>0</v>
      </c>
      <c r="X1102" s="39">
        <v>0</v>
      </c>
      <c r="Y1102" s="39">
        <v>0</v>
      </c>
      <c r="Z1102" s="39">
        <v>0</v>
      </c>
      <c r="AA1102" s="39">
        <v>0</v>
      </c>
      <c r="AB1102" s="39">
        <v>0</v>
      </c>
      <c r="AC1102" s="39">
        <v>36.18</v>
      </c>
      <c r="AD1102" s="39">
        <v>33.909999999999997</v>
      </c>
      <c r="AE1102" s="39">
        <v>40.54</v>
      </c>
      <c r="AF1102" s="39">
        <v>0</v>
      </c>
      <c r="AG1102" s="39">
        <v>0</v>
      </c>
      <c r="AH1102" s="39">
        <v>0</v>
      </c>
      <c r="AI1102" s="39">
        <v>36.18</v>
      </c>
      <c r="AJ1102" s="39">
        <v>33.909999999999997</v>
      </c>
      <c r="AK1102" s="39">
        <v>40.54</v>
      </c>
      <c r="AL1102" s="39">
        <v>0</v>
      </c>
      <c r="AM1102" s="39">
        <v>0</v>
      </c>
      <c r="AN1102" s="39">
        <v>0</v>
      </c>
      <c r="AO1102" s="39">
        <v>36.18</v>
      </c>
      <c r="AP1102" s="39">
        <v>33.909999999999997</v>
      </c>
      <c r="AQ1102" s="39">
        <v>40.54</v>
      </c>
      <c r="AR1102" s="39">
        <v>40.54</v>
      </c>
    </row>
    <row r="1103" spans="1:44" x14ac:dyDescent="0.35">
      <c r="A1103" s="16" t="str">
        <f>TEXT(42,"00")</f>
        <v>42</v>
      </c>
      <c r="B1103" s="19">
        <v>77222</v>
      </c>
      <c r="C1103" s="16" t="str">
        <f>TEXT(138396,"0000000")</f>
        <v>0138396</v>
      </c>
      <c r="D1103" s="19">
        <v>2014</v>
      </c>
      <c r="E1103" s="16" t="s">
        <v>2683</v>
      </c>
      <c r="F1103" s="16" t="s">
        <v>5</v>
      </c>
      <c r="G1103" s="35" t="s">
        <v>2684</v>
      </c>
      <c r="H1103" s="39">
        <v>0</v>
      </c>
      <c r="I1103" s="39">
        <v>0</v>
      </c>
      <c r="J1103" s="39">
        <v>0</v>
      </c>
      <c r="K1103" s="39">
        <v>0</v>
      </c>
      <c r="L1103" s="39">
        <v>0</v>
      </c>
      <c r="M1103" s="39">
        <v>0</v>
      </c>
      <c r="N1103" s="39">
        <v>0</v>
      </c>
      <c r="O1103" s="39">
        <v>0</v>
      </c>
      <c r="P1103" s="39">
        <v>0</v>
      </c>
      <c r="Q1103" s="39">
        <v>0</v>
      </c>
      <c r="R1103" s="39">
        <v>0</v>
      </c>
      <c r="S1103" s="39">
        <v>0</v>
      </c>
      <c r="T1103" s="39">
        <v>0</v>
      </c>
      <c r="U1103" s="39">
        <v>0</v>
      </c>
      <c r="V1103" s="39">
        <v>0</v>
      </c>
      <c r="W1103" s="39">
        <v>0</v>
      </c>
      <c r="X1103" s="39">
        <v>0</v>
      </c>
      <c r="Y1103" s="39">
        <v>0</v>
      </c>
      <c r="Z1103" s="39">
        <v>0</v>
      </c>
      <c r="AA1103" s="39">
        <v>0</v>
      </c>
      <c r="AB1103" s="39">
        <v>0</v>
      </c>
      <c r="AC1103" s="39">
        <v>77.31</v>
      </c>
      <c r="AD1103" s="39">
        <v>70.010000000000005</v>
      </c>
      <c r="AE1103" s="39">
        <v>73.86</v>
      </c>
      <c r="AF1103" s="39">
        <v>0</v>
      </c>
      <c r="AG1103" s="39">
        <v>0</v>
      </c>
      <c r="AH1103" s="39">
        <v>0</v>
      </c>
      <c r="AI1103" s="39">
        <v>77.31</v>
      </c>
      <c r="AJ1103" s="39">
        <v>70.010000000000005</v>
      </c>
      <c r="AK1103" s="39">
        <v>73.86</v>
      </c>
      <c r="AL1103" s="39">
        <v>0</v>
      </c>
      <c r="AM1103" s="39">
        <v>0</v>
      </c>
      <c r="AN1103" s="39">
        <v>0</v>
      </c>
      <c r="AO1103" s="39">
        <v>77.31</v>
      </c>
      <c r="AP1103" s="39">
        <v>70.010000000000005</v>
      </c>
      <c r="AQ1103" s="39">
        <v>73.86</v>
      </c>
      <c r="AR1103" s="39">
        <v>77.31</v>
      </c>
    </row>
    <row r="1104" spans="1:44" x14ac:dyDescent="0.35">
      <c r="A1104" s="16" t="str">
        <f t="shared" ref="A1104:A1111" si="97">TEXT(43,"00")</f>
        <v>43</v>
      </c>
      <c r="B1104" s="19">
        <v>10439</v>
      </c>
      <c r="C1104" s="16" t="str">
        <f>TEXT(113704,"0000000")</f>
        <v>0113704</v>
      </c>
      <c r="D1104" s="17" t="s">
        <v>2701</v>
      </c>
      <c r="E1104" s="16" t="s">
        <v>2699</v>
      </c>
      <c r="F1104" s="16" t="s">
        <v>5</v>
      </c>
      <c r="G1104" s="35" t="s">
        <v>2700</v>
      </c>
      <c r="H1104" s="39">
        <v>0</v>
      </c>
      <c r="I1104" s="39">
        <v>0</v>
      </c>
      <c r="J1104" s="39">
        <v>0</v>
      </c>
      <c r="K1104" s="39">
        <v>0</v>
      </c>
      <c r="L1104" s="39">
        <v>0</v>
      </c>
      <c r="M1104" s="39">
        <v>0</v>
      </c>
      <c r="N1104" s="39">
        <v>0</v>
      </c>
      <c r="O1104" s="39">
        <v>0</v>
      </c>
      <c r="P1104" s="39">
        <v>0</v>
      </c>
      <c r="Q1104" s="39">
        <v>0</v>
      </c>
      <c r="R1104" s="39">
        <v>0</v>
      </c>
      <c r="S1104" s="39">
        <v>0</v>
      </c>
      <c r="T1104" s="39">
        <v>0</v>
      </c>
      <c r="U1104" s="39">
        <v>0</v>
      </c>
      <c r="V1104" s="39">
        <v>0</v>
      </c>
      <c r="W1104" s="39">
        <v>0</v>
      </c>
      <c r="X1104" s="39">
        <v>0</v>
      </c>
      <c r="Y1104" s="39">
        <v>0</v>
      </c>
      <c r="Z1104" s="39">
        <v>0</v>
      </c>
      <c r="AA1104" s="39">
        <v>0</v>
      </c>
      <c r="AB1104" s="39">
        <v>0</v>
      </c>
      <c r="AC1104" s="39">
        <v>415.8</v>
      </c>
      <c r="AD1104" s="39">
        <v>452.22</v>
      </c>
      <c r="AE1104" s="39">
        <v>446.35</v>
      </c>
      <c r="AF1104" s="39">
        <v>0</v>
      </c>
      <c r="AG1104" s="39">
        <v>0</v>
      </c>
      <c r="AH1104" s="39">
        <v>0</v>
      </c>
      <c r="AI1104" s="39">
        <v>415.8</v>
      </c>
      <c r="AJ1104" s="39">
        <v>452.22</v>
      </c>
      <c r="AK1104" s="39">
        <v>446.35</v>
      </c>
      <c r="AL1104" s="39">
        <v>0</v>
      </c>
      <c r="AM1104" s="39">
        <v>0</v>
      </c>
      <c r="AN1104" s="39">
        <v>0</v>
      </c>
      <c r="AO1104" s="39">
        <v>415.8</v>
      </c>
      <c r="AP1104" s="39">
        <v>452.22</v>
      </c>
      <c r="AQ1104" s="39">
        <v>446.35</v>
      </c>
      <c r="AR1104" s="39">
        <v>452.22</v>
      </c>
    </row>
    <row r="1105" spans="1:44" x14ac:dyDescent="0.35">
      <c r="A1105" s="16" t="str">
        <f t="shared" si="97"/>
        <v>43</v>
      </c>
      <c r="B1105" s="19">
        <v>10439</v>
      </c>
      <c r="C1105" s="16" t="str">
        <f>TEXT(116814,"0000000")</f>
        <v>0116814</v>
      </c>
      <c r="D1105" s="17" t="s">
        <v>2704</v>
      </c>
      <c r="E1105" s="16" t="s">
        <v>2702</v>
      </c>
      <c r="F1105" s="16" t="s">
        <v>5</v>
      </c>
      <c r="G1105" s="35" t="s">
        <v>2703</v>
      </c>
      <c r="H1105" s="39">
        <v>0</v>
      </c>
      <c r="I1105" s="39">
        <v>0</v>
      </c>
      <c r="J1105" s="39">
        <v>0</v>
      </c>
      <c r="K1105" s="39">
        <v>0</v>
      </c>
      <c r="L1105" s="39">
        <v>0</v>
      </c>
      <c r="M1105" s="39">
        <v>0</v>
      </c>
      <c r="N1105" s="39">
        <v>0</v>
      </c>
      <c r="O1105" s="39">
        <v>0</v>
      </c>
      <c r="P1105" s="39">
        <v>0</v>
      </c>
      <c r="Q1105" s="39">
        <v>0</v>
      </c>
      <c r="R1105" s="39">
        <v>0</v>
      </c>
      <c r="S1105" s="39">
        <v>0</v>
      </c>
      <c r="T1105" s="39">
        <v>0</v>
      </c>
      <c r="U1105" s="39">
        <v>0</v>
      </c>
      <c r="V1105" s="39">
        <v>0</v>
      </c>
      <c r="W1105" s="39">
        <v>0</v>
      </c>
      <c r="X1105" s="39">
        <v>0</v>
      </c>
      <c r="Y1105" s="39">
        <v>0</v>
      </c>
      <c r="Z1105" s="39">
        <v>0</v>
      </c>
      <c r="AA1105" s="39">
        <v>0</v>
      </c>
      <c r="AB1105" s="39">
        <v>0</v>
      </c>
      <c r="AC1105" s="39">
        <v>175.73</v>
      </c>
      <c r="AD1105" s="39">
        <v>177.71</v>
      </c>
      <c r="AE1105" s="39">
        <v>174.09</v>
      </c>
      <c r="AF1105" s="39">
        <v>0</v>
      </c>
      <c r="AG1105" s="39">
        <v>0</v>
      </c>
      <c r="AH1105" s="39">
        <v>0</v>
      </c>
      <c r="AI1105" s="39">
        <v>175.73</v>
      </c>
      <c r="AJ1105" s="39">
        <v>177.71</v>
      </c>
      <c r="AK1105" s="39">
        <v>174.09</v>
      </c>
      <c r="AL1105" s="39">
        <v>0</v>
      </c>
      <c r="AM1105" s="39">
        <v>0</v>
      </c>
      <c r="AN1105" s="39">
        <v>0</v>
      </c>
      <c r="AO1105" s="39">
        <v>175.73</v>
      </c>
      <c r="AP1105" s="39">
        <v>177.71</v>
      </c>
      <c r="AQ1105" s="39">
        <v>174.09</v>
      </c>
      <c r="AR1105" s="39">
        <v>177.71</v>
      </c>
    </row>
    <row r="1106" spans="1:44" x14ac:dyDescent="0.35">
      <c r="A1106" s="16" t="str">
        <f t="shared" si="97"/>
        <v>43</v>
      </c>
      <c r="B1106" s="19">
        <v>10439</v>
      </c>
      <c r="C1106" s="16" t="str">
        <f>TEXT(119024,"0000000")</f>
        <v>0119024</v>
      </c>
      <c r="D1106" s="19">
        <v>1061</v>
      </c>
      <c r="E1106" s="16" t="s">
        <v>2705</v>
      </c>
      <c r="F1106" s="16" t="s">
        <v>5</v>
      </c>
      <c r="G1106" s="35" t="s">
        <v>2706</v>
      </c>
      <c r="H1106" s="39">
        <v>0</v>
      </c>
      <c r="I1106" s="39">
        <v>0</v>
      </c>
      <c r="J1106" s="39">
        <v>0</v>
      </c>
      <c r="K1106" s="39">
        <v>0</v>
      </c>
      <c r="L1106" s="39">
        <v>0</v>
      </c>
      <c r="M1106" s="39">
        <v>0</v>
      </c>
      <c r="N1106" s="39">
        <v>0</v>
      </c>
      <c r="O1106" s="39">
        <v>0</v>
      </c>
      <c r="P1106" s="39">
        <v>0</v>
      </c>
      <c r="Q1106" s="39">
        <v>0</v>
      </c>
      <c r="R1106" s="39">
        <v>0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243.48</v>
      </c>
      <c r="AD1106" s="39">
        <v>278.41000000000003</v>
      </c>
      <c r="AE1106" s="39">
        <v>282.45999999999998</v>
      </c>
      <c r="AF1106" s="39">
        <v>0</v>
      </c>
      <c r="AG1106" s="39">
        <v>0</v>
      </c>
      <c r="AH1106" s="39">
        <v>0</v>
      </c>
      <c r="AI1106" s="39">
        <v>243.48</v>
      </c>
      <c r="AJ1106" s="39">
        <v>278.41000000000003</v>
      </c>
      <c r="AK1106" s="39">
        <v>282.45999999999998</v>
      </c>
      <c r="AL1106" s="39">
        <v>0</v>
      </c>
      <c r="AM1106" s="39">
        <v>0</v>
      </c>
      <c r="AN1106" s="39">
        <v>0</v>
      </c>
      <c r="AO1106" s="39">
        <v>243.48</v>
      </c>
      <c r="AP1106" s="39">
        <v>278.41000000000003</v>
      </c>
      <c r="AQ1106" s="39">
        <v>282.45999999999998</v>
      </c>
      <c r="AR1106" s="39">
        <v>282.45999999999998</v>
      </c>
    </row>
    <row r="1107" spans="1:44" x14ac:dyDescent="0.35">
      <c r="A1107" s="16" t="str">
        <f t="shared" si="97"/>
        <v>43</v>
      </c>
      <c r="B1107" s="19">
        <v>10439</v>
      </c>
      <c r="C1107" s="16" t="str">
        <f>TEXT(120642,"0000000")</f>
        <v>0120642</v>
      </c>
      <c r="D1107" s="19">
        <v>1127</v>
      </c>
      <c r="E1107" s="16" t="s">
        <v>2707</v>
      </c>
      <c r="F1107" s="16" t="s">
        <v>5</v>
      </c>
      <c r="G1107" s="35" t="s">
        <v>2708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286.16000000000003</v>
      </c>
      <c r="AA1107" s="39">
        <v>332.43</v>
      </c>
      <c r="AB1107" s="39">
        <v>335.96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286.16000000000003</v>
      </c>
      <c r="AJ1107" s="39">
        <v>332.43</v>
      </c>
      <c r="AK1107" s="39">
        <v>335.96</v>
      </c>
      <c r="AL1107" s="39">
        <v>0</v>
      </c>
      <c r="AM1107" s="39">
        <v>0</v>
      </c>
      <c r="AN1107" s="39">
        <v>0</v>
      </c>
      <c r="AO1107" s="39">
        <v>286.16000000000003</v>
      </c>
      <c r="AP1107" s="39">
        <v>332.43</v>
      </c>
      <c r="AQ1107" s="39">
        <v>335.96</v>
      </c>
      <c r="AR1107" s="39">
        <v>335.96</v>
      </c>
    </row>
    <row r="1108" spans="1:44" x14ac:dyDescent="0.35">
      <c r="A1108" s="16" t="str">
        <f t="shared" si="97"/>
        <v>43</v>
      </c>
      <c r="B1108" s="19">
        <v>10439</v>
      </c>
      <c r="C1108" s="16" t="str">
        <f>TEXT(121483,"0000000")</f>
        <v>0121483</v>
      </c>
      <c r="D1108" s="19">
        <v>1167</v>
      </c>
      <c r="E1108" s="16" t="s">
        <v>2709</v>
      </c>
      <c r="F1108" s="16" t="s">
        <v>5</v>
      </c>
      <c r="G1108" s="35" t="s">
        <v>2710</v>
      </c>
      <c r="H1108" s="39">
        <v>0</v>
      </c>
      <c r="I1108" s="39">
        <v>0</v>
      </c>
      <c r="J1108" s="39">
        <v>0</v>
      </c>
      <c r="K1108" s="39">
        <v>0</v>
      </c>
      <c r="L1108" s="39">
        <v>0</v>
      </c>
      <c r="M1108" s="39">
        <v>0</v>
      </c>
      <c r="N1108" s="39">
        <v>0</v>
      </c>
      <c r="O1108" s="39">
        <v>0</v>
      </c>
      <c r="P1108" s="39">
        <v>0</v>
      </c>
      <c r="Q1108" s="39">
        <v>0</v>
      </c>
      <c r="R1108" s="39">
        <v>0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529.52</v>
      </c>
      <c r="AD1108" s="39">
        <v>524.25</v>
      </c>
      <c r="AE1108" s="39">
        <v>487.77</v>
      </c>
      <c r="AF1108" s="39">
        <v>0</v>
      </c>
      <c r="AG1108" s="39">
        <v>0</v>
      </c>
      <c r="AH1108" s="39">
        <v>0</v>
      </c>
      <c r="AI1108" s="39">
        <v>529.52</v>
      </c>
      <c r="AJ1108" s="39">
        <v>524.25</v>
      </c>
      <c r="AK1108" s="39">
        <v>487.77</v>
      </c>
      <c r="AL1108" s="39">
        <v>0</v>
      </c>
      <c r="AM1108" s="39">
        <v>0</v>
      </c>
      <c r="AN1108" s="39">
        <v>0</v>
      </c>
      <c r="AO1108" s="39">
        <v>529.52</v>
      </c>
      <c r="AP1108" s="39">
        <v>524.25</v>
      </c>
      <c r="AQ1108" s="39">
        <v>487.77</v>
      </c>
      <c r="AR1108" s="39">
        <v>529.52</v>
      </c>
    </row>
    <row r="1109" spans="1:44" x14ac:dyDescent="0.35">
      <c r="A1109" s="16" t="str">
        <f t="shared" si="97"/>
        <v>43</v>
      </c>
      <c r="B1109" s="19">
        <v>10439</v>
      </c>
      <c r="C1109" s="16" t="str">
        <f>TEXT(123281,"0000000")</f>
        <v>0123281</v>
      </c>
      <c r="D1109" s="19">
        <v>1193</v>
      </c>
      <c r="E1109" s="16" t="s">
        <v>2711</v>
      </c>
      <c r="F1109" s="16" t="s">
        <v>5</v>
      </c>
      <c r="G1109" s="35" t="s">
        <v>2712</v>
      </c>
      <c r="H1109" s="39">
        <v>0</v>
      </c>
      <c r="I1109" s="39">
        <v>0</v>
      </c>
      <c r="J1109" s="39">
        <v>0</v>
      </c>
      <c r="K1109" s="39">
        <v>0</v>
      </c>
      <c r="L1109" s="39">
        <v>0</v>
      </c>
      <c r="M1109" s="39">
        <v>0</v>
      </c>
      <c r="N1109" s="39">
        <v>0</v>
      </c>
      <c r="O1109" s="39">
        <v>0</v>
      </c>
      <c r="P1109" s="39">
        <v>0</v>
      </c>
      <c r="Q1109" s="39">
        <v>0</v>
      </c>
      <c r="R1109" s="39">
        <v>0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371.46</v>
      </c>
      <c r="AA1109" s="39">
        <v>378.17</v>
      </c>
      <c r="AB1109" s="39">
        <v>365.86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0</v>
      </c>
      <c r="AI1109" s="39">
        <v>371.46</v>
      </c>
      <c r="AJ1109" s="39">
        <v>378.17</v>
      </c>
      <c r="AK1109" s="39">
        <v>365.86</v>
      </c>
      <c r="AL1109" s="39">
        <v>0</v>
      </c>
      <c r="AM1109" s="39">
        <v>0</v>
      </c>
      <c r="AN1109" s="39">
        <v>0</v>
      </c>
      <c r="AO1109" s="39">
        <v>371.46</v>
      </c>
      <c r="AP1109" s="39">
        <v>378.17</v>
      </c>
      <c r="AQ1109" s="39">
        <v>365.86</v>
      </c>
      <c r="AR1109" s="39">
        <v>378.17</v>
      </c>
    </row>
    <row r="1110" spans="1:44" x14ac:dyDescent="0.35">
      <c r="A1110" s="16" t="str">
        <f t="shared" si="97"/>
        <v>43</v>
      </c>
      <c r="B1110" s="19">
        <v>10439</v>
      </c>
      <c r="C1110" s="16" t="str">
        <f>TEXT(123794,"0000000")</f>
        <v>0123794</v>
      </c>
      <c r="D1110" s="19">
        <v>1282</v>
      </c>
      <c r="E1110" s="16" t="s">
        <v>2713</v>
      </c>
      <c r="F1110" s="16" t="s">
        <v>5</v>
      </c>
      <c r="G1110" s="35" t="s">
        <v>2714</v>
      </c>
      <c r="H1110" s="39">
        <v>0</v>
      </c>
      <c r="I1110" s="39">
        <v>0</v>
      </c>
      <c r="J1110" s="39">
        <v>0</v>
      </c>
      <c r="K1110" s="39">
        <v>0</v>
      </c>
      <c r="L1110" s="39">
        <v>0</v>
      </c>
      <c r="M1110" s="39">
        <v>0</v>
      </c>
      <c r="N1110" s="39">
        <v>0</v>
      </c>
      <c r="O1110" s="39">
        <v>0</v>
      </c>
      <c r="P1110" s="39">
        <v>0</v>
      </c>
      <c r="Q1110" s="39">
        <v>0</v>
      </c>
      <c r="R1110" s="39">
        <v>0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0</v>
      </c>
      <c r="AA1110" s="39">
        <v>0</v>
      </c>
      <c r="AB1110" s="39">
        <v>0</v>
      </c>
      <c r="AC1110" s="39">
        <v>353.11</v>
      </c>
      <c r="AD1110" s="39">
        <v>394.84</v>
      </c>
      <c r="AE1110" s="39">
        <v>285.02</v>
      </c>
      <c r="AF1110" s="39">
        <v>0</v>
      </c>
      <c r="AG1110" s="39">
        <v>0</v>
      </c>
      <c r="AH1110" s="39">
        <v>0</v>
      </c>
      <c r="AI1110" s="39">
        <v>353.11</v>
      </c>
      <c r="AJ1110" s="39">
        <v>394.84</v>
      </c>
      <c r="AK1110" s="39">
        <v>285.02</v>
      </c>
      <c r="AL1110" s="39">
        <v>0</v>
      </c>
      <c r="AM1110" s="39">
        <v>0</v>
      </c>
      <c r="AN1110" s="39">
        <v>0</v>
      </c>
      <c r="AO1110" s="39">
        <v>353.11</v>
      </c>
      <c r="AP1110" s="39">
        <v>394.84</v>
      </c>
      <c r="AQ1110" s="39">
        <v>285.02</v>
      </c>
      <c r="AR1110" s="39">
        <v>394.84</v>
      </c>
    </row>
    <row r="1111" spans="1:44" x14ac:dyDescent="0.35">
      <c r="A1111" s="16" t="str">
        <f t="shared" si="97"/>
        <v>43</v>
      </c>
      <c r="B1111" s="19">
        <v>10439</v>
      </c>
      <c r="C1111" s="16" t="str">
        <f>TEXT(124065,"0000000")</f>
        <v>0124065</v>
      </c>
      <c r="D1111" s="19">
        <v>1290</v>
      </c>
      <c r="E1111" s="16" t="s">
        <v>2715</v>
      </c>
      <c r="F1111" s="16" t="s">
        <v>5</v>
      </c>
      <c r="G1111" s="35" t="s">
        <v>2716</v>
      </c>
      <c r="H1111" s="39">
        <v>0</v>
      </c>
      <c r="I1111" s="39">
        <v>0</v>
      </c>
      <c r="J1111" s="39">
        <v>0</v>
      </c>
      <c r="K1111" s="39">
        <v>0</v>
      </c>
      <c r="L1111" s="39">
        <v>0</v>
      </c>
      <c r="M1111" s="39">
        <v>0</v>
      </c>
      <c r="N1111" s="39">
        <v>0</v>
      </c>
      <c r="O1111" s="39">
        <v>0</v>
      </c>
      <c r="P1111" s="39">
        <v>0</v>
      </c>
      <c r="Q1111" s="39">
        <v>0</v>
      </c>
      <c r="R1111" s="39">
        <v>0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0</v>
      </c>
      <c r="AA1111" s="39">
        <v>0</v>
      </c>
      <c r="AB1111" s="39">
        <v>0</v>
      </c>
      <c r="AC1111" s="39">
        <v>272.76</v>
      </c>
      <c r="AD1111" s="39">
        <v>285.33999999999997</v>
      </c>
      <c r="AE1111" s="39">
        <v>274.82</v>
      </c>
      <c r="AF1111" s="39">
        <v>0</v>
      </c>
      <c r="AG1111" s="39">
        <v>0</v>
      </c>
      <c r="AH1111" s="39">
        <v>0</v>
      </c>
      <c r="AI1111" s="39">
        <v>272.76</v>
      </c>
      <c r="AJ1111" s="39">
        <v>285.33999999999997</v>
      </c>
      <c r="AK1111" s="39">
        <v>274.82</v>
      </c>
      <c r="AL1111" s="39">
        <v>0</v>
      </c>
      <c r="AM1111" s="39">
        <v>0</v>
      </c>
      <c r="AN1111" s="39">
        <v>0</v>
      </c>
      <c r="AO1111" s="39">
        <v>272.76</v>
      </c>
      <c r="AP1111" s="39">
        <v>285.33999999999997</v>
      </c>
      <c r="AQ1111" s="39">
        <v>274.82</v>
      </c>
      <c r="AR1111" s="39">
        <v>285.33999999999997</v>
      </c>
    </row>
    <row r="1112" spans="1:44" x14ac:dyDescent="0.35">
      <c r="A1112" s="16" t="str">
        <f>TEXT(1,"00")</f>
        <v>01</v>
      </c>
      <c r="B1112" s="19">
        <v>61259</v>
      </c>
      <c r="C1112" s="16" t="str">
        <f>TEXT(6111660,"0000000")</f>
        <v>6111660</v>
      </c>
      <c r="D1112" s="17" t="s">
        <v>138</v>
      </c>
      <c r="E1112" s="16" t="s">
        <v>136</v>
      </c>
      <c r="F1112" s="16" t="s">
        <v>5</v>
      </c>
      <c r="G1112" s="35" t="s">
        <v>137</v>
      </c>
      <c r="H1112" s="39">
        <v>0</v>
      </c>
      <c r="I1112" s="39">
        <v>0</v>
      </c>
      <c r="J1112" s="39">
        <v>0</v>
      </c>
      <c r="K1112" s="39">
        <v>0</v>
      </c>
      <c r="L1112" s="39">
        <v>0</v>
      </c>
      <c r="M1112" s="39">
        <v>0</v>
      </c>
      <c r="N1112" s="39">
        <v>0</v>
      </c>
      <c r="O1112" s="39">
        <v>0</v>
      </c>
      <c r="P1112" s="39">
        <v>0</v>
      </c>
      <c r="Q1112" s="39">
        <v>0</v>
      </c>
      <c r="R1112" s="39">
        <v>0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0</v>
      </c>
      <c r="AA1112" s="39">
        <v>0</v>
      </c>
      <c r="AB1112" s="39">
        <v>0</v>
      </c>
      <c r="AC1112" s="39">
        <v>204.16</v>
      </c>
      <c r="AD1112" s="39">
        <v>206.98</v>
      </c>
      <c r="AE1112" s="39">
        <v>190.56</v>
      </c>
      <c r="AF1112" s="39">
        <v>0</v>
      </c>
      <c r="AG1112" s="39">
        <v>0</v>
      </c>
      <c r="AH1112" s="39">
        <v>0</v>
      </c>
      <c r="AI1112" s="39">
        <v>204.16</v>
      </c>
      <c r="AJ1112" s="39">
        <v>206.98</v>
      </c>
      <c r="AK1112" s="39">
        <v>190.56</v>
      </c>
      <c r="AL1112" s="39">
        <v>0</v>
      </c>
      <c r="AM1112" s="39">
        <v>0</v>
      </c>
      <c r="AN1112" s="39">
        <v>0</v>
      </c>
      <c r="AO1112" s="39">
        <v>204.16</v>
      </c>
      <c r="AP1112" s="39">
        <v>206.98</v>
      </c>
      <c r="AQ1112" s="39">
        <v>190.56</v>
      </c>
      <c r="AR1112" s="39">
        <v>206.98</v>
      </c>
    </row>
    <row r="1113" spans="1:44" x14ac:dyDescent="0.35">
      <c r="A1113" s="16" t="str">
        <f t="shared" ref="A1113:A1121" si="98">TEXT(43,"00")</f>
        <v>43</v>
      </c>
      <c r="B1113" s="19">
        <v>10439</v>
      </c>
      <c r="C1113" s="16" t="str">
        <f>TEXT(125781,"0000000")</f>
        <v>0125781</v>
      </c>
      <c r="D1113" s="19">
        <v>1393</v>
      </c>
      <c r="E1113" s="16" t="s">
        <v>2717</v>
      </c>
      <c r="F1113" s="16" t="s">
        <v>5</v>
      </c>
      <c r="G1113" s="35" t="s">
        <v>2718</v>
      </c>
      <c r="H1113" s="39">
        <v>0</v>
      </c>
      <c r="I1113" s="39">
        <v>0</v>
      </c>
      <c r="J1113" s="39">
        <v>0</v>
      </c>
      <c r="K1113" s="39">
        <v>0</v>
      </c>
      <c r="L1113" s="39">
        <v>0</v>
      </c>
      <c r="M1113" s="39">
        <v>0</v>
      </c>
      <c r="N1113" s="39">
        <v>0</v>
      </c>
      <c r="O1113" s="39">
        <v>0</v>
      </c>
      <c r="P1113" s="39">
        <v>0</v>
      </c>
      <c r="Q1113" s="39">
        <v>0</v>
      </c>
      <c r="R1113" s="39">
        <v>0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466.35</v>
      </c>
      <c r="AA1113" s="39">
        <v>450.11</v>
      </c>
      <c r="AB1113" s="39">
        <v>448.87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466.35</v>
      </c>
      <c r="AJ1113" s="39">
        <v>450.11</v>
      </c>
      <c r="AK1113" s="39">
        <v>448.87</v>
      </c>
      <c r="AL1113" s="39">
        <v>0</v>
      </c>
      <c r="AM1113" s="39">
        <v>0</v>
      </c>
      <c r="AN1113" s="39">
        <v>0</v>
      </c>
      <c r="AO1113" s="39">
        <v>466.35</v>
      </c>
      <c r="AP1113" s="39">
        <v>450.11</v>
      </c>
      <c r="AQ1113" s="39">
        <v>448.87</v>
      </c>
      <c r="AR1113" s="39">
        <v>466.35</v>
      </c>
    </row>
    <row r="1114" spans="1:44" x14ac:dyDescent="0.35">
      <c r="A1114" s="16" t="str">
        <f t="shared" si="98"/>
        <v>43</v>
      </c>
      <c r="B1114" s="19">
        <v>10439</v>
      </c>
      <c r="C1114" s="16" t="str">
        <f>TEXT(125799,"0000000")</f>
        <v>0125799</v>
      </c>
      <c r="D1114" s="19">
        <v>1394</v>
      </c>
      <c r="E1114" s="16" t="s">
        <v>2719</v>
      </c>
      <c r="F1114" s="16" t="s">
        <v>5</v>
      </c>
      <c r="G1114" s="35" t="s">
        <v>2720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486.84</v>
      </c>
      <c r="AA1114" s="39">
        <v>491.12</v>
      </c>
      <c r="AB1114" s="39">
        <v>460.44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486.84</v>
      </c>
      <c r="AJ1114" s="39">
        <v>491.12</v>
      </c>
      <c r="AK1114" s="39">
        <v>460.44</v>
      </c>
      <c r="AL1114" s="39">
        <v>0</v>
      </c>
      <c r="AM1114" s="39">
        <v>0</v>
      </c>
      <c r="AN1114" s="39">
        <v>0</v>
      </c>
      <c r="AO1114" s="39">
        <v>486.84</v>
      </c>
      <c r="AP1114" s="39">
        <v>491.12</v>
      </c>
      <c r="AQ1114" s="39">
        <v>460.44</v>
      </c>
      <c r="AR1114" s="39">
        <v>491.12</v>
      </c>
    </row>
    <row r="1115" spans="1:44" x14ac:dyDescent="0.35">
      <c r="A1115" s="16" t="str">
        <f t="shared" si="98"/>
        <v>43</v>
      </c>
      <c r="B1115" s="19">
        <v>10439</v>
      </c>
      <c r="C1115" s="16" t="str">
        <f>TEXT(129213,"0000000")</f>
        <v>0129213</v>
      </c>
      <c r="D1115" s="19">
        <v>1618</v>
      </c>
      <c r="E1115" s="16" t="s">
        <v>2723</v>
      </c>
      <c r="F1115" s="16" t="s">
        <v>5</v>
      </c>
      <c r="G1115" s="35" t="s">
        <v>2724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0</v>
      </c>
      <c r="Z1115" s="39">
        <v>0</v>
      </c>
      <c r="AA1115" s="39">
        <v>0</v>
      </c>
      <c r="AB1115" s="39">
        <v>0</v>
      </c>
      <c r="AC1115" s="39">
        <v>399.45</v>
      </c>
      <c r="AD1115" s="39">
        <v>412.93</v>
      </c>
      <c r="AE1115" s="39">
        <v>397.64</v>
      </c>
      <c r="AF1115" s="39">
        <v>0</v>
      </c>
      <c r="AG1115" s="39">
        <v>0</v>
      </c>
      <c r="AH1115" s="39">
        <v>0</v>
      </c>
      <c r="AI1115" s="39">
        <v>399.45</v>
      </c>
      <c r="AJ1115" s="39">
        <v>412.93</v>
      </c>
      <c r="AK1115" s="39">
        <v>397.64</v>
      </c>
      <c r="AL1115" s="39">
        <v>0</v>
      </c>
      <c r="AM1115" s="39">
        <v>0</v>
      </c>
      <c r="AN1115" s="39">
        <v>0</v>
      </c>
      <c r="AO1115" s="39">
        <v>399.45</v>
      </c>
      <c r="AP1115" s="39">
        <v>412.93</v>
      </c>
      <c r="AQ1115" s="39">
        <v>397.64</v>
      </c>
      <c r="AR1115" s="39">
        <v>412.93</v>
      </c>
    </row>
    <row r="1116" spans="1:44" x14ac:dyDescent="0.35">
      <c r="A1116" s="16" t="str">
        <f t="shared" si="98"/>
        <v>43</v>
      </c>
      <c r="B1116" s="19">
        <v>10439</v>
      </c>
      <c r="C1116" s="16" t="str">
        <f>TEXT(131110,"0000000")</f>
        <v>0131110</v>
      </c>
      <c r="D1116" s="19">
        <v>1687</v>
      </c>
      <c r="E1116" s="16" t="s">
        <v>2725</v>
      </c>
      <c r="F1116" s="16" t="s">
        <v>5</v>
      </c>
      <c r="G1116" s="35" t="s">
        <v>2726</v>
      </c>
      <c r="H1116" s="39">
        <v>0</v>
      </c>
      <c r="I1116" s="39">
        <v>0</v>
      </c>
      <c r="J1116" s="39">
        <v>0</v>
      </c>
      <c r="K1116" s="39">
        <v>0</v>
      </c>
      <c r="L1116" s="39">
        <v>0</v>
      </c>
      <c r="M1116" s="39">
        <v>0</v>
      </c>
      <c r="N1116" s="39">
        <v>0</v>
      </c>
      <c r="O1116" s="39">
        <v>0</v>
      </c>
      <c r="P1116" s="39">
        <v>0</v>
      </c>
      <c r="Q1116" s="39">
        <v>0</v>
      </c>
      <c r="R1116" s="39">
        <v>0</v>
      </c>
      <c r="S1116" s="39">
        <v>0</v>
      </c>
      <c r="T1116" s="39">
        <v>0</v>
      </c>
      <c r="U1116" s="39">
        <v>0</v>
      </c>
      <c r="V1116" s="39">
        <v>0</v>
      </c>
      <c r="W1116" s="39">
        <v>0</v>
      </c>
      <c r="X1116" s="39">
        <v>0</v>
      </c>
      <c r="Y1116" s="39">
        <v>0</v>
      </c>
      <c r="Z1116" s="39">
        <v>0</v>
      </c>
      <c r="AA1116" s="39">
        <v>0</v>
      </c>
      <c r="AB1116" s="39">
        <v>0</v>
      </c>
      <c r="AC1116" s="39">
        <v>472.94</v>
      </c>
      <c r="AD1116" s="39">
        <v>501.79</v>
      </c>
      <c r="AE1116" s="39">
        <v>502.37</v>
      </c>
      <c r="AF1116" s="39">
        <v>0</v>
      </c>
      <c r="AG1116" s="39">
        <v>0</v>
      </c>
      <c r="AH1116" s="39">
        <v>0</v>
      </c>
      <c r="AI1116" s="39">
        <v>472.94</v>
      </c>
      <c r="AJ1116" s="39">
        <v>501.79</v>
      </c>
      <c r="AK1116" s="39">
        <v>502.37</v>
      </c>
      <c r="AL1116" s="39">
        <v>0</v>
      </c>
      <c r="AM1116" s="39">
        <v>0</v>
      </c>
      <c r="AN1116" s="39">
        <v>0</v>
      </c>
      <c r="AO1116" s="39">
        <v>472.94</v>
      </c>
      <c r="AP1116" s="39">
        <v>501.79</v>
      </c>
      <c r="AQ1116" s="39">
        <v>502.37</v>
      </c>
      <c r="AR1116" s="39">
        <v>502.37</v>
      </c>
    </row>
    <row r="1117" spans="1:44" x14ac:dyDescent="0.35">
      <c r="A1117" s="16" t="str">
        <f t="shared" si="98"/>
        <v>43</v>
      </c>
      <c r="B1117" s="19">
        <v>10439</v>
      </c>
      <c r="C1117" s="16" t="str">
        <f>TEXT(133496,"0000000")</f>
        <v>0133496</v>
      </c>
      <c r="D1117" s="19">
        <v>1778</v>
      </c>
      <c r="E1117" s="16" t="s">
        <v>2731</v>
      </c>
      <c r="F1117" s="16" t="s">
        <v>5</v>
      </c>
      <c r="G1117" s="35" t="s">
        <v>2732</v>
      </c>
      <c r="H1117" s="39">
        <v>0</v>
      </c>
      <c r="I1117" s="39">
        <v>0</v>
      </c>
      <c r="J1117" s="39">
        <v>0</v>
      </c>
      <c r="K1117" s="39">
        <v>0</v>
      </c>
      <c r="L1117" s="39">
        <v>0</v>
      </c>
      <c r="M1117" s="39">
        <v>0</v>
      </c>
      <c r="N1117" s="39">
        <v>0</v>
      </c>
      <c r="O1117" s="39">
        <v>0</v>
      </c>
      <c r="P1117" s="39">
        <v>0</v>
      </c>
      <c r="Q1117" s="39">
        <v>0</v>
      </c>
      <c r="R1117" s="39">
        <v>0</v>
      </c>
      <c r="S1117" s="39">
        <v>0</v>
      </c>
      <c r="T1117" s="39">
        <v>0</v>
      </c>
      <c r="U1117" s="39">
        <v>0</v>
      </c>
      <c r="V1117" s="39">
        <v>0</v>
      </c>
      <c r="W1117" s="39">
        <v>0</v>
      </c>
      <c r="X1117" s="39">
        <v>0</v>
      </c>
      <c r="Y1117" s="39">
        <v>0</v>
      </c>
      <c r="Z1117" s="39">
        <v>0</v>
      </c>
      <c r="AA1117" s="39">
        <v>0</v>
      </c>
      <c r="AB1117" s="39">
        <v>0</v>
      </c>
      <c r="AC1117" s="39">
        <v>575.52</v>
      </c>
      <c r="AD1117" s="39">
        <v>568.96</v>
      </c>
      <c r="AE1117" s="39">
        <v>531.1</v>
      </c>
      <c r="AF1117" s="39">
        <v>0</v>
      </c>
      <c r="AG1117" s="39">
        <v>0</v>
      </c>
      <c r="AH1117" s="39">
        <v>0</v>
      </c>
      <c r="AI1117" s="39">
        <v>575.52</v>
      </c>
      <c r="AJ1117" s="39">
        <v>568.96</v>
      </c>
      <c r="AK1117" s="39">
        <v>531.1</v>
      </c>
      <c r="AL1117" s="39">
        <v>0</v>
      </c>
      <c r="AM1117" s="39">
        <v>0</v>
      </c>
      <c r="AN1117" s="39">
        <v>0</v>
      </c>
      <c r="AO1117" s="39">
        <v>575.52</v>
      </c>
      <c r="AP1117" s="39">
        <v>568.96</v>
      </c>
      <c r="AQ1117" s="39">
        <v>531.1</v>
      </c>
      <c r="AR1117" s="39">
        <v>575.52</v>
      </c>
    </row>
    <row r="1118" spans="1:44" x14ac:dyDescent="0.35">
      <c r="A1118" s="16" t="str">
        <f t="shared" si="98"/>
        <v>43</v>
      </c>
      <c r="B1118" s="19">
        <v>69369</v>
      </c>
      <c r="C1118" s="16" t="str">
        <f>TEXT(106633,"0000000")</f>
        <v>0106633</v>
      </c>
      <c r="D1118" s="17" t="s">
        <v>2737</v>
      </c>
      <c r="E1118" s="16" t="s">
        <v>2735</v>
      </c>
      <c r="F1118" s="16" t="s">
        <v>5</v>
      </c>
      <c r="G1118" s="35" t="s">
        <v>2736</v>
      </c>
      <c r="H1118" s="39">
        <v>0</v>
      </c>
      <c r="I1118" s="39">
        <v>0</v>
      </c>
      <c r="J1118" s="39">
        <v>0</v>
      </c>
      <c r="K1118" s="39">
        <v>0</v>
      </c>
      <c r="L1118" s="39">
        <v>0</v>
      </c>
      <c r="M1118" s="39">
        <v>0</v>
      </c>
      <c r="N1118" s="39">
        <v>0</v>
      </c>
      <c r="O1118" s="39">
        <v>0</v>
      </c>
      <c r="P1118" s="39">
        <v>0</v>
      </c>
      <c r="Q1118" s="39">
        <v>0</v>
      </c>
      <c r="R1118" s="39">
        <v>0</v>
      </c>
      <c r="S1118" s="39">
        <v>0</v>
      </c>
      <c r="T1118" s="39">
        <v>0</v>
      </c>
      <c r="U1118" s="39">
        <v>0</v>
      </c>
      <c r="V1118" s="39">
        <v>0</v>
      </c>
      <c r="W1118" s="39">
        <v>0</v>
      </c>
      <c r="X1118" s="39">
        <v>0</v>
      </c>
      <c r="Y1118" s="39">
        <v>0</v>
      </c>
      <c r="Z1118" s="39">
        <v>0</v>
      </c>
      <c r="AA1118" s="39">
        <v>0</v>
      </c>
      <c r="AB1118" s="39">
        <v>0</v>
      </c>
      <c r="AC1118" s="39">
        <v>406.83</v>
      </c>
      <c r="AD1118" s="39">
        <v>401.02</v>
      </c>
      <c r="AE1118" s="39">
        <v>393.08</v>
      </c>
      <c r="AF1118" s="39">
        <v>0</v>
      </c>
      <c r="AG1118" s="39">
        <v>0</v>
      </c>
      <c r="AH1118" s="39">
        <v>0</v>
      </c>
      <c r="AI1118" s="39">
        <v>406.83</v>
      </c>
      <c r="AJ1118" s="39">
        <v>401.02</v>
      </c>
      <c r="AK1118" s="39">
        <v>393.08</v>
      </c>
      <c r="AL1118" s="39">
        <v>0</v>
      </c>
      <c r="AM1118" s="39">
        <v>0</v>
      </c>
      <c r="AN1118" s="39">
        <v>0</v>
      </c>
      <c r="AO1118" s="39">
        <v>406.83</v>
      </c>
      <c r="AP1118" s="39">
        <v>401.02</v>
      </c>
      <c r="AQ1118" s="39">
        <v>393.08</v>
      </c>
      <c r="AR1118" s="39">
        <v>406.83</v>
      </c>
    </row>
    <row r="1119" spans="1:44" x14ac:dyDescent="0.35">
      <c r="A1119" s="16" t="str">
        <f t="shared" si="98"/>
        <v>43</v>
      </c>
      <c r="B1119" s="19">
        <v>69369</v>
      </c>
      <c r="C1119" s="16" t="str">
        <f>TEXT(125526,"0000000")</f>
        <v>0125526</v>
      </c>
      <c r="D1119" s="19">
        <v>1375</v>
      </c>
      <c r="E1119" s="16" t="s">
        <v>2738</v>
      </c>
      <c r="F1119" s="16" t="s">
        <v>5</v>
      </c>
      <c r="G1119" s="35" t="s">
        <v>2739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455.6</v>
      </c>
      <c r="AD1119" s="39">
        <v>429.91</v>
      </c>
      <c r="AE1119" s="39">
        <v>417.1</v>
      </c>
      <c r="AF1119" s="39">
        <v>0</v>
      </c>
      <c r="AG1119" s="39">
        <v>0</v>
      </c>
      <c r="AH1119" s="39">
        <v>0</v>
      </c>
      <c r="AI1119" s="39">
        <v>455.6</v>
      </c>
      <c r="AJ1119" s="39">
        <v>429.91</v>
      </c>
      <c r="AK1119" s="39">
        <v>417.1</v>
      </c>
      <c r="AL1119" s="39">
        <v>0</v>
      </c>
      <c r="AM1119" s="39">
        <v>0</v>
      </c>
      <c r="AN1119" s="39">
        <v>0</v>
      </c>
      <c r="AO1119" s="39">
        <v>455.6</v>
      </c>
      <c r="AP1119" s="39">
        <v>429.91</v>
      </c>
      <c r="AQ1119" s="39">
        <v>417.1</v>
      </c>
      <c r="AR1119" s="39">
        <v>455.6</v>
      </c>
    </row>
    <row r="1120" spans="1:44" x14ac:dyDescent="0.35">
      <c r="A1120" s="16" t="str">
        <f t="shared" si="98"/>
        <v>43</v>
      </c>
      <c r="B1120" s="19">
        <v>69369</v>
      </c>
      <c r="C1120" s="16" t="str">
        <f>TEXT(129924,"0000000")</f>
        <v>0129924</v>
      </c>
      <c r="D1120" s="19">
        <v>1609</v>
      </c>
      <c r="E1120" s="16" t="s">
        <v>2740</v>
      </c>
      <c r="F1120" s="16" t="s">
        <v>5</v>
      </c>
      <c r="G1120" s="35" t="s">
        <v>2741</v>
      </c>
      <c r="H1120" s="39">
        <v>0</v>
      </c>
      <c r="I1120" s="39">
        <v>0</v>
      </c>
      <c r="J1120" s="39">
        <v>0</v>
      </c>
      <c r="K1120" s="39">
        <v>0</v>
      </c>
      <c r="L1120" s="39">
        <v>0</v>
      </c>
      <c r="M1120" s="39">
        <v>0</v>
      </c>
      <c r="N1120" s="39">
        <v>0</v>
      </c>
      <c r="O1120" s="39">
        <v>0</v>
      </c>
      <c r="P1120" s="39">
        <v>0</v>
      </c>
      <c r="Q1120" s="39">
        <v>0</v>
      </c>
      <c r="R1120" s="39">
        <v>0</v>
      </c>
      <c r="S1120" s="39">
        <v>0</v>
      </c>
      <c r="T1120" s="39">
        <v>0</v>
      </c>
      <c r="U1120" s="39">
        <v>0</v>
      </c>
      <c r="V1120" s="39">
        <v>0</v>
      </c>
      <c r="W1120" s="39">
        <v>0</v>
      </c>
      <c r="X1120" s="39">
        <v>0</v>
      </c>
      <c r="Y1120" s="39">
        <v>0</v>
      </c>
      <c r="Z1120" s="39">
        <v>0</v>
      </c>
      <c r="AA1120" s="39">
        <v>0</v>
      </c>
      <c r="AB1120" s="39">
        <v>0</v>
      </c>
      <c r="AC1120" s="39">
        <v>390.82</v>
      </c>
      <c r="AD1120" s="39">
        <v>385.37</v>
      </c>
      <c r="AE1120" s="39">
        <v>367.55</v>
      </c>
      <c r="AF1120" s="39">
        <v>0</v>
      </c>
      <c r="AG1120" s="39">
        <v>0</v>
      </c>
      <c r="AH1120" s="39">
        <v>0</v>
      </c>
      <c r="AI1120" s="39">
        <v>390.82</v>
      </c>
      <c r="AJ1120" s="39">
        <v>385.37</v>
      </c>
      <c r="AK1120" s="39">
        <v>367.55</v>
      </c>
      <c r="AL1120" s="39">
        <v>0</v>
      </c>
      <c r="AM1120" s="39">
        <v>0</v>
      </c>
      <c r="AN1120" s="39">
        <v>0</v>
      </c>
      <c r="AO1120" s="39">
        <v>390.82</v>
      </c>
      <c r="AP1120" s="39">
        <v>385.37</v>
      </c>
      <c r="AQ1120" s="39">
        <v>367.55</v>
      </c>
      <c r="AR1120" s="39">
        <v>390.82</v>
      </c>
    </row>
    <row r="1121" spans="1:44" ht="31" x14ac:dyDescent="0.35">
      <c r="A1121" s="16" t="str">
        <f t="shared" si="98"/>
        <v>43</v>
      </c>
      <c r="B1121" s="19">
        <v>69427</v>
      </c>
      <c r="C1121" s="16" t="str">
        <f>TEXT(107151,"0000000")</f>
        <v>0107151</v>
      </c>
      <c r="D1121" s="17" t="s">
        <v>2756</v>
      </c>
      <c r="E1121" s="16" t="s">
        <v>2754</v>
      </c>
      <c r="F1121" s="16" t="s">
        <v>5</v>
      </c>
      <c r="G1121" s="35" t="s">
        <v>2755</v>
      </c>
      <c r="H1121" s="39">
        <v>0</v>
      </c>
      <c r="I1121" s="39">
        <v>0</v>
      </c>
      <c r="J1121" s="39">
        <v>0</v>
      </c>
      <c r="K1121" s="39">
        <v>0</v>
      </c>
      <c r="L1121" s="39">
        <v>0</v>
      </c>
      <c r="M1121" s="39">
        <v>0</v>
      </c>
      <c r="N1121" s="39">
        <v>0</v>
      </c>
      <c r="O1121" s="39">
        <v>0</v>
      </c>
      <c r="P1121" s="39">
        <v>0</v>
      </c>
      <c r="Q1121" s="39">
        <v>0</v>
      </c>
      <c r="R1121" s="39">
        <v>0</v>
      </c>
      <c r="S1121" s="39">
        <v>0</v>
      </c>
      <c r="T1121" s="39">
        <v>0</v>
      </c>
      <c r="U1121" s="39">
        <v>0</v>
      </c>
      <c r="V1121" s="39">
        <v>0</v>
      </c>
      <c r="W1121" s="39">
        <v>0</v>
      </c>
      <c r="X1121" s="39">
        <v>0</v>
      </c>
      <c r="Y1121" s="39">
        <v>0</v>
      </c>
      <c r="Z1121" s="39">
        <v>0</v>
      </c>
      <c r="AA1121" s="39">
        <v>0</v>
      </c>
      <c r="AB1121" s="39">
        <v>0</v>
      </c>
      <c r="AC1121" s="39">
        <v>563.92999999999995</v>
      </c>
      <c r="AD1121" s="39">
        <v>529.20000000000005</v>
      </c>
      <c r="AE1121" s="39">
        <v>477.46</v>
      </c>
      <c r="AF1121" s="39">
        <v>0</v>
      </c>
      <c r="AG1121" s="39">
        <v>0</v>
      </c>
      <c r="AH1121" s="39">
        <v>0</v>
      </c>
      <c r="AI1121" s="39">
        <v>563.92999999999995</v>
      </c>
      <c r="AJ1121" s="39">
        <v>529.20000000000005</v>
      </c>
      <c r="AK1121" s="39">
        <v>477.46</v>
      </c>
      <c r="AL1121" s="39">
        <v>0</v>
      </c>
      <c r="AM1121" s="39">
        <v>0</v>
      </c>
      <c r="AN1121" s="39">
        <v>0</v>
      </c>
      <c r="AO1121" s="39">
        <v>563.92999999999995</v>
      </c>
      <c r="AP1121" s="39">
        <v>529.20000000000005</v>
      </c>
      <c r="AQ1121" s="39">
        <v>477.46</v>
      </c>
      <c r="AR1121" s="39">
        <v>563.92999999999995</v>
      </c>
    </row>
    <row r="1122" spans="1:44" x14ac:dyDescent="0.35">
      <c r="A1122" s="16" t="str">
        <f>TEXT(1,"00")</f>
        <v>01</v>
      </c>
      <c r="B1122" s="19">
        <v>61259</v>
      </c>
      <c r="C1122" s="16" t="str">
        <f>TEXT(6113807,"0000000")</f>
        <v>6113807</v>
      </c>
      <c r="D1122" s="17" t="s">
        <v>141</v>
      </c>
      <c r="E1122" s="16" t="s">
        <v>139</v>
      </c>
      <c r="F1122" s="16" t="s">
        <v>5</v>
      </c>
      <c r="G1122" s="35" t="s">
        <v>140</v>
      </c>
      <c r="H1122" s="39">
        <v>0</v>
      </c>
      <c r="I1122" s="39">
        <v>0</v>
      </c>
      <c r="J1122" s="39">
        <v>0</v>
      </c>
      <c r="K1122" s="39">
        <v>0</v>
      </c>
      <c r="L1122" s="39">
        <v>0</v>
      </c>
      <c r="M1122" s="39">
        <v>0</v>
      </c>
      <c r="N1122" s="39">
        <v>0</v>
      </c>
      <c r="O1122" s="39">
        <v>0</v>
      </c>
      <c r="P1122" s="39">
        <v>0</v>
      </c>
      <c r="Q1122" s="39">
        <v>0</v>
      </c>
      <c r="R1122" s="39">
        <v>0</v>
      </c>
      <c r="S1122" s="39">
        <v>0</v>
      </c>
      <c r="T1122" s="39">
        <v>0</v>
      </c>
      <c r="U1122" s="39">
        <v>0</v>
      </c>
      <c r="V1122" s="39">
        <v>0</v>
      </c>
      <c r="W1122" s="39">
        <v>0</v>
      </c>
      <c r="X1122" s="39">
        <v>0</v>
      </c>
      <c r="Y1122" s="39">
        <v>0</v>
      </c>
      <c r="Z1122" s="39">
        <v>0</v>
      </c>
      <c r="AA1122" s="39">
        <v>0</v>
      </c>
      <c r="AB1122" s="39">
        <v>0</v>
      </c>
      <c r="AC1122" s="39">
        <v>182.49</v>
      </c>
      <c r="AD1122" s="39">
        <v>196.33</v>
      </c>
      <c r="AE1122" s="39">
        <v>208.09</v>
      </c>
      <c r="AF1122" s="39">
        <v>0</v>
      </c>
      <c r="AG1122" s="39">
        <v>0</v>
      </c>
      <c r="AH1122" s="39">
        <v>0</v>
      </c>
      <c r="AI1122" s="39">
        <v>182.49</v>
      </c>
      <c r="AJ1122" s="39">
        <v>196.33</v>
      </c>
      <c r="AK1122" s="39">
        <v>208.09</v>
      </c>
      <c r="AL1122" s="39">
        <v>0</v>
      </c>
      <c r="AM1122" s="39">
        <v>0</v>
      </c>
      <c r="AN1122" s="39">
        <v>0</v>
      </c>
      <c r="AO1122" s="39">
        <v>182.49</v>
      </c>
      <c r="AP1122" s="39">
        <v>196.33</v>
      </c>
      <c r="AQ1122" s="39">
        <v>208.09</v>
      </c>
      <c r="AR1122" s="39">
        <v>208.09</v>
      </c>
    </row>
    <row r="1123" spans="1:44" x14ac:dyDescent="0.35">
      <c r="A1123" s="16" t="str">
        <f t="shared" ref="A1123:A1132" si="99">TEXT(43,"00")</f>
        <v>43</v>
      </c>
      <c r="B1123" s="19">
        <v>69427</v>
      </c>
      <c r="C1123" s="16" t="str">
        <f>TEXT(116889,"0000000")</f>
        <v>0116889</v>
      </c>
      <c r="D1123" s="17" t="s">
        <v>2759</v>
      </c>
      <c r="E1123" s="16" t="s">
        <v>2757</v>
      </c>
      <c r="F1123" s="16" t="s">
        <v>5</v>
      </c>
      <c r="G1123" s="35" t="s">
        <v>2758</v>
      </c>
      <c r="H1123" s="39">
        <v>0</v>
      </c>
      <c r="I1123" s="39">
        <v>0</v>
      </c>
      <c r="J1123" s="39">
        <v>0</v>
      </c>
      <c r="K1123" s="39">
        <v>0</v>
      </c>
      <c r="L1123" s="39">
        <v>0</v>
      </c>
      <c r="M1123" s="39">
        <v>0</v>
      </c>
      <c r="N1123" s="39">
        <v>0</v>
      </c>
      <c r="O1123" s="39">
        <v>0</v>
      </c>
      <c r="P1123" s="39">
        <v>0</v>
      </c>
      <c r="Q1123" s="39">
        <v>0</v>
      </c>
      <c r="R1123" s="39">
        <v>0</v>
      </c>
      <c r="S1123" s="39">
        <v>0</v>
      </c>
      <c r="T1123" s="39">
        <v>0</v>
      </c>
      <c r="U1123" s="39">
        <v>0</v>
      </c>
      <c r="V1123" s="39">
        <v>0</v>
      </c>
      <c r="W1123" s="39">
        <v>0</v>
      </c>
      <c r="X1123" s="39">
        <v>0</v>
      </c>
      <c r="Y1123" s="39">
        <v>0</v>
      </c>
      <c r="Z1123" s="39">
        <v>0</v>
      </c>
      <c r="AA1123" s="39">
        <v>0</v>
      </c>
      <c r="AB1123" s="39">
        <v>0</v>
      </c>
      <c r="AC1123" s="39">
        <v>492.23</v>
      </c>
      <c r="AD1123" s="39">
        <v>480.67</v>
      </c>
      <c r="AE1123" s="39">
        <v>491.48</v>
      </c>
      <c r="AF1123" s="39">
        <v>0</v>
      </c>
      <c r="AG1123" s="39">
        <v>0</v>
      </c>
      <c r="AH1123" s="39">
        <v>0</v>
      </c>
      <c r="AI1123" s="39">
        <v>492.23</v>
      </c>
      <c r="AJ1123" s="39">
        <v>480.67</v>
      </c>
      <c r="AK1123" s="39">
        <v>491.48</v>
      </c>
      <c r="AL1123" s="39">
        <v>0</v>
      </c>
      <c r="AM1123" s="39">
        <v>0</v>
      </c>
      <c r="AN1123" s="39">
        <v>0</v>
      </c>
      <c r="AO1123" s="39">
        <v>492.23</v>
      </c>
      <c r="AP1123" s="39">
        <v>480.67</v>
      </c>
      <c r="AQ1123" s="39">
        <v>491.48</v>
      </c>
      <c r="AR1123" s="39">
        <v>492.23</v>
      </c>
    </row>
    <row r="1124" spans="1:44" x14ac:dyDescent="0.35">
      <c r="A1124" s="16" t="str">
        <f t="shared" si="99"/>
        <v>43</v>
      </c>
      <c r="B1124" s="19">
        <v>69427</v>
      </c>
      <c r="C1124" s="16" t="str">
        <f>TEXT(125617,"0000000")</f>
        <v>0125617</v>
      </c>
      <c r="D1124" s="19">
        <v>1387</v>
      </c>
      <c r="E1124" s="16" t="s">
        <v>2760</v>
      </c>
      <c r="F1124" s="16" t="s">
        <v>5</v>
      </c>
      <c r="G1124" s="35" t="s">
        <v>2761</v>
      </c>
      <c r="H1124" s="39">
        <v>0</v>
      </c>
      <c r="I1124" s="39">
        <v>0</v>
      </c>
      <c r="J1124" s="39">
        <v>0</v>
      </c>
      <c r="K1124" s="39">
        <v>0</v>
      </c>
      <c r="L1124" s="39">
        <v>0</v>
      </c>
      <c r="M1124" s="39">
        <v>0</v>
      </c>
      <c r="N1124" s="39">
        <v>0</v>
      </c>
      <c r="O1124" s="39">
        <v>0</v>
      </c>
      <c r="P1124" s="39">
        <v>0</v>
      </c>
      <c r="Q1124" s="39">
        <v>0</v>
      </c>
      <c r="R1124" s="39">
        <v>0</v>
      </c>
      <c r="S1124" s="39">
        <v>0</v>
      </c>
      <c r="T1124" s="39">
        <v>0</v>
      </c>
      <c r="U1124" s="39">
        <v>0</v>
      </c>
      <c r="V1124" s="39">
        <v>0</v>
      </c>
      <c r="W1124" s="39">
        <v>0</v>
      </c>
      <c r="X1124" s="39">
        <v>0</v>
      </c>
      <c r="Y1124" s="39">
        <v>0</v>
      </c>
      <c r="Z1124" s="39">
        <v>0</v>
      </c>
      <c r="AA1124" s="39">
        <v>0</v>
      </c>
      <c r="AB1124" s="39">
        <v>0</v>
      </c>
      <c r="AC1124" s="39">
        <v>265.89999999999998</v>
      </c>
      <c r="AD1124" s="39">
        <v>296.51</v>
      </c>
      <c r="AE1124" s="39">
        <v>321.57</v>
      </c>
      <c r="AF1124" s="39">
        <v>0</v>
      </c>
      <c r="AG1124" s="39">
        <v>0</v>
      </c>
      <c r="AH1124" s="39">
        <v>0</v>
      </c>
      <c r="AI1124" s="39">
        <v>265.89999999999998</v>
      </c>
      <c r="AJ1124" s="39">
        <v>296.51</v>
      </c>
      <c r="AK1124" s="39">
        <v>321.57</v>
      </c>
      <c r="AL1124" s="39">
        <v>0</v>
      </c>
      <c r="AM1124" s="39">
        <v>0</v>
      </c>
      <c r="AN1124" s="39">
        <v>0</v>
      </c>
      <c r="AO1124" s="39">
        <v>265.89999999999998</v>
      </c>
      <c r="AP1124" s="39">
        <v>296.51</v>
      </c>
      <c r="AQ1124" s="39">
        <v>321.57</v>
      </c>
      <c r="AR1124" s="39">
        <v>321.57</v>
      </c>
    </row>
    <row r="1125" spans="1:44" x14ac:dyDescent="0.35">
      <c r="A1125" s="16" t="str">
        <f t="shared" si="99"/>
        <v>43</v>
      </c>
      <c r="B1125" s="19">
        <v>69427</v>
      </c>
      <c r="C1125" s="16" t="str">
        <f>TEXT(132274,"0000000")</f>
        <v>0132274</v>
      </c>
      <c r="D1125" s="19">
        <v>1737</v>
      </c>
      <c r="E1125" s="16" t="s">
        <v>2766</v>
      </c>
      <c r="F1125" s="16" t="s">
        <v>5</v>
      </c>
      <c r="G1125" s="35" t="s">
        <v>2767</v>
      </c>
      <c r="H1125" s="39">
        <v>0</v>
      </c>
      <c r="I1125" s="39">
        <v>0</v>
      </c>
      <c r="J1125" s="39">
        <v>0</v>
      </c>
      <c r="K1125" s="39">
        <v>0</v>
      </c>
      <c r="L1125" s="39">
        <v>0</v>
      </c>
      <c r="M1125" s="39">
        <v>0</v>
      </c>
      <c r="N1125" s="39">
        <v>0</v>
      </c>
      <c r="O1125" s="39">
        <v>0</v>
      </c>
      <c r="P1125" s="39">
        <v>0</v>
      </c>
      <c r="Q1125" s="39">
        <v>0</v>
      </c>
      <c r="R1125" s="39">
        <v>0</v>
      </c>
      <c r="S1125" s="39">
        <v>0</v>
      </c>
      <c r="T1125" s="39">
        <v>0</v>
      </c>
      <c r="U1125" s="39">
        <v>0</v>
      </c>
      <c r="V1125" s="39">
        <v>0</v>
      </c>
      <c r="W1125" s="39">
        <v>0</v>
      </c>
      <c r="X1125" s="39">
        <v>0</v>
      </c>
      <c r="Y1125" s="39">
        <v>0</v>
      </c>
      <c r="Z1125" s="39">
        <v>0</v>
      </c>
      <c r="AA1125" s="39">
        <v>0</v>
      </c>
      <c r="AB1125" s="39">
        <v>0</v>
      </c>
      <c r="AC1125" s="39">
        <v>359.28</v>
      </c>
      <c r="AD1125" s="39">
        <v>379.11</v>
      </c>
      <c r="AE1125" s="39">
        <v>399.74</v>
      </c>
      <c r="AF1125" s="39">
        <v>0</v>
      </c>
      <c r="AG1125" s="39">
        <v>0</v>
      </c>
      <c r="AH1125" s="39">
        <v>0</v>
      </c>
      <c r="AI1125" s="39">
        <v>359.28</v>
      </c>
      <c r="AJ1125" s="39">
        <v>379.11</v>
      </c>
      <c r="AK1125" s="39">
        <v>399.74</v>
      </c>
      <c r="AL1125" s="39">
        <v>0</v>
      </c>
      <c r="AM1125" s="39">
        <v>0</v>
      </c>
      <c r="AN1125" s="39">
        <v>0</v>
      </c>
      <c r="AO1125" s="39">
        <v>359.28</v>
      </c>
      <c r="AP1125" s="39">
        <v>379.11</v>
      </c>
      <c r="AQ1125" s="39">
        <v>399.74</v>
      </c>
      <c r="AR1125" s="39">
        <v>399.74</v>
      </c>
    </row>
    <row r="1126" spans="1:44" x14ac:dyDescent="0.35">
      <c r="A1126" s="16" t="str">
        <f t="shared" si="99"/>
        <v>43</v>
      </c>
      <c r="B1126" s="19">
        <v>69427</v>
      </c>
      <c r="C1126" s="16" t="str">
        <f>TEXT(4330676,"0000000")</f>
        <v>4330676</v>
      </c>
      <c r="D1126" s="17" t="s">
        <v>2773</v>
      </c>
      <c r="E1126" s="16" t="s">
        <v>2771</v>
      </c>
      <c r="F1126" s="16" t="s">
        <v>5</v>
      </c>
      <c r="G1126" s="35" t="s">
        <v>2772</v>
      </c>
      <c r="H1126" s="39">
        <v>0</v>
      </c>
      <c r="I1126" s="39">
        <v>0</v>
      </c>
      <c r="J1126" s="39">
        <v>0</v>
      </c>
      <c r="K1126" s="39">
        <v>0</v>
      </c>
      <c r="L1126" s="39">
        <v>0</v>
      </c>
      <c r="M1126" s="39">
        <v>0</v>
      </c>
      <c r="N1126" s="39">
        <v>0</v>
      </c>
      <c r="O1126" s="39">
        <v>0</v>
      </c>
      <c r="P1126" s="39">
        <v>0</v>
      </c>
      <c r="Q1126" s="39">
        <v>0</v>
      </c>
      <c r="R1126" s="39">
        <v>0</v>
      </c>
      <c r="S1126" s="39">
        <v>0</v>
      </c>
      <c r="T1126" s="39">
        <v>0</v>
      </c>
      <c r="U1126" s="39">
        <v>0</v>
      </c>
      <c r="V1126" s="39">
        <v>0</v>
      </c>
      <c r="W1126" s="39">
        <v>0</v>
      </c>
      <c r="X1126" s="39">
        <v>0</v>
      </c>
      <c r="Y1126" s="39">
        <v>0</v>
      </c>
      <c r="Z1126" s="39">
        <v>0</v>
      </c>
      <c r="AA1126" s="39">
        <v>0</v>
      </c>
      <c r="AB1126" s="39">
        <v>0</v>
      </c>
      <c r="AC1126" s="39">
        <v>107.24</v>
      </c>
      <c r="AD1126" s="39">
        <v>141.52000000000001</v>
      </c>
      <c r="AE1126" s="39">
        <v>129.65</v>
      </c>
      <c r="AF1126" s="39">
        <v>0</v>
      </c>
      <c r="AG1126" s="39">
        <v>0</v>
      </c>
      <c r="AH1126" s="39">
        <v>0</v>
      </c>
      <c r="AI1126" s="39">
        <v>107.24</v>
      </c>
      <c r="AJ1126" s="39">
        <v>141.52000000000001</v>
      </c>
      <c r="AK1126" s="39">
        <v>129.65</v>
      </c>
      <c r="AL1126" s="39">
        <v>0</v>
      </c>
      <c r="AM1126" s="39">
        <v>0</v>
      </c>
      <c r="AN1126" s="39">
        <v>0</v>
      </c>
      <c r="AO1126" s="39">
        <v>107.24</v>
      </c>
      <c r="AP1126" s="39">
        <v>141.52000000000001</v>
      </c>
      <c r="AQ1126" s="39">
        <v>129.65</v>
      </c>
      <c r="AR1126" s="39">
        <v>141.52000000000001</v>
      </c>
    </row>
    <row r="1127" spans="1:44" x14ac:dyDescent="0.35">
      <c r="A1127" s="16" t="str">
        <f t="shared" si="99"/>
        <v>43</v>
      </c>
      <c r="B1127" s="19">
        <v>69427</v>
      </c>
      <c r="C1127" s="16" t="str">
        <f>TEXT(4330726,"0000000")</f>
        <v>4330726</v>
      </c>
      <c r="D1127" s="17" t="s">
        <v>2776</v>
      </c>
      <c r="E1127" s="16" t="s">
        <v>2774</v>
      </c>
      <c r="F1127" s="16" t="s">
        <v>5</v>
      </c>
      <c r="G1127" s="35" t="s">
        <v>2775</v>
      </c>
      <c r="H1127" s="39">
        <v>0</v>
      </c>
      <c r="I1127" s="39">
        <v>0</v>
      </c>
      <c r="J1127" s="39">
        <v>0</v>
      </c>
      <c r="K1127" s="39">
        <v>0</v>
      </c>
      <c r="L1127" s="39">
        <v>0</v>
      </c>
      <c r="M1127" s="39">
        <v>0</v>
      </c>
      <c r="N1127" s="39">
        <v>0</v>
      </c>
      <c r="O1127" s="39">
        <v>0</v>
      </c>
      <c r="P1127" s="39">
        <v>0</v>
      </c>
      <c r="Q1127" s="39">
        <v>0</v>
      </c>
      <c r="R1127" s="39">
        <v>0</v>
      </c>
      <c r="S1127" s="39">
        <v>0</v>
      </c>
      <c r="T1127" s="39">
        <v>0</v>
      </c>
      <c r="U1127" s="39">
        <v>0</v>
      </c>
      <c r="V1127" s="39">
        <v>0</v>
      </c>
      <c r="W1127" s="39">
        <v>0</v>
      </c>
      <c r="X1127" s="39">
        <v>0</v>
      </c>
      <c r="Y1127" s="39">
        <v>0</v>
      </c>
      <c r="Z1127" s="39">
        <v>0</v>
      </c>
      <c r="AA1127" s="39">
        <v>0</v>
      </c>
      <c r="AB1127" s="39">
        <v>0</v>
      </c>
      <c r="AC1127" s="39">
        <v>371.12</v>
      </c>
      <c r="AD1127" s="39">
        <v>378.88</v>
      </c>
      <c r="AE1127" s="39">
        <v>362.25</v>
      </c>
      <c r="AF1127" s="39">
        <v>0</v>
      </c>
      <c r="AG1127" s="39">
        <v>0</v>
      </c>
      <c r="AH1127" s="39">
        <v>0</v>
      </c>
      <c r="AI1127" s="39">
        <v>371.12</v>
      </c>
      <c r="AJ1127" s="39">
        <v>378.88</v>
      </c>
      <c r="AK1127" s="39">
        <v>362.25</v>
      </c>
      <c r="AL1127" s="39">
        <v>0</v>
      </c>
      <c r="AM1127" s="39">
        <v>0</v>
      </c>
      <c r="AN1127" s="39">
        <v>0</v>
      </c>
      <c r="AO1127" s="39">
        <v>371.12</v>
      </c>
      <c r="AP1127" s="39">
        <v>378.88</v>
      </c>
      <c r="AQ1127" s="39">
        <v>362.25</v>
      </c>
      <c r="AR1127" s="39">
        <v>378.88</v>
      </c>
    </row>
    <row r="1128" spans="1:44" x14ac:dyDescent="0.35">
      <c r="A1128" s="16" t="str">
        <f t="shared" si="99"/>
        <v>43</v>
      </c>
      <c r="B1128" s="19">
        <v>69450</v>
      </c>
      <c r="C1128" s="16" t="str">
        <f>TEXT(123299,"0000000")</f>
        <v>0123299</v>
      </c>
      <c r="D1128" s="19">
        <v>1192</v>
      </c>
      <c r="E1128" s="16" t="s">
        <v>2784</v>
      </c>
      <c r="F1128" s="16" t="s">
        <v>5</v>
      </c>
      <c r="G1128" s="35" t="s">
        <v>2785</v>
      </c>
      <c r="H1128" s="39">
        <v>0</v>
      </c>
      <c r="I1128" s="39">
        <v>0</v>
      </c>
      <c r="J1128" s="39">
        <v>0</v>
      </c>
      <c r="K1128" s="39">
        <v>0</v>
      </c>
      <c r="L1128" s="39">
        <v>0</v>
      </c>
      <c r="M1128" s="39">
        <v>0</v>
      </c>
      <c r="N1128" s="39">
        <v>0</v>
      </c>
      <c r="O1128" s="39">
        <v>0</v>
      </c>
      <c r="P1128" s="39">
        <v>0</v>
      </c>
      <c r="Q1128" s="39">
        <v>0</v>
      </c>
      <c r="R1128" s="39">
        <v>0</v>
      </c>
      <c r="S1128" s="39">
        <v>0</v>
      </c>
      <c r="T1128" s="39">
        <v>0</v>
      </c>
      <c r="U1128" s="39">
        <v>0</v>
      </c>
      <c r="V1128" s="39">
        <v>0</v>
      </c>
      <c r="W1128" s="39">
        <v>0</v>
      </c>
      <c r="X1128" s="39">
        <v>0</v>
      </c>
      <c r="Y1128" s="39">
        <v>0</v>
      </c>
      <c r="Z1128" s="39">
        <v>0</v>
      </c>
      <c r="AA1128" s="39">
        <v>0</v>
      </c>
      <c r="AB1128" s="39">
        <v>0</v>
      </c>
      <c r="AC1128" s="39">
        <v>512.33000000000004</v>
      </c>
      <c r="AD1128" s="39">
        <v>533.26</v>
      </c>
      <c r="AE1128" s="39">
        <v>534.59</v>
      </c>
      <c r="AF1128" s="39">
        <v>0</v>
      </c>
      <c r="AG1128" s="39">
        <v>0</v>
      </c>
      <c r="AH1128" s="39">
        <v>0</v>
      </c>
      <c r="AI1128" s="39">
        <v>512.33000000000004</v>
      </c>
      <c r="AJ1128" s="39">
        <v>533.26</v>
      </c>
      <c r="AK1128" s="39">
        <v>534.59</v>
      </c>
      <c r="AL1128" s="39">
        <v>0</v>
      </c>
      <c r="AM1128" s="39">
        <v>0</v>
      </c>
      <c r="AN1128" s="39">
        <v>0</v>
      </c>
      <c r="AO1128" s="39">
        <v>512.33000000000004</v>
      </c>
      <c r="AP1128" s="39">
        <v>533.26</v>
      </c>
      <c r="AQ1128" s="39">
        <v>534.59</v>
      </c>
      <c r="AR1128" s="39">
        <v>534.59</v>
      </c>
    </row>
    <row r="1129" spans="1:44" x14ac:dyDescent="0.35">
      <c r="A1129" s="16" t="str">
        <f t="shared" si="99"/>
        <v>43</v>
      </c>
      <c r="B1129" s="19">
        <v>69450</v>
      </c>
      <c r="C1129" s="16" t="str">
        <f>TEXT(128108,"0000000")</f>
        <v>0128108</v>
      </c>
      <c r="D1129" s="19">
        <v>1526</v>
      </c>
      <c r="E1129" s="16" t="s">
        <v>2786</v>
      </c>
      <c r="F1129" s="16" t="s">
        <v>5</v>
      </c>
      <c r="G1129" s="35" t="s">
        <v>2787</v>
      </c>
      <c r="H1129" s="39">
        <v>0</v>
      </c>
      <c r="I1129" s="39">
        <v>0</v>
      </c>
      <c r="J1129" s="39">
        <v>0</v>
      </c>
      <c r="K1129" s="39">
        <v>0</v>
      </c>
      <c r="L1129" s="39">
        <v>0</v>
      </c>
      <c r="M1129" s="39">
        <v>0</v>
      </c>
      <c r="N1129" s="39">
        <v>0</v>
      </c>
      <c r="O1129" s="39">
        <v>0</v>
      </c>
      <c r="P1129" s="39">
        <v>0</v>
      </c>
      <c r="Q1129" s="39">
        <v>0</v>
      </c>
      <c r="R1129" s="39">
        <v>0</v>
      </c>
      <c r="S1129" s="39">
        <v>0</v>
      </c>
      <c r="T1129" s="39">
        <v>0</v>
      </c>
      <c r="U1129" s="39">
        <v>0</v>
      </c>
      <c r="V1129" s="39">
        <v>0</v>
      </c>
      <c r="W1129" s="39">
        <v>0</v>
      </c>
      <c r="X1129" s="39">
        <v>0</v>
      </c>
      <c r="Y1129" s="39">
        <v>0</v>
      </c>
      <c r="Z1129" s="39">
        <v>0</v>
      </c>
      <c r="AA1129" s="39">
        <v>0</v>
      </c>
      <c r="AB1129" s="39">
        <v>0</v>
      </c>
      <c r="AC1129" s="39">
        <v>514.16</v>
      </c>
      <c r="AD1129" s="39">
        <v>508.26</v>
      </c>
      <c r="AE1129" s="39">
        <v>505.82</v>
      </c>
      <c r="AF1129" s="39">
        <v>0</v>
      </c>
      <c r="AG1129" s="39">
        <v>0</v>
      </c>
      <c r="AH1129" s="39">
        <v>0</v>
      </c>
      <c r="AI1129" s="39">
        <v>514.16</v>
      </c>
      <c r="AJ1129" s="39">
        <v>508.26</v>
      </c>
      <c r="AK1129" s="39">
        <v>505.82</v>
      </c>
      <c r="AL1129" s="39">
        <v>0</v>
      </c>
      <c r="AM1129" s="39">
        <v>0</v>
      </c>
      <c r="AN1129" s="39">
        <v>0</v>
      </c>
      <c r="AO1129" s="39">
        <v>514.16</v>
      </c>
      <c r="AP1129" s="39">
        <v>508.26</v>
      </c>
      <c r="AQ1129" s="39">
        <v>505.82</v>
      </c>
      <c r="AR1129" s="39">
        <v>514.16</v>
      </c>
    </row>
    <row r="1130" spans="1:44" x14ac:dyDescent="0.35">
      <c r="A1130" s="16" t="str">
        <f t="shared" si="99"/>
        <v>43</v>
      </c>
      <c r="B1130" s="19">
        <v>69450</v>
      </c>
      <c r="C1130" s="16" t="str">
        <f>TEXT(129205,"0000000")</f>
        <v>0129205</v>
      </c>
      <c r="D1130" s="19">
        <v>1608</v>
      </c>
      <c r="E1130" s="16" t="s">
        <v>2788</v>
      </c>
      <c r="F1130" s="16" t="s">
        <v>5</v>
      </c>
      <c r="G1130" s="35" t="s">
        <v>2789</v>
      </c>
      <c r="H1130" s="39">
        <v>0</v>
      </c>
      <c r="I1130" s="39">
        <v>0</v>
      </c>
      <c r="J1130" s="39">
        <v>0</v>
      </c>
      <c r="K1130" s="39">
        <v>0</v>
      </c>
      <c r="L1130" s="39">
        <v>0</v>
      </c>
      <c r="M1130" s="39">
        <v>0</v>
      </c>
      <c r="N1130" s="39">
        <v>0</v>
      </c>
      <c r="O1130" s="39">
        <v>0</v>
      </c>
      <c r="P1130" s="39">
        <v>0</v>
      </c>
      <c r="Q1130" s="39">
        <v>0</v>
      </c>
      <c r="R1130" s="39">
        <v>0</v>
      </c>
      <c r="S1130" s="39">
        <v>0</v>
      </c>
      <c r="T1130" s="39">
        <v>0</v>
      </c>
      <c r="U1130" s="39">
        <v>0</v>
      </c>
      <c r="V1130" s="39">
        <v>0</v>
      </c>
      <c r="W1130" s="39">
        <v>0</v>
      </c>
      <c r="X1130" s="39">
        <v>0</v>
      </c>
      <c r="Y1130" s="39">
        <v>0</v>
      </c>
      <c r="Z1130" s="39">
        <v>0</v>
      </c>
      <c r="AA1130" s="39">
        <v>0</v>
      </c>
      <c r="AB1130" s="39">
        <v>0</v>
      </c>
      <c r="AC1130" s="39">
        <v>437.34</v>
      </c>
      <c r="AD1130" s="39">
        <v>436.99</v>
      </c>
      <c r="AE1130" s="39">
        <v>423.79</v>
      </c>
      <c r="AF1130" s="39">
        <v>0</v>
      </c>
      <c r="AG1130" s="39">
        <v>0</v>
      </c>
      <c r="AH1130" s="39">
        <v>0</v>
      </c>
      <c r="AI1130" s="39">
        <v>437.34</v>
      </c>
      <c r="AJ1130" s="39">
        <v>436.99</v>
      </c>
      <c r="AK1130" s="39">
        <v>423.79</v>
      </c>
      <c r="AL1130" s="39">
        <v>0</v>
      </c>
      <c r="AM1130" s="39">
        <v>0</v>
      </c>
      <c r="AN1130" s="39">
        <v>0</v>
      </c>
      <c r="AO1130" s="39">
        <v>437.34</v>
      </c>
      <c r="AP1130" s="39">
        <v>436.99</v>
      </c>
      <c r="AQ1130" s="39">
        <v>423.79</v>
      </c>
      <c r="AR1130" s="39">
        <v>437.34</v>
      </c>
    </row>
    <row r="1131" spans="1:44" x14ac:dyDescent="0.35">
      <c r="A1131" s="16" t="str">
        <f t="shared" si="99"/>
        <v>43</v>
      </c>
      <c r="B1131" s="19">
        <v>69450</v>
      </c>
      <c r="C1131" s="16" t="str">
        <f>TEXT(129247,"0000000")</f>
        <v>0129247</v>
      </c>
      <c r="D1131" s="19">
        <v>1545</v>
      </c>
      <c r="E1131" s="16" t="s">
        <v>2790</v>
      </c>
      <c r="F1131" s="16" t="s">
        <v>5</v>
      </c>
      <c r="G1131" s="35" t="s">
        <v>2791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190.99</v>
      </c>
      <c r="AD1131" s="39">
        <v>214.5</v>
      </c>
      <c r="AE1131" s="39">
        <v>204.36</v>
      </c>
      <c r="AF1131" s="39">
        <v>0</v>
      </c>
      <c r="AG1131" s="39">
        <v>0</v>
      </c>
      <c r="AH1131" s="39">
        <v>0</v>
      </c>
      <c r="AI1131" s="39">
        <v>190.99</v>
      </c>
      <c r="AJ1131" s="39">
        <v>214.5</v>
      </c>
      <c r="AK1131" s="39">
        <v>204.36</v>
      </c>
      <c r="AL1131" s="39">
        <v>0</v>
      </c>
      <c r="AM1131" s="39">
        <v>0</v>
      </c>
      <c r="AN1131" s="39">
        <v>0</v>
      </c>
      <c r="AO1131" s="39">
        <v>190.99</v>
      </c>
      <c r="AP1131" s="39">
        <v>214.5</v>
      </c>
      <c r="AQ1131" s="39">
        <v>204.36</v>
      </c>
      <c r="AR1131" s="39">
        <v>214.5</v>
      </c>
    </row>
    <row r="1132" spans="1:44" x14ac:dyDescent="0.35">
      <c r="A1132" s="16" t="str">
        <f t="shared" si="99"/>
        <v>43</v>
      </c>
      <c r="B1132" s="19">
        <v>69484</v>
      </c>
      <c r="C1132" s="16" t="str">
        <f>TEXT(123760,"0000000")</f>
        <v>0123760</v>
      </c>
      <c r="D1132" s="19">
        <v>1278</v>
      </c>
      <c r="E1132" s="16" t="s">
        <v>2796</v>
      </c>
      <c r="F1132" s="16" t="s">
        <v>5</v>
      </c>
      <c r="G1132" s="35" t="s">
        <v>2797</v>
      </c>
      <c r="H1132" s="39">
        <v>0</v>
      </c>
      <c r="I1132" s="39">
        <v>0</v>
      </c>
      <c r="J1132" s="39">
        <v>0</v>
      </c>
      <c r="K1132" s="39">
        <v>0</v>
      </c>
      <c r="L1132" s="39">
        <v>0</v>
      </c>
      <c r="M1132" s="39">
        <v>0</v>
      </c>
      <c r="N1132" s="39">
        <v>0</v>
      </c>
      <c r="O1132" s="39">
        <v>0</v>
      </c>
      <c r="P1132" s="39">
        <v>0</v>
      </c>
      <c r="Q1132" s="39">
        <v>0</v>
      </c>
      <c r="R1132" s="39">
        <v>0</v>
      </c>
      <c r="S1132" s="39">
        <v>0</v>
      </c>
      <c r="T1132" s="39">
        <v>0</v>
      </c>
      <c r="U1132" s="39">
        <v>0</v>
      </c>
      <c r="V1132" s="39">
        <v>0</v>
      </c>
      <c r="W1132" s="39">
        <v>0</v>
      </c>
      <c r="X1132" s="39">
        <v>0</v>
      </c>
      <c r="Y1132" s="39">
        <v>0</v>
      </c>
      <c r="Z1132" s="39">
        <v>0</v>
      </c>
      <c r="AA1132" s="39">
        <v>0</v>
      </c>
      <c r="AB1132" s="39">
        <v>0</v>
      </c>
      <c r="AC1132" s="39">
        <v>555.57000000000005</v>
      </c>
      <c r="AD1132" s="39">
        <v>512.41</v>
      </c>
      <c r="AE1132" s="39">
        <v>498.03</v>
      </c>
      <c r="AF1132" s="39">
        <v>0</v>
      </c>
      <c r="AG1132" s="39">
        <v>0</v>
      </c>
      <c r="AH1132" s="39">
        <v>0</v>
      </c>
      <c r="AI1132" s="39">
        <v>555.57000000000005</v>
      </c>
      <c r="AJ1132" s="39">
        <v>512.41</v>
      </c>
      <c r="AK1132" s="39">
        <v>498.03</v>
      </c>
      <c r="AL1132" s="39">
        <v>0</v>
      </c>
      <c r="AM1132" s="39">
        <v>0</v>
      </c>
      <c r="AN1132" s="39">
        <v>0</v>
      </c>
      <c r="AO1132" s="39">
        <v>555.57000000000005</v>
      </c>
      <c r="AP1132" s="39">
        <v>512.41</v>
      </c>
      <c r="AQ1132" s="39">
        <v>498.03</v>
      </c>
      <c r="AR1132" s="39">
        <v>555.57000000000005</v>
      </c>
    </row>
    <row r="1133" spans="1:44" x14ac:dyDescent="0.35">
      <c r="A1133" s="16" t="str">
        <f>TEXT(1,"00")</f>
        <v>01</v>
      </c>
      <c r="B1133" s="19">
        <v>61259</v>
      </c>
      <c r="C1133" s="16" t="str">
        <f>TEXT(6117568,"0000000")</f>
        <v>6117568</v>
      </c>
      <c r="D1133" s="17" t="s">
        <v>144</v>
      </c>
      <c r="E1133" s="16" t="s">
        <v>142</v>
      </c>
      <c r="F1133" s="16" t="s">
        <v>5</v>
      </c>
      <c r="G1133" s="35" t="s">
        <v>143</v>
      </c>
      <c r="H1133" s="39">
        <v>0</v>
      </c>
      <c r="I1133" s="39">
        <v>0</v>
      </c>
      <c r="J1133" s="39">
        <v>0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0</v>
      </c>
      <c r="Q1133" s="39">
        <v>0</v>
      </c>
      <c r="R1133" s="39">
        <v>0</v>
      </c>
      <c r="S1133" s="39">
        <v>0</v>
      </c>
      <c r="T1133" s="39">
        <v>0</v>
      </c>
      <c r="U1133" s="39">
        <v>0</v>
      </c>
      <c r="V1133" s="39">
        <v>0</v>
      </c>
      <c r="W1133" s="39">
        <v>0</v>
      </c>
      <c r="X1133" s="39">
        <v>0</v>
      </c>
      <c r="Y1133" s="39">
        <v>0</v>
      </c>
      <c r="Z1133" s="39">
        <v>0</v>
      </c>
      <c r="AA1133" s="39">
        <v>0</v>
      </c>
      <c r="AB1133" s="39">
        <v>0</v>
      </c>
      <c r="AC1133" s="39">
        <v>350.15</v>
      </c>
      <c r="AD1133" s="39">
        <v>370.95</v>
      </c>
      <c r="AE1133" s="39">
        <v>354.87</v>
      </c>
      <c r="AF1133" s="39">
        <v>0</v>
      </c>
      <c r="AG1133" s="39">
        <v>0</v>
      </c>
      <c r="AH1133" s="39">
        <v>0</v>
      </c>
      <c r="AI1133" s="39">
        <v>350.15</v>
      </c>
      <c r="AJ1133" s="39">
        <v>370.95</v>
      </c>
      <c r="AK1133" s="39">
        <v>354.87</v>
      </c>
      <c r="AL1133" s="39">
        <v>0</v>
      </c>
      <c r="AM1133" s="39">
        <v>0</v>
      </c>
      <c r="AN1133" s="39">
        <v>0</v>
      </c>
      <c r="AO1133" s="39">
        <v>350.15</v>
      </c>
      <c r="AP1133" s="39">
        <v>370.95</v>
      </c>
      <c r="AQ1133" s="39">
        <v>354.87</v>
      </c>
      <c r="AR1133" s="39">
        <v>370.95</v>
      </c>
    </row>
    <row r="1134" spans="1:44" x14ac:dyDescent="0.35">
      <c r="A1134" s="16" t="str">
        <f>TEXT(43,"00")</f>
        <v>43</v>
      </c>
      <c r="B1134" s="19">
        <v>69666</v>
      </c>
      <c r="C1134" s="16" t="str">
        <f>TEXT(129718,"0000000")</f>
        <v>0129718</v>
      </c>
      <c r="D1134" s="19">
        <v>1623</v>
      </c>
      <c r="E1134" s="16" t="s">
        <v>2829</v>
      </c>
      <c r="F1134" s="16" t="s">
        <v>5</v>
      </c>
      <c r="G1134" s="35" t="s">
        <v>2830</v>
      </c>
      <c r="H1134" s="39">
        <v>0</v>
      </c>
      <c r="I1134" s="39">
        <v>0</v>
      </c>
      <c r="J1134" s="39">
        <v>0</v>
      </c>
      <c r="K1134" s="39">
        <v>0</v>
      </c>
      <c r="L1134" s="39">
        <v>0</v>
      </c>
      <c r="M1134" s="39">
        <v>0</v>
      </c>
      <c r="N1134" s="39">
        <v>0</v>
      </c>
      <c r="O1134" s="39">
        <v>0</v>
      </c>
      <c r="P1134" s="39">
        <v>0</v>
      </c>
      <c r="Q1134" s="39">
        <v>0</v>
      </c>
      <c r="R1134" s="39">
        <v>0</v>
      </c>
      <c r="S1134" s="39">
        <v>0</v>
      </c>
      <c r="T1134" s="39">
        <v>0</v>
      </c>
      <c r="U1134" s="39">
        <v>0</v>
      </c>
      <c r="V1134" s="39">
        <v>0</v>
      </c>
      <c r="W1134" s="39">
        <v>0</v>
      </c>
      <c r="X1134" s="39">
        <v>0</v>
      </c>
      <c r="Y1134" s="39">
        <v>0</v>
      </c>
      <c r="Z1134" s="39">
        <v>0</v>
      </c>
      <c r="AA1134" s="39">
        <v>0</v>
      </c>
      <c r="AB1134" s="39">
        <v>0</v>
      </c>
      <c r="AC1134" s="39">
        <v>215.74</v>
      </c>
      <c r="AD1134" s="39">
        <v>217.33</v>
      </c>
      <c r="AE1134" s="39">
        <v>256.68</v>
      </c>
      <c r="AF1134" s="39">
        <v>0</v>
      </c>
      <c r="AG1134" s="39">
        <v>0</v>
      </c>
      <c r="AH1134" s="39">
        <v>0</v>
      </c>
      <c r="AI1134" s="39">
        <v>215.74</v>
      </c>
      <c r="AJ1134" s="39">
        <v>217.33</v>
      </c>
      <c r="AK1134" s="39">
        <v>256.68</v>
      </c>
      <c r="AL1134" s="39">
        <v>0</v>
      </c>
      <c r="AM1134" s="39">
        <v>0</v>
      </c>
      <c r="AN1134" s="39">
        <v>0</v>
      </c>
      <c r="AO1134" s="39">
        <v>215.74</v>
      </c>
      <c r="AP1134" s="39">
        <v>217.33</v>
      </c>
      <c r="AQ1134" s="39">
        <v>256.68</v>
      </c>
      <c r="AR1134" s="39">
        <v>256.68</v>
      </c>
    </row>
    <row r="1135" spans="1:44" x14ac:dyDescent="0.35">
      <c r="A1135" s="16" t="str">
        <f>TEXT(43,"00")</f>
        <v>43</v>
      </c>
      <c r="B1135" s="19">
        <v>69666</v>
      </c>
      <c r="C1135" s="16" t="str">
        <f>TEXT(131656,"0000000")</f>
        <v>0131656</v>
      </c>
      <c r="D1135" s="19">
        <v>1546</v>
      </c>
      <c r="E1135" s="16" t="s">
        <v>2831</v>
      </c>
      <c r="F1135" s="16" t="s">
        <v>5</v>
      </c>
      <c r="G1135" s="35" t="s">
        <v>2832</v>
      </c>
      <c r="H1135" s="39">
        <v>0</v>
      </c>
      <c r="I1135" s="39">
        <v>0</v>
      </c>
      <c r="J1135" s="39">
        <v>0</v>
      </c>
      <c r="K1135" s="39">
        <v>0</v>
      </c>
      <c r="L1135" s="39">
        <v>0</v>
      </c>
      <c r="M1135" s="39">
        <v>0</v>
      </c>
      <c r="N1135" s="39">
        <v>0</v>
      </c>
      <c r="O1135" s="39">
        <v>0</v>
      </c>
      <c r="P1135" s="39">
        <v>0</v>
      </c>
      <c r="Q1135" s="39">
        <v>0</v>
      </c>
      <c r="R1135" s="39">
        <v>0</v>
      </c>
      <c r="S1135" s="39">
        <v>0</v>
      </c>
      <c r="T1135" s="39">
        <v>0</v>
      </c>
      <c r="U1135" s="39">
        <v>0</v>
      </c>
      <c r="V1135" s="39">
        <v>0</v>
      </c>
      <c r="W1135" s="39">
        <v>0</v>
      </c>
      <c r="X1135" s="39">
        <v>0</v>
      </c>
      <c r="Y1135" s="39">
        <v>0</v>
      </c>
      <c r="Z1135" s="39">
        <v>0</v>
      </c>
      <c r="AA1135" s="39">
        <v>0</v>
      </c>
      <c r="AB1135" s="39">
        <v>0</v>
      </c>
      <c r="AC1135" s="39">
        <v>186.87</v>
      </c>
      <c r="AD1135" s="39">
        <v>203.57</v>
      </c>
      <c r="AE1135" s="39">
        <v>218.83</v>
      </c>
      <c r="AF1135" s="39">
        <v>0</v>
      </c>
      <c r="AG1135" s="39">
        <v>0</v>
      </c>
      <c r="AH1135" s="39">
        <v>0</v>
      </c>
      <c r="AI1135" s="39">
        <v>186.87</v>
      </c>
      <c r="AJ1135" s="39">
        <v>203.57</v>
      </c>
      <c r="AK1135" s="39">
        <v>218.83</v>
      </c>
      <c r="AL1135" s="39">
        <v>0</v>
      </c>
      <c r="AM1135" s="39">
        <v>0</v>
      </c>
      <c r="AN1135" s="39">
        <v>0</v>
      </c>
      <c r="AO1135" s="39">
        <v>186.87</v>
      </c>
      <c r="AP1135" s="39">
        <v>203.57</v>
      </c>
      <c r="AQ1135" s="39">
        <v>218.83</v>
      </c>
      <c r="AR1135" s="39">
        <v>218.83</v>
      </c>
    </row>
    <row r="1136" spans="1:44" x14ac:dyDescent="0.35">
      <c r="A1136" s="16" t="str">
        <f>TEXT(43,"00")</f>
        <v>43</v>
      </c>
      <c r="B1136" s="19">
        <v>69666</v>
      </c>
      <c r="C1136" s="16" t="str">
        <f>TEXT(4330585,"0000000")</f>
        <v>4330585</v>
      </c>
      <c r="D1136" s="17" t="s">
        <v>2835</v>
      </c>
      <c r="E1136" s="16" t="s">
        <v>2833</v>
      </c>
      <c r="F1136" s="16" t="s">
        <v>5</v>
      </c>
      <c r="G1136" s="35" t="s">
        <v>2834</v>
      </c>
      <c r="H1136" s="39">
        <v>0</v>
      </c>
      <c r="I1136" s="39">
        <v>0</v>
      </c>
      <c r="J1136" s="39">
        <v>0</v>
      </c>
      <c r="K1136" s="39">
        <v>0</v>
      </c>
      <c r="L1136" s="39">
        <v>0</v>
      </c>
      <c r="M1136" s="39">
        <v>0</v>
      </c>
      <c r="N1136" s="39">
        <v>0</v>
      </c>
      <c r="O1136" s="39">
        <v>0</v>
      </c>
      <c r="P1136" s="39">
        <v>0</v>
      </c>
      <c r="Q1136" s="39">
        <v>0</v>
      </c>
      <c r="R1136" s="39">
        <v>0</v>
      </c>
      <c r="S1136" s="39">
        <v>0</v>
      </c>
      <c r="T1136" s="39">
        <v>0</v>
      </c>
      <c r="U1136" s="39">
        <v>0</v>
      </c>
      <c r="V1136" s="39">
        <v>0</v>
      </c>
      <c r="W1136" s="39">
        <v>0</v>
      </c>
      <c r="X1136" s="39">
        <v>0</v>
      </c>
      <c r="Y1136" s="39">
        <v>0</v>
      </c>
      <c r="Z1136" s="39">
        <v>0</v>
      </c>
      <c r="AA1136" s="39">
        <v>0</v>
      </c>
      <c r="AB1136" s="39">
        <v>0</v>
      </c>
      <c r="AC1136" s="39">
        <v>466.94</v>
      </c>
      <c r="AD1136" s="39">
        <v>413.23</v>
      </c>
      <c r="AE1136" s="39">
        <v>446.24</v>
      </c>
      <c r="AF1136" s="39">
        <v>0</v>
      </c>
      <c r="AG1136" s="39">
        <v>0</v>
      </c>
      <c r="AH1136" s="39">
        <v>0</v>
      </c>
      <c r="AI1136" s="39">
        <v>466.94</v>
      </c>
      <c r="AJ1136" s="39">
        <v>413.23</v>
      </c>
      <c r="AK1136" s="39">
        <v>446.24</v>
      </c>
      <c r="AL1136" s="39">
        <v>0</v>
      </c>
      <c r="AM1136" s="39">
        <v>0</v>
      </c>
      <c r="AN1136" s="39">
        <v>0</v>
      </c>
      <c r="AO1136" s="39">
        <v>466.94</v>
      </c>
      <c r="AP1136" s="39">
        <v>413.23</v>
      </c>
      <c r="AQ1136" s="39">
        <v>446.24</v>
      </c>
      <c r="AR1136" s="39">
        <v>466.94</v>
      </c>
    </row>
    <row r="1137" spans="1:44" x14ac:dyDescent="0.35">
      <c r="A1137" s="16" t="str">
        <f>TEXT(43,"00")</f>
        <v>43</v>
      </c>
      <c r="B1137" s="19">
        <v>77149</v>
      </c>
      <c r="C1137" s="16" t="str">
        <f>TEXT(137315,"0000000")</f>
        <v>0137315</v>
      </c>
      <c r="D1137" s="19">
        <v>1955</v>
      </c>
      <c r="E1137" s="16" t="s">
        <v>2848</v>
      </c>
      <c r="F1137" s="16" t="s">
        <v>5</v>
      </c>
      <c r="G1137" s="35" t="s">
        <v>2849</v>
      </c>
      <c r="H1137" s="39">
        <v>0</v>
      </c>
      <c r="I1137" s="39">
        <v>0</v>
      </c>
      <c r="J1137" s="39">
        <v>0</v>
      </c>
      <c r="K1137" s="39">
        <v>0</v>
      </c>
      <c r="L1137" s="39">
        <v>0</v>
      </c>
      <c r="M1137" s="39">
        <v>0</v>
      </c>
      <c r="N1137" s="39">
        <v>0</v>
      </c>
      <c r="O1137" s="39">
        <v>0</v>
      </c>
      <c r="P1137" s="39">
        <v>0</v>
      </c>
      <c r="Q1137" s="39">
        <v>0</v>
      </c>
      <c r="R1137" s="39">
        <v>0</v>
      </c>
      <c r="S1137" s="39">
        <v>0</v>
      </c>
      <c r="T1137" s="39">
        <v>0</v>
      </c>
      <c r="U1137" s="39">
        <v>0</v>
      </c>
      <c r="V1137" s="39">
        <v>0</v>
      </c>
      <c r="W1137" s="39">
        <v>0</v>
      </c>
      <c r="X1137" s="39">
        <v>0</v>
      </c>
      <c r="Y1137" s="39">
        <v>0</v>
      </c>
      <c r="Z1137" s="39">
        <v>0</v>
      </c>
      <c r="AA1137" s="39">
        <v>0</v>
      </c>
      <c r="AB1137" s="39">
        <v>0</v>
      </c>
      <c r="AC1137" s="39">
        <v>278.76</v>
      </c>
      <c r="AD1137" s="39">
        <v>288.08999999999997</v>
      </c>
      <c r="AE1137" s="39">
        <v>314.33</v>
      </c>
      <c r="AF1137" s="39">
        <v>0</v>
      </c>
      <c r="AG1137" s="39">
        <v>0</v>
      </c>
      <c r="AH1137" s="39">
        <v>0</v>
      </c>
      <c r="AI1137" s="39">
        <v>278.76</v>
      </c>
      <c r="AJ1137" s="39">
        <v>288.08999999999997</v>
      </c>
      <c r="AK1137" s="39">
        <v>314.33</v>
      </c>
      <c r="AL1137" s="39">
        <v>0</v>
      </c>
      <c r="AM1137" s="39">
        <v>0</v>
      </c>
      <c r="AN1137" s="39">
        <v>0</v>
      </c>
      <c r="AO1137" s="39">
        <v>278.76</v>
      </c>
      <c r="AP1137" s="39">
        <v>288.08999999999997</v>
      </c>
      <c r="AQ1137" s="39">
        <v>314.33</v>
      </c>
      <c r="AR1137" s="39">
        <v>314.33</v>
      </c>
    </row>
    <row r="1138" spans="1:44" x14ac:dyDescent="0.35">
      <c r="A1138" s="16" t="str">
        <f>TEXT(44,"00")</f>
        <v>44</v>
      </c>
      <c r="B1138" s="19">
        <v>69799</v>
      </c>
      <c r="C1138" s="16" t="str">
        <f>TEXT(117804,"0000000")</f>
        <v>0117804</v>
      </c>
      <c r="D1138" s="19">
        <v>1004</v>
      </c>
      <c r="E1138" s="16" t="s">
        <v>2867</v>
      </c>
      <c r="F1138" s="16" t="s">
        <v>5</v>
      </c>
      <c r="G1138" s="35" t="s">
        <v>2868</v>
      </c>
      <c r="H1138" s="39">
        <v>0</v>
      </c>
      <c r="I1138" s="39">
        <v>0</v>
      </c>
      <c r="J1138" s="39">
        <v>0</v>
      </c>
      <c r="K1138" s="39">
        <v>0</v>
      </c>
      <c r="L1138" s="39">
        <v>0</v>
      </c>
      <c r="M1138" s="39">
        <v>0</v>
      </c>
      <c r="N1138" s="39">
        <v>0</v>
      </c>
      <c r="O1138" s="39">
        <v>0</v>
      </c>
      <c r="P1138" s="39">
        <v>0</v>
      </c>
      <c r="Q1138" s="39">
        <v>0</v>
      </c>
      <c r="R1138" s="39">
        <v>0</v>
      </c>
      <c r="S1138" s="39">
        <v>0</v>
      </c>
      <c r="T1138" s="39">
        <v>0</v>
      </c>
      <c r="U1138" s="39">
        <v>0</v>
      </c>
      <c r="V1138" s="39">
        <v>0</v>
      </c>
      <c r="W1138" s="39">
        <v>0</v>
      </c>
      <c r="X1138" s="39">
        <v>0</v>
      </c>
      <c r="Y1138" s="39">
        <v>0</v>
      </c>
      <c r="Z1138" s="39">
        <v>0</v>
      </c>
      <c r="AA1138" s="39">
        <v>0</v>
      </c>
      <c r="AB1138" s="39">
        <v>0</v>
      </c>
      <c r="AC1138" s="39">
        <v>469.42</v>
      </c>
      <c r="AD1138" s="39">
        <v>478.23</v>
      </c>
      <c r="AE1138" s="39">
        <v>471.53</v>
      </c>
      <c r="AF1138" s="39">
        <v>0</v>
      </c>
      <c r="AG1138" s="39">
        <v>0</v>
      </c>
      <c r="AH1138" s="39">
        <v>0</v>
      </c>
      <c r="AI1138" s="39">
        <v>469.42</v>
      </c>
      <c r="AJ1138" s="39">
        <v>478.23</v>
      </c>
      <c r="AK1138" s="39">
        <v>471.53</v>
      </c>
      <c r="AL1138" s="39">
        <v>0</v>
      </c>
      <c r="AM1138" s="39">
        <v>0</v>
      </c>
      <c r="AN1138" s="39">
        <v>0</v>
      </c>
      <c r="AO1138" s="39">
        <v>469.42</v>
      </c>
      <c r="AP1138" s="39">
        <v>478.23</v>
      </c>
      <c r="AQ1138" s="39">
        <v>471.53</v>
      </c>
      <c r="AR1138" s="39">
        <v>478.23</v>
      </c>
    </row>
    <row r="1139" spans="1:44" x14ac:dyDescent="0.35">
      <c r="A1139" s="16" t="str">
        <f>TEXT(44,"00")</f>
        <v>44</v>
      </c>
      <c r="B1139" s="19">
        <v>75432</v>
      </c>
      <c r="C1139" s="16" t="str">
        <f>TEXT(139410,"0000000")</f>
        <v>0139410</v>
      </c>
      <c r="D1139" s="19">
        <v>2056</v>
      </c>
      <c r="E1139" s="16" t="s">
        <v>2881</v>
      </c>
      <c r="F1139" s="16" t="s">
        <v>5</v>
      </c>
      <c r="G1139" s="35" t="s">
        <v>2882</v>
      </c>
      <c r="H1139" s="39">
        <v>0</v>
      </c>
      <c r="I1139" s="39">
        <v>0</v>
      </c>
      <c r="J1139" s="39">
        <v>0</v>
      </c>
      <c r="K1139" s="39">
        <v>0</v>
      </c>
      <c r="L1139" s="39">
        <v>0</v>
      </c>
      <c r="M1139" s="39">
        <v>0</v>
      </c>
      <c r="N1139" s="39">
        <v>0</v>
      </c>
      <c r="O1139" s="39">
        <v>0</v>
      </c>
      <c r="P1139" s="39">
        <v>0</v>
      </c>
      <c r="Q1139" s="39">
        <v>0</v>
      </c>
      <c r="R1139" s="39">
        <v>0</v>
      </c>
      <c r="S1139" s="39">
        <v>0</v>
      </c>
      <c r="T1139" s="39">
        <v>0</v>
      </c>
      <c r="U1139" s="39">
        <v>0</v>
      </c>
      <c r="V1139" s="39">
        <v>0</v>
      </c>
      <c r="W1139" s="39">
        <v>0</v>
      </c>
      <c r="X1139" s="39">
        <v>0</v>
      </c>
      <c r="Y1139" s="39">
        <v>0</v>
      </c>
      <c r="Z1139" s="39">
        <v>0</v>
      </c>
      <c r="AA1139" s="39">
        <v>0</v>
      </c>
      <c r="AB1139" s="39">
        <v>0</v>
      </c>
      <c r="AC1139" s="39">
        <v>454.33</v>
      </c>
      <c r="AD1139" s="39">
        <v>559.53</v>
      </c>
      <c r="AE1139" s="39">
        <v>458.21</v>
      </c>
      <c r="AF1139" s="39">
        <v>0</v>
      </c>
      <c r="AG1139" s="39">
        <v>0</v>
      </c>
      <c r="AH1139" s="39">
        <v>0</v>
      </c>
      <c r="AI1139" s="39">
        <v>454.33</v>
      </c>
      <c r="AJ1139" s="39">
        <v>559.53</v>
      </c>
      <c r="AK1139" s="39">
        <v>458.21</v>
      </c>
      <c r="AL1139" s="39">
        <v>0</v>
      </c>
      <c r="AM1139" s="39">
        <v>0</v>
      </c>
      <c r="AN1139" s="39">
        <v>0</v>
      </c>
      <c r="AO1139" s="39">
        <v>454.33</v>
      </c>
      <c r="AP1139" s="39">
        <v>559.53</v>
      </c>
      <c r="AQ1139" s="39">
        <v>458.21</v>
      </c>
      <c r="AR1139" s="39">
        <v>559.53</v>
      </c>
    </row>
    <row r="1140" spans="1:44" x14ac:dyDescent="0.35">
      <c r="A1140" s="16" t="str">
        <f>TEXT(44,"00")</f>
        <v>44</v>
      </c>
      <c r="B1140" s="19">
        <v>77248</v>
      </c>
      <c r="C1140" s="16" t="str">
        <f>TEXT(138909,"0000000")</f>
        <v>0138909</v>
      </c>
      <c r="D1140" s="19">
        <v>2032</v>
      </c>
      <c r="E1140" s="16" t="s">
        <v>2883</v>
      </c>
      <c r="F1140" s="16" t="s">
        <v>5</v>
      </c>
      <c r="G1140" s="35" t="s">
        <v>2884</v>
      </c>
      <c r="H1140" s="39">
        <v>0</v>
      </c>
      <c r="I1140" s="39">
        <v>0</v>
      </c>
      <c r="J1140" s="39">
        <v>0</v>
      </c>
      <c r="K1140" s="39">
        <v>0</v>
      </c>
      <c r="L1140" s="39">
        <v>0</v>
      </c>
      <c r="M1140" s="39">
        <v>0</v>
      </c>
      <c r="N1140" s="39">
        <v>0</v>
      </c>
      <c r="O1140" s="39">
        <v>0</v>
      </c>
      <c r="P1140" s="39">
        <v>0</v>
      </c>
      <c r="Q1140" s="39">
        <v>0</v>
      </c>
      <c r="R1140" s="39">
        <v>0</v>
      </c>
      <c r="S1140" s="39">
        <v>0</v>
      </c>
      <c r="T1140" s="39">
        <v>0</v>
      </c>
      <c r="U1140" s="39">
        <v>0</v>
      </c>
      <c r="V1140" s="39">
        <v>0</v>
      </c>
      <c r="W1140" s="39">
        <v>0</v>
      </c>
      <c r="X1140" s="39">
        <v>0</v>
      </c>
      <c r="Y1140" s="39">
        <v>0</v>
      </c>
      <c r="Z1140" s="39">
        <v>0</v>
      </c>
      <c r="AA1140" s="39">
        <v>0</v>
      </c>
      <c r="AB1140" s="39">
        <v>0</v>
      </c>
      <c r="AC1140" s="39">
        <v>455.68</v>
      </c>
      <c r="AD1140" s="39">
        <v>417.32</v>
      </c>
      <c r="AE1140" s="39">
        <v>346.1</v>
      </c>
      <c r="AF1140" s="39">
        <v>0</v>
      </c>
      <c r="AG1140" s="39">
        <v>0</v>
      </c>
      <c r="AH1140" s="39">
        <v>0</v>
      </c>
      <c r="AI1140" s="39">
        <v>455.68</v>
      </c>
      <c r="AJ1140" s="39">
        <v>417.32</v>
      </c>
      <c r="AK1140" s="39">
        <v>346.1</v>
      </c>
      <c r="AL1140" s="39">
        <v>0</v>
      </c>
      <c r="AM1140" s="39">
        <v>0</v>
      </c>
      <c r="AN1140" s="39">
        <v>0</v>
      </c>
      <c r="AO1140" s="39">
        <v>455.68</v>
      </c>
      <c r="AP1140" s="39">
        <v>417.32</v>
      </c>
      <c r="AQ1140" s="39">
        <v>346.1</v>
      </c>
      <c r="AR1140" s="39">
        <v>455.68</v>
      </c>
    </row>
    <row r="1141" spans="1:44" x14ac:dyDescent="0.35">
      <c r="A1141" s="16" t="str">
        <f>TEXT(45,"00")</f>
        <v>45</v>
      </c>
      <c r="B1141" s="19">
        <v>10454</v>
      </c>
      <c r="C1141" s="16" t="str">
        <f>TEXT(111674,"0000000")</f>
        <v>0111674</v>
      </c>
      <c r="D1141" s="17" t="s">
        <v>2889</v>
      </c>
      <c r="E1141" s="16" t="s">
        <v>2887</v>
      </c>
      <c r="F1141" s="16" t="s">
        <v>5</v>
      </c>
      <c r="G1141" s="35" t="s">
        <v>2888</v>
      </c>
      <c r="H1141" s="39">
        <v>0</v>
      </c>
      <c r="I1141" s="39">
        <v>0</v>
      </c>
      <c r="J1141" s="39">
        <v>0</v>
      </c>
      <c r="K1141" s="39">
        <v>0</v>
      </c>
      <c r="L1141" s="39">
        <v>0</v>
      </c>
      <c r="M1141" s="39">
        <v>0</v>
      </c>
      <c r="N1141" s="39">
        <v>0</v>
      </c>
      <c r="O1141" s="39">
        <v>0</v>
      </c>
      <c r="P1141" s="39">
        <v>0</v>
      </c>
      <c r="Q1141" s="39">
        <v>0</v>
      </c>
      <c r="R1141" s="39">
        <v>0</v>
      </c>
      <c r="S1141" s="39">
        <v>0</v>
      </c>
      <c r="T1141" s="39">
        <v>0</v>
      </c>
      <c r="U1141" s="39">
        <v>0</v>
      </c>
      <c r="V1141" s="39">
        <v>0</v>
      </c>
      <c r="W1141" s="39">
        <v>0</v>
      </c>
      <c r="X1141" s="39">
        <v>0</v>
      </c>
      <c r="Y1141" s="39">
        <v>0</v>
      </c>
      <c r="Z1141" s="39">
        <v>215.55</v>
      </c>
      <c r="AA1141" s="39">
        <v>218.75</v>
      </c>
      <c r="AB1141" s="39">
        <v>224.1</v>
      </c>
      <c r="AC1141" s="39">
        <v>0</v>
      </c>
      <c r="AD1141" s="39">
        <v>0</v>
      </c>
      <c r="AE1141" s="39">
        <v>0</v>
      </c>
      <c r="AF1141" s="39">
        <v>0</v>
      </c>
      <c r="AG1141" s="39">
        <v>0</v>
      </c>
      <c r="AH1141" s="39">
        <v>0</v>
      </c>
      <c r="AI1141" s="39">
        <v>215.55</v>
      </c>
      <c r="AJ1141" s="39">
        <v>218.75</v>
      </c>
      <c r="AK1141" s="39">
        <v>224.1</v>
      </c>
      <c r="AL1141" s="39">
        <v>0</v>
      </c>
      <c r="AM1141" s="39">
        <v>0</v>
      </c>
      <c r="AN1141" s="39">
        <v>0</v>
      </c>
      <c r="AO1141" s="39">
        <v>215.55</v>
      </c>
      <c r="AP1141" s="39">
        <v>218.75</v>
      </c>
      <c r="AQ1141" s="39">
        <v>224.1</v>
      </c>
      <c r="AR1141" s="39">
        <v>224.1</v>
      </c>
    </row>
    <row r="1142" spans="1:44" x14ac:dyDescent="0.35">
      <c r="A1142" s="16" t="str">
        <f>TEXT(45,"00")</f>
        <v>45</v>
      </c>
      <c r="B1142" s="19">
        <v>10454</v>
      </c>
      <c r="C1142" s="16" t="str">
        <f>TEXT(132944,"0000000")</f>
        <v>0132944</v>
      </c>
      <c r="D1142" s="19">
        <v>1770</v>
      </c>
      <c r="E1142" s="16" t="s">
        <v>2892</v>
      </c>
      <c r="F1142" s="16" t="s">
        <v>5</v>
      </c>
      <c r="G1142" s="35" t="s">
        <v>2893</v>
      </c>
      <c r="H1142" s="39">
        <v>0</v>
      </c>
      <c r="I1142" s="39">
        <v>0</v>
      </c>
      <c r="J1142" s="39">
        <v>0</v>
      </c>
      <c r="K1142" s="39">
        <v>0</v>
      </c>
      <c r="L1142" s="39">
        <v>0</v>
      </c>
      <c r="M1142" s="39">
        <v>0</v>
      </c>
      <c r="N1142" s="39">
        <v>0</v>
      </c>
      <c r="O1142" s="39">
        <v>0</v>
      </c>
      <c r="P1142" s="39">
        <v>0</v>
      </c>
      <c r="Q1142" s="39">
        <v>0</v>
      </c>
      <c r="R1142" s="39">
        <v>0</v>
      </c>
      <c r="S1142" s="39">
        <v>0</v>
      </c>
      <c r="T1142" s="39">
        <v>0</v>
      </c>
      <c r="U1142" s="39">
        <v>0</v>
      </c>
      <c r="V1142" s="39">
        <v>0</v>
      </c>
      <c r="W1142" s="39">
        <v>0</v>
      </c>
      <c r="X1142" s="39">
        <v>0</v>
      </c>
      <c r="Y1142" s="39">
        <v>0</v>
      </c>
      <c r="Z1142" s="39">
        <v>0</v>
      </c>
      <c r="AA1142" s="39">
        <v>0</v>
      </c>
      <c r="AB1142" s="39">
        <v>0</v>
      </c>
      <c r="AC1142" s="39">
        <v>231.12</v>
      </c>
      <c r="AD1142" s="39">
        <v>222.04</v>
      </c>
      <c r="AE1142" s="39">
        <v>223.15</v>
      </c>
      <c r="AF1142" s="39">
        <v>0</v>
      </c>
      <c r="AG1142" s="39">
        <v>0</v>
      </c>
      <c r="AH1142" s="39">
        <v>0</v>
      </c>
      <c r="AI1142" s="39">
        <v>231.12</v>
      </c>
      <c r="AJ1142" s="39">
        <v>222.04</v>
      </c>
      <c r="AK1142" s="39">
        <v>223.15</v>
      </c>
      <c r="AL1142" s="39">
        <v>0</v>
      </c>
      <c r="AM1142" s="39">
        <v>0</v>
      </c>
      <c r="AN1142" s="39">
        <v>0</v>
      </c>
      <c r="AO1142" s="39">
        <v>231.12</v>
      </c>
      <c r="AP1142" s="39">
        <v>222.04</v>
      </c>
      <c r="AQ1142" s="39">
        <v>223.15</v>
      </c>
      <c r="AR1142" s="39">
        <v>231.12</v>
      </c>
    </row>
    <row r="1143" spans="1:44" x14ac:dyDescent="0.35">
      <c r="A1143" s="16" t="str">
        <f>TEXT(1,"00")</f>
        <v>01</v>
      </c>
      <c r="B1143" s="19">
        <v>61259</v>
      </c>
      <c r="C1143" s="16" t="str">
        <f>TEXT(6118608,"0000000")</f>
        <v>6118608</v>
      </c>
      <c r="D1143" s="19">
        <v>1443</v>
      </c>
      <c r="E1143" s="16" t="s">
        <v>145</v>
      </c>
      <c r="F1143" s="16" t="s">
        <v>5</v>
      </c>
      <c r="G1143" s="35" t="s">
        <v>146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466.1</v>
      </c>
      <c r="AD1143" s="39">
        <v>447.06</v>
      </c>
      <c r="AE1143" s="39">
        <v>447.76</v>
      </c>
      <c r="AF1143" s="39">
        <v>0</v>
      </c>
      <c r="AG1143" s="39">
        <v>0</v>
      </c>
      <c r="AH1143" s="39">
        <v>0</v>
      </c>
      <c r="AI1143" s="39">
        <v>466.1</v>
      </c>
      <c r="AJ1143" s="39">
        <v>447.06</v>
      </c>
      <c r="AK1143" s="39">
        <v>447.76</v>
      </c>
      <c r="AL1143" s="39">
        <v>0</v>
      </c>
      <c r="AM1143" s="39">
        <v>0</v>
      </c>
      <c r="AN1143" s="39">
        <v>0</v>
      </c>
      <c r="AO1143" s="39">
        <v>466.1</v>
      </c>
      <c r="AP1143" s="39">
        <v>447.06</v>
      </c>
      <c r="AQ1143" s="39">
        <v>447.76</v>
      </c>
      <c r="AR1143" s="39">
        <v>466.1</v>
      </c>
    </row>
    <row r="1144" spans="1:44" x14ac:dyDescent="0.35">
      <c r="A1144" s="16" t="str">
        <f>TEXT(45,"00")</f>
        <v>45</v>
      </c>
      <c r="B1144" s="19">
        <v>69948</v>
      </c>
      <c r="C1144" s="16" t="str">
        <f>TEXT(134122,"0000000")</f>
        <v>0134122</v>
      </c>
      <c r="D1144" s="19">
        <v>1793</v>
      </c>
      <c r="E1144" s="16" t="s">
        <v>2906</v>
      </c>
      <c r="F1144" s="16" t="s">
        <v>5</v>
      </c>
      <c r="G1144" s="35" t="s">
        <v>2907</v>
      </c>
      <c r="H1144" s="39">
        <v>0</v>
      </c>
      <c r="I1144" s="39">
        <v>0</v>
      </c>
      <c r="J1144" s="39">
        <v>0</v>
      </c>
      <c r="K1144" s="39">
        <v>0</v>
      </c>
      <c r="L1144" s="39">
        <v>0</v>
      </c>
      <c r="M1144" s="39">
        <v>0</v>
      </c>
      <c r="N1144" s="39">
        <v>0</v>
      </c>
      <c r="O1144" s="39">
        <v>0</v>
      </c>
      <c r="P1144" s="39">
        <v>0</v>
      </c>
      <c r="Q1144" s="39">
        <v>0</v>
      </c>
      <c r="R1144" s="39">
        <v>0</v>
      </c>
      <c r="S1144" s="39">
        <v>0</v>
      </c>
      <c r="T1144" s="39">
        <v>0</v>
      </c>
      <c r="U1144" s="39">
        <v>0</v>
      </c>
      <c r="V1144" s="39">
        <v>0</v>
      </c>
      <c r="W1144" s="39">
        <v>0</v>
      </c>
      <c r="X1144" s="39">
        <v>0</v>
      </c>
      <c r="Y1144" s="39">
        <v>0</v>
      </c>
      <c r="Z1144" s="39">
        <v>0</v>
      </c>
      <c r="AA1144" s="39">
        <v>0</v>
      </c>
      <c r="AB1144" s="39">
        <v>0</v>
      </c>
      <c r="AC1144" s="39">
        <v>606.19000000000005</v>
      </c>
      <c r="AD1144" s="39">
        <v>597.65</v>
      </c>
      <c r="AE1144" s="39">
        <v>570.25</v>
      </c>
      <c r="AF1144" s="39">
        <v>0</v>
      </c>
      <c r="AG1144" s="39">
        <v>0</v>
      </c>
      <c r="AH1144" s="39">
        <v>0</v>
      </c>
      <c r="AI1144" s="39">
        <v>606.19000000000005</v>
      </c>
      <c r="AJ1144" s="39">
        <v>597.65</v>
      </c>
      <c r="AK1144" s="39">
        <v>570.25</v>
      </c>
      <c r="AL1144" s="39">
        <v>0</v>
      </c>
      <c r="AM1144" s="39">
        <v>0</v>
      </c>
      <c r="AN1144" s="39">
        <v>0</v>
      </c>
      <c r="AO1144" s="39">
        <v>606.19000000000005</v>
      </c>
      <c r="AP1144" s="39">
        <v>597.65</v>
      </c>
      <c r="AQ1144" s="39">
        <v>570.25</v>
      </c>
      <c r="AR1144" s="39">
        <v>606.19000000000005</v>
      </c>
    </row>
    <row r="1145" spans="1:44" x14ac:dyDescent="0.35">
      <c r="A1145" s="16" t="str">
        <f>TEXT(45,"00")</f>
        <v>45</v>
      </c>
      <c r="B1145" s="19">
        <v>69948</v>
      </c>
      <c r="C1145" s="16" t="str">
        <f>TEXT(139543,"0000000")</f>
        <v>0139543</v>
      </c>
      <c r="D1145" s="19">
        <v>2065</v>
      </c>
      <c r="E1145" s="16" t="s">
        <v>2908</v>
      </c>
      <c r="F1145" s="16" t="s">
        <v>5</v>
      </c>
      <c r="G1145" s="35" t="s">
        <v>2909</v>
      </c>
      <c r="H1145" s="39">
        <v>0</v>
      </c>
      <c r="I1145" s="39">
        <v>0</v>
      </c>
      <c r="J1145" s="39">
        <v>0</v>
      </c>
      <c r="K1145" s="39">
        <v>0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  <c r="Q1145" s="39">
        <v>0</v>
      </c>
      <c r="R1145" s="39">
        <v>0</v>
      </c>
      <c r="S1145" s="39">
        <v>0</v>
      </c>
      <c r="T1145" s="39">
        <v>0</v>
      </c>
      <c r="U1145" s="39">
        <v>0</v>
      </c>
      <c r="V1145" s="39">
        <v>0</v>
      </c>
      <c r="W1145" s="39">
        <v>0</v>
      </c>
      <c r="X1145" s="39">
        <v>0</v>
      </c>
      <c r="Y1145" s="39">
        <v>0</v>
      </c>
      <c r="Z1145" s="39">
        <v>0</v>
      </c>
      <c r="AA1145" s="39">
        <v>0</v>
      </c>
      <c r="AB1145" s="39">
        <v>0</v>
      </c>
      <c r="AC1145" s="39">
        <v>485.33</v>
      </c>
      <c r="AD1145" s="39">
        <v>489.84</v>
      </c>
      <c r="AE1145" s="39">
        <v>489.48</v>
      </c>
      <c r="AF1145" s="39">
        <v>0</v>
      </c>
      <c r="AG1145" s="39">
        <v>0</v>
      </c>
      <c r="AH1145" s="39">
        <v>0</v>
      </c>
      <c r="AI1145" s="39">
        <v>485.33</v>
      </c>
      <c r="AJ1145" s="39">
        <v>489.84</v>
      </c>
      <c r="AK1145" s="39">
        <v>489.48</v>
      </c>
      <c r="AL1145" s="39">
        <v>0</v>
      </c>
      <c r="AM1145" s="39">
        <v>0</v>
      </c>
      <c r="AN1145" s="39">
        <v>0</v>
      </c>
      <c r="AO1145" s="39">
        <v>485.33</v>
      </c>
      <c r="AP1145" s="39">
        <v>489.84</v>
      </c>
      <c r="AQ1145" s="39">
        <v>489.48</v>
      </c>
      <c r="AR1145" s="39">
        <v>489.84</v>
      </c>
    </row>
    <row r="1146" spans="1:44" x14ac:dyDescent="0.35">
      <c r="A1146" s="16" t="str">
        <f>TEXT(45,"00")</f>
        <v>45</v>
      </c>
      <c r="B1146" s="19">
        <v>69948</v>
      </c>
      <c r="C1146" s="16" t="str">
        <f>TEXT(141580,"0000000")</f>
        <v>0141580</v>
      </c>
      <c r="D1146" s="19">
        <v>2126</v>
      </c>
      <c r="E1146" s="16" t="s">
        <v>2910</v>
      </c>
      <c r="F1146" s="16" t="s">
        <v>5</v>
      </c>
      <c r="G1146" s="35" t="s">
        <v>2911</v>
      </c>
      <c r="H1146" s="39">
        <v>0</v>
      </c>
      <c r="I1146" s="39">
        <v>0</v>
      </c>
      <c r="J1146" s="39">
        <v>0</v>
      </c>
      <c r="K1146" s="39">
        <v>0</v>
      </c>
      <c r="L1146" s="39">
        <v>0</v>
      </c>
      <c r="M1146" s="39">
        <v>0</v>
      </c>
      <c r="N1146" s="39">
        <v>0</v>
      </c>
      <c r="O1146" s="39">
        <v>0</v>
      </c>
      <c r="P1146" s="39">
        <v>0</v>
      </c>
      <c r="Q1146" s="39">
        <v>0</v>
      </c>
      <c r="R1146" s="39">
        <v>0</v>
      </c>
      <c r="S1146" s="39">
        <v>0</v>
      </c>
      <c r="T1146" s="39">
        <v>0</v>
      </c>
      <c r="U1146" s="39">
        <v>0</v>
      </c>
      <c r="V1146" s="39">
        <v>0</v>
      </c>
      <c r="W1146" s="39">
        <v>0</v>
      </c>
      <c r="X1146" s="39">
        <v>0</v>
      </c>
      <c r="Y1146" s="39">
        <v>0</v>
      </c>
      <c r="Z1146" s="39">
        <v>0</v>
      </c>
      <c r="AA1146" s="39">
        <v>0</v>
      </c>
      <c r="AB1146" s="39">
        <v>0</v>
      </c>
      <c r="AC1146" s="39">
        <v>267.97000000000003</v>
      </c>
      <c r="AD1146" s="39">
        <v>287.43</v>
      </c>
      <c r="AE1146" s="39">
        <v>273.49</v>
      </c>
      <c r="AF1146" s="39">
        <v>0</v>
      </c>
      <c r="AG1146" s="39">
        <v>0</v>
      </c>
      <c r="AH1146" s="39">
        <v>0</v>
      </c>
      <c r="AI1146" s="39">
        <v>267.97000000000003</v>
      </c>
      <c r="AJ1146" s="39">
        <v>287.43</v>
      </c>
      <c r="AK1146" s="39">
        <v>273.49</v>
      </c>
      <c r="AL1146" s="39">
        <v>0</v>
      </c>
      <c r="AM1146" s="39">
        <v>0</v>
      </c>
      <c r="AN1146" s="39">
        <v>0</v>
      </c>
      <c r="AO1146" s="39">
        <v>267.97000000000003</v>
      </c>
      <c r="AP1146" s="39">
        <v>287.43</v>
      </c>
      <c r="AQ1146" s="39">
        <v>273.49</v>
      </c>
      <c r="AR1146" s="39">
        <v>287.43</v>
      </c>
    </row>
    <row r="1147" spans="1:44" x14ac:dyDescent="0.35">
      <c r="A1147" s="16" t="str">
        <f>TEXT(45,"00")</f>
        <v>45</v>
      </c>
      <c r="B1147" s="19">
        <v>70136</v>
      </c>
      <c r="C1147" s="16" t="str">
        <f>TEXT(4530267,"0000000")</f>
        <v>4530267</v>
      </c>
      <c r="D1147" s="17" t="s">
        <v>2949</v>
      </c>
      <c r="E1147" s="16" t="s">
        <v>2947</v>
      </c>
      <c r="F1147" s="16" t="s">
        <v>5</v>
      </c>
      <c r="G1147" s="35" t="s">
        <v>2948</v>
      </c>
      <c r="H1147" s="39">
        <v>0</v>
      </c>
      <c r="I1147" s="39">
        <v>0</v>
      </c>
      <c r="J1147" s="39">
        <v>0</v>
      </c>
      <c r="K1147" s="39">
        <v>0</v>
      </c>
      <c r="L1147" s="39">
        <v>0</v>
      </c>
      <c r="M1147" s="39">
        <v>0</v>
      </c>
      <c r="N1147" s="39">
        <v>0</v>
      </c>
      <c r="O1147" s="39">
        <v>0</v>
      </c>
      <c r="P1147" s="39">
        <v>0</v>
      </c>
      <c r="Q1147" s="39">
        <v>0</v>
      </c>
      <c r="R1147" s="39">
        <v>0</v>
      </c>
      <c r="S1147" s="39">
        <v>0</v>
      </c>
      <c r="T1147" s="39">
        <v>0</v>
      </c>
      <c r="U1147" s="39">
        <v>0</v>
      </c>
      <c r="V1147" s="39">
        <v>0</v>
      </c>
      <c r="W1147" s="39">
        <v>0</v>
      </c>
      <c r="X1147" s="39">
        <v>0</v>
      </c>
      <c r="Y1147" s="39">
        <v>0</v>
      </c>
      <c r="Z1147" s="39">
        <v>0</v>
      </c>
      <c r="AA1147" s="39">
        <v>0</v>
      </c>
      <c r="AB1147" s="39">
        <v>0</v>
      </c>
      <c r="AC1147" s="39">
        <v>279.55</v>
      </c>
      <c r="AD1147" s="39">
        <v>270.06</v>
      </c>
      <c r="AE1147" s="39">
        <v>270.06</v>
      </c>
      <c r="AF1147" s="39">
        <v>0</v>
      </c>
      <c r="AG1147" s="39">
        <v>0</v>
      </c>
      <c r="AH1147" s="39">
        <v>0</v>
      </c>
      <c r="AI1147" s="39">
        <v>279.55</v>
      </c>
      <c r="AJ1147" s="39">
        <v>270.06</v>
      </c>
      <c r="AK1147" s="39">
        <v>270.06</v>
      </c>
      <c r="AL1147" s="39">
        <v>0</v>
      </c>
      <c r="AM1147" s="39">
        <v>0</v>
      </c>
      <c r="AN1147" s="39">
        <v>0</v>
      </c>
      <c r="AO1147" s="39">
        <v>279.55</v>
      </c>
      <c r="AP1147" s="39">
        <v>270.06</v>
      </c>
      <c r="AQ1147" s="39">
        <v>270.06</v>
      </c>
      <c r="AR1147" s="39">
        <v>279.55</v>
      </c>
    </row>
    <row r="1148" spans="1:44" x14ac:dyDescent="0.35">
      <c r="A1148" s="16" t="str">
        <f>TEXT(48,"00")</f>
        <v>48</v>
      </c>
      <c r="B1148" s="19">
        <v>10488</v>
      </c>
      <c r="C1148" s="16" t="str">
        <f>TEXT(139030,"0000000")</f>
        <v>0139030</v>
      </c>
      <c r="D1148" s="19">
        <v>2034</v>
      </c>
      <c r="E1148" s="16" t="s">
        <v>3021</v>
      </c>
      <c r="F1148" s="16" t="s">
        <v>5</v>
      </c>
      <c r="G1148" s="35" t="s">
        <v>3022</v>
      </c>
      <c r="H1148" s="39">
        <v>0</v>
      </c>
      <c r="I1148" s="39">
        <v>0</v>
      </c>
      <c r="J1148" s="39">
        <v>0</v>
      </c>
      <c r="K1148" s="39">
        <v>0</v>
      </c>
      <c r="L1148" s="39">
        <v>0</v>
      </c>
      <c r="M1148" s="39">
        <v>0</v>
      </c>
      <c r="N1148" s="39">
        <v>0</v>
      </c>
      <c r="O1148" s="39">
        <v>0</v>
      </c>
      <c r="P1148" s="39">
        <v>0</v>
      </c>
      <c r="Q1148" s="39">
        <v>0</v>
      </c>
      <c r="R1148" s="39">
        <v>0</v>
      </c>
      <c r="S1148" s="39">
        <v>0</v>
      </c>
      <c r="T1148" s="39">
        <v>0</v>
      </c>
      <c r="U1148" s="39">
        <v>0</v>
      </c>
      <c r="V1148" s="39">
        <v>0</v>
      </c>
      <c r="W1148" s="39">
        <v>0</v>
      </c>
      <c r="X1148" s="39">
        <v>0</v>
      </c>
      <c r="Y1148" s="39">
        <v>0</v>
      </c>
      <c r="Z1148" s="39">
        <v>0</v>
      </c>
      <c r="AA1148" s="39">
        <v>0</v>
      </c>
      <c r="AB1148" s="39">
        <v>0</v>
      </c>
      <c r="AC1148" s="39">
        <v>554.19000000000005</v>
      </c>
      <c r="AD1148" s="39">
        <v>604.58000000000004</v>
      </c>
      <c r="AE1148" s="39">
        <v>580.37</v>
      </c>
      <c r="AF1148" s="39">
        <v>0</v>
      </c>
      <c r="AG1148" s="39">
        <v>0</v>
      </c>
      <c r="AH1148" s="39">
        <v>0</v>
      </c>
      <c r="AI1148" s="39">
        <v>554.19000000000005</v>
      </c>
      <c r="AJ1148" s="39">
        <v>604.58000000000004</v>
      </c>
      <c r="AK1148" s="39">
        <v>580.37</v>
      </c>
      <c r="AL1148" s="39">
        <v>0</v>
      </c>
      <c r="AM1148" s="39">
        <v>0</v>
      </c>
      <c r="AN1148" s="39">
        <v>0</v>
      </c>
      <c r="AO1148" s="39">
        <v>554.19000000000005</v>
      </c>
      <c r="AP1148" s="39">
        <v>604.58000000000004</v>
      </c>
      <c r="AQ1148" s="39">
        <v>580.37</v>
      </c>
      <c r="AR1148" s="39">
        <v>604.58000000000004</v>
      </c>
    </row>
    <row r="1149" spans="1:44" x14ac:dyDescent="0.35">
      <c r="A1149" s="16" t="str">
        <f>TEXT(48,"00")</f>
        <v>48</v>
      </c>
      <c r="B1149" s="19">
        <v>70532</v>
      </c>
      <c r="C1149" s="16" t="str">
        <f>TEXT(122267,"0000000")</f>
        <v>0122267</v>
      </c>
      <c r="D1149" s="19">
        <v>1210</v>
      </c>
      <c r="E1149" s="16" t="s">
        <v>3027</v>
      </c>
      <c r="F1149" s="16" t="s">
        <v>5</v>
      </c>
      <c r="G1149" s="35" t="s">
        <v>3028</v>
      </c>
      <c r="H1149" s="39">
        <v>0</v>
      </c>
      <c r="I1149" s="39">
        <v>0</v>
      </c>
      <c r="J1149" s="39">
        <v>0</v>
      </c>
      <c r="K1149" s="39">
        <v>0</v>
      </c>
      <c r="L1149" s="39">
        <v>0</v>
      </c>
      <c r="M1149" s="39">
        <v>0</v>
      </c>
      <c r="N1149" s="39">
        <v>0</v>
      </c>
      <c r="O1149" s="39">
        <v>0</v>
      </c>
      <c r="P1149" s="39">
        <v>0</v>
      </c>
      <c r="Q1149" s="39">
        <v>0</v>
      </c>
      <c r="R1149" s="39">
        <v>0</v>
      </c>
      <c r="S1149" s="39">
        <v>0</v>
      </c>
      <c r="T1149" s="39">
        <v>0</v>
      </c>
      <c r="U1149" s="39">
        <v>0</v>
      </c>
      <c r="V1149" s="39">
        <v>0</v>
      </c>
      <c r="W1149" s="39">
        <v>0</v>
      </c>
      <c r="X1149" s="39">
        <v>0</v>
      </c>
      <c r="Y1149" s="39">
        <v>0</v>
      </c>
      <c r="Z1149" s="39">
        <v>0</v>
      </c>
      <c r="AA1149" s="39">
        <v>0</v>
      </c>
      <c r="AB1149" s="39">
        <v>0</v>
      </c>
      <c r="AC1149" s="39">
        <v>456.49</v>
      </c>
      <c r="AD1149" s="39">
        <v>436.57</v>
      </c>
      <c r="AE1149" s="39">
        <v>427.91</v>
      </c>
      <c r="AF1149" s="39">
        <v>0</v>
      </c>
      <c r="AG1149" s="39">
        <v>0</v>
      </c>
      <c r="AH1149" s="39">
        <v>0</v>
      </c>
      <c r="AI1149" s="39">
        <v>456.49</v>
      </c>
      <c r="AJ1149" s="39">
        <v>436.57</v>
      </c>
      <c r="AK1149" s="39">
        <v>427.91</v>
      </c>
      <c r="AL1149" s="39">
        <v>0</v>
      </c>
      <c r="AM1149" s="39">
        <v>0</v>
      </c>
      <c r="AN1149" s="39">
        <v>0</v>
      </c>
      <c r="AO1149" s="39">
        <v>456.49</v>
      </c>
      <c r="AP1149" s="39">
        <v>436.57</v>
      </c>
      <c r="AQ1149" s="39">
        <v>427.91</v>
      </c>
      <c r="AR1149" s="39">
        <v>456.49</v>
      </c>
    </row>
    <row r="1150" spans="1:44" x14ac:dyDescent="0.35">
      <c r="A1150" s="16" t="str">
        <f>TEXT(48,"00")</f>
        <v>48</v>
      </c>
      <c r="B1150" s="19">
        <v>70573</v>
      </c>
      <c r="C1150" s="16" t="str">
        <f>TEXT(129494,"0000000")</f>
        <v>0129494</v>
      </c>
      <c r="D1150" s="19">
        <v>1635</v>
      </c>
      <c r="E1150" s="16" t="s">
        <v>3035</v>
      </c>
      <c r="F1150" s="16" t="s">
        <v>5</v>
      </c>
      <c r="G1150" s="35" t="s">
        <v>3547</v>
      </c>
      <c r="H1150" s="39">
        <v>0</v>
      </c>
      <c r="I1150" s="39">
        <v>0</v>
      </c>
      <c r="J1150" s="39">
        <v>0</v>
      </c>
      <c r="K1150" s="39">
        <v>0</v>
      </c>
      <c r="L1150" s="39">
        <v>0</v>
      </c>
      <c r="M1150" s="39">
        <v>0</v>
      </c>
      <c r="N1150" s="39">
        <v>0</v>
      </c>
      <c r="O1150" s="39">
        <v>0</v>
      </c>
      <c r="P1150" s="39">
        <v>0</v>
      </c>
      <c r="Q1150" s="39">
        <v>0</v>
      </c>
      <c r="R1150" s="39">
        <v>0</v>
      </c>
      <c r="S1150" s="39">
        <v>0</v>
      </c>
      <c r="T1150" s="39">
        <v>0</v>
      </c>
      <c r="U1150" s="39">
        <v>0</v>
      </c>
      <c r="V1150" s="39">
        <v>0</v>
      </c>
      <c r="W1150" s="39">
        <v>0</v>
      </c>
      <c r="X1150" s="39">
        <v>0</v>
      </c>
      <c r="Y1150" s="39">
        <v>0</v>
      </c>
      <c r="Z1150" s="39">
        <v>0</v>
      </c>
      <c r="AA1150" s="39">
        <v>0</v>
      </c>
      <c r="AB1150" s="39">
        <v>0</v>
      </c>
      <c r="AC1150" s="39">
        <v>767.61</v>
      </c>
      <c r="AD1150" s="39">
        <v>652.25</v>
      </c>
      <c r="AE1150" s="39">
        <v>628.91</v>
      </c>
      <c r="AF1150" s="39">
        <v>0</v>
      </c>
      <c r="AG1150" s="39">
        <v>0</v>
      </c>
      <c r="AH1150" s="39">
        <v>0</v>
      </c>
      <c r="AI1150" s="39">
        <v>767.61</v>
      </c>
      <c r="AJ1150" s="39">
        <v>652.25</v>
      </c>
      <c r="AK1150" s="39">
        <v>628.91</v>
      </c>
      <c r="AL1150" s="39">
        <v>0</v>
      </c>
      <c r="AM1150" s="39">
        <v>0</v>
      </c>
      <c r="AN1150" s="39">
        <v>0</v>
      </c>
      <c r="AO1150" s="39">
        <v>767.61</v>
      </c>
      <c r="AP1150" s="39">
        <v>652.25</v>
      </c>
      <c r="AQ1150" s="39">
        <v>628.91</v>
      </c>
      <c r="AR1150" s="39">
        <v>767.61</v>
      </c>
    </row>
    <row r="1151" spans="1:44" x14ac:dyDescent="0.35">
      <c r="A1151" s="16" t="str">
        <f>TEXT(48,"00")</f>
        <v>48</v>
      </c>
      <c r="B1151" s="19">
        <v>70581</v>
      </c>
      <c r="C1151" s="16" t="str">
        <f>TEXT(134262,"0000000")</f>
        <v>0134262</v>
      </c>
      <c r="D1151" s="19">
        <v>1779</v>
      </c>
      <c r="E1151" s="16" t="s">
        <v>3039</v>
      </c>
      <c r="F1151" s="16" t="s">
        <v>5</v>
      </c>
      <c r="G1151" s="35" t="s">
        <v>3040</v>
      </c>
      <c r="H1151" s="39">
        <v>0</v>
      </c>
      <c r="I1151" s="39">
        <v>0</v>
      </c>
      <c r="J1151" s="39">
        <v>0</v>
      </c>
      <c r="K1151" s="39">
        <v>0</v>
      </c>
      <c r="L1151" s="39">
        <v>0</v>
      </c>
      <c r="M1151" s="39">
        <v>0</v>
      </c>
      <c r="N1151" s="39">
        <v>0</v>
      </c>
      <c r="O1151" s="39">
        <v>0</v>
      </c>
      <c r="P1151" s="39">
        <v>0</v>
      </c>
      <c r="Q1151" s="39">
        <v>0</v>
      </c>
      <c r="R1151" s="39">
        <v>0</v>
      </c>
      <c r="S1151" s="39">
        <v>0</v>
      </c>
      <c r="T1151" s="39">
        <v>0</v>
      </c>
      <c r="U1151" s="39">
        <v>0</v>
      </c>
      <c r="V1151" s="39">
        <v>0</v>
      </c>
      <c r="W1151" s="39">
        <v>0</v>
      </c>
      <c r="X1151" s="39">
        <v>0</v>
      </c>
      <c r="Y1151" s="39">
        <v>0</v>
      </c>
      <c r="Z1151" s="39">
        <v>0</v>
      </c>
      <c r="AA1151" s="39">
        <v>0</v>
      </c>
      <c r="AB1151" s="39">
        <v>0</v>
      </c>
      <c r="AC1151" s="39">
        <v>897</v>
      </c>
      <c r="AD1151" s="39">
        <v>872.2</v>
      </c>
      <c r="AE1151" s="39">
        <v>803.82</v>
      </c>
      <c r="AF1151" s="39">
        <v>0</v>
      </c>
      <c r="AG1151" s="39">
        <v>0</v>
      </c>
      <c r="AH1151" s="39">
        <v>0</v>
      </c>
      <c r="AI1151" s="39">
        <v>897</v>
      </c>
      <c r="AJ1151" s="39">
        <v>872.2</v>
      </c>
      <c r="AK1151" s="39">
        <v>803.82</v>
      </c>
      <c r="AL1151" s="39">
        <v>0</v>
      </c>
      <c r="AM1151" s="39">
        <v>0</v>
      </c>
      <c r="AN1151" s="39">
        <v>0</v>
      </c>
      <c r="AO1151" s="39">
        <v>897</v>
      </c>
      <c r="AP1151" s="39">
        <v>872.2</v>
      </c>
      <c r="AQ1151" s="39">
        <v>803.82</v>
      </c>
      <c r="AR1151" s="39">
        <v>897</v>
      </c>
    </row>
    <row r="1152" spans="1:44" x14ac:dyDescent="0.35">
      <c r="A1152" s="16" t="str">
        <f>TEXT(49,"00")</f>
        <v>49</v>
      </c>
      <c r="B1152" s="19">
        <v>70839</v>
      </c>
      <c r="C1152" s="16" t="str">
        <f>TEXT(138065,"0000000")</f>
        <v>0138065</v>
      </c>
      <c r="D1152" s="19">
        <v>1985</v>
      </c>
      <c r="E1152" s="16" t="s">
        <v>3103</v>
      </c>
      <c r="F1152" s="16" t="s">
        <v>5</v>
      </c>
      <c r="G1152" s="35" t="s">
        <v>3104</v>
      </c>
      <c r="H1152" s="39">
        <v>0</v>
      </c>
      <c r="I1152" s="39">
        <v>0</v>
      </c>
      <c r="J1152" s="39">
        <v>0</v>
      </c>
      <c r="K1152" s="39">
        <v>0</v>
      </c>
      <c r="L1152" s="39">
        <v>0</v>
      </c>
      <c r="M1152" s="39">
        <v>0</v>
      </c>
      <c r="N1152" s="39">
        <v>0</v>
      </c>
      <c r="O1152" s="39">
        <v>0</v>
      </c>
      <c r="P1152" s="39">
        <v>0</v>
      </c>
      <c r="Q1152" s="39">
        <v>0</v>
      </c>
      <c r="R1152" s="39">
        <v>0</v>
      </c>
      <c r="S1152" s="39">
        <v>0</v>
      </c>
      <c r="T1152" s="39">
        <v>0</v>
      </c>
      <c r="U1152" s="39">
        <v>0</v>
      </c>
      <c r="V1152" s="39">
        <v>0</v>
      </c>
      <c r="W1152" s="39">
        <v>0</v>
      </c>
      <c r="X1152" s="39">
        <v>0</v>
      </c>
      <c r="Y1152" s="39">
        <v>0</v>
      </c>
      <c r="Z1152" s="39">
        <v>0</v>
      </c>
      <c r="AA1152" s="39">
        <v>0</v>
      </c>
      <c r="AB1152" s="39">
        <v>0</v>
      </c>
      <c r="AC1152" s="39">
        <v>355.9</v>
      </c>
      <c r="AD1152" s="39">
        <v>359.15</v>
      </c>
      <c r="AE1152" s="39">
        <v>308.22000000000003</v>
      </c>
      <c r="AF1152" s="39">
        <v>0</v>
      </c>
      <c r="AG1152" s="39">
        <v>0</v>
      </c>
      <c r="AH1152" s="39">
        <v>0</v>
      </c>
      <c r="AI1152" s="39">
        <v>355.9</v>
      </c>
      <c r="AJ1152" s="39">
        <v>359.15</v>
      </c>
      <c r="AK1152" s="39">
        <v>308.22000000000003</v>
      </c>
      <c r="AL1152" s="39">
        <v>0</v>
      </c>
      <c r="AM1152" s="39">
        <v>0</v>
      </c>
      <c r="AN1152" s="39">
        <v>0</v>
      </c>
      <c r="AO1152" s="39">
        <v>355.9</v>
      </c>
      <c r="AP1152" s="39">
        <v>359.15</v>
      </c>
      <c r="AQ1152" s="39">
        <v>308.22000000000003</v>
      </c>
      <c r="AR1152" s="39">
        <v>359.15</v>
      </c>
    </row>
    <row r="1153" spans="1:44" x14ac:dyDescent="0.35">
      <c r="A1153" s="16" t="str">
        <f>TEXT(49,"00")</f>
        <v>49</v>
      </c>
      <c r="B1153" s="19">
        <v>70847</v>
      </c>
      <c r="C1153" s="16" t="str">
        <f>TEXT(119750,"0000000")</f>
        <v>0119750</v>
      </c>
      <c r="D1153" s="19">
        <v>1086</v>
      </c>
      <c r="E1153" s="16" t="s">
        <v>3107</v>
      </c>
      <c r="F1153" s="16" t="s">
        <v>5</v>
      </c>
      <c r="G1153" s="35" t="s">
        <v>3108</v>
      </c>
      <c r="H1153" s="39">
        <v>0</v>
      </c>
      <c r="I1153" s="39">
        <v>0</v>
      </c>
      <c r="J1153" s="39">
        <v>0</v>
      </c>
      <c r="K1153" s="39">
        <v>0</v>
      </c>
      <c r="L1153" s="39">
        <v>0</v>
      </c>
      <c r="M1153" s="39">
        <v>0</v>
      </c>
      <c r="N1153" s="39">
        <v>0</v>
      </c>
      <c r="O1153" s="39">
        <v>0</v>
      </c>
      <c r="P1153" s="39">
        <v>0</v>
      </c>
      <c r="Q1153" s="39">
        <v>0</v>
      </c>
      <c r="R1153" s="39">
        <v>0</v>
      </c>
      <c r="S1153" s="39">
        <v>0</v>
      </c>
      <c r="T1153" s="39">
        <v>0</v>
      </c>
      <c r="U1153" s="39">
        <v>0</v>
      </c>
      <c r="V1153" s="39">
        <v>0</v>
      </c>
      <c r="W1153" s="39">
        <v>0</v>
      </c>
      <c r="X1153" s="39">
        <v>0</v>
      </c>
      <c r="Y1153" s="39">
        <v>0</v>
      </c>
      <c r="Z1153" s="39">
        <v>0</v>
      </c>
      <c r="AA1153" s="39">
        <v>0</v>
      </c>
      <c r="AB1153" s="39">
        <v>0</v>
      </c>
      <c r="AC1153" s="39">
        <v>134.76</v>
      </c>
      <c r="AD1153" s="39">
        <v>115.82</v>
      </c>
      <c r="AE1153" s="39">
        <v>120.78</v>
      </c>
      <c r="AF1153" s="39">
        <v>0</v>
      </c>
      <c r="AG1153" s="39">
        <v>0</v>
      </c>
      <c r="AH1153" s="39">
        <v>0</v>
      </c>
      <c r="AI1153" s="39">
        <v>134.76</v>
      </c>
      <c r="AJ1153" s="39">
        <v>115.82</v>
      </c>
      <c r="AK1153" s="39">
        <v>120.78</v>
      </c>
      <c r="AL1153" s="39">
        <v>0</v>
      </c>
      <c r="AM1153" s="39">
        <v>0</v>
      </c>
      <c r="AN1153" s="39">
        <v>0</v>
      </c>
      <c r="AO1153" s="39">
        <v>134.76</v>
      </c>
      <c r="AP1153" s="39">
        <v>115.82</v>
      </c>
      <c r="AQ1153" s="39">
        <v>120.78</v>
      </c>
      <c r="AR1153" s="39">
        <v>134.76</v>
      </c>
    </row>
    <row r="1154" spans="1:44" x14ac:dyDescent="0.35">
      <c r="A1154" s="16" t="str">
        <f>TEXT(1,"00")</f>
        <v>01</v>
      </c>
      <c r="B1154" s="19">
        <v>61309</v>
      </c>
      <c r="C1154" s="16" t="str">
        <f>TEXT(101212,"0000000")</f>
        <v>0101212</v>
      </c>
      <c r="D1154" s="17" t="s">
        <v>155</v>
      </c>
      <c r="E1154" s="16" t="s">
        <v>153</v>
      </c>
      <c r="F1154" s="16" t="s">
        <v>5</v>
      </c>
      <c r="G1154" s="35" t="s">
        <v>154</v>
      </c>
      <c r="H1154" s="39">
        <v>0</v>
      </c>
      <c r="I1154" s="39">
        <v>0</v>
      </c>
      <c r="J1154" s="39">
        <v>0</v>
      </c>
      <c r="K1154" s="39">
        <v>0</v>
      </c>
      <c r="L1154" s="39">
        <v>0</v>
      </c>
      <c r="M1154" s="39">
        <v>0</v>
      </c>
      <c r="N1154" s="39">
        <v>0</v>
      </c>
      <c r="O1154" s="39">
        <v>0</v>
      </c>
      <c r="P1154" s="39">
        <v>0</v>
      </c>
      <c r="Q1154" s="39">
        <v>0</v>
      </c>
      <c r="R1154" s="39">
        <v>0</v>
      </c>
      <c r="S1154" s="39">
        <v>0</v>
      </c>
      <c r="T1154" s="39">
        <v>0</v>
      </c>
      <c r="U1154" s="39">
        <v>0</v>
      </c>
      <c r="V1154" s="39">
        <v>0</v>
      </c>
      <c r="W1154" s="39">
        <v>0</v>
      </c>
      <c r="X1154" s="39">
        <v>0</v>
      </c>
      <c r="Y1154" s="39">
        <v>0</v>
      </c>
      <c r="Z1154" s="39">
        <v>0</v>
      </c>
      <c r="AA1154" s="39">
        <v>0</v>
      </c>
      <c r="AB1154" s="39">
        <v>0</v>
      </c>
      <c r="AC1154" s="39">
        <v>414.88</v>
      </c>
      <c r="AD1154" s="39">
        <v>406.37</v>
      </c>
      <c r="AE1154" s="39">
        <v>401.38</v>
      </c>
      <c r="AF1154" s="39">
        <v>0</v>
      </c>
      <c r="AG1154" s="39">
        <v>0</v>
      </c>
      <c r="AH1154" s="39">
        <v>0</v>
      </c>
      <c r="AI1154" s="39">
        <v>414.88</v>
      </c>
      <c r="AJ1154" s="39">
        <v>406.37</v>
      </c>
      <c r="AK1154" s="39">
        <v>401.38</v>
      </c>
      <c r="AL1154" s="39">
        <v>0</v>
      </c>
      <c r="AM1154" s="39">
        <v>0</v>
      </c>
      <c r="AN1154" s="39">
        <v>0</v>
      </c>
      <c r="AO1154" s="39">
        <v>414.88</v>
      </c>
      <c r="AP1154" s="39">
        <v>406.37</v>
      </c>
      <c r="AQ1154" s="39">
        <v>401.38</v>
      </c>
      <c r="AR1154" s="39">
        <v>414.88</v>
      </c>
    </row>
    <row r="1155" spans="1:44" x14ac:dyDescent="0.35">
      <c r="A1155" s="16" t="str">
        <f>TEXT(49,"00")</f>
        <v>49</v>
      </c>
      <c r="B1155" s="19">
        <v>70953</v>
      </c>
      <c r="C1155" s="16" t="str">
        <f>TEXT(105866,"0000000")</f>
        <v>0105866</v>
      </c>
      <c r="D1155" s="17" t="s">
        <v>3136</v>
      </c>
      <c r="E1155" s="16" t="s">
        <v>3134</v>
      </c>
      <c r="F1155" s="16" t="s">
        <v>5</v>
      </c>
      <c r="G1155" s="35" t="s">
        <v>3135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229.3</v>
      </c>
      <c r="AD1155" s="39">
        <v>204.76</v>
      </c>
      <c r="AE1155" s="39">
        <v>197.79</v>
      </c>
      <c r="AF1155" s="39">
        <v>0</v>
      </c>
      <c r="AG1155" s="39">
        <v>0</v>
      </c>
      <c r="AH1155" s="39">
        <v>0</v>
      </c>
      <c r="AI1155" s="39">
        <v>229.3</v>
      </c>
      <c r="AJ1155" s="39">
        <v>204.76</v>
      </c>
      <c r="AK1155" s="39">
        <v>197.79</v>
      </c>
      <c r="AL1155" s="39">
        <v>0</v>
      </c>
      <c r="AM1155" s="39">
        <v>0</v>
      </c>
      <c r="AN1155" s="39">
        <v>0</v>
      </c>
      <c r="AO1155" s="39">
        <v>229.3</v>
      </c>
      <c r="AP1155" s="39">
        <v>204.76</v>
      </c>
      <c r="AQ1155" s="39">
        <v>197.79</v>
      </c>
      <c r="AR1155" s="39">
        <v>229.3</v>
      </c>
    </row>
    <row r="1156" spans="1:44" x14ac:dyDescent="0.35">
      <c r="A1156" s="16" t="str">
        <f>TEXT(49,"00")</f>
        <v>49</v>
      </c>
      <c r="B1156" s="19">
        <v>70953</v>
      </c>
      <c r="C1156" s="16" t="str">
        <f>TEXT(6111678,"0000000")</f>
        <v>6111678</v>
      </c>
      <c r="D1156" s="17" t="s">
        <v>3139</v>
      </c>
      <c r="E1156" s="16" t="s">
        <v>3137</v>
      </c>
      <c r="F1156" s="16" t="s">
        <v>5</v>
      </c>
      <c r="G1156" s="35" t="s">
        <v>3138</v>
      </c>
      <c r="H1156" s="39">
        <v>0</v>
      </c>
      <c r="I1156" s="39">
        <v>0</v>
      </c>
      <c r="J1156" s="39">
        <v>0</v>
      </c>
      <c r="K1156" s="39">
        <v>0</v>
      </c>
      <c r="L1156" s="39">
        <v>0</v>
      </c>
      <c r="M1156" s="39">
        <v>0</v>
      </c>
      <c r="N1156" s="39">
        <v>0</v>
      </c>
      <c r="O1156" s="39">
        <v>0</v>
      </c>
      <c r="P1156" s="39">
        <v>0</v>
      </c>
      <c r="Q1156" s="39">
        <v>0</v>
      </c>
      <c r="R1156" s="39">
        <v>0</v>
      </c>
      <c r="S1156" s="39">
        <v>0</v>
      </c>
      <c r="T1156" s="39">
        <v>0</v>
      </c>
      <c r="U1156" s="39">
        <v>0</v>
      </c>
      <c r="V1156" s="39">
        <v>0</v>
      </c>
      <c r="W1156" s="39">
        <v>0</v>
      </c>
      <c r="X1156" s="39">
        <v>0</v>
      </c>
      <c r="Y1156" s="39">
        <v>0</v>
      </c>
      <c r="Z1156" s="39">
        <v>0</v>
      </c>
      <c r="AA1156" s="39">
        <v>0</v>
      </c>
      <c r="AB1156" s="39">
        <v>0</v>
      </c>
      <c r="AC1156" s="39">
        <v>207.42</v>
      </c>
      <c r="AD1156" s="39">
        <v>198.43</v>
      </c>
      <c r="AE1156" s="39">
        <v>192.55</v>
      </c>
      <c r="AF1156" s="39">
        <v>0</v>
      </c>
      <c r="AG1156" s="39">
        <v>0</v>
      </c>
      <c r="AH1156" s="39">
        <v>0</v>
      </c>
      <c r="AI1156" s="39">
        <v>207.42</v>
      </c>
      <c r="AJ1156" s="39">
        <v>198.43</v>
      </c>
      <c r="AK1156" s="39">
        <v>192.55</v>
      </c>
      <c r="AL1156" s="39">
        <v>0</v>
      </c>
      <c r="AM1156" s="39">
        <v>0</v>
      </c>
      <c r="AN1156" s="39">
        <v>0</v>
      </c>
      <c r="AO1156" s="39">
        <v>207.42</v>
      </c>
      <c r="AP1156" s="39">
        <v>198.43</v>
      </c>
      <c r="AQ1156" s="39">
        <v>192.55</v>
      </c>
      <c r="AR1156" s="39">
        <v>207.42</v>
      </c>
    </row>
    <row r="1157" spans="1:44" x14ac:dyDescent="0.35">
      <c r="A1157" s="16" t="str">
        <f>TEXT(49,"00")</f>
        <v>49</v>
      </c>
      <c r="B1157" s="19">
        <v>73882</v>
      </c>
      <c r="C1157" s="16" t="str">
        <f>TEXT(123786,"0000000")</f>
        <v>0123786</v>
      </c>
      <c r="D1157" s="19">
        <v>1281</v>
      </c>
      <c r="E1157" s="16" t="s">
        <v>3154</v>
      </c>
      <c r="F1157" s="16" t="s">
        <v>5</v>
      </c>
      <c r="G1157" s="35" t="s">
        <v>3155</v>
      </c>
      <c r="H1157" s="39">
        <v>0</v>
      </c>
      <c r="I1157" s="39">
        <v>0</v>
      </c>
      <c r="J1157" s="39">
        <v>0</v>
      </c>
      <c r="K1157" s="39">
        <v>0</v>
      </c>
      <c r="L1157" s="39">
        <v>0</v>
      </c>
      <c r="M1157" s="39">
        <v>0</v>
      </c>
      <c r="N1157" s="39">
        <v>0</v>
      </c>
      <c r="O1157" s="39">
        <v>0</v>
      </c>
      <c r="P1157" s="39">
        <v>0</v>
      </c>
      <c r="Q1157" s="39">
        <v>0</v>
      </c>
      <c r="R1157" s="39">
        <v>0</v>
      </c>
      <c r="S1157" s="39">
        <v>0</v>
      </c>
      <c r="T1157" s="39">
        <v>0</v>
      </c>
      <c r="U1157" s="39">
        <v>0</v>
      </c>
      <c r="V1157" s="39">
        <v>0</v>
      </c>
      <c r="W1157" s="39">
        <v>0</v>
      </c>
      <c r="X1157" s="39">
        <v>0</v>
      </c>
      <c r="Y1157" s="39">
        <v>0</v>
      </c>
      <c r="Z1157" s="39">
        <v>0</v>
      </c>
      <c r="AA1157" s="39">
        <v>0</v>
      </c>
      <c r="AB1157" s="39">
        <v>0</v>
      </c>
      <c r="AC1157" s="39">
        <v>415.93</v>
      </c>
      <c r="AD1157" s="39">
        <v>404.34</v>
      </c>
      <c r="AE1157" s="39">
        <v>402.57</v>
      </c>
      <c r="AF1157" s="39">
        <v>0</v>
      </c>
      <c r="AG1157" s="39">
        <v>0</v>
      </c>
      <c r="AH1157" s="39">
        <v>0</v>
      </c>
      <c r="AI1157" s="39">
        <v>415.93</v>
      </c>
      <c r="AJ1157" s="39">
        <v>404.34</v>
      </c>
      <c r="AK1157" s="39">
        <v>402.57</v>
      </c>
      <c r="AL1157" s="39">
        <v>0</v>
      </c>
      <c r="AM1157" s="39">
        <v>0</v>
      </c>
      <c r="AN1157" s="39">
        <v>0</v>
      </c>
      <c r="AO1157" s="39">
        <v>415.93</v>
      </c>
      <c r="AP1157" s="39">
        <v>404.34</v>
      </c>
      <c r="AQ1157" s="39">
        <v>402.57</v>
      </c>
      <c r="AR1157" s="39">
        <v>415.93</v>
      </c>
    </row>
    <row r="1158" spans="1:44" x14ac:dyDescent="0.35">
      <c r="A1158" s="16" t="str">
        <f>TEXT(50,"00")</f>
        <v>50</v>
      </c>
      <c r="B1158" s="19">
        <v>71043</v>
      </c>
      <c r="C1158" s="16" t="str">
        <f>TEXT(112292,"0000000")</f>
        <v>0112292</v>
      </c>
      <c r="D1158" s="17" t="s">
        <v>3166</v>
      </c>
      <c r="E1158" s="16" t="s">
        <v>3164</v>
      </c>
      <c r="F1158" s="16" t="s">
        <v>5</v>
      </c>
      <c r="G1158" s="35" t="s">
        <v>3165</v>
      </c>
      <c r="H1158" s="39">
        <v>0</v>
      </c>
      <c r="I1158" s="39">
        <v>0</v>
      </c>
      <c r="J1158" s="39">
        <v>0</v>
      </c>
      <c r="K1158" s="39">
        <v>0</v>
      </c>
      <c r="L1158" s="39">
        <v>0</v>
      </c>
      <c r="M1158" s="39">
        <v>0</v>
      </c>
      <c r="N1158" s="39">
        <v>0</v>
      </c>
      <c r="O1158" s="39">
        <v>0</v>
      </c>
      <c r="P1158" s="39">
        <v>0</v>
      </c>
      <c r="Q1158" s="39">
        <v>0</v>
      </c>
      <c r="R1158" s="39">
        <v>0</v>
      </c>
      <c r="S1158" s="39">
        <v>0</v>
      </c>
      <c r="T1158" s="39">
        <v>0</v>
      </c>
      <c r="U1158" s="39">
        <v>0</v>
      </c>
      <c r="V1158" s="39">
        <v>0</v>
      </c>
      <c r="W1158" s="39">
        <v>0</v>
      </c>
      <c r="X1158" s="39">
        <v>0</v>
      </c>
      <c r="Y1158" s="39">
        <v>0</v>
      </c>
      <c r="Z1158" s="39">
        <v>0</v>
      </c>
      <c r="AA1158" s="39">
        <v>0</v>
      </c>
      <c r="AB1158" s="39">
        <v>0</v>
      </c>
      <c r="AC1158" s="39">
        <v>324.37</v>
      </c>
      <c r="AD1158" s="39">
        <v>351.31</v>
      </c>
      <c r="AE1158" s="39">
        <v>322.24</v>
      </c>
      <c r="AF1158" s="39">
        <v>0</v>
      </c>
      <c r="AG1158" s="39">
        <v>0</v>
      </c>
      <c r="AH1158" s="39">
        <v>0</v>
      </c>
      <c r="AI1158" s="39">
        <v>324.37</v>
      </c>
      <c r="AJ1158" s="39">
        <v>351.31</v>
      </c>
      <c r="AK1158" s="39">
        <v>322.24</v>
      </c>
      <c r="AL1158" s="39">
        <v>0</v>
      </c>
      <c r="AM1158" s="39">
        <v>0</v>
      </c>
      <c r="AN1158" s="39">
        <v>0</v>
      </c>
      <c r="AO1158" s="39">
        <v>324.37</v>
      </c>
      <c r="AP1158" s="39">
        <v>351.31</v>
      </c>
      <c r="AQ1158" s="39">
        <v>322.24</v>
      </c>
      <c r="AR1158" s="39">
        <v>351.31</v>
      </c>
    </row>
    <row r="1159" spans="1:44" x14ac:dyDescent="0.35">
      <c r="A1159" s="16" t="str">
        <f>TEXT(50,"00")</f>
        <v>50</v>
      </c>
      <c r="B1159" s="19">
        <v>71167</v>
      </c>
      <c r="C1159" s="16" t="str">
        <f>TEXT(137265,"0000000")</f>
        <v>0137265</v>
      </c>
      <c r="D1159" s="19">
        <v>1963</v>
      </c>
      <c r="E1159" s="16" t="s">
        <v>3187</v>
      </c>
      <c r="F1159" s="16" t="s">
        <v>5</v>
      </c>
      <c r="G1159" s="35" t="s">
        <v>3188</v>
      </c>
      <c r="H1159" s="39">
        <v>0</v>
      </c>
      <c r="I1159" s="39">
        <v>0</v>
      </c>
      <c r="J1159" s="39">
        <v>0</v>
      </c>
      <c r="K1159" s="39">
        <v>0</v>
      </c>
      <c r="L1159" s="39">
        <v>0</v>
      </c>
      <c r="M1159" s="39">
        <v>0</v>
      </c>
      <c r="N1159" s="39">
        <v>0</v>
      </c>
      <c r="O1159" s="39">
        <v>0</v>
      </c>
      <c r="P1159" s="39">
        <v>0</v>
      </c>
      <c r="Q1159" s="39">
        <v>0</v>
      </c>
      <c r="R1159" s="39">
        <v>0</v>
      </c>
      <c r="S1159" s="39">
        <v>0</v>
      </c>
      <c r="T1159" s="39">
        <v>0</v>
      </c>
      <c r="U1159" s="39">
        <v>0</v>
      </c>
      <c r="V1159" s="39">
        <v>0</v>
      </c>
      <c r="W1159" s="39">
        <v>0</v>
      </c>
      <c r="X1159" s="39">
        <v>0</v>
      </c>
      <c r="Y1159" s="39">
        <v>0</v>
      </c>
      <c r="Z1159" s="39">
        <v>0</v>
      </c>
      <c r="AA1159" s="39">
        <v>0</v>
      </c>
      <c r="AB1159" s="39">
        <v>0</v>
      </c>
      <c r="AC1159" s="39">
        <v>392.8</v>
      </c>
      <c r="AD1159" s="39">
        <v>391.69</v>
      </c>
      <c r="AE1159" s="39">
        <v>373.77</v>
      </c>
      <c r="AF1159" s="39">
        <v>0</v>
      </c>
      <c r="AG1159" s="39">
        <v>0</v>
      </c>
      <c r="AH1159" s="39">
        <v>0</v>
      </c>
      <c r="AI1159" s="39">
        <v>392.8</v>
      </c>
      <c r="AJ1159" s="39">
        <v>391.69</v>
      </c>
      <c r="AK1159" s="39">
        <v>373.77</v>
      </c>
      <c r="AL1159" s="39">
        <v>0</v>
      </c>
      <c r="AM1159" s="39">
        <v>0</v>
      </c>
      <c r="AN1159" s="39">
        <v>0</v>
      </c>
      <c r="AO1159" s="39">
        <v>392.8</v>
      </c>
      <c r="AP1159" s="39">
        <v>391.69</v>
      </c>
      <c r="AQ1159" s="39">
        <v>373.77</v>
      </c>
      <c r="AR1159" s="39">
        <v>392.8</v>
      </c>
    </row>
    <row r="1160" spans="1:44" ht="31" x14ac:dyDescent="0.35">
      <c r="A1160" s="16" t="str">
        <f>TEXT(50,"00")</f>
        <v>50</v>
      </c>
      <c r="B1160" s="19">
        <v>71167</v>
      </c>
      <c r="C1160" s="16" t="str">
        <f>TEXT(138057,"0000000")</f>
        <v>0138057</v>
      </c>
      <c r="D1160" s="19">
        <v>1973</v>
      </c>
      <c r="E1160" s="16" t="s">
        <v>3189</v>
      </c>
      <c r="F1160" s="16" t="s">
        <v>5</v>
      </c>
      <c r="G1160" s="35" t="s">
        <v>3190</v>
      </c>
      <c r="H1160" s="39">
        <v>0</v>
      </c>
      <c r="I1160" s="39">
        <v>0</v>
      </c>
      <c r="J1160" s="39">
        <v>0</v>
      </c>
      <c r="K1160" s="39">
        <v>0</v>
      </c>
      <c r="L1160" s="39">
        <v>0</v>
      </c>
      <c r="M1160" s="39">
        <v>0</v>
      </c>
      <c r="N1160" s="39">
        <v>0</v>
      </c>
      <c r="O1160" s="39">
        <v>0</v>
      </c>
      <c r="P1160" s="39">
        <v>0</v>
      </c>
      <c r="Q1160" s="39">
        <v>0</v>
      </c>
      <c r="R1160" s="39">
        <v>0</v>
      </c>
      <c r="S1160" s="39">
        <v>0</v>
      </c>
      <c r="T1160" s="39">
        <v>0</v>
      </c>
      <c r="U1160" s="39">
        <v>0</v>
      </c>
      <c r="V1160" s="39">
        <v>0</v>
      </c>
      <c r="W1160" s="39">
        <v>0</v>
      </c>
      <c r="X1160" s="39">
        <v>0</v>
      </c>
      <c r="Y1160" s="39">
        <v>0</v>
      </c>
      <c r="Z1160" s="39">
        <v>0</v>
      </c>
      <c r="AA1160" s="39">
        <v>0</v>
      </c>
      <c r="AB1160" s="39">
        <v>0</v>
      </c>
      <c r="AC1160" s="39">
        <v>757.15</v>
      </c>
      <c r="AD1160" s="39">
        <v>709.56</v>
      </c>
      <c r="AE1160" s="39">
        <v>628.77</v>
      </c>
      <c r="AF1160" s="39">
        <v>0</v>
      </c>
      <c r="AG1160" s="39">
        <v>0</v>
      </c>
      <c r="AH1160" s="39">
        <v>0</v>
      </c>
      <c r="AI1160" s="39">
        <v>757.15</v>
      </c>
      <c r="AJ1160" s="39">
        <v>709.56</v>
      </c>
      <c r="AK1160" s="39">
        <v>628.77</v>
      </c>
      <c r="AL1160" s="39">
        <v>0</v>
      </c>
      <c r="AM1160" s="39">
        <v>0</v>
      </c>
      <c r="AN1160" s="39">
        <v>0</v>
      </c>
      <c r="AO1160" s="39">
        <v>757.15</v>
      </c>
      <c r="AP1160" s="39">
        <v>709.56</v>
      </c>
      <c r="AQ1160" s="39">
        <v>628.77</v>
      </c>
      <c r="AR1160" s="39">
        <v>757.15</v>
      </c>
    </row>
    <row r="1161" spans="1:44" x14ac:dyDescent="0.35">
      <c r="A1161" s="16" t="str">
        <f>TEXT(50,"00")</f>
        <v>50</v>
      </c>
      <c r="B1161" s="19">
        <v>71175</v>
      </c>
      <c r="C1161" s="16" t="str">
        <f>TEXT(120212,"0000000")</f>
        <v>0120212</v>
      </c>
      <c r="D1161" s="19">
        <v>1125</v>
      </c>
      <c r="E1161" s="16" t="s">
        <v>3191</v>
      </c>
      <c r="F1161" s="16" t="s">
        <v>5</v>
      </c>
      <c r="G1161" s="35" t="s">
        <v>3192</v>
      </c>
      <c r="H1161" s="39">
        <v>0</v>
      </c>
      <c r="I1161" s="39">
        <v>0</v>
      </c>
      <c r="J1161" s="39">
        <v>0</v>
      </c>
      <c r="K1161" s="39">
        <v>0</v>
      </c>
      <c r="L1161" s="39">
        <v>0</v>
      </c>
      <c r="M1161" s="39">
        <v>0</v>
      </c>
      <c r="N1161" s="39">
        <v>0</v>
      </c>
      <c r="O1161" s="39">
        <v>0</v>
      </c>
      <c r="P1161" s="39">
        <v>0</v>
      </c>
      <c r="Q1161" s="39">
        <v>0</v>
      </c>
      <c r="R1161" s="39">
        <v>0</v>
      </c>
      <c r="S1161" s="39">
        <v>0</v>
      </c>
      <c r="T1161" s="39">
        <v>0</v>
      </c>
      <c r="U1161" s="39">
        <v>0</v>
      </c>
      <c r="V1161" s="39">
        <v>0</v>
      </c>
      <c r="W1161" s="39">
        <v>0</v>
      </c>
      <c r="X1161" s="39">
        <v>0</v>
      </c>
      <c r="Y1161" s="39">
        <v>0</v>
      </c>
      <c r="Z1161" s="39">
        <v>0</v>
      </c>
      <c r="AA1161" s="39">
        <v>0</v>
      </c>
      <c r="AB1161" s="39">
        <v>0</v>
      </c>
      <c r="AC1161" s="39">
        <v>571.21</v>
      </c>
      <c r="AD1161" s="39">
        <v>568.38</v>
      </c>
      <c r="AE1161" s="39">
        <v>540.38</v>
      </c>
      <c r="AF1161" s="39">
        <v>0</v>
      </c>
      <c r="AG1161" s="39">
        <v>0</v>
      </c>
      <c r="AH1161" s="39">
        <v>0</v>
      </c>
      <c r="AI1161" s="39">
        <v>571.21</v>
      </c>
      <c r="AJ1161" s="39">
        <v>568.38</v>
      </c>
      <c r="AK1161" s="39">
        <v>540.38</v>
      </c>
      <c r="AL1161" s="39">
        <v>0</v>
      </c>
      <c r="AM1161" s="39">
        <v>0</v>
      </c>
      <c r="AN1161" s="39">
        <v>0</v>
      </c>
      <c r="AO1161" s="39">
        <v>571.21</v>
      </c>
      <c r="AP1161" s="39">
        <v>568.38</v>
      </c>
      <c r="AQ1161" s="39">
        <v>540.38</v>
      </c>
      <c r="AR1161" s="39">
        <v>571.21</v>
      </c>
    </row>
    <row r="1162" spans="1:44" x14ac:dyDescent="0.35">
      <c r="A1162" s="16" t="str">
        <f>TEXT(51,"00")</f>
        <v>51</v>
      </c>
      <c r="B1162" s="19">
        <v>71423</v>
      </c>
      <c r="C1162" s="16" t="str">
        <f>TEXT(132977,"0000000")</f>
        <v>0132977</v>
      </c>
      <c r="D1162" s="19">
        <v>1764</v>
      </c>
      <c r="E1162" s="16" t="s">
        <v>3244</v>
      </c>
      <c r="F1162" s="16" t="s">
        <v>5</v>
      </c>
      <c r="G1162" s="35" t="s">
        <v>3245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710.05</v>
      </c>
      <c r="AD1162" s="39">
        <v>634.35</v>
      </c>
      <c r="AE1162" s="39">
        <v>605.6</v>
      </c>
      <c r="AF1162" s="39">
        <v>0</v>
      </c>
      <c r="AG1162" s="39">
        <v>0</v>
      </c>
      <c r="AH1162" s="39">
        <v>0</v>
      </c>
      <c r="AI1162" s="39">
        <v>710.05</v>
      </c>
      <c r="AJ1162" s="39">
        <v>634.35</v>
      </c>
      <c r="AK1162" s="39">
        <v>605.6</v>
      </c>
      <c r="AL1162" s="39">
        <v>0</v>
      </c>
      <c r="AM1162" s="39">
        <v>0</v>
      </c>
      <c r="AN1162" s="39">
        <v>0</v>
      </c>
      <c r="AO1162" s="39">
        <v>710.05</v>
      </c>
      <c r="AP1162" s="39">
        <v>634.35</v>
      </c>
      <c r="AQ1162" s="39">
        <v>605.6</v>
      </c>
      <c r="AR1162" s="39">
        <v>710.05</v>
      </c>
    </row>
    <row r="1163" spans="1:44" x14ac:dyDescent="0.35">
      <c r="A1163" s="16" t="str">
        <f>TEXT(51,"00")</f>
        <v>51</v>
      </c>
      <c r="B1163" s="19">
        <v>71456</v>
      </c>
      <c r="C1163" s="16" t="str">
        <f>TEXT(133934,"0000000")</f>
        <v>0133934</v>
      </c>
      <c r="D1163" s="19">
        <v>1801</v>
      </c>
      <c r="E1163" s="16" t="s">
        <v>3252</v>
      </c>
      <c r="F1163" s="16" t="s">
        <v>5</v>
      </c>
      <c r="G1163" s="35" t="s">
        <v>3253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2730.35</v>
      </c>
      <c r="AD1163" s="39">
        <v>2526.65</v>
      </c>
      <c r="AE1163" s="39">
        <v>2357.0300000000002</v>
      </c>
      <c r="AF1163" s="39">
        <v>0</v>
      </c>
      <c r="AG1163" s="39">
        <v>0</v>
      </c>
      <c r="AH1163" s="39">
        <v>0</v>
      </c>
      <c r="AI1163" s="39">
        <v>2730.35</v>
      </c>
      <c r="AJ1163" s="39">
        <v>2526.65</v>
      </c>
      <c r="AK1163" s="39">
        <v>2357.0300000000002</v>
      </c>
      <c r="AL1163" s="39">
        <v>0</v>
      </c>
      <c r="AM1163" s="39">
        <v>0</v>
      </c>
      <c r="AN1163" s="39">
        <v>0</v>
      </c>
      <c r="AO1163" s="39">
        <v>2730.35</v>
      </c>
      <c r="AP1163" s="39">
        <v>2526.65</v>
      </c>
      <c r="AQ1163" s="39">
        <v>2357.0300000000002</v>
      </c>
      <c r="AR1163" s="39">
        <v>2730.35</v>
      </c>
    </row>
    <row r="1164" spans="1:44" x14ac:dyDescent="0.35">
      <c r="A1164" s="16" t="str">
        <f>TEXT(51,"00")</f>
        <v>51</v>
      </c>
      <c r="B1164" s="19">
        <v>71464</v>
      </c>
      <c r="C1164" s="16" t="str">
        <f>TEXT(5130125,"0000000")</f>
        <v>5130125</v>
      </c>
      <c r="D1164" s="17" t="s">
        <v>3261</v>
      </c>
      <c r="E1164" s="16" t="s">
        <v>3259</v>
      </c>
      <c r="F1164" s="16" t="s">
        <v>5</v>
      </c>
      <c r="G1164" s="35" t="s">
        <v>3260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252.61</v>
      </c>
      <c r="AD1164" s="39">
        <v>254.75</v>
      </c>
      <c r="AE1164" s="39">
        <v>264.3</v>
      </c>
      <c r="AF1164" s="39">
        <v>0</v>
      </c>
      <c r="AG1164" s="39">
        <v>0</v>
      </c>
      <c r="AH1164" s="39">
        <v>0</v>
      </c>
      <c r="AI1164" s="39">
        <v>252.61</v>
      </c>
      <c r="AJ1164" s="39">
        <v>254.75</v>
      </c>
      <c r="AK1164" s="39">
        <v>264.3</v>
      </c>
      <c r="AL1164" s="39">
        <v>0</v>
      </c>
      <c r="AM1164" s="39">
        <v>0</v>
      </c>
      <c r="AN1164" s="39">
        <v>0</v>
      </c>
      <c r="AO1164" s="39">
        <v>252.61</v>
      </c>
      <c r="AP1164" s="39">
        <v>254.75</v>
      </c>
      <c r="AQ1164" s="39">
        <v>264.3</v>
      </c>
      <c r="AR1164" s="39">
        <v>264.3</v>
      </c>
    </row>
    <row r="1165" spans="1:44" x14ac:dyDescent="0.35">
      <c r="A1165" s="16" t="str">
        <f>TEXT(1,"00")</f>
        <v>01</v>
      </c>
      <c r="B1165" s="19">
        <v>61309</v>
      </c>
      <c r="C1165" s="16" t="str">
        <f>TEXT(114421,"0000000")</f>
        <v>0114421</v>
      </c>
      <c r="D1165" s="17" t="s">
        <v>158</v>
      </c>
      <c r="E1165" s="16" t="s">
        <v>156</v>
      </c>
      <c r="F1165" s="16" t="s">
        <v>5</v>
      </c>
      <c r="G1165" s="35" t="s">
        <v>157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618.1</v>
      </c>
      <c r="AD1165" s="39">
        <v>643.27</v>
      </c>
      <c r="AE1165" s="39">
        <v>608.61</v>
      </c>
      <c r="AF1165" s="39">
        <v>0</v>
      </c>
      <c r="AG1165" s="39">
        <v>0</v>
      </c>
      <c r="AH1165" s="39">
        <v>0</v>
      </c>
      <c r="AI1165" s="39">
        <v>618.1</v>
      </c>
      <c r="AJ1165" s="39">
        <v>643.27</v>
      </c>
      <c r="AK1165" s="39">
        <v>608.61</v>
      </c>
      <c r="AL1165" s="39">
        <v>0</v>
      </c>
      <c r="AM1165" s="39">
        <v>0</v>
      </c>
      <c r="AN1165" s="39">
        <v>0</v>
      </c>
      <c r="AO1165" s="39">
        <v>618.1</v>
      </c>
      <c r="AP1165" s="39">
        <v>643.27</v>
      </c>
      <c r="AQ1165" s="39">
        <v>608.61</v>
      </c>
      <c r="AR1165" s="39">
        <v>643.27</v>
      </c>
    </row>
    <row r="1166" spans="1:44" x14ac:dyDescent="0.35">
      <c r="A1166" s="16" t="str">
        <f>TEXT(54,"00")</f>
        <v>54</v>
      </c>
      <c r="B1166" s="19">
        <v>10546</v>
      </c>
      <c r="C1166" s="16" t="str">
        <f>TEXT(6119291,"0000000")</f>
        <v>6119291</v>
      </c>
      <c r="D1166" s="17" t="s">
        <v>3320</v>
      </c>
      <c r="E1166" s="16" t="s">
        <v>3318</v>
      </c>
      <c r="F1166" s="16" t="s">
        <v>5</v>
      </c>
      <c r="G1166" s="35" t="s">
        <v>3319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0</v>
      </c>
      <c r="P1166" s="39">
        <v>0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460.79</v>
      </c>
      <c r="AD1166" s="39">
        <v>404.33</v>
      </c>
      <c r="AE1166" s="39">
        <v>383.58</v>
      </c>
      <c r="AF1166" s="39">
        <v>0</v>
      </c>
      <c r="AG1166" s="39">
        <v>0</v>
      </c>
      <c r="AH1166" s="39">
        <v>0</v>
      </c>
      <c r="AI1166" s="39">
        <v>460.79</v>
      </c>
      <c r="AJ1166" s="39">
        <v>404.33</v>
      </c>
      <c r="AK1166" s="39">
        <v>383.58</v>
      </c>
      <c r="AL1166" s="39">
        <v>0</v>
      </c>
      <c r="AM1166" s="39">
        <v>0</v>
      </c>
      <c r="AN1166" s="39">
        <v>0</v>
      </c>
      <c r="AO1166" s="39">
        <v>460.79</v>
      </c>
      <c r="AP1166" s="39">
        <v>404.33</v>
      </c>
      <c r="AQ1166" s="39">
        <v>383.58</v>
      </c>
      <c r="AR1166" s="39">
        <v>460.79</v>
      </c>
    </row>
    <row r="1167" spans="1:44" x14ac:dyDescent="0.35">
      <c r="A1167" s="16" t="str">
        <f>TEXT(54,"00")</f>
        <v>54</v>
      </c>
      <c r="B1167" s="19">
        <v>71803</v>
      </c>
      <c r="C1167" s="16" t="str">
        <f>TEXT(112458,"0000000")</f>
        <v>0112458</v>
      </c>
      <c r="D1167" s="17" t="s">
        <v>3327</v>
      </c>
      <c r="E1167" s="16" t="s">
        <v>3325</v>
      </c>
      <c r="F1167" s="16" t="s">
        <v>5</v>
      </c>
      <c r="G1167" s="35" t="s">
        <v>3326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0</v>
      </c>
      <c r="Y1167" s="39">
        <v>0</v>
      </c>
      <c r="Z1167" s="39">
        <v>0</v>
      </c>
      <c r="AA1167" s="39">
        <v>0</v>
      </c>
      <c r="AB1167" s="39">
        <v>0</v>
      </c>
      <c r="AC1167" s="39">
        <v>784.2</v>
      </c>
      <c r="AD1167" s="39">
        <v>796.88</v>
      </c>
      <c r="AE1167" s="39">
        <v>647.91</v>
      </c>
      <c r="AF1167" s="39">
        <v>0</v>
      </c>
      <c r="AG1167" s="39">
        <v>0</v>
      </c>
      <c r="AH1167" s="39">
        <v>0</v>
      </c>
      <c r="AI1167" s="39">
        <v>784.2</v>
      </c>
      <c r="AJ1167" s="39">
        <v>796.88</v>
      </c>
      <c r="AK1167" s="39">
        <v>647.91</v>
      </c>
      <c r="AL1167" s="39">
        <v>0</v>
      </c>
      <c r="AM1167" s="39">
        <v>0</v>
      </c>
      <c r="AN1167" s="39">
        <v>0</v>
      </c>
      <c r="AO1167" s="39">
        <v>784.2</v>
      </c>
      <c r="AP1167" s="39">
        <v>796.88</v>
      </c>
      <c r="AQ1167" s="39">
        <v>647.91</v>
      </c>
      <c r="AR1167" s="39">
        <v>796.88</v>
      </c>
    </row>
    <row r="1168" spans="1:44" x14ac:dyDescent="0.35">
      <c r="A1168" s="16" t="str">
        <f>TEXT(54,"00")</f>
        <v>54</v>
      </c>
      <c r="B1168" s="19">
        <v>71811</v>
      </c>
      <c r="C1168" s="16" t="str">
        <f>TEXT(139477,"0000000")</f>
        <v>0139477</v>
      </c>
      <c r="D1168" s="19">
        <v>2057</v>
      </c>
      <c r="E1168" s="16" t="s">
        <v>3330</v>
      </c>
      <c r="F1168" s="16" t="s">
        <v>5</v>
      </c>
      <c r="G1168" s="35" t="s">
        <v>3331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  <c r="Q1168" s="39">
        <v>0</v>
      </c>
      <c r="R1168" s="39">
        <v>0</v>
      </c>
      <c r="S1168" s="39">
        <v>0</v>
      </c>
      <c r="T1168" s="39">
        <v>0</v>
      </c>
      <c r="U1168" s="39">
        <v>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1291.57</v>
      </c>
      <c r="AD1168" s="39">
        <v>1148.72</v>
      </c>
      <c r="AE1168" s="39">
        <v>1073.42</v>
      </c>
      <c r="AF1168" s="39">
        <v>0</v>
      </c>
      <c r="AG1168" s="39">
        <v>0</v>
      </c>
      <c r="AH1168" s="39">
        <v>0</v>
      </c>
      <c r="AI1168" s="39">
        <v>1291.57</v>
      </c>
      <c r="AJ1168" s="39">
        <v>1148.72</v>
      </c>
      <c r="AK1168" s="39">
        <v>1073.42</v>
      </c>
      <c r="AL1168" s="39">
        <v>0</v>
      </c>
      <c r="AM1168" s="39">
        <v>0</v>
      </c>
      <c r="AN1168" s="39">
        <v>0</v>
      </c>
      <c r="AO1168" s="39">
        <v>1291.57</v>
      </c>
      <c r="AP1168" s="39">
        <v>1148.72</v>
      </c>
      <c r="AQ1168" s="39">
        <v>1073.42</v>
      </c>
      <c r="AR1168" s="39">
        <v>1291.57</v>
      </c>
    </row>
    <row r="1169" spans="1:44" x14ac:dyDescent="0.35">
      <c r="A1169" s="16" t="str">
        <f>TEXT(56,"00")</f>
        <v>56</v>
      </c>
      <c r="B1169" s="19">
        <v>10561</v>
      </c>
      <c r="C1169" s="16" t="str">
        <f>TEXT(109900,"0000000")</f>
        <v>0109900</v>
      </c>
      <c r="D1169" s="17" t="s">
        <v>3438</v>
      </c>
      <c r="E1169" s="16" t="s">
        <v>3436</v>
      </c>
      <c r="F1169" s="16" t="s">
        <v>5</v>
      </c>
      <c r="G1169" s="35" t="s">
        <v>3437</v>
      </c>
      <c r="H1169" s="39">
        <v>0</v>
      </c>
      <c r="I1169" s="39">
        <v>0</v>
      </c>
      <c r="J1169" s="39">
        <v>0</v>
      </c>
      <c r="K1169" s="39">
        <v>0</v>
      </c>
      <c r="L1169" s="39">
        <v>0</v>
      </c>
      <c r="M1169" s="39">
        <v>0</v>
      </c>
      <c r="N1169" s="39">
        <v>0</v>
      </c>
      <c r="O1169" s="39">
        <v>0</v>
      </c>
      <c r="P1169" s="39">
        <v>0</v>
      </c>
      <c r="Q1169" s="39">
        <v>0</v>
      </c>
      <c r="R1169" s="39">
        <v>0</v>
      </c>
      <c r="S1169" s="39">
        <v>0</v>
      </c>
      <c r="T1169" s="39">
        <v>0</v>
      </c>
      <c r="U1169" s="39">
        <v>0</v>
      </c>
      <c r="V1169" s="39">
        <v>0</v>
      </c>
      <c r="W1169" s="39">
        <v>0</v>
      </c>
      <c r="X1169" s="39">
        <v>0</v>
      </c>
      <c r="Y1169" s="39">
        <v>0</v>
      </c>
      <c r="Z1169" s="39">
        <v>2188.5500000000002</v>
      </c>
      <c r="AA1169" s="39">
        <v>2327.6999999999998</v>
      </c>
      <c r="AB1169" s="39">
        <v>2084.56</v>
      </c>
      <c r="AC1169" s="39">
        <v>0</v>
      </c>
      <c r="AD1169" s="39">
        <v>0</v>
      </c>
      <c r="AE1169" s="39">
        <v>0</v>
      </c>
      <c r="AF1169" s="39">
        <v>0</v>
      </c>
      <c r="AG1169" s="39">
        <v>0</v>
      </c>
      <c r="AH1169" s="39">
        <v>0</v>
      </c>
      <c r="AI1169" s="39">
        <v>2188.5500000000002</v>
      </c>
      <c r="AJ1169" s="39">
        <v>2327.6999999999998</v>
      </c>
      <c r="AK1169" s="39">
        <v>2084.56</v>
      </c>
      <c r="AL1169" s="39">
        <v>0</v>
      </c>
      <c r="AM1169" s="39">
        <v>0</v>
      </c>
      <c r="AN1169" s="39">
        <v>0</v>
      </c>
      <c r="AO1169" s="39">
        <v>2188.5500000000002</v>
      </c>
      <c r="AP1169" s="39">
        <v>2327.6999999999998</v>
      </c>
      <c r="AQ1169" s="39">
        <v>2084.56</v>
      </c>
      <c r="AR1169" s="39">
        <v>2327.6999999999998</v>
      </c>
    </row>
    <row r="1170" spans="1:44" x14ac:dyDescent="0.35">
      <c r="A1170" s="16" t="str">
        <f>TEXT(57,"00")</f>
        <v>57</v>
      </c>
      <c r="B1170" s="19">
        <v>10579</v>
      </c>
      <c r="C1170" s="16" t="str">
        <f>TEXT(132464,"0000000")</f>
        <v>0132464</v>
      </c>
      <c r="D1170" s="19">
        <v>1746</v>
      </c>
      <c r="E1170" s="16" t="s">
        <v>3478</v>
      </c>
      <c r="F1170" s="16" t="s">
        <v>5</v>
      </c>
      <c r="G1170" s="35" t="s">
        <v>3479</v>
      </c>
      <c r="H1170" s="39">
        <v>0</v>
      </c>
      <c r="I1170" s="39">
        <v>0</v>
      </c>
      <c r="J1170" s="39">
        <v>0</v>
      </c>
      <c r="K1170" s="39">
        <v>0</v>
      </c>
      <c r="L1170" s="39">
        <v>0</v>
      </c>
      <c r="M1170" s="39">
        <v>0</v>
      </c>
      <c r="N1170" s="39">
        <v>0</v>
      </c>
      <c r="O1170" s="39">
        <v>0</v>
      </c>
      <c r="P1170" s="39">
        <v>0</v>
      </c>
      <c r="Q1170" s="39">
        <v>0</v>
      </c>
      <c r="R1170" s="39">
        <v>0</v>
      </c>
      <c r="S1170" s="39">
        <v>0</v>
      </c>
      <c r="T1170" s="39">
        <v>0</v>
      </c>
      <c r="U1170" s="39">
        <v>0</v>
      </c>
      <c r="V1170" s="39">
        <v>0</v>
      </c>
      <c r="W1170" s="39">
        <v>0</v>
      </c>
      <c r="X1170" s="39">
        <v>0</v>
      </c>
      <c r="Y1170" s="39">
        <v>0</v>
      </c>
      <c r="Z1170" s="39">
        <v>0</v>
      </c>
      <c r="AA1170" s="39">
        <v>0</v>
      </c>
      <c r="AB1170" s="39">
        <v>0</v>
      </c>
      <c r="AC1170" s="39">
        <v>396.25</v>
      </c>
      <c r="AD1170" s="39">
        <v>380.44</v>
      </c>
      <c r="AE1170" s="39">
        <v>348.48</v>
      </c>
      <c r="AF1170" s="39">
        <v>0</v>
      </c>
      <c r="AG1170" s="39">
        <v>0</v>
      </c>
      <c r="AH1170" s="39">
        <v>0</v>
      </c>
      <c r="AI1170" s="39">
        <v>396.25</v>
      </c>
      <c r="AJ1170" s="39">
        <v>380.44</v>
      </c>
      <c r="AK1170" s="39">
        <v>348.48</v>
      </c>
      <c r="AL1170" s="39">
        <v>0</v>
      </c>
      <c r="AM1170" s="39">
        <v>0</v>
      </c>
      <c r="AN1170" s="39">
        <v>0</v>
      </c>
      <c r="AO1170" s="39">
        <v>396.25</v>
      </c>
      <c r="AP1170" s="39">
        <v>380.44</v>
      </c>
      <c r="AQ1170" s="39">
        <v>348.48</v>
      </c>
      <c r="AR1170" s="39">
        <v>396.25</v>
      </c>
    </row>
    <row r="1171" spans="1:44" x14ac:dyDescent="0.35">
      <c r="A1171" s="16" t="str">
        <f>TEXT(57,"00")</f>
        <v>57</v>
      </c>
      <c r="B1171" s="19">
        <v>72694</v>
      </c>
      <c r="C1171" s="16" t="str">
        <f>TEXT(124875,"0000000")</f>
        <v>0124875</v>
      </c>
      <c r="D1171" s="19">
        <v>1338</v>
      </c>
      <c r="E1171" s="16" t="s">
        <v>3485</v>
      </c>
      <c r="F1171" s="16" t="s">
        <v>5</v>
      </c>
      <c r="G1171" s="35" t="s">
        <v>3486</v>
      </c>
      <c r="H1171" s="39">
        <v>0</v>
      </c>
      <c r="I1171" s="39">
        <v>0</v>
      </c>
      <c r="J1171" s="39">
        <v>0</v>
      </c>
      <c r="K1171" s="39">
        <v>0</v>
      </c>
      <c r="L1171" s="39">
        <v>0</v>
      </c>
      <c r="M1171" s="39">
        <v>0</v>
      </c>
      <c r="N1171" s="39">
        <v>0</v>
      </c>
      <c r="O1171" s="39">
        <v>0</v>
      </c>
      <c r="P1171" s="39">
        <v>0</v>
      </c>
      <c r="Q1171" s="39">
        <v>0</v>
      </c>
      <c r="R1171" s="39">
        <v>0</v>
      </c>
      <c r="S1171" s="39">
        <v>0</v>
      </c>
      <c r="T1171" s="39">
        <v>0</v>
      </c>
      <c r="U1171" s="39">
        <v>0</v>
      </c>
      <c r="V1171" s="39">
        <v>0</v>
      </c>
      <c r="W1171" s="39">
        <v>0</v>
      </c>
      <c r="X1171" s="39">
        <v>0</v>
      </c>
      <c r="Y1171" s="39">
        <v>0</v>
      </c>
      <c r="Z1171" s="39">
        <v>0</v>
      </c>
      <c r="AA1171" s="39">
        <v>0</v>
      </c>
      <c r="AB1171" s="39">
        <v>0</v>
      </c>
      <c r="AC1171" s="39">
        <v>384.34</v>
      </c>
      <c r="AD1171" s="39">
        <v>351.2</v>
      </c>
      <c r="AE1171" s="39">
        <v>288.2</v>
      </c>
      <c r="AF1171" s="39">
        <v>0</v>
      </c>
      <c r="AG1171" s="39">
        <v>0</v>
      </c>
      <c r="AH1171" s="39">
        <v>0</v>
      </c>
      <c r="AI1171" s="39">
        <v>384.34</v>
      </c>
      <c r="AJ1171" s="39">
        <v>351.2</v>
      </c>
      <c r="AK1171" s="39">
        <v>288.2</v>
      </c>
      <c r="AL1171" s="39">
        <v>0</v>
      </c>
      <c r="AM1171" s="39">
        <v>0</v>
      </c>
      <c r="AN1171" s="39">
        <v>0</v>
      </c>
      <c r="AO1171" s="39">
        <v>384.34</v>
      </c>
      <c r="AP1171" s="39">
        <v>351.2</v>
      </c>
      <c r="AQ1171" s="39">
        <v>288.2</v>
      </c>
      <c r="AR1171" s="39">
        <v>384.34</v>
      </c>
    </row>
    <row r="1172" spans="1:44" x14ac:dyDescent="0.35">
      <c r="A1172" s="16" t="str">
        <f>TEXT(57,"00")</f>
        <v>57</v>
      </c>
      <c r="B1172" s="19">
        <v>72694</v>
      </c>
      <c r="C1172" s="16" t="str">
        <f>TEXT(131706,"0000000")</f>
        <v>0131706</v>
      </c>
      <c r="D1172" s="19">
        <v>1659</v>
      </c>
      <c r="E1172" s="16" t="s">
        <v>3487</v>
      </c>
      <c r="F1172" s="16" t="s">
        <v>5</v>
      </c>
      <c r="G1172" s="35" t="s">
        <v>3488</v>
      </c>
      <c r="H1172" s="39">
        <v>0</v>
      </c>
      <c r="I1172" s="39">
        <v>0</v>
      </c>
      <c r="J1172" s="39">
        <v>0</v>
      </c>
      <c r="K1172" s="39">
        <v>0</v>
      </c>
      <c r="L1172" s="39">
        <v>0</v>
      </c>
      <c r="M1172" s="39">
        <v>0</v>
      </c>
      <c r="N1172" s="39">
        <v>0</v>
      </c>
      <c r="O1172" s="39">
        <v>0</v>
      </c>
      <c r="P1172" s="39">
        <v>0</v>
      </c>
      <c r="Q1172" s="39">
        <v>0</v>
      </c>
      <c r="R1172" s="39">
        <v>0</v>
      </c>
      <c r="S1172" s="39">
        <v>0</v>
      </c>
      <c r="T1172" s="39">
        <v>0</v>
      </c>
      <c r="U1172" s="39">
        <v>0</v>
      </c>
      <c r="V1172" s="39">
        <v>0</v>
      </c>
      <c r="W1172" s="39">
        <v>0</v>
      </c>
      <c r="X1172" s="39">
        <v>0</v>
      </c>
      <c r="Y1172" s="39">
        <v>0</v>
      </c>
      <c r="Z1172" s="39">
        <v>0</v>
      </c>
      <c r="AA1172" s="39">
        <v>0</v>
      </c>
      <c r="AB1172" s="39">
        <v>0</v>
      </c>
      <c r="AC1172" s="39">
        <v>412.08</v>
      </c>
      <c r="AD1172" s="39">
        <v>396.9</v>
      </c>
      <c r="AE1172" s="39">
        <v>388.8</v>
      </c>
      <c r="AF1172" s="39">
        <v>0</v>
      </c>
      <c r="AG1172" s="39">
        <v>0</v>
      </c>
      <c r="AH1172" s="39">
        <v>0</v>
      </c>
      <c r="AI1172" s="39">
        <v>412.08</v>
      </c>
      <c r="AJ1172" s="39">
        <v>396.9</v>
      </c>
      <c r="AK1172" s="39">
        <v>388.8</v>
      </c>
      <c r="AL1172" s="39">
        <v>0</v>
      </c>
      <c r="AM1172" s="39">
        <v>0</v>
      </c>
      <c r="AN1172" s="39">
        <v>0</v>
      </c>
      <c r="AO1172" s="39">
        <v>412.08</v>
      </c>
      <c r="AP1172" s="39">
        <v>396.9</v>
      </c>
      <c r="AQ1172" s="39">
        <v>388.8</v>
      </c>
      <c r="AR1172" s="39">
        <v>412.08</v>
      </c>
    </row>
    <row r="1173" spans="1:44" x14ac:dyDescent="0.35">
      <c r="A1173" s="16" t="str">
        <f>TEXT(57,"00")</f>
        <v>57</v>
      </c>
      <c r="B1173" s="19">
        <v>72702</v>
      </c>
      <c r="C1173" s="16" t="str">
        <f>TEXT(139436,"0000000")</f>
        <v>0139436</v>
      </c>
      <c r="D1173" s="19">
        <v>2059</v>
      </c>
      <c r="E1173" s="16" t="s">
        <v>3491</v>
      </c>
      <c r="F1173" s="16" t="s">
        <v>5</v>
      </c>
      <c r="G1173" s="35" t="s">
        <v>3492</v>
      </c>
      <c r="H1173" s="39">
        <v>0</v>
      </c>
      <c r="I1173" s="39">
        <v>0</v>
      </c>
      <c r="J1173" s="39">
        <v>0</v>
      </c>
      <c r="K1173" s="39">
        <v>0</v>
      </c>
      <c r="L1173" s="39">
        <v>0</v>
      </c>
      <c r="M1173" s="39">
        <v>0</v>
      </c>
      <c r="N1173" s="39">
        <v>0</v>
      </c>
      <c r="O1173" s="39">
        <v>0</v>
      </c>
      <c r="P1173" s="39">
        <v>0</v>
      </c>
      <c r="Q1173" s="39">
        <v>0</v>
      </c>
      <c r="R1173" s="39">
        <v>0</v>
      </c>
      <c r="S1173" s="39">
        <v>0</v>
      </c>
      <c r="T1173" s="39">
        <v>0</v>
      </c>
      <c r="U1173" s="39">
        <v>0</v>
      </c>
      <c r="V1173" s="39">
        <v>0</v>
      </c>
      <c r="W1173" s="39">
        <v>0</v>
      </c>
      <c r="X1173" s="39">
        <v>0</v>
      </c>
      <c r="Y1173" s="39">
        <v>0</v>
      </c>
      <c r="Z1173" s="39">
        <v>0</v>
      </c>
      <c r="AA1173" s="39">
        <v>0</v>
      </c>
      <c r="AB1173" s="39">
        <v>0</v>
      </c>
      <c r="AC1173" s="39">
        <v>380.76</v>
      </c>
      <c r="AD1173" s="39">
        <v>261.85000000000002</v>
      </c>
      <c r="AE1173" s="39">
        <v>656.52</v>
      </c>
      <c r="AF1173" s="39">
        <v>0</v>
      </c>
      <c r="AG1173" s="39">
        <v>0</v>
      </c>
      <c r="AH1173" s="39">
        <v>0</v>
      </c>
      <c r="AI1173" s="39">
        <v>380.76</v>
      </c>
      <c r="AJ1173" s="39">
        <v>261.85000000000002</v>
      </c>
      <c r="AK1173" s="39">
        <v>656.52</v>
      </c>
      <c r="AL1173" s="39">
        <v>0</v>
      </c>
      <c r="AM1173" s="39">
        <v>0</v>
      </c>
      <c r="AN1173" s="39">
        <v>0</v>
      </c>
      <c r="AO1173" s="39">
        <v>380.76</v>
      </c>
      <c r="AP1173" s="39">
        <v>261.85000000000002</v>
      </c>
      <c r="AQ1173" s="39">
        <v>656.52</v>
      </c>
      <c r="AR1173" s="39">
        <v>656.52</v>
      </c>
    </row>
    <row r="1174" spans="1:44" x14ac:dyDescent="0.35">
      <c r="A1174" s="16" t="str">
        <f>TEXT(58,"00")</f>
        <v>58</v>
      </c>
      <c r="B1174" s="19">
        <v>72736</v>
      </c>
      <c r="C1174" s="16" t="str">
        <f>TEXT(121632,"0000000")</f>
        <v>0121632</v>
      </c>
      <c r="D1174" s="19">
        <v>1182</v>
      </c>
      <c r="E1174" s="16" t="s">
        <v>3499</v>
      </c>
      <c r="F1174" s="16" t="s">
        <v>5</v>
      </c>
      <c r="G1174" s="35" t="s">
        <v>3500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193.41</v>
      </c>
      <c r="AD1174" s="39">
        <v>190.05</v>
      </c>
      <c r="AE1174" s="39">
        <v>189.51</v>
      </c>
      <c r="AF1174" s="39">
        <v>0</v>
      </c>
      <c r="AG1174" s="39">
        <v>0</v>
      </c>
      <c r="AH1174" s="39">
        <v>0</v>
      </c>
      <c r="AI1174" s="39">
        <v>193.41</v>
      </c>
      <c r="AJ1174" s="39">
        <v>190.05</v>
      </c>
      <c r="AK1174" s="39">
        <v>189.51</v>
      </c>
      <c r="AL1174" s="39">
        <v>0</v>
      </c>
      <c r="AM1174" s="39">
        <v>0</v>
      </c>
      <c r="AN1174" s="39">
        <v>0</v>
      </c>
      <c r="AO1174" s="39">
        <v>193.41</v>
      </c>
      <c r="AP1174" s="39">
        <v>190.05</v>
      </c>
      <c r="AQ1174" s="39">
        <v>189.51</v>
      </c>
      <c r="AR1174" s="39">
        <v>193.41</v>
      </c>
    </row>
    <row r="1175" spans="1:44" ht="31" x14ac:dyDescent="0.35">
      <c r="A1175" s="16" t="str">
        <f>TEXT(30,"00")</f>
        <v>30</v>
      </c>
      <c r="B1175" s="19">
        <v>10306</v>
      </c>
      <c r="C1175" s="16" t="str">
        <f>TEXT(142224,"0000000")</f>
        <v>0142224</v>
      </c>
      <c r="D1175" s="19">
        <v>2138</v>
      </c>
      <c r="E1175" s="16" t="s">
        <v>3524</v>
      </c>
      <c r="F1175" s="16" t="s">
        <v>5</v>
      </c>
      <c r="G1175" s="35" t="s">
        <v>3525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249.97</v>
      </c>
      <c r="AD1175" s="39">
        <v>179.83</v>
      </c>
      <c r="AE1175" s="39">
        <v>0</v>
      </c>
      <c r="AF1175" s="39">
        <v>0</v>
      </c>
      <c r="AG1175" s="39">
        <v>0</v>
      </c>
      <c r="AH1175" s="39">
        <v>0</v>
      </c>
      <c r="AI1175" s="39">
        <v>249.97</v>
      </c>
      <c r="AJ1175" s="39">
        <v>179.83</v>
      </c>
      <c r="AK1175" s="39">
        <v>0</v>
      </c>
      <c r="AL1175" s="39">
        <v>0</v>
      </c>
      <c r="AM1175" s="39">
        <v>0</v>
      </c>
      <c r="AN1175" s="39">
        <v>0</v>
      </c>
      <c r="AO1175" s="39">
        <v>249.97</v>
      </c>
      <c r="AP1175" s="39">
        <v>179.83</v>
      </c>
      <c r="AQ1175" s="39">
        <v>0</v>
      </c>
      <c r="AR1175" s="39">
        <v>249.97</v>
      </c>
    </row>
    <row r="1176" spans="1:44" x14ac:dyDescent="0.35">
      <c r="A1176" s="16" t="str">
        <f>TEXT(1,"00")</f>
        <v>01</v>
      </c>
      <c r="B1176" s="19">
        <v>77180</v>
      </c>
      <c r="C1176" s="16" t="str">
        <f>TEXT(138289,"0000000")</f>
        <v>0138289</v>
      </c>
      <c r="D1176" s="19">
        <v>2015</v>
      </c>
      <c r="E1176" s="16" t="s">
        <v>163</v>
      </c>
      <c r="F1176" s="16" t="s">
        <v>5</v>
      </c>
      <c r="G1176" s="35" t="s">
        <v>164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367.44</v>
      </c>
      <c r="AD1176" s="39">
        <v>316.77999999999997</v>
      </c>
      <c r="AE1176" s="39">
        <v>256.24</v>
      </c>
      <c r="AF1176" s="39">
        <v>0</v>
      </c>
      <c r="AG1176" s="39">
        <v>0</v>
      </c>
      <c r="AH1176" s="39">
        <v>0</v>
      </c>
      <c r="AI1176" s="39">
        <v>367.44</v>
      </c>
      <c r="AJ1176" s="39">
        <v>316.77999999999997</v>
      </c>
      <c r="AK1176" s="39">
        <v>256.24</v>
      </c>
      <c r="AL1176" s="39">
        <v>0</v>
      </c>
      <c r="AM1176" s="39">
        <v>0</v>
      </c>
      <c r="AN1176" s="39">
        <v>0</v>
      </c>
      <c r="AO1176" s="39">
        <v>367.44</v>
      </c>
      <c r="AP1176" s="39">
        <v>316.77999999999997</v>
      </c>
      <c r="AQ1176" s="39">
        <v>256.24</v>
      </c>
      <c r="AR1176" s="39">
        <v>367.44</v>
      </c>
    </row>
    <row r="1177" spans="1:44" x14ac:dyDescent="0.35">
      <c r="A1177" s="16" t="str">
        <f>TEXT(34,"00")</f>
        <v>34</v>
      </c>
      <c r="B1177" s="19">
        <v>10348</v>
      </c>
      <c r="C1177" s="16" t="str">
        <f>TEXT(142091,"0000000")</f>
        <v>0142091</v>
      </c>
      <c r="D1177" s="19">
        <v>2133</v>
      </c>
      <c r="E1177" s="16" t="s">
        <v>3529</v>
      </c>
      <c r="F1177" s="16" t="s">
        <v>5</v>
      </c>
      <c r="G1177" s="35" t="s">
        <v>3530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96.3</v>
      </c>
      <c r="AA1177" s="39">
        <v>43.94</v>
      </c>
      <c r="AB1177" s="39">
        <v>0</v>
      </c>
      <c r="AC1177" s="39">
        <v>0</v>
      </c>
      <c r="AD1177" s="39">
        <v>0</v>
      </c>
      <c r="AE1177" s="39">
        <v>0</v>
      </c>
      <c r="AF1177" s="39">
        <v>0</v>
      </c>
      <c r="AG1177" s="39">
        <v>0</v>
      </c>
      <c r="AH1177" s="39">
        <v>0</v>
      </c>
      <c r="AI1177" s="39">
        <v>96.3</v>
      </c>
      <c r="AJ1177" s="39">
        <v>43.94</v>
      </c>
      <c r="AK1177" s="39">
        <v>0</v>
      </c>
      <c r="AL1177" s="39">
        <v>0</v>
      </c>
      <c r="AM1177" s="39">
        <v>0</v>
      </c>
      <c r="AN1177" s="39">
        <v>0</v>
      </c>
      <c r="AO1177" s="39">
        <v>96.3</v>
      </c>
      <c r="AP1177" s="39">
        <v>43.94</v>
      </c>
      <c r="AQ1177" s="39">
        <v>0</v>
      </c>
      <c r="AR1177" s="39">
        <v>96.3</v>
      </c>
    </row>
    <row r="1178" spans="1:44" x14ac:dyDescent="0.35">
      <c r="A1178" s="16" t="str">
        <f>TEXT(34,"00")</f>
        <v>34</v>
      </c>
      <c r="B1178" s="19">
        <v>67330</v>
      </c>
      <c r="C1178" s="16" t="str">
        <f>TEXT(142208,"0000000")</f>
        <v>0142208</v>
      </c>
      <c r="D1178" s="19">
        <v>2137</v>
      </c>
      <c r="E1178" s="16" t="s">
        <v>3531</v>
      </c>
      <c r="F1178" s="16" t="s">
        <v>5</v>
      </c>
      <c r="G1178" s="35" t="s">
        <v>3532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0</v>
      </c>
      <c r="Y1178" s="39">
        <v>0</v>
      </c>
      <c r="Z1178" s="39">
        <v>0</v>
      </c>
      <c r="AA1178" s="39">
        <v>0</v>
      </c>
      <c r="AB1178" s="39">
        <v>0</v>
      </c>
      <c r="AC1178" s="39">
        <v>150.97999999999999</v>
      </c>
      <c r="AD1178" s="39">
        <v>92.82</v>
      </c>
      <c r="AE1178" s="39">
        <v>0</v>
      </c>
      <c r="AF1178" s="39">
        <v>0</v>
      </c>
      <c r="AG1178" s="39">
        <v>0</v>
      </c>
      <c r="AH1178" s="39">
        <v>0</v>
      </c>
      <c r="AI1178" s="39">
        <v>150.97999999999999</v>
      </c>
      <c r="AJ1178" s="39">
        <v>92.82</v>
      </c>
      <c r="AK1178" s="39">
        <v>0</v>
      </c>
      <c r="AL1178" s="39">
        <v>0</v>
      </c>
      <c r="AM1178" s="39">
        <v>0</v>
      </c>
      <c r="AN1178" s="39">
        <v>0</v>
      </c>
      <c r="AO1178" s="39">
        <v>150.97999999999999</v>
      </c>
      <c r="AP1178" s="39">
        <v>92.82</v>
      </c>
      <c r="AQ1178" s="39">
        <v>0</v>
      </c>
      <c r="AR1178" s="39">
        <v>150.97999999999999</v>
      </c>
    </row>
    <row r="1179" spans="1:44" x14ac:dyDescent="0.35">
      <c r="A1179" s="16" t="str">
        <f>TEXT(30,"00")</f>
        <v>30</v>
      </c>
      <c r="B1179" s="19">
        <v>10306</v>
      </c>
      <c r="C1179" s="16" t="str">
        <f>TEXT(142026,"0000000")</f>
        <v>0142026</v>
      </c>
      <c r="D1179" s="19">
        <v>2135</v>
      </c>
      <c r="E1179" s="16" t="s">
        <v>3522</v>
      </c>
      <c r="F1179" s="16" t="s">
        <v>5</v>
      </c>
      <c r="G1179" s="35" t="s">
        <v>3523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476.02</v>
      </c>
      <c r="AD1179" s="39">
        <v>509.34</v>
      </c>
      <c r="AE1179" s="39">
        <v>0</v>
      </c>
      <c r="AF1179" s="39">
        <v>0</v>
      </c>
      <c r="AG1179" s="39">
        <v>0</v>
      </c>
      <c r="AH1179" s="39">
        <v>0</v>
      </c>
      <c r="AI1179" s="39">
        <v>476.02</v>
      </c>
      <c r="AJ1179" s="39">
        <v>509.34</v>
      </c>
      <c r="AK1179" s="39">
        <v>0</v>
      </c>
      <c r="AL1179" s="39">
        <v>0</v>
      </c>
      <c r="AM1179" s="39">
        <v>0</v>
      </c>
      <c r="AN1179" s="39">
        <v>0</v>
      </c>
      <c r="AO1179" s="39">
        <v>476.02</v>
      </c>
      <c r="AP1179" s="39">
        <v>509.34</v>
      </c>
      <c r="AQ1179" s="39">
        <v>0</v>
      </c>
      <c r="AR1179" s="39">
        <v>509.34</v>
      </c>
    </row>
    <row r="1180" spans="1:44" x14ac:dyDescent="0.35">
      <c r="A1180" s="16" t="str">
        <f>TEXT(17,"00")</f>
        <v>17</v>
      </c>
      <c r="B1180" s="19">
        <v>64014</v>
      </c>
      <c r="C1180" s="16" t="str">
        <f>TEXT(141382,"0000000")</f>
        <v>0141382</v>
      </c>
      <c r="D1180" s="19">
        <v>2125</v>
      </c>
      <c r="E1180" s="16" t="s">
        <v>3509</v>
      </c>
      <c r="F1180" s="16" t="s">
        <v>5</v>
      </c>
      <c r="G1180" s="35" t="s">
        <v>3510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0</v>
      </c>
      <c r="Y1180" s="39">
        <v>0</v>
      </c>
      <c r="Z1180" s="39">
        <v>0</v>
      </c>
      <c r="AA1180" s="39">
        <v>0</v>
      </c>
      <c r="AB1180" s="39">
        <v>0</v>
      </c>
      <c r="AC1180" s="39">
        <v>56.25</v>
      </c>
      <c r="AD1180" s="39">
        <v>30.73</v>
      </c>
      <c r="AE1180" s="39">
        <v>0</v>
      </c>
      <c r="AF1180" s="39">
        <v>0</v>
      </c>
      <c r="AG1180" s="39">
        <v>0</v>
      </c>
      <c r="AH1180" s="39">
        <v>0</v>
      </c>
      <c r="AI1180" s="39">
        <v>56.25</v>
      </c>
      <c r="AJ1180" s="39">
        <v>30.73</v>
      </c>
      <c r="AK1180" s="39">
        <v>0</v>
      </c>
      <c r="AL1180" s="39">
        <v>0</v>
      </c>
      <c r="AM1180" s="39">
        <v>0</v>
      </c>
      <c r="AN1180" s="39">
        <v>0</v>
      </c>
      <c r="AO1180" s="39">
        <v>56.25</v>
      </c>
      <c r="AP1180" s="39">
        <v>30.73</v>
      </c>
      <c r="AQ1180" s="39">
        <v>0</v>
      </c>
      <c r="AR1180" s="39">
        <v>56.25</v>
      </c>
    </row>
    <row r="1181" spans="1:44" x14ac:dyDescent="0.35">
      <c r="A1181" s="16" t="str">
        <f>TEXT(30,"00")</f>
        <v>30</v>
      </c>
      <c r="B1181" s="19">
        <v>10306</v>
      </c>
      <c r="C1181" s="16" t="str">
        <f>TEXT(141978,"0000000")</f>
        <v>0141978</v>
      </c>
      <c r="D1181" s="19">
        <v>2132</v>
      </c>
      <c r="E1181" s="16" t="s">
        <v>3520</v>
      </c>
      <c r="F1181" s="16" t="s">
        <v>5</v>
      </c>
      <c r="G1181" s="35" t="s">
        <v>3521</v>
      </c>
      <c r="H1181" s="39">
        <v>0</v>
      </c>
      <c r="I1181" s="39">
        <v>0</v>
      </c>
      <c r="J1181" s="39">
        <v>0</v>
      </c>
      <c r="K1181" s="39">
        <v>0</v>
      </c>
      <c r="L1181" s="39">
        <v>0</v>
      </c>
      <c r="M1181" s="39">
        <v>0</v>
      </c>
      <c r="N1181" s="39">
        <v>0</v>
      </c>
      <c r="O1181" s="39">
        <v>0</v>
      </c>
      <c r="P1181" s="39">
        <v>0</v>
      </c>
      <c r="Q1181" s="39">
        <v>0</v>
      </c>
      <c r="R1181" s="39">
        <v>0</v>
      </c>
      <c r="S1181" s="39">
        <v>0</v>
      </c>
      <c r="T1181" s="39">
        <v>0</v>
      </c>
      <c r="U1181" s="39">
        <v>0</v>
      </c>
      <c r="V1181" s="39">
        <v>0</v>
      </c>
      <c r="W1181" s="39">
        <v>0</v>
      </c>
      <c r="X1181" s="39">
        <v>0</v>
      </c>
      <c r="Y1181" s="39">
        <v>0</v>
      </c>
      <c r="Z1181" s="39">
        <v>229.62</v>
      </c>
      <c r="AA1181" s="39">
        <v>165.41</v>
      </c>
      <c r="AB1181" s="39">
        <v>0</v>
      </c>
      <c r="AC1181" s="39">
        <v>0</v>
      </c>
      <c r="AD1181" s="39">
        <v>0</v>
      </c>
      <c r="AE1181" s="39">
        <v>0</v>
      </c>
      <c r="AF1181" s="39">
        <v>0</v>
      </c>
      <c r="AG1181" s="39">
        <v>0</v>
      </c>
      <c r="AH1181" s="39">
        <v>0</v>
      </c>
      <c r="AI1181" s="39">
        <v>229.62</v>
      </c>
      <c r="AJ1181" s="39">
        <v>165.41</v>
      </c>
      <c r="AK1181" s="39">
        <v>0</v>
      </c>
      <c r="AL1181" s="39">
        <v>0</v>
      </c>
      <c r="AM1181" s="39">
        <v>0</v>
      </c>
      <c r="AN1181" s="39">
        <v>0</v>
      </c>
      <c r="AO1181" s="39">
        <v>229.62</v>
      </c>
      <c r="AP1181" s="39">
        <v>165.41</v>
      </c>
      <c r="AQ1181" s="39">
        <v>0</v>
      </c>
      <c r="AR1181" s="39">
        <v>229.62</v>
      </c>
    </row>
    <row r="1182" spans="1:44" x14ac:dyDescent="0.35">
      <c r="A1182" s="16" t="str">
        <f>TEXT(37,"00")</f>
        <v>37</v>
      </c>
      <c r="B1182" s="19">
        <v>68403</v>
      </c>
      <c r="C1182" s="16" t="str">
        <f>TEXT(6120893,"0000000")</f>
        <v>6120893</v>
      </c>
      <c r="D1182" s="17" t="s">
        <v>3542</v>
      </c>
      <c r="E1182" s="16" t="s">
        <v>3540</v>
      </c>
      <c r="F1182" s="16" t="s">
        <v>5</v>
      </c>
      <c r="G1182" s="35" t="s">
        <v>3541</v>
      </c>
      <c r="H1182" s="39">
        <v>0</v>
      </c>
      <c r="I1182" s="39">
        <v>0</v>
      </c>
      <c r="J1182" s="39">
        <v>0</v>
      </c>
      <c r="K1182" s="39">
        <v>0</v>
      </c>
      <c r="L1182" s="39">
        <v>0</v>
      </c>
      <c r="M1182" s="39">
        <v>0</v>
      </c>
      <c r="N1182" s="39">
        <v>0</v>
      </c>
      <c r="O1182" s="39">
        <v>0</v>
      </c>
      <c r="P1182" s="39">
        <v>0</v>
      </c>
      <c r="Q1182" s="39">
        <v>0</v>
      </c>
      <c r="R1182" s="39">
        <v>0</v>
      </c>
      <c r="S1182" s="39">
        <v>0</v>
      </c>
      <c r="T1182" s="39">
        <v>0</v>
      </c>
      <c r="U1182" s="39">
        <v>0</v>
      </c>
      <c r="V1182" s="39">
        <v>0</v>
      </c>
      <c r="W1182" s="39">
        <v>0</v>
      </c>
      <c r="X1182" s="39">
        <v>0</v>
      </c>
      <c r="Y1182" s="39">
        <v>0</v>
      </c>
      <c r="Z1182" s="39">
        <v>0</v>
      </c>
      <c r="AA1182" s="39">
        <v>0</v>
      </c>
      <c r="AB1182" s="39">
        <v>0</v>
      </c>
      <c r="AC1182" s="39">
        <v>3877.82</v>
      </c>
      <c r="AD1182" s="39">
        <v>3583.73</v>
      </c>
      <c r="AE1182" s="39">
        <v>0</v>
      </c>
      <c r="AF1182" s="39">
        <v>0</v>
      </c>
      <c r="AG1182" s="39">
        <v>0</v>
      </c>
      <c r="AH1182" s="39">
        <v>0</v>
      </c>
      <c r="AI1182" s="39">
        <v>3877.82</v>
      </c>
      <c r="AJ1182" s="39">
        <v>3583.73</v>
      </c>
      <c r="AK1182" s="39">
        <v>0</v>
      </c>
      <c r="AL1182" s="39">
        <v>0</v>
      </c>
      <c r="AM1182" s="39">
        <v>0</v>
      </c>
      <c r="AN1182" s="39">
        <v>3252.26</v>
      </c>
      <c r="AO1182" s="39">
        <v>3877.82</v>
      </c>
      <c r="AP1182" s="39">
        <v>3583.73</v>
      </c>
      <c r="AQ1182" s="39">
        <v>3252.26</v>
      </c>
      <c r="AR1182" s="39">
        <v>3877.82</v>
      </c>
    </row>
    <row r="1183" spans="1:44" x14ac:dyDescent="0.35">
      <c r="A1183" s="16" t="str">
        <f>TEXT(51,"00")</f>
        <v>51</v>
      </c>
      <c r="B1183" s="19">
        <v>71415</v>
      </c>
      <c r="C1183" s="16" t="str">
        <f>TEXT(129007,"0000000")</f>
        <v>0129007</v>
      </c>
      <c r="D1183" s="19">
        <v>1606</v>
      </c>
      <c r="E1183" s="16" t="s">
        <v>3548</v>
      </c>
      <c r="F1183" s="16" t="s">
        <v>5</v>
      </c>
      <c r="G1183" s="35" t="s">
        <v>3549</v>
      </c>
      <c r="H1183" s="39">
        <v>0</v>
      </c>
      <c r="I1183" s="39">
        <v>0</v>
      </c>
      <c r="J1183" s="39">
        <v>0</v>
      </c>
      <c r="K1183" s="39">
        <v>0</v>
      </c>
      <c r="L1183" s="39">
        <v>0</v>
      </c>
      <c r="M1183" s="39">
        <v>0</v>
      </c>
      <c r="N1183" s="39">
        <v>0</v>
      </c>
      <c r="O1183" s="39">
        <v>0</v>
      </c>
      <c r="P1183" s="39">
        <v>0</v>
      </c>
      <c r="Q1183" s="39">
        <v>0</v>
      </c>
      <c r="R1183" s="39">
        <v>0</v>
      </c>
      <c r="S1183" s="39">
        <v>0</v>
      </c>
      <c r="T1183" s="39">
        <v>0</v>
      </c>
      <c r="U1183" s="39">
        <v>0</v>
      </c>
      <c r="V1183" s="39">
        <v>0</v>
      </c>
      <c r="W1183" s="39">
        <v>0</v>
      </c>
      <c r="X1183" s="39">
        <v>0</v>
      </c>
      <c r="Y1183" s="39">
        <v>0</v>
      </c>
      <c r="Z1183" s="39">
        <v>0</v>
      </c>
      <c r="AA1183" s="39">
        <v>0</v>
      </c>
      <c r="AB1183" s="39">
        <v>0</v>
      </c>
      <c r="AC1183" s="39">
        <v>1632.6</v>
      </c>
      <c r="AD1183" s="39">
        <v>1457.24</v>
      </c>
      <c r="AE1183" s="39">
        <v>0</v>
      </c>
      <c r="AF1183" s="39">
        <v>0</v>
      </c>
      <c r="AG1183" s="39">
        <v>0</v>
      </c>
      <c r="AH1183" s="39">
        <v>0</v>
      </c>
      <c r="AI1183" s="39">
        <v>1632.6</v>
      </c>
      <c r="AJ1183" s="39">
        <v>1457.24</v>
      </c>
      <c r="AK1183" s="39">
        <v>0</v>
      </c>
      <c r="AL1183" s="39">
        <v>0</v>
      </c>
      <c r="AM1183" s="39">
        <v>0</v>
      </c>
      <c r="AN1183" s="39">
        <v>1384.47</v>
      </c>
      <c r="AO1183" s="39">
        <v>1632.6</v>
      </c>
      <c r="AP1183" s="39">
        <v>1457.24</v>
      </c>
      <c r="AQ1183" s="39">
        <v>1384.47</v>
      </c>
      <c r="AR1183" s="39">
        <v>1632.6</v>
      </c>
    </row>
    <row r="1184" spans="1:44" x14ac:dyDescent="0.35">
      <c r="A1184" s="16" t="str">
        <f>TEXT(36,"00")</f>
        <v>36</v>
      </c>
      <c r="B1184" s="19">
        <v>67736</v>
      </c>
      <c r="C1184" s="16" t="str">
        <f>TEXT(128439,"0000000")</f>
        <v>0128439</v>
      </c>
      <c r="D1184" s="19">
        <v>1592</v>
      </c>
      <c r="E1184" s="16" t="s">
        <v>3535</v>
      </c>
      <c r="F1184" s="16" t="s">
        <v>5</v>
      </c>
      <c r="G1184" s="35" t="s">
        <v>1952</v>
      </c>
      <c r="H1184" s="39">
        <v>0</v>
      </c>
      <c r="I1184" s="39">
        <v>0</v>
      </c>
      <c r="J1184" s="39">
        <v>0</v>
      </c>
      <c r="K1184" s="39">
        <v>0</v>
      </c>
      <c r="L1184" s="39">
        <v>0</v>
      </c>
      <c r="M1184" s="39">
        <v>0</v>
      </c>
      <c r="N1184" s="39">
        <v>0</v>
      </c>
      <c r="O1184" s="39">
        <v>0</v>
      </c>
      <c r="P1184" s="39">
        <v>0</v>
      </c>
      <c r="Q1184" s="39">
        <v>0</v>
      </c>
      <c r="R1184" s="39">
        <v>0</v>
      </c>
      <c r="S1184" s="39">
        <v>0</v>
      </c>
      <c r="T1184" s="39">
        <v>0</v>
      </c>
      <c r="U1184" s="39">
        <v>0</v>
      </c>
      <c r="V1184" s="39">
        <v>0</v>
      </c>
      <c r="W1184" s="39">
        <v>0</v>
      </c>
      <c r="X1184" s="39">
        <v>0</v>
      </c>
      <c r="Y1184" s="39">
        <v>0</v>
      </c>
      <c r="Z1184" s="39">
        <v>0</v>
      </c>
      <c r="AA1184" s="39">
        <v>0</v>
      </c>
      <c r="AB1184" s="39">
        <v>0</v>
      </c>
      <c r="AC1184" s="39">
        <v>1869.66</v>
      </c>
      <c r="AD1184" s="39">
        <v>1585.32</v>
      </c>
      <c r="AE1184" s="39">
        <v>1487.99</v>
      </c>
      <c r="AF1184" s="39">
        <v>0</v>
      </c>
      <c r="AG1184" s="39">
        <v>0</v>
      </c>
      <c r="AH1184" s="39">
        <v>0</v>
      </c>
      <c r="AI1184" s="39">
        <v>1869.66</v>
      </c>
      <c r="AJ1184" s="39">
        <v>1585.32</v>
      </c>
      <c r="AK1184" s="39">
        <v>1487.99</v>
      </c>
      <c r="AL1184" s="39">
        <v>0</v>
      </c>
      <c r="AM1184" s="39">
        <v>0</v>
      </c>
      <c r="AN1184" s="39">
        <v>0</v>
      </c>
      <c r="AO1184" s="39">
        <v>1869.66</v>
      </c>
      <c r="AP1184" s="39">
        <v>1585.32</v>
      </c>
      <c r="AQ1184" s="39">
        <v>1487.99</v>
      </c>
      <c r="AR1184" s="39">
        <v>1869.66</v>
      </c>
    </row>
    <row r="1185" spans="1:44" x14ac:dyDescent="0.35">
      <c r="A1185" s="16" t="str">
        <f>TEXT(19,"00")</f>
        <v>19</v>
      </c>
      <c r="B1185" s="19">
        <v>64634</v>
      </c>
      <c r="C1185" s="16" t="str">
        <f>TEXT(128991,"0000000")</f>
        <v>0128991</v>
      </c>
      <c r="D1185" s="19">
        <v>1612</v>
      </c>
      <c r="E1185" s="16" t="s">
        <v>3514</v>
      </c>
      <c r="F1185" s="16" t="s">
        <v>5</v>
      </c>
      <c r="G1185" s="35" t="s">
        <v>3515</v>
      </c>
      <c r="H1185" s="39">
        <v>0</v>
      </c>
      <c r="I1185" s="39">
        <v>0</v>
      </c>
      <c r="J1185" s="39">
        <v>0</v>
      </c>
      <c r="K1185" s="39">
        <v>0</v>
      </c>
      <c r="L1185" s="39">
        <v>0</v>
      </c>
      <c r="M1185" s="39">
        <v>0</v>
      </c>
      <c r="N1185" s="39">
        <v>0</v>
      </c>
      <c r="O1185" s="39">
        <v>0</v>
      </c>
      <c r="P1185" s="39">
        <v>0</v>
      </c>
      <c r="Q1185" s="39">
        <v>0</v>
      </c>
      <c r="R1185" s="39">
        <v>0</v>
      </c>
      <c r="S1185" s="39">
        <v>0</v>
      </c>
      <c r="T1185" s="39">
        <v>0</v>
      </c>
      <c r="U1185" s="39">
        <v>0</v>
      </c>
      <c r="V1185" s="39">
        <v>0</v>
      </c>
      <c r="W1185" s="39">
        <v>0</v>
      </c>
      <c r="X1185" s="39">
        <v>0</v>
      </c>
      <c r="Y1185" s="39">
        <v>0</v>
      </c>
      <c r="Z1185" s="39">
        <v>0</v>
      </c>
      <c r="AA1185" s="39">
        <v>0</v>
      </c>
      <c r="AB1185" s="39">
        <v>0</v>
      </c>
      <c r="AC1185" s="39">
        <v>86.43</v>
      </c>
      <c r="AD1185" s="39">
        <v>70.63</v>
      </c>
      <c r="AE1185" s="39">
        <v>0</v>
      </c>
      <c r="AF1185" s="39">
        <v>0</v>
      </c>
      <c r="AG1185" s="39">
        <v>0</v>
      </c>
      <c r="AH1185" s="39">
        <v>0</v>
      </c>
      <c r="AI1185" s="39">
        <v>86.43</v>
      </c>
      <c r="AJ1185" s="39">
        <v>70.63</v>
      </c>
      <c r="AK1185" s="39">
        <v>0</v>
      </c>
      <c r="AL1185" s="39">
        <v>0</v>
      </c>
      <c r="AM1185" s="39">
        <v>0</v>
      </c>
      <c r="AN1185" s="39">
        <v>66.34</v>
      </c>
      <c r="AO1185" s="39">
        <v>86.43</v>
      </c>
      <c r="AP1185" s="39">
        <v>70.63</v>
      </c>
      <c r="AQ1185" s="39">
        <v>66.34</v>
      </c>
      <c r="AR1185" s="39">
        <v>86.43</v>
      </c>
    </row>
    <row r="1186" spans="1:44" x14ac:dyDescent="0.35">
      <c r="A1186" s="16" t="str">
        <f>TEXT(37,"00")</f>
        <v>37</v>
      </c>
      <c r="B1186" s="19">
        <v>68163</v>
      </c>
      <c r="C1186" s="16" t="str">
        <f>TEXT(128421,"0000000")</f>
        <v>0128421</v>
      </c>
      <c r="D1186" s="19">
        <v>1589</v>
      </c>
      <c r="E1186" s="16" t="s">
        <v>3536</v>
      </c>
      <c r="F1186" s="16" t="s">
        <v>5</v>
      </c>
      <c r="G1186" s="35" t="s">
        <v>2137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284.3</v>
      </c>
      <c r="AD1186" s="39">
        <v>226.84</v>
      </c>
      <c r="AE1186" s="39">
        <v>274.14</v>
      </c>
      <c r="AF1186" s="39">
        <v>0</v>
      </c>
      <c r="AG1186" s="39">
        <v>0</v>
      </c>
      <c r="AH1186" s="39">
        <v>0</v>
      </c>
      <c r="AI1186" s="39">
        <v>284.3</v>
      </c>
      <c r="AJ1186" s="39">
        <v>226.84</v>
      </c>
      <c r="AK1186" s="39">
        <v>274.14</v>
      </c>
      <c r="AL1186" s="39">
        <v>0</v>
      </c>
      <c r="AM1186" s="39">
        <v>0</v>
      </c>
      <c r="AN1186" s="39">
        <v>0</v>
      </c>
      <c r="AO1186" s="39">
        <v>284.3</v>
      </c>
      <c r="AP1186" s="39">
        <v>226.84</v>
      </c>
      <c r="AQ1186" s="39">
        <v>274.14</v>
      </c>
      <c r="AR1186" s="39">
        <v>284.3</v>
      </c>
    </row>
    <row r="1187" spans="1:44" x14ac:dyDescent="0.35">
      <c r="A1187" s="16" t="str">
        <f>TEXT(4,"00")</f>
        <v>04</v>
      </c>
      <c r="B1187" s="19">
        <v>10041</v>
      </c>
      <c r="C1187" s="16" t="str">
        <f>TEXT(114991,"0000000")</f>
        <v>0114991</v>
      </c>
      <c r="D1187" s="17" t="s">
        <v>179</v>
      </c>
      <c r="E1187" s="16" t="s">
        <v>177</v>
      </c>
      <c r="F1187" s="16" t="s">
        <v>5</v>
      </c>
      <c r="G1187" s="35" t="s">
        <v>178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901.47</v>
      </c>
      <c r="AA1187" s="39">
        <v>882.31</v>
      </c>
      <c r="AB1187" s="39">
        <v>841.11</v>
      </c>
      <c r="AC1187" s="39">
        <v>0</v>
      </c>
      <c r="AD1187" s="39">
        <v>0</v>
      </c>
      <c r="AE1187" s="39">
        <v>0</v>
      </c>
      <c r="AF1187" s="39">
        <v>0</v>
      </c>
      <c r="AG1187" s="39">
        <v>0</v>
      </c>
      <c r="AH1187" s="39">
        <v>0</v>
      </c>
      <c r="AI1187" s="39">
        <v>901.47</v>
      </c>
      <c r="AJ1187" s="39">
        <v>882.31</v>
      </c>
      <c r="AK1187" s="39">
        <v>841.11</v>
      </c>
      <c r="AL1187" s="39">
        <v>0</v>
      </c>
      <c r="AM1187" s="39">
        <v>0</v>
      </c>
      <c r="AN1187" s="39">
        <v>0</v>
      </c>
      <c r="AO1187" s="39">
        <v>901.47</v>
      </c>
      <c r="AP1187" s="39">
        <v>882.31</v>
      </c>
      <c r="AQ1187" s="39">
        <v>841.11</v>
      </c>
      <c r="AR1187" s="39">
        <v>901.47</v>
      </c>
    </row>
    <row r="1188" spans="1:44" x14ac:dyDescent="0.35">
      <c r="A1188" s="16" t="str">
        <f>TEXT(31,"00")</f>
        <v>31</v>
      </c>
      <c r="B1188" s="19">
        <v>66951</v>
      </c>
      <c r="C1188" s="16" t="str">
        <f>TEXT(3130168,"0000000")</f>
        <v>3130168</v>
      </c>
      <c r="D1188" s="17" t="s">
        <v>1667</v>
      </c>
      <c r="E1188" s="16" t="s">
        <v>3527</v>
      </c>
      <c r="F1188" s="16" t="s">
        <v>5</v>
      </c>
      <c r="G1188" s="35" t="s">
        <v>1666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1719.78</v>
      </c>
      <c r="AD1188" s="39">
        <v>1571.6</v>
      </c>
      <c r="AE1188" s="39">
        <v>1523.86</v>
      </c>
      <c r="AF1188" s="39">
        <v>0</v>
      </c>
      <c r="AG1188" s="39">
        <v>0</v>
      </c>
      <c r="AH1188" s="39">
        <v>0</v>
      </c>
      <c r="AI1188" s="39">
        <v>1719.78</v>
      </c>
      <c r="AJ1188" s="39">
        <v>1571.6</v>
      </c>
      <c r="AK1188" s="39">
        <v>1523.86</v>
      </c>
      <c r="AL1188" s="39">
        <v>0</v>
      </c>
      <c r="AM1188" s="39">
        <v>0</v>
      </c>
      <c r="AN1188" s="39">
        <v>0</v>
      </c>
      <c r="AO1188" s="39">
        <v>1719.78</v>
      </c>
      <c r="AP1188" s="39">
        <v>1571.6</v>
      </c>
      <c r="AQ1188" s="39">
        <v>1523.86</v>
      </c>
      <c r="AR1188" s="39">
        <v>1719.78</v>
      </c>
    </row>
    <row r="1189" spans="1:44" x14ac:dyDescent="0.35">
      <c r="A1189" s="16" t="str">
        <f>TEXT(37,"00")</f>
        <v>37</v>
      </c>
      <c r="B1189" s="19">
        <v>68403</v>
      </c>
      <c r="C1189" s="16" t="str">
        <f>TEXT(125401,"0000000")</f>
        <v>0125401</v>
      </c>
      <c r="D1189" s="19">
        <v>1371</v>
      </c>
      <c r="E1189" s="16" t="s">
        <v>3538</v>
      </c>
      <c r="F1189" s="16" t="s">
        <v>5</v>
      </c>
      <c r="G1189" s="35" t="s">
        <v>3539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241.69</v>
      </c>
      <c r="AD1189" s="39">
        <v>161.56</v>
      </c>
      <c r="AE1189" s="39">
        <v>0</v>
      </c>
      <c r="AF1189" s="39">
        <v>0</v>
      </c>
      <c r="AG1189" s="39">
        <v>0</v>
      </c>
      <c r="AH1189" s="39">
        <v>0</v>
      </c>
      <c r="AI1189" s="39">
        <v>241.69</v>
      </c>
      <c r="AJ1189" s="39">
        <v>161.56</v>
      </c>
      <c r="AK1189" s="39">
        <v>0</v>
      </c>
      <c r="AL1189" s="39">
        <v>0</v>
      </c>
      <c r="AM1189" s="39">
        <v>0</v>
      </c>
      <c r="AN1189" s="39">
        <v>135.5</v>
      </c>
      <c r="AO1189" s="39">
        <v>241.69</v>
      </c>
      <c r="AP1189" s="39">
        <v>161.56</v>
      </c>
      <c r="AQ1189" s="39">
        <v>135.5</v>
      </c>
      <c r="AR1189" s="39">
        <v>241.69</v>
      </c>
    </row>
    <row r="1190" spans="1:44" x14ac:dyDescent="0.35">
      <c r="A1190" s="16" t="str">
        <f>TEXT(11,"00")</f>
        <v>11</v>
      </c>
      <c r="B1190" s="19">
        <v>62596</v>
      </c>
      <c r="C1190" s="16" t="str">
        <f>TEXT(139550,"0000000")</f>
        <v>0139550</v>
      </c>
      <c r="D1190" s="19">
        <v>2069</v>
      </c>
      <c r="E1190" s="16" t="s">
        <v>3508</v>
      </c>
      <c r="F1190" s="16" t="s">
        <v>5</v>
      </c>
      <c r="G1190" s="35" t="s">
        <v>507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965.06</v>
      </c>
      <c r="AD1190" s="39">
        <v>838.36</v>
      </c>
      <c r="AE1190" s="39">
        <v>715.31</v>
      </c>
      <c r="AF1190" s="39">
        <v>0</v>
      </c>
      <c r="AG1190" s="39">
        <v>0</v>
      </c>
      <c r="AH1190" s="39">
        <v>0</v>
      </c>
      <c r="AI1190" s="39">
        <v>965.06</v>
      </c>
      <c r="AJ1190" s="39">
        <v>838.36</v>
      </c>
      <c r="AK1190" s="39">
        <v>715.31</v>
      </c>
      <c r="AL1190" s="39">
        <v>0</v>
      </c>
      <c r="AM1190" s="39">
        <v>0</v>
      </c>
      <c r="AN1190" s="39">
        <v>0</v>
      </c>
      <c r="AO1190" s="39">
        <v>965.06</v>
      </c>
      <c r="AP1190" s="39">
        <v>838.36</v>
      </c>
      <c r="AQ1190" s="39">
        <v>715.31</v>
      </c>
      <c r="AR1190" s="39">
        <v>965.06</v>
      </c>
    </row>
    <row r="1191" spans="1:44" x14ac:dyDescent="0.35">
      <c r="A1191" s="16" t="str">
        <f>TEXT(33,"00")</f>
        <v>33</v>
      </c>
      <c r="B1191" s="19">
        <v>10330</v>
      </c>
      <c r="C1191" s="16" t="str">
        <f>TEXT(110833,"0000000")</f>
        <v>0110833</v>
      </c>
      <c r="D1191" s="17" t="s">
        <v>1695</v>
      </c>
      <c r="E1191" s="16" t="s">
        <v>3528</v>
      </c>
      <c r="F1191" s="16" t="s">
        <v>5</v>
      </c>
      <c r="G1191" s="35" t="s">
        <v>1694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  <c r="W1191" s="39">
        <v>0</v>
      </c>
      <c r="X1191" s="39">
        <v>0</v>
      </c>
      <c r="Y1191" s="39">
        <v>0</v>
      </c>
      <c r="Z1191" s="39">
        <v>7582.87</v>
      </c>
      <c r="AA1191" s="39">
        <v>7213.37</v>
      </c>
      <c r="AB1191" s="39">
        <v>6697.13</v>
      </c>
      <c r="AC1191" s="39">
        <v>0</v>
      </c>
      <c r="AD1191" s="39">
        <v>0</v>
      </c>
      <c r="AE1191" s="39">
        <v>0</v>
      </c>
      <c r="AF1191" s="39">
        <v>0</v>
      </c>
      <c r="AG1191" s="39">
        <v>0</v>
      </c>
      <c r="AH1191" s="39">
        <v>0</v>
      </c>
      <c r="AI1191" s="39">
        <v>7582.87</v>
      </c>
      <c r="AJ1191" s="39">
        <v>7213.37</v>
      </c>
      <c r="AK1191" s="39">
        <v>6697.13</v>
      </c>
      <c r="AL1191" s="39">
        <v>0</v>
      </c>
      <c r="AM1191" s="39">
        <v>0</v>
      </c>
      <c r="AN1191" s="39">
        <v>0</v>
      </c>
      <c r="AO1191" s="39">
        <v>7582.87</v>
      </c>
      <c r="AP1191" s="39">
        <v>7213.37</v>
      </c>
      <c r="AQ1191" s="39">
        <v>6697.13</v>
      </c>
      <c r="AR1191" s="39">
        <v>7582.87</v>
      </c>
    </row>
    <row r="1192" spans="1:44" x14ac:dyDescent="0.35">
      <c r="A1192" s="16" t="str">
        <f>TEXT(19,"00")</f>
        <v>19</v>
      </c>
      <c r="B1192" s="19">
        <v>64634</v>
      </c>
      <c r="C1192" s="16" t="str">
        <f>TEXT(101667,"0000000")</f>
        <v>0101667</v>
      </c>
      <c r="D1192" s="17" t="s">
        <v>985</v>
      </c>
      <c r="E1192" s="16" t="s">
        <v>3512</v>
      </c>
      <c r="F1192" s="16" t="s">
        <v>5</v>
      </c>
      <c r="G1192" s="35" t="s">
        <v>984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398.71</v>
      </c>
      <c r="AD1192" s="39">
        <v>397.92</v>
      </c>
      <c r="AE1192" s="39">
        <v>373.16</v>
      </c>
      <c r="AF1192" s="39">
        <v>0</v>
      </c>
      <c r="AG1192" s="39">
        <v>0</v>
      </c>
      <c r="AH1192" s="39">
        <v>0</v>
      </c>
      <c r="AI1192" s="39">
        <v>398.71</v>
      </c>
      <c r="AJ1192" s="39">
        <v>397.92</v>
      </c>
      <c r="AK1192" s="39">
        <v>373.16</v>
      </c>
      <c r="AL1192" s="39">
        <v>0</v>
      </c>
      <c r="AM1192" s="39">
        <v>0</v>
      </c>
      <c r="AN1192" s="39">
        <v>0</v>
      </c>
      <c r="AO1192" s="39">
        <v>398.71</v>
      </c>
      <c r="AP1192" s="39">
        <v>397.92</v>
      </c>
      <c r="AQ1192" s="39">
        <v>373.16</v>
      </c>
      <c r="AR1192" s="39">
        <v>398.71</v>
      </c>
    </row>
    <row r="1193" spans="1:44" x14ac:dyDescent="0.35">
      <c r="A1193" s="16" t="str">
        <f>TEXT(19,"00")</f>
        <v>19</v>
      </c>
      <c r="B1193" s="19">
        <v>64634</v>
      </c>
      <c r="C1193" s="16" t="str">
        <f>TEXT(116822,"0000000")</f>
        <v>0116822</v>
      </c>
      <c r="D1193" s="17" t="s">
        <v>988</v>
      </c>
      <c r="E1193" s="16" t="s">
        <v>3513</v>
      </c>
      <c r="F1193" s="16" t="s">
        <v>5</v>
      </c>
      <c r="G1193" s="35" t="s">
        <v>987</v>
      </c>
      <c r="H1193" s="39">
        <v>0</v>
      </c>
      <c r="I1193" s="39">
        <v>0</v>
      </c>
      <c r="J1193" s="39">
        <v>0</v>
      </c>
      <c r="K1193" s="39">
        <v>0</v>
      </c>
      <c r="L1193" s="39">
        <v>0</v>
      </c>
      <c r="M1193" s="39">
        <v>0</v>
      </c>
      <c r="N1193" s="39">
        <v>0</v>
      </c>
      <c r="O1193" s="39">
        <v>0</v>
      </c>
      <c r="P1193" s="39">
        <v>0</v>
      </c>
      <c r="Q1193" s="39">
        <v>0</v>
      </c>
      <c r="R1193" s="39">
        <v>0</v>
      </c>
      <c r="S1193" s="39">
        <v>0</v>
      </c>
      <c r="T1193" s="39">
        <v>0</v>
      </c>
      <c r="U1193" s="39">
        <v>0</v>
      </c>
      <c r="V1193" s="39">
        <v>0</v>
      </c>
      <c r="W1193" s="39">
        <v>0</v>
      </c>
      <c r="X1193" s="39">
        <v>0</v>
      </c>
      <c r="Y1193" s="39">
        <v>0</v>
      </c>
      <c r="Z1193" s="39">
        <v>0</v>
      </c>
      <c r="AA1193" s="39">
        <v>0</v>
      </c>
      <c r="AB1193" s="39">
        <v>0</v>
      </c>
      <c r="AC1193" s="39">
        <v>196.15</v>
      </c>
      <c r="AD1193" s="39">
        <v>187.63</v>
      </c>
      <c r="AE1193" s="39">
        <v>184.94</v>
      </c>
      <c r="AF1193" s="39">
        <v>0</v>
      </c>
      <c r="AG1193" s="39">
        <v>0</v>
      </c>
      <c r="AH1193" s="39">
        <v>0</v>
      </c>
      <c r="AI1193" s="39">
        <v>196.15</v>
      </c>
      <c r="AJ1193" s="39">
        <v>187.63</v>
      </c>
      <c r="AK1193" s="39">
        <v>184.94</v>
      </c>
      <c r="AL1193" s="39">
        <v>0</v>
      </c>
      <c r="AM1193" s="39">
        <v>0</v>
      </c>
      <c r="AN1193" s="39">
        <v>0</v>
      </c>
      <c r="AO1193" s="39">
        <v>196.15</v>
      </c>
      <c r="AP1193" s="39">
        <v>187.63</v>
      </c>
      <c r="AQ1193" s="39">
        <v>184.94</v>
      </c>
      <c r="AR1193" s="39">
        <v>196.15</v>
      </c>
    </row>
    <row r="1194" spans="1:44" x14ac:dyDescent="0.35">
      <c r="A1194" s="16" t="str">
        <f>TEXT(4,"00")</f>
        <v>04</v>
      </c>
      <c r="B1194" s="19">
        <v>61531</v>
      </c>
      <c r="C1194" s="16" t="str">
        <f>TEXT(6112999,"0000000")</f>
        <v>6112999</v>
      </c>
      <c r="D1194" s="17" t="s">
        <v>3558</v>
      </c>
      <c r="E1194" s="16" t="s">
        <v>3556</v>
      </c>
      <c r="F1194" s="16" t="s">
        <v>5</v>
      </c>
      <c r="G1194" s="35" t="s">
        <v>3557</v>
      </c>
      <c r="H1194" s="39">
        <v>0</v>
      </c>
      <c r="I1194" s="39">
        <v>0</v>
      </c>
      <c r="J1194" s="39">
        <v>0</v>
      </c>
      <c r="K1194" s="39">
        <v>0</v>
      </c>
      <c r="L1194" s="39">
        <v>0</v>
      </c>
      <c r="M1194" s="39">
        <v>0</v>
      </c>
      <c r="N1194" s="39">
        <v>0</v>
      </c>
      <c r="O1194" s="39">
        <v>0</v>
      </c>
      <c r="P1194" s="39">
        <v>0</v>
      </c>
      <c r="Q1194" s="39">
        <v>0</v>
      </c>
      <c r="R1194" s="39">
        <v>0</v>
      </c>
      <c r="S1194" s="39">
        <v>0</v>
      </c>
      <c r="T1194" s="39">
        <v>0</v>
      </c>
      <c r="U1194" s="39">
        <v>0</v>
      </c>
      <c r="V1194" s="39">
        <v>0</v>
      </c>
      <c r="W1194" s="39">
        <v>0</v>
      </c>
      <c r="X1194" s="39">
        <v>0</v>
      </c>
      <c r="Y1194" s="39">
        <v>0</v>
      </c>
      <c r="Z1194" s="39">
        <v>0</v>
      </c>
      <c r="AA1194" s="39">
        <v>0</v>
      </c>
      <c r="AB1194" s="39">
        <v>0</v>
      </c>
      <c r="AC1194" s="39">
        <v>135.33000000000001</v>
      </c>
      <c r="AD1194" s="39">
        <v>0</v>
      </c>
      <c r="AE1194" s="39">
        <v>0</v>
      </c>
      <c r="AF1194" s="39">
        <v>0</v>
      </c>
      <c r="AG1194" s="39">
        <v>0</v>
      </c>
      <c r="AH1194" s="39">
        <v>0</v>
      </c>
      <c r="AI1194" s="39">
        <v>135.33000000000001</v>
      </c>
      <c r="AJ1194" s="39">
        <v>0</v>
      </c>
      <c r="AK1194" s="39">
        <v>0</v>
      </c>
      <c r="AL1194" s="39">
        <v>0</v>
      </c>
      <c r="AM1194" s="39">
        <v>137.12</v>
      </c>
      <c r="AN1194" s="39">
        <v>133.88</v>
      </c>
      <c r="AO1194" s="39">
        <v>135.33000000000001</v>
      </c>
      <c r="AP1194" s="39">
        <v>137.12</v>
      </c>
      <c r="AQ1194" s="39">
        <v>133.88</v>
      </c>
      <c r="AR1194" s="39">
        <v>137.12</v>
      </c>
    </row>
    <row r="1195" spans="1:44" x14ac:dyDescent="0.35">
      <c r="A1195" s="16" t="str">
        <f>TEXT(34,"00")</f>
        <v>34</v>
      </c>
      <c r="B1195" s="19">
        <v>67447</v>
      </c>
      <c r="C1195" s="16" t="str">
        <f>TEXT(3430717,"0000000")</f>
        <v>3430717</v>
      </c>
      <c r="D1195" s="17" t="s">
        <v>3577</v>
      </c>
      <c r="E1195" s="16" t="s">
        <v>3575</v>
      </c>
      <c r="F1195" s="16" t="s">
        <v>5</v>
      </c>
      <c r="G1195" s="35" t="s">
        <v>3576</v>
      </c>
      <c r="H1195" s="39">
        <v>0</v>
      </c>
      <c r="I1195" s="39">
        <v>0</v>
      </c>
      <c r="J1195" s="39">
        <v>0</v>
      </c>
      <c r="K1195" s="39">
        <v>0</v>
      </c>
      <c r="L1195" s="39">
        <v>0</v>
      </c>
      <c r="M1195" s="39">
        <v>0</v>
      </c>
      <c r="N1195" s="39">
        <v>0</v>
      </c>
      <c r="O1195" s="39">
        <v>0</v>
      </c>
      <c r="P1195" s="39">
        <v>0</v>
      </c>
      <c r="Q1195" s="39">
        <v>0</v>
      </c>
      <c r="R1195" s="39">
        <v>0</v>
      </c>
      <c r="S1195" s="39">
        <v>0</v>
      </c>
      <c r="T1195" s="39">
        <v>0</v>
      </c>
      <c r="U1195" s="39">
        <v>0</v>
      </c>
      <c r="V1195" s="39">
        <v>0</v>
      </c>
      <c r="W1195" s="39">
        <v>0</v>
      </c>
      <c r="X1195" s="39">
        <v>0</v>
      </c>
      <c r="Y1195" s="39">
        <v>0</v>
      </c>
      <c r="Z1195" s="39">
        <v>0</v>
      </c>
      <c r="AA1195" s="39">
        <v>0</v>
      </c>
      <c r="AB1195" s="39">
        <v>0</v>
      </c>
      <c r="AC1195" s="39">
        <v>7254.42</v>
      </c>
      <c r="AD1195" s="39">
        <v>0</v>
      </c>
      <c r="AE1195" s="39">
        <v>0</v>
      </c>
      <c r="AF1195" s="39">
        <v>0</v>
      </c>
      <c r="AG1195" s="39">
        <v>0</v>
      </c>
      <c r="AH1195" s="39">
        <v>0</v>
      </c>
      <c r="AI1195" s="39">
        <v>7254.42</v>
      </c>
      <c r="AJ1195" s="39">
        <v>0</v>
      </c>
      <c r="AK1195" s="39">
        <v>0</v>
      </c>
      <c r="AL1195" s="39">
        <v>0</v>
      </c>
      <c r="AM1195" s="39">
        <v>6748.46</v>
      </c>
      <c r="AN1195" s="39">
        <v>6308.4</v>
      </c>
      <c r="AO1195" s="39">
        <v>7254.42</v>
      </c>
      <c r="AP1195" s="39">
        <v>6748.46</v>
      </c>
      <c r="AQ1195" s="39">
        <v>6308.4</v>
      </c>
      <c r="AR1195" s="39">
        <v>7254.42</v>
      </c>
    </row>
    <row r="1196" spans="1:44" x14ac:dyDescent="0.35">
      <c r="A1196" s="16" t="str">
        <f>TEXT(30,"00")</f>
        <v>30</v>
      </c>
      <c r="B1196" s="19">
        <v>66464</v>
      </c>
      <c r="C1196" s="16" t="str">
        <f>TEXT(6117758,"0000000")</f>
        <v>6117758</v>
      </c>
      <c r="D1196" s="17" t="s">
        <v>3572</v>
      </c>
      <c r="E1196" s="16" t="s">
        <v>3571</v>
      </c>
      <c r="F1196" s="16" t="s">
        <v>5</v>
      </c>
      <c r="G1196" s="35" t="s">
        <v>1713</v>
      </c>
      <c r="H1196" s="39">
        <v>0</v>
      </c>
      <c r="I1196" s="39">
        <v>0</v>
      </c>
      <c r="J1196" s="39">
        <v>0</v>
      </c>
      <c r="K1196" s="39">
        <v>0</v>
      </c>
      <c r="L1196" s="39">
        <v>0</v>
      </c>
      <c r="M1196" s="39">
        <v>0</v>
      </c>
      <c r="N1196" s="39">
        <v>0</v>
      </c>
      <c r="O1196" s="39">
        <v>0</v>
      </c>
      <c r="P1196" s="39">
        <v>0</v>
      </c>
      <c r="Q1196" s="39">
        <v>0</v>
      </c>
      <c r="R1196" s="39">
        <v>0</v>
      </c>
      <c r="S1196" s="39">
        <v>0</v>
      </c>
      <c r="T1196" s="39">
        <v>0</v>
      </c>
      <c r="U1196" s="39">
        <v>0</v>
      </c>
      <c r="V1196" s="39">
        <v>0</v>
      </c>
      <c r="W1196" s="39">
        <v>0</v>
      </c>
      <c r="X1196" s="39">
        <v>0</v>
      </c>
      <c r="Y1196" s="39">
        <v>0</v>
      </c>
      <c r="Z1196" s="39">
        <v>0</v>
      </c>
      <c r="AA1196" s="39">
        <v>0</v>
      </c>
      <c r="AB1196" s="39">
        <v>0</v>
      </c>
      <c r="AC1196" s="39">
        <v>579.13</v>
      </c>
      <c r="AD1196" s="39">
        <v>0</v>
      </c>
      <c r="AE1196" s="39">
        <v>0</v>
      </c>
      <c r="AF1196" s="39">
        <v>0</v>
      </c>
      <c r="AG1196" s="39">
        <v>0</v>
      </c>
      <c r="AH1196" s="39">
        <v>0</v>
      </c>
      <c r="AI1196" s="39">
        <v>579.13</v>
      </c>
      <c r="AJ1196" s="39">
        <v>0</v>
      </c>
      <c r="AK1196" s="39">
        <v>0</v>
      </c>
      <c r="AL1196" s="39">
        <v>0</v>
      </c>
      <c r="AM1196" s="39">
        <v>549.71</v>
      </c>
      <c r="AN1196" s="39">
        <v>533.24</v>
      </c>
      <c r="AO1196" s="39">
        <v>579.13</v>
      </c>
      <c r="AP1196" s="39">
        <v>549.71</v>
      </c>
      <c r="AQ1196" s="39">
        <v>533.24</v>
      </c>
      <c r="AR1196" s="39">
        <v>579.13</v>
      </c>
    </row>
    <row r="1197" spans="1:44" x14ac:dyDescent="0.35">
      <c r="A1197" s="16" t="str">
        <f>TEXT(30,"00")</f>
        <v>30</v>
      </c>
      <c r="B1197" s="19">
        <v>73650</v>
      </c>
      <c r="C1197" s="16" t="str">
        <f>TEXT(142232,"0000000")</f>
        <v>0142232</v>
      </c>
      <c r="D1197" s="19">
        <v>2140</v>
      </c>
      <c r="E1197" s="16" t="s">
        <v>3573</v>
      </c>
      <c r="F1197" s="16" t="s">
        <v>5</v>
      </c>
      <c r="G1197" s="35" t="s">
        <v>3574</v>
      </c>
      <c r="H1197" s="39">
        <v>0</v>
      </c>
      <c r="I1197" s="39">
        <v>0</v>
      </c>
      <c r="J1197" s="39">
        <v>0</v>
      </c>
      <c r="K1197" s="39">
        <v>0</v>
      </c>
      <c r="L1197" s="39">
        <v>0</v>
      </c>
      <c r="M1197" s="39">
        <v>0</v>
      </c>
      <c r="N1197" s="39">
        <v>0</v>
      </c>
      <c r="O1197" s="39">
        <v>0</v>
      </c>
      <c r="P1197" s="39">
        <v>0</v>
      </c>
      <c r="Q1197" s="39">
        <v>0</v>
      </c>
      <c r="R1197" s="39">
        <v>0</v>
      </c>
      <c r="S1197" s="39">
        <v>0</v>
      </c>
      <c r="T1197" s="39">
        <v>0</v>
      </c>
      <c r="U1197" s="39">
        <v>0</v>
      </c>
      <c r="V1197" s="39">
        <v>0</v>
      </c>
      <c r="W1197" s="39">
        <v>0</v>
      </c>
      <c r="X1197" s="39">
        <v>0</v>
      </c>
      <c r="Y1197" s="39">
        <v>0</v>
      </c>
      <c r="Z1197" s="39">
        <v>0</v>
      </c>
      <c r="AA1197" s="39">
        <v>0</v>
      </c>
      <c r="AB1197" s="39">
        <v>0</v>
      </c>
      <c r="AC1197" s="39">
        <v>441.42</v>
      </c>
      <c r="AD1197" s="39">
        <v>0</v>
      </c>
      <c r="AE1197" s="39">
        <v>0</v>
      </c>
      <c r="AF1197" s="39">
        <v>0</v>
      </c>
      <c r="AG1197" s="39">
        <v>0</v>
      </c>
      <c r="AH1197" s="39">
        <v>0</v>
      </c>
      <c r="AI1197" s="39">
        <v>441.42</v>
      </c>
      <c r="AJ1197" s="39">
        <v>0</v>
      </c>
      <c r="AK1197" s="39">
        <v>0</v>
      </c>
      <c r="AL1197" s="39">
        <v>0</v>
      </c>
      <c r="AM1197" s="39">
        <v>219.64</v>
      </c>
      <c r="AN1197" s="39">
        <v>0</v>
      </c>
      <c r="AO1197" s="39">
        <v>441.42</v>
      </c>
      <c r="AP1197" s="39">
        <v>219.64</v>
      </c>
      <c r="AQ1197" s="39">
        <v>0</v>
      </c>
      <c r="AR1197" s="39">
        <v>441.42</v>
      </c>
    </row>
    <row r="1198" spans="1:44" x14ac:dyDescent="0.35">
      <c r="A1198" s="16" t="str">
        <f>TEXT(4,"00")</f>
        <v>04</v>
      </c>
      <c r="B1198" s="19">
        <v>10041</v>
      </c>
      <c r="C1198" s="16" t="str">
        <f>TEXT(136820,"0000000")</f>
        <v>0136820</v>
      </c>
      <c r="D1198" s="19">
        <v>1916</v>
      </c>
      <c r="E1198" s="16" t="s">
        <v>180</v>
      </c>
      <c r="F1198" s="16" t="s">
        <v>5</v>
      </c>
      <c r="G1198" s="35" t="s">
        <v>181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  <c r="AF1198" s="39">
        <v>0</v>
      </c>
      <c r="AG1198" s="39">
        <v>0</v>
      </c>
      <c r="AH1198" s="39">
        <v>0</v>
      </c>
      <c r="AI1198" s="39">
        <v>0</v>
      </c>
      <c r="AJ1198" s="39">
        <v>0</v>
      </c>
      <c r="AK1198" s="39">
        <v>0</v>
      </c>
      <c r="AL1198" s="39">
        <v>0</v>
      </c>
      <c r="AM1198" s="39">
        <v>0</v>
      </c>
      <c r="AN1198" s="39">
        <v>0</v>
      </c>
      <c r="AO1198" s="39">
        <v>0</v>
      </c>
      <c r="AP1198" s="39">
        <v>0</v>
      </c>
      <c r="AQ1198" s="39">
        <v>0</v>
      </c>
      <c r="AR1198" s="39">
        <v>0</v>
      </c>
    </row>
    <row r="1199" spans="1:44" x14ac:dyDescent="0.35">
      <c r="A1199" s="16" t="str">
        <f>TEXT(36,"00")</f>
        <v>36</v>
      </c>
      <c r="B1199" s="19">
        <v>75051</v>
      </c>
      <c r="C1199" s="16" t="str">
        <f>TEXT(136960,"0000000")</f>
        <v>0136960</v>
      </c>
      <c r="D1199" s="19">
        <v>1923</v>
      </c>
      <c r="E1199" s="16" t="s">
        <v>3585</v>
      </c>
      <c r="F1199" s="16" t="s">
        <v>5</v>
      </c>
      <c r="G1199" s="35" t="s">
        <v>2032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</v>
      </c>
      <c r="Y1199" s="39">
        <v>0</v>
      </c>
      <c r="Z1199" s="39">
        <v>0</v>
      </c>
      <c r="AA1199" s="39">
        <v>0</v>
      </c>
      <c r="AB1199" s="39">
        <v>0</v>
      </c>
      <c r="AC1199" s="39">
        <v>1405.62</v>
      </c>
      <c r="AD1199" s="39">
        <v>1161.83</v>
      </c>
      <c r="AE1199" s="39">
        <v>828.69</v>
      </c>
      <c r="AF1199" s="39">
        <v>0</v>
      </c>
      <c r="AG1199" s="39">
        <v>0</v>
      </c>
      <c r="AH1199" s="39">
        <v>0</v>
      </c>
      <c r="AI1199" s="39">
        <v>1405.62</v>
      </c>
      <c r="AJ1199" s="39">
        <v>1161.83</v>
      </c>
      <c r="AK1199" s="39">
        <v>828.69</v>
      </c>
      <c r="AL1199" s="39">
        <v>0</v>
      </c>
      <c r="AM1199" s="39">
        <v>0</v>
      </c>
      <c r="AN1199" s="39">
        <v>0</v>
      </c>
      <c r="AO1199" s="39">
        <v>1405.62</v>
      </c>
      <c r="AP1199" s="39">
        <v>1161.83</v>
      </c>
      <c r="AQ1199" s="39">
        <v>828.69</v>
      </c>
      <c r="AR1199" s="39">
        <v>1405.62</v>
      </c>
    </row>
    <row r="1200" spans="1:44" x14ac:dyDescent="0.35">
      <c r="A1200" s="16" t="str">
        <f>TEXT(15,"00")</f>
        <v>15</v>
      </c>
      <c r="B1200" s="19">
        <v>10157</v>
      </c>
      <c r="C1200" s="16" t="str">
        <f>TEXT(142505,"0000000")</f>
        <v>0142505</v>
      </c>
      <c r="D1200" s="19">
        <v>2142</v>
      </c>
      <c r="E1200" s="16" t="s">
        <v>3559</v>
      </c>
      <c r="F1200" s="16" t="s">
        <v>5</v>
      </c>
      <c r="G1200" s="35" t="s">
        <v>3560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v>0</v>
      </c>
      <c r="AB1200" s="39">
        <v>0</v>
      </c>
      <c r="AC1200" s="39">
        <v>185.68</v>
      </c>
      <c r="AD1200" s="39">
        <v>0</v>
      </c>
      <c r="AE1200" s="39">
        <v>0</v>
      </c>
      <c r="AF1200" s="39">
        <v>0</v>
      </c>
      <c r="AG1200" s="39">
        <v>0</v>
      </c>
      <c r="AH1200" s="39">
        <v>0</v>
      </c>
      <c r="AI1200" s="39">
        <v>185.68</v>
      </c>
      <c r="AJ1200" s="39">
        <v>0</v>
      </c>
      <c r="AK1200" s="39">
        <v>0</v>
      </c>
      <c r="AL1200" s="39">
        <v>0</v>
      </c>
      <c r="AM1200" s="39">
        <v>0</v>
      </c>
      <c r="AN1200" s="39">
        <v>0</v>
      </c>
      <c r="AO1200" s="39">
        <v>185.68</v>
      </c>
      <c r="AP1200" s="39">
        <v>0</v>
      </c>
      <c r="AQ1200" s="39">
        <v>0</v>
      </c>
      <c r="AR1200" s="39">
        <v>185.68</v>
      </c>
    </row>
    <row r="1201" spans="1:44" x14ac:dyDescent="0.35">
      <c r="A1201" s="16" t="str">
        <f>TEXT(36,"00")</f>
        <v>36</v>
      </c>
      <c r="B1201" s="19">
        <v>10363</v>
      </c>
      <c r="C1201" s="16" t="str">
        <f>TEXT(142547,"0000000")</f>
        <v>0142547</v>
      </c>
      <c r="D1201" s="19">
        <v>2146</v>
      </c>
      <c r="E1201" s="16" t="s">
        <v>3578</v>
      </c>
      <c r="F1201" s="16" t="s">
        <v>5</v>
      </c>
      <c r="G1201" s="35" t="s">
        <v>3579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0</v>
      </c>
      <c r="Y1201" s="39">
        <v>0</v>
      </c>
      <c r="Z1201" s="39">
        <v>298.92</v>
      </c>
      <c r="AA1201" s="39">
        <v>0</v>
      </c>
      <c r="AB1201" s="39">
        <v>0</v>
      </c>
      <c r="AC1201" s="39">
        <v>0</v>
      </c>
      <c r="AD1201" s="39">
        <v>0</v>
      </c>
      <c r="AE1201" s="39">
        <v>0</v>
      </c>
      <c r="AF1201" s="39">
        <v>0</v>
      </c>
      <c r="AG1201" s="39">
        <v>0</v>
      </c>
      <c r="AH1201" s="39">
        <v>0</v>
      </c>
      <c r="AI1201" s="39">
        <v>298.92</v>
      </c>
      <c r="AJ1201" s="39">
        <v>0</v>
      </c>
      <c r="AK1201" s="39">
        <v>0</v>
      </c>
      <c r="AL1201" s="39">
        <v>0</v>
      </c>
      <c r="AM1201" s="39">
        <v>0</v>
      </c>
      <c r="AN1201" s="39">
        <v>0</v>
      </c>
      <c r="AO1201" s="39">
        <v>298.92</v>
      </c>
      <c r="AP1201" s="39">
        <v>0</v>
      </c>
      <c r="AQ1201" s="39">
        <v>0</v>
      </c>
      <c r="AR1201" s="39">
        <v>298.92</v>
      </c>
    </row>
    <row r="1202" spans="1:44" ht="31" x14ac:dyDescent="0.35">
      <c r="A1202" s="16" t="str">
        <f>TEXT(30,"00")</f>
        <v>30</v>
      </c>
      <c r="B1202" s="19">
        <v>10306</v>
      </c>
      <c r="C1202" s="16" t="str">
        <f>TEXT(142570,"0000000")</f>
        <v>0142570</v>
      </c>
      <c r="D1202" s="19">
        <v>2147</v>
      </c>
      <c r="E1202" s="16" t="s">
        <v>3569</v>
      </c>
      <c r="F1202" s="16" t="s">
        <v>5</v>
      </c>
      <c r="G1202" s="35" t="s">
        <v>3570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v>0</v>
      </c>
      <c r="AB1202" s="39">
        <v>0</v>
      </c>
      <c r="AC1202" s="39">
        <v>62.71</v>
      </c>
      <c r="AD1202" s="39">
        <v>0</v>
      </c>
      <c r="AE1202" s="39">
        <v>0</v>
      </c>
      <c r="AF1202" s="39">
        <v>0</v>
      </c>
      <c r="AG1202" s="39">
        <v>0</v>
      </c>
      <c r="AH1202" s="39">
        <v>0</v>
      </c>
      <c r="AI1202" s="39">
        <v>62.71</v>
      </c>
      <c r="AJ1202" s="39">
        <v>0</v>
      </c>
      <c r="AK1202" s="39">
        <v>0</v>
      </c>
      <c r="AL1202" s="39">
        <v>0</v>
      </c>
      <c r="AM1202" s="39">
        <v>0</v>
      </c>
      <c r="AN1202" s="39">
        <v>0</v>
      </c>
      <c r="AO1202" s="39">
        <v>62.71</v>
      </c>
      <c r="AP1202" s="39">
        <v>0</v>
      </c>
      <c r="AQ1202" s="39">
        <v>0</v>
      </c>
      <c r="AR1202" s="39">
        <v>62.71</v>
      </c>
    </row>
    <row r="1203" spans="1:44" x14ac:dyDescent="0.35">
      <c r="A1203" s="16" t="str">
        <f t="shared" ref="A1203:A1212" si="100">TEXT(4,"00")</f>
        <v>04</v>
      </c>
      <c r="B1203" s="19">
        <v>61424</v>
      </c>
      <c r="C1203" s="16" t="str">
        <f>TEXT(110551,"0000000")</f>
        <v>0110551</v>
      </c>
      <c r="D1203" s="17" t="s">
        <v>190</v>
      </c>
      <c r="E1203" s="16" t="s">
        <v>188</v>
      </c>
      <c r="F1203" s="16" t="s">
        <v>5</v>
      </c>
      <c r="G1203" s="35" t="s">
        <v>189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0</v>
      </c>
      <c r="AA1203" s="39">
        <v>0</v>
      </c>
      <c r="AB1203" s="39">
        <v>0</v>
      </c>
      <c r="AC1203" s="39">
        <v>203.89</v>
      </c>
      <c r="AD1203" s="39">
        <v>204.87</v>
      </c>
      <c r="AE1203" s="39">
        <v>202.41</v>
      </c>
      <c r="AF1203" s="39">
        <v>0</v>
      </c>
      <c r="AG1203" s="39">
        <v>0</v>
      </c>
      <c r="AH1203" s="39">
        <v>0</v>
      </c>
      <c r="AI1203" s="39">
        <v>203.89</v>
      </c>
      <c r="AJ1203" s="39">
        <v>204.87</v>
      </c>
      <c r="AK1203" s="39">
        <v>202.41</v>
      </c>
      <c r="AL1203" s="39">
        <v>0</v>
      </c>
      <c r="AM1203" s="39">
        <v>0</v>
      </c>
      <c r="AN1203" s="39">
        <v>0</v>
      </c>
      <c r="AO1203" s="39">
        <v>203.89</v>
      </c>
      <c r="AP1203" s="39">
        <v>204.87</v>
      </c>
      <c r="AQ1203" s="39">
        <v>202.41</v>
      </c>
      <c r="AR1203" s="39">
        <v>204.87</v>
      </c>
    </row>
    <row r="1204" spans="1:44" x14ac:dyDescent="0.35">
      <c r="A1204" s="16" t="str">
        <f t="shared" si="100"/>
        <v>04</v>
      </c>
      <c r="B1204" s="19">
        <v>61424</v>
      </c>
      <c r="C1204" s="16" t="str">
        <f>TEXT(120394,"0000000")</f>
        <v>0120394</v>
      </c>
      <c r="D1204" s="19">
        <v>1114</v>
      </c>
      <c r="E1204" s="16" t="s">
        <v>191</v>
      </c>
      <c r="F1204" s="16" t="s">
        <v>5</v>
      </c>
      <c r="G1204" s="35" t="s">
        <v>192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0</v>
      </c>
      <c r="AA1204" s="39">
        <v>0</v>
      </c>
      <c r="AB1204" s="39">
        <v>0</v>
      </c>
      <c r="AC1204" s="39">
        <v>301.02</v>
      </c>
      <c r="AD1204" s="39">
        <v>322.81</v>
      </c>
      <c r="AE1204" s="39">
        <v>325.14999999999998</v>
      </c>
      <c r="AF1204" s="39">
        <v>0</v>
      </c>
      <c r="AG1204" s="39">
        <v>0</v>
      </c>
      <c r="AH1204" s="39">
        <v>0</v>
      </c>
      <c r="AI1204" s="39">
        <v>301.02</v>
      </c>
      <c r="AJ1204" s="39">
        <v>322.81</v>
      </c>
      <c r="AK1204" s="39">
        <v>325.14999999999998</v>
      </c>
      <c r="AL1204" s="39">
        <v>0</v>
      </c>
      <c r="AM1204" s="39">
        <v>0</v>
      </c>
      <c r="AN1204" s="39">
        <v>0</v>
      </c>
      <c r="AO1204" s="39">
        <v>301.02</v>
      </c>
      <c r="AP1204" s="39">
        <v>322.81</v>
      </c>
      <c r="AQ1204" s="39">
        <v>325.14999999999998</v>
      </c>
      <c r="AR1204" s="39">
        <v>325.14999999999998</v>
      </c>
    </row>
    <row r="1205" spans="1:44" x14ac:dyDescent="0.35">
      <c r="A1205" s="16" t="str">
        <f t="shared" si="100"/>
        <v>04</v>
      </c>
      <c r="B1205" s="19">
        <v>61424</v>
      </c>
      <c r="C1205" s="16" t="str">
        <f>TEXT(121475,"0000000")</f>
        <v>0121475</v>
      </c>
      <c r="D1205" s="19">
        <v>1166</v>
      </c>
      <c r="E1205" s="16" t="s">
        <v>193</v>
      </c>
      <c r="F1205" s="16" t="s">
        <v>5</v>
      </c>
      <c r="G1205" s="35" t="s">
        <v>194</v>
      </c>
      <c r="H1205" s="39">
        <v>0</v>
      </c>
      <c r="I1205" s="39">
        <v>0</v>
      </c>
      <c r="J1205" s="39">
        <v>0</v>
      </c>
      <c r="K1205" s="39">
        <v>0</v>
      </c>
      <c r="L1205" s="39">
        <v>0</v>
      </c>
      <c r="M1205" s="39">
        <v>0</v>
      </c>
      <c r="N1205" s="39">
        <v>0</v>
      </c>
      <c r="O1205" s="39">
        <v>0</v>
      </c>
      <c r="P1205" s="39">
        <v>0</v>
      </c>
      <c r="Q1205" s="39">
        <v>0</v>
      </c>
      <c r="R1205" s="39">
        <v>0</v>
      </c>
      <c r="S1205" s="39">
        <v>0</v>
      </c>
      <c r="T1205" s="39">
        <v>0</v>
      </c>
      <c r="U1205" s="39">
        <v>0</v>
      </c>
      <c r="V1205" s="39">
        <v>0</v>
      </c>
      <c r="W1205" s="39">
        <v>0</v>
      </c>
      <c r="X1205" s="39">
        <v>0</v>
      </c>
      <c r="Y1205" s="39">
        <v>0</v>
      </c>
      <c r="Z1205" s="39">
        <v>0</v>
      </c>
      <c r="AA1205" s="39">
        <v>0</v>
      </c>
      <c r="AB1205" s="39">
        <v>0</v>
      </c>
      <c r="AC1205" s="39">
        <v>107.98</v>
      </c>
      <c r="AD1205" s="39">
        <v>104.26</v>
      </c>
      <c r="AE1205" s="39">
        <v>92.34</v>
      </c>
      <c r="AF1205" s="39">
        <v>0</v>
      </c>
      <c r="AG1205" s="39">
        <v>0</v>
      </c>
      <c r="AH1205" s="39">
        <v>0</v>
      </c>
      <c r="AI1205" s="39">
        <v>107.98</v>
      </c>
      <c r="AJ1205" s="39">
        <v>104.26</v>
      </c>
      <c r="AK1205" s="39">
        <v>92.34</v>
      </c>
      <c r="AL1205" s="39">
        <v>0</v>
      </c>
      <c r="AM1205" s="39">
        <v>0</v>
      </c>
      <c r="AN1205" s="39">
        <v>0</v>
      </c>
      <c r="AO1205" s="39">
        <v>107.98</v>
      </c>
      <c r="AP1205" s="39">
        <v>104.26</v>
      </c>
      <c r="AQ1205" s="39">
        <v>92.34</v>
      </c>
      <c r="AR1205" s="39">
        <v>107.98</v>
      </c>
    </row>
    <row r="1206" spans="1:44" x14ac:dyDescent="0.35">
      <c r="A1206" s="16" t="str">
        <f t="shared" si="100"/>
        <v>04</v>
      </c>
      <c r="B1206" s="19">
        <v>61424</v>
      </c>
      <c r="C1206" s="16" t="str">
        <f>TEXT(123810,"0000000")</f>
        <v>0123810</v>
      </c>
      <c r="D1206" s="19">
        <v>1280</v>
      </c>
      <c r="E1206" s="16" t="s">
        <v>195</v>
      </c>
      <c r="F1206" s="16" t="s">
        <v>5</v>
      </c>
      <c r="G1206" s="35" t="s">
        <v>196</v>
      </c>
      <c r="H1206" s="39">
        <v>0</v>
      </c>
      <c r="I1206" s="39">
        <v>0</v>
      </c>
      <c r="J1206" s="39">
        <v>0</v>
      </c>
      <c r="K1206" s="39">
        <v>0</v>
      </c>
      <c r="L1206" s="39">
        <v>0</v>
      </c>
      <c r="M1206" s="39">
        <v>0</v>
      </c>
      <c r="N1206" s="39">
        <v>0</v>
      </c>
      <c r="O1206" s="39">
        <v>0</v>
      </c>
      <c r="P1206" s="39">
        <v>0</v>
      </c>
      <c r="Q1206" s="39">
        <v>0</v>
      </c>
      <c r="R1206" s="39">
        <v>0</v>
      </c>
      <c r="S1206" s="39">
        <v>0</v>
      </c>
      <c r="T1206" s="39">
        <v>0</v>
      </c>
      <c r="U1206" s="39">
        <v>0</v>
      </c>
      <c r="V1206" s="39">
        <v>0</v>
      </c>
      <c r="W1206" s="39">
        <v>0</v>
      </c>
      <c r="X1206" s="39">
        <v>0</v>
      </c>
      <c r="Y1206" s="39">
        <v>0</v>
      </c>
      <c r="Z1206" s="39">
        <v>0</v>
      </c>
      <c r="AA1206" s="39">
        <v>0</v>
      </c>
      <c r="AB1206" s="39">
        <v>0</v>
      </c>
      <c r="AC1206" s="39">
        <v>166.76</v>
      </c>
      <c r="AD1206" s="39">
        <v>153.01</v>
      </c>
      <c r="AE1206" s="39">
        <v>129.5</v>
      </c>
      <c r="AF1206" s="39">
        <v>0</v>
      </c>
      <c r="AG1206" s="39">
        <v>0</v>
      </c>
      <c r="AH1206" s="39">
        <v>0</v>
      </c>
      <c r="AI1206" s="39">
        <v>166.76</v>
      </c>
      <c r="AJ1206" s="39">
        <v>153.01</v>
      </c>
      <c r="AK1206" s="39">
        <v>129.5</v>
      </c>
      <c r="AL1206" s="39">
        <v>0</v>
      </c>
      <c r="AM1206" s="39">
        <v>0</v>
      </c>
      <c r="AN1206" s="39">
        <v>0</v>
      </c>
      <c r="AO1206" s="39">
        <v>166.76</v>
      </c>
      <c r="AP1206" s="39">
        <v>153.01</v>
      </c>
      <c r="AQ1206" s="39">
        <v>129.5</v>
      </c>
      <c r="AR1206" s="39">
        <v>166.76</v>
      </c>
    </row>
    <row r="1207" spans="1:44" x14ac:dyDescent="0.35">
      <c r="A1207" s="16" t="str">
        <f t="shared" si="100"/>
        <v>04</v>
      </c>
      <c r="B1207" s="19">
        <v>61424</v>
      </c>
      <c r="C1207" s="16" t="str">
        <f>TEXT(137828,"0000000")</f>
        <v>0137828</v>
      </c>
      <c r="D1207" s="19">
        <v>1982</v>
      </c>
      <c r="E1207" s="16" t="s">
        <v>197</v>
      </c>
      <c r="F1207" s="16" t="s">
        <v>5</v>
      </c>
      <c r="G1207" s="35" t="s">
        <v>198</v>
      </c>
      <c r="H1207" s="39">
        <v>0</v>
      </c>
      <c r="I1207" s="39">
        <v>0</v>
      </c>
      <c r="J1207" s="39">
        <v>0</v>
      </c>
      <c r="K1207" s="39">
        <v>0</v>
      </c>
      <c r="L1207" s="39">
        <v>0</v>
      </c>
      <c r="M1207" s="39">
        <v>0</v>
      </c>
      <c r="N1207" s="39">
        <v>0</v>
      </c>
      <c r="O1207" s="39">
        <v>0</v>
      </c>
      <c r="P1207" s="39">
        <v>0</v>
      </c>
      <c r="Q1207" s="39">
        <v>0</v>
      </c>
      <c r="R1207" s="39">
        <v>0</v>
      </c>
      <c r="S1207" s="39">
        <v>0</v>
      </c>
      <c r="T1207" s="39">
        <v>0</v>
      </c>
      <c r="U1207" s="39">
        <v>0</v>
      </c>
      <c r="V1207" s="39">
        <v>0</v>
      </c>
      <c r="W1207" s="39">
        <v>0</v>
      </c>
      <c r="X1207" s="39">
        <v>0</v>
      </c>
      <c r="Y1207" s="39">
        <v>0</v>
      </c>
      <c r="Z1207" s="39">
        <v>0</v>
      </c>
      <c r="AA1207" s="39">
        <v>0</v>
      </c>
      <c r="AB1207" s="39">
        <v>0</v>
      </c>
      <c r="AC1207" s="39">
        <v>91.03</v>
      </c>
      <c r="AD1207" s="39">
        <v>97.14</v>
      </c>
      <c r="AE1207" s="39">
        <v>80.27</v>
      </c>
      <c r="AF1207" s="39">
        <v>0</v>
      </c>
      <c r="AG1207" s="39">
        <v>0</v>
      </c>
      <c r="AH1207" s="39">
        <v>0</v>
      </c>
      <c r="AI1207" s="39">
        <v>91.03</v>
      </c>
      <c r="AJ1207" s="39">
        <v>97.14</v>
      </c>
      <c r="AK1207" s="39">
        <v>80.27</v>
      </c>
      <c r="AL1207" s="39">
        <v>0</v>
      </c>
      <c r="AM1207" s="39">
        <v>0</v>
      </c>
      <c r="AN1207" s="39">
        <v>0</v>
      </c>
      <c r="AO1207" s="39">
        <v>91.03</v>
      </c>
      <c r="AP1207" s="39">
        <v>97.14</v>
      </c>
      <c r="AQ1207" s="39">
        <v>80.27</v>
      </c>
      <c r="AR1207" s="39">
        <v>97.14</v>
      </c>
    </row>
    <row r="1208" spans="1:44" x14ac:dyDescent="0.35">
      <c r="A1208" s="16" t="str">
        <f t="shared" si="100"/>
        <v>04</v>
      </c>
      <c r="B1208" s="19">
        <v>61424</v>
      </c>
      <c r="C1208" s="16" t="str">
        <f>TEXT(141085,"0000000")</f>
        <v>0141085</v>
      </c>
      <c r="D1208" s="19">
        <v>2120</v>
      </c>
      <c r="E1208" s="16" t="s">
        <v>199</v>
      </c>
      <c r="F1208" s="16" t="s">
        <v>5</v>
      </c>
      <c r="G1208" s="35" t="s">
        <v>200</v>
      </c>
      <c r="H1208" s="39">
        <v>0</v>
      </c>
      <c r="I1208" s="39">
        <v>0</v>
      </c>
      <c r="J1208" s="39">
        <v>0</v>
      </c>
      <c r="K1208" s="39">
        <v>0</v>
      </c>
      <c r="L1208" s="39">
        <v>0</v>
      </c>
      <c r="M1208" s="39">
        <v>0</v>
      </c>
      <c r="N1208" s="39">
        <v>0</v>
      </c>
      <c r="O1208" s="39">
        <v>0</v>
      </c>
      <c r="P1208" s="39">
        <v>0</v>
      </c>
      <c r="Q1208" s="39">
        <v>0</v>
      </c>
      <c r="R1208" s="39">
        <v>0</v>
      </c>
      <c r="S1208" s="39">
        <v>0</v>
      </c>
      <c r="T1208" s="39">
        <v>0</v>
      </c>
      <c r="U1208" s="39">
        <v>0</v>
      </c>
      <c r="V1208" s="39">
        <v>0</v>
      </c>
      <c r="W1208" s="39">
        <v>0</v>
      </c>
      <c r="X1208" s="39">
        <v>0</v>
      </c>
      <c r="Y1208" s="39">
        <v>0</v>
      </c>
      <c r="Z1208" s="39">
        <v>0</v>
      </c>
      <c r="AA1208" s="39">
        <v>0</v>
      </c>
      <c r="AB1208" s="39">
        <v>0</v>
      </c>
      <c r="AC1208" s="39">
        <v>212.58</v>
      </c>
      <c r="AD1208" s="39">
        <v>202.09</v>
      </c>
      <c r="AE1208" s="39">
        <v>210.31</v>
      </c>
      <c r="AF1208" s="39">
        <v>0</v>
      </c>
      <c r="AG1208" s="39">
        <v>0</v>
      </c>
      <c r="AH1208" s="39">
        <v>0</v>
      </c>
      <c r="AI1208" s="39">
        <v>212.58</v>
      </c>
      <c r="AJ1208" s="39">
        <v>202.09</v>
      </c>
      <c r="AK1208" s="39">
        <v>210.31</v>
      </c>
      <c r="AL1208" s="39">
        <v>0</v>
      </c>
      <c r="AM1208" s="39">
        <v>0</v>
      </c>
      <c r="AN1208" s="39">
        <v>0</v>
      </c>
      <c r="AO1208" s="39">
        <v>212.58</v>
      </c>
      <c r="AP1208" s="39">
        <v>202.09</v>
      </c>
      <c r="AQ1208" s="39">
        <v>210.31</v>
      </c>
      <c r="AR1208" s="39">
        <v>212.58</v>
      </c>
    </row>
    <row r="1209" spans="1:44" x14ac:dyDescent="0.35">
      <c r="A1209" s="16" t="str">
        <f t="shared" si="100"/>
        <v>04</v>
      </c>
      <c r="B1209" s="19">
        <v>61424</v>
      </c>
      <c r="C1209" s="16" t="str">
        <f>TEXT(6113773,"0000000")</f>
        <v>6113773</v>
      </c>
      <c r="D1209" s="17" t="s">
        <v>203</v>
      </c>
      <c r="E1209" s="16" t="s">
        <v>201</v>
      </c>
      <c r="F1209" s="16" t="s">
        <v>5</v>
      </c>
      <c r="G1209" s="35" t="s">
        <v>202</v>
      </c>
      <c r="H1209" s="39">
        <v>0</v>
      </c>
      <c r="I1209" s="39">
        <v>0</v>
      </c>
      <c r="J1209" s="39">
        <v>0</v>
      </c>
      <c r="K1209" s="39">
        <v>0</v>
      </c>
      <c r="L1209" s="39">
        <v>0</v>
      </c>
      <c r="M1209" s="39">
        <v>0</v>
      </c>
      <c r="N1209" s="39">
        <v>0</v>
      </c>
      <c r="O1209" s="39">
        <v>0</v>
      </c>
      <c r="P1209" s="39">
        <v>0</v>
      </c>
      <c r="Q1209" s="39">
        <v>0</v>
      </c>
      <c r="R1209" s="39">
        <v>0</v>
      </c>
      <c r="S1209" s="39">
        <v>0</v>
      </c>
      <c r="T1209" s="39">
        <v>0</v>
      </c>
      <c r="U1209" s="39">
        <v>0</v>
      </c>
      <c r="V1209" s="39">
        <v>0</v>
      </c>
      <c r="W1209" s="39">
        <v>0</v>
      </c>
      <c r="X1209" s="39">
        <v>0</v>
      </c>
      <c r="Y1209" s="39">
        <v>0</v>
      </c>
      <c r="Z1209" s="39">
        <v>0</v>
      </c>
      <c r="AA1209" s="39">
        <v>0</v>
      </c>
      <c r="AB1209" s="39">
        <v>0</v>
      </c>
      <c r="AC1209" s="39">
        <v>558.14</v>
      </c>
      <c r="AD1209" s="39">
        <v>543.35</v>
      </c>
      <c r="AE1209" s="39">
        <v>535.01</v>
      </c>
      <c r="AF1209" s="39">
        <v>0</v>
      </c>
      <c r="AG1209" s="39">
        <v>0</v>
      </c>
      <c r="AH1209" s="39">
        <v>0</v>
      </c>
      <c r="AI1209" s="39">
        <v>558.14</v>
      </c>
      <c r="AJ1209" s="39">
        <v>543.35</v>
      </c>
      <c r="AK1209" s="39">
        <v>535.01</v>
      </c>
      <c r="AL1209" s="39">
        <v>0</v>
      </c>
      <c r="AM1209" s="39">
        <v>0</v>
      </c>
      <c r="AN1209" s="39">
        <v>0</v>
      </c>
      <c r="AO1209" s="39">
        <v>558.14</v>
      </c>
      <c r="AP1209" s="39">
        <v>543.35</v>
      </c>
      <c r="AQ1209" s="39">
        <v>535.01</v>
      </c>
      <c r="AR1209" s="39">
        <v>558.14</v>
      </c>
    </row>
    <row r="1210" spans="1:44" x14ac:dyDescent="0.35">
      <c r="A1210" s="16" t="str">
        <f t="shared" si="100"/>
        <v>04</v>
      </c>
      <c r="B1210" s="19">
        <v>61424</v>
      </c>
      <c r="C1210" s="16" t="str">
        <f>TEXT(6119523,"0000000")</f>
        <v>6119523</v>
      </c>
      <c r="D1210" s="17" t="s">
        <v>206</v>
      </c>
      <c r="E1210" s="16" t="s">
        <v>204</v>
      </c>
      <c r="F1210" s="16" t="s">
        <v>5</v>
      </c>
      <c r="G1210" s="35" t="s">
        <v>205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198.12</v>
      </c>
      <c r="AD1210" s="39">
        <v>214.72</v>
      </c>
      <c r="AE1210" s="39">
        <v>230.17</v>
      </c>
      <c r="AF1210" s="39">
        <v>0</v>
      </c>
      <c r="AG1210" s="39">
        <v>0</v>
      </c>
      <c r="AH1210" s="39">
        <v>0</v>
      </c>
      <c r="AI1210" s="39">
        <v>198.12</v>
      </c>
      <c r="AJ1210" s="39">
        <v>214.72</v>
      </c>
      <c r="AK1210" s="39">
        <v>230.17</v>
      </c>
      <c r="AL1210" s="39">
        <v>0</v>
      </c>
      <c r="AM1210" s="39">
        <v>0</v>
      </c>
      <c r="AN1210" s="39">
        <v>0</v>
      </c>
      <c r="AO1210" s="39">
        <v>198.12</v>
      </c>
      <c r="AP1210" s="39">
        <v>214.72</v>
      </c>
      <c r="AQ1210" s="39">
        <v>230.17</v>
      </c>
      <c r="AR1210" s="39">
        <v>230.17</v>
      </c>
    </row>
    <row r="1211" spans="1:44" x14ac:dyDescent="0.35">
      <c r="A1211" s="16" t="str">
        <f t="shared" si="100"/>
        <v>04</v>
      </c>
      <c r="B1211" s="19">
        <v>61507</v>
      </c>
      <c r="C1211" s="16" t="str">
        <f>TEXT(129577,"0000000")</f>
        <v>0129577</v>
      </c>
      <c r="D1211" s="19">
        <v>1616</v>
      </c>
      <c r="E1211" s="16" t="s">
        <v>215</v>
      </c>
      <c r="F1211" s="16" t="s">
        <v>5</v>
      </c>
      <c r="G1211" s="35" t="s">
        <v>216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489.61</v>
      </c>
      <c r="AD1211" s="39">
        <v>454.57</v>
      </c>
      <c r="AE1211" s="39">
        <v>403.45</v>
      </c>
      <c r="AF1211" s="39">
        <v>0</v>
      </c>
      <c r="AG1211" s="39">
        <v>0</v>
      </c>
      <c r="AH1211" s="39">
        <v>0</v>
      </c>
      <c r="AI1211" s="39">
        <v>489.61</v>
      </c>
      <c r="AJ1211" s="39">
        <v>454.57</v>
      </c>
      <c r="AK1211" s="39">
        <v>403.45</v>
      </c>
      <c r="AL1211" s="39">
        <v>0</v>
      </c>
      <c r="AM1211" s="39">
        <v>0</v>
      </c>
      <c r="AN1211" s="39">
        <v>0</v>
      </c>
      <c r="AO1211" s="39">
        <v>489.61</v>
      </c>
      <c r="AP1211" s="39">
        <v>454.57</v>
      </c>
      <c r="AQ1211" s="39">
        <v>403.45</v>
      </c>
      <c r="AR1211" s="39">
        <v>489.61</v>
      </c>
    </row>
    <row r="1212" spans="1:44" x14ac:dyDescent="0.35">
      <c r="A1212" s="16" t="str">
        <f t="shared" si="100"/>
        <v>04</v>
      </c>
      <c r="B1212" s="19">
        <v>61531</v>
      </c>
      <c r="C1212" s="16" t="str">
        <f>TEXT(110338,"0000000")</f>
        <v>0110338</v>
      </c>
      <c r="D1212" s="17" t="s">
        <v>225</v>
      </c>
      <c r="E1212" s="16" t="s">
        <v>223</v>
      </c>
      <c r="F1212" s="16" t="s">
        <v>5</v>
      </c>
      <c r="G1212" s="35" t="s">
        <v>224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159.57</v>
      </c>
      <c r="AD1212" s="39">
        <v>132.55000000000001</v>
      </c>
      <c r="AE1212" s="39">
        <v>110.71</v>
      </c>
      <c r="AF1212" s="39">
        <v>0</v>
      </c>
      <c r="AG1212" s="39">
        <v>0</v>
      </c>
      <c r="AH1212" s="39">
        <v>0</v>
      </c>
      <c r="AI1212" s="39">
        <v>159.57</v>
      </c>
      <c r="AJ1212" s="39">
        <v>132.55000000000001</v>
      </c>
      <c r="AK1212" s="39">
        <v>110.71</v>
      </c>
      <c r="AL1212" s="39">
        <v>0</v>
      </c>
      <c r="AM1212" s="39">
        <v>0</v>
      </c>
      <c r="AN1212" s="39">
        <v>0</v>
      </c>
      <c r="AO1212" s="39">
        <v>159.57</v>
      </c>
      <c r="AP1212" s="39">
        <v>132.55000000000001</v>
      </c>
      <c r="AQ1212" s="39">
        <v>110.71</v>
      </c>
      <c r="AR1212" s="39">
        <v>159.57</v>
      </c>
    </row>
    <row r="1213" spans="1:44" x14ac:dyDescent="0.35">
      <c r="A1213" s="16" t="str">
        <f t="shared" ref="A1213:A1231" si="101">TEXT(7,"00")</f>
        <v>07</v>
      </c>
      <c r="B1213" s="19">
        <v>10074</v>
      </c>
      <c r="C1213" s="16" t="str">
        <f>TEXT(114470,"0000000")</f>
        <v>0114470</v>
      </c>
      <c r="D1213" s="17" t="s">
        <v>261</v>
      </c>
      <c r="E1213" s="16" t="s">
        <v>259</v>
      </c>
      <c r="F1213" s="16" t="s">
        <v>5</v>
      </c>
      <c r="G1213" s="35" t="s">
        <v>260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1008.39</v>
      </c>
      <c r="AD1213" s="39">
        <v>1028.76</v>
      </c>
      <c r="AE1213" s="39">
        <v>1042.8699999999999</v>
      </c>
      <c r="AF1213" s="39">
        <v>0</v>
      </c>
      <c r="AG1213" s="39">
        <v>0</v>
      </c>
      <c r="AH1213" s="39">
        <v>0</v>
      </c>
      <c r="AI1213" s="39">
        <v>1008.39</v>
      </c>
      <c r="AJ1213" s="39">
        <v>1028.76</v>
      </c>
      <c r="AK1213" s="39">
        <v>1042.8699999999999</v>
      </c>
      <c r="AL1213" s="39">
        <v>0</v>
      </c>
      <c r="AM1213" s="39">
        <v>0</v>
      </c>
      <c r="AN1213" s="39">
        <v>0</v>
      </c>
      <c r="AO1213" s="39">
        <v>1008.39</v>
      </c>
      <c r="AP1213" s="39">
        <v>1028.76</v>
      </c>
      <c r="AQ1213" s="39">
        <v>1042.8699999999999</v>
      </c>
      <c r="AR1213" s="39">
        <v>1042.8699999999999</v>
      </c>
    </row>
    <row r="1214" spans="1:44" x14ac:dyDescent="0.35">
      <c r="A1214" s="16" t="str">
        <f t="shared" si="101"/>
        <v>07</v>
      </c>
      <c r="B1214" s="19">
        <v>10074</v>
      </c>
      <c r="C1214" s="16" t="str">
        <f>TEXT(129528,"0000000")</f>
        <v>0129528</v>
      </c>
      <c r="D1214" s="19">
        <v>1622</v>
      </c>
      <c r="E1214" s="16" t="s">
        <v>262</v>
      </c>
      <c r="F1214" s="16" t="s">
        <v>5</v>
      </c>
      <c r="G1214" s="35" t="s">
        <v>263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905.05</v>
      </c>
      <c r="AD1214" s="39">
        <v>878.12</v>
      </c>
      <c r="AE1214" s="39">
        <v>824.2</v>
      </c>
      <c r="AF1214" s="39">
        <v>0</v>
      </c>
      <c r="AG1214" s="39">
        <v>0</v>
      </c>
      <c r="AH1214" s="39">
        <v>0</v>
      </c>
      <c r="AI1214" s="39">
        <v>905.05</v>
      </c>
      <c r="AJ1214" s="39">
        <v>878.12</v>
      </c>
      <c r="AK1214" s="39">
        <v>824.2</v>
      </c>
      <c r="AL1214" s="39">
        <v>0</v>
      </c>
      <c r="AM1214" s="39">
        <v>0</v>
      </c>
      <c r="AN1214" s="39">
        <v>0</v>
      </c>
      <c r="AO1214" s="39">
        <v>905.05</v>
      </c>
      <c r="AP1214" s="39">
        <v>878.12</v>
      </c>
      <c r="AQ1214" s="39">
        <v>824.2</v>
      </c>
      <c r="AR1214" s="39">
        <v>905.05</v>
      </c>
    </row>
    <row r="1215" spans="1:44" x14ac:dyDescent="0.35">
      <c r="A1215" s="16" t="str">
        <f t="shared" si="101"/>
        <v>07</v>
      </c>
      <c r="B1215" s="19">
        <v>10074</v>
      </c>
      <c r="C1215" s="16" t="str">
        <f>TEXT(129684,"0000000")</f>
        <v>0129684</v>
      </c>
      <c r="D1215" s="19">
        <v>1650</v>
      </c>
      <c r="E1215" s="16" t="s">
        <v>264</v>
      </c>
      <c r="F1215" s="16" t="s">
        <v>5</v>
      </c>
      <c r="G1215" s="35" t="s">
        <v>265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504.39</v>
      </c>
      <c r="AD1215" s="39">
        <v>502.75</v>
      </c>
      <c r="AE1215" s="39">
        <v>435.16</v>
      </c>
      <c r="AF1215" s="39">
        <v>0</v>
      </c>
      <c r="AG1215" s="39">
        <v>0</v>
      </c>
      <c r="AH1215" s="39">
        <v>0</v>
      </c>
      <c r="AI1215" s="39">
        <v>504.39</v>
      </c>
      <c r="AJ1215" s="39">
        <v>502.75</v>
      </c>
      <c r="AK1215" s="39">
        <v>435.16</v>
      </c>
      <c r="AL1215" s="39">
        <v>0</v>
      </c>
      <c r="AM1215" s="39">
        <v>0</v>
      </c>
      <c r="AN1215" s="39">
        <v>0</v>
      </c>
      <c r="AO1215" s="39">
        <v>504.39</v>
      </c>
      <c r="AP1215" s="39">
        <v>502.75</v>
      </c>
      <c r="AQ1215" s="39">
        <v>435.16</v>
      </c>
      <c r="AR1215" s="39">
        <v>504.39</v>
      </c>
    </row>
    <row r="1216" spans="1:44" x14ac:dyDescent="0.35">
      <c r="A1216" s="16" t="str">
        <f t="shared" si="101"/>
        <v>07</v>
      </c>
      <c r="B1216" s="19">
        <v>10074</v>
      </c>
      <c r="C1216" s="16" t="str">
        <f>TEXT(134114,"0000000")</f>
        <v>0134114</v>
      </c>
      <c r="D1216" s="19">
        <v>1773</v>
      </c>
      <c r="E1216" s="16" t="s">
        <v>266</v>
      </c>
      <c r="F1216" s="16" t="s">
        <v>5</v>
      </c>
      <c r="G1216" s="35" t="s">
        <v>267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248.04</v>
      </c>
      <c r="AD1216" s="39">
        <v>327.55</v>
      </c>
      <c r="AE1216" s="39">
        <v>314.58999999999997</v>
      </c>
      <c r="AF1216" s="39">
        <v>0</v>
      </c>
      <c r="AG1216" s="39">
        <v>0</v>
      </c>
      <c r="AH1216" s="39">
        <v>0</v>
      </c>
      <c r="AI1216" s="39">
        <v>248.04</v>
      </c>
      <c r="AJ1216" s="39">
        <v>327.55</v>
      </c>
      <c r="AK1216" s="39">
        <v>314.58999999999997</v>
      </c>
      <c r="AL1216" s="39">
        <v>0</v>
      </c>
      <c r="AM1216" s="39">
        <v>0</v>
      </c>
      <c r="AN1216" s="39">
        <v>0</v>
      </c>
      <c r="AO1216" s="39">
        <v>248.04</v>
      </c>
      <c r="AP1216" s="39">
        <v>327.55</v>
      </c>
      <c r="AQ1216" s="39">
        <v>314.58999999999997</v>
      </c>
      <c r="AR1216" s="39">
        <v>327.55</v>
      </c>
    </row>
    <row r="1217" spans="1:44" x14ac:dyDescent="0.35">
      <c r="A1217" s="16" t="str">
        <f t="shared" si="101"/>
        <v>07</v>
      </c>
      <c r="B1217" s="19">
        <v>10074</v>
      </c>
      <c r="C1217" s="16" t="str">
        <f>TEXT(137026,"0000000")</f>
        <v>0137026</v>
      </c>
      <c r="D1217" s="19">
        <v>1933</v>
      </c>
      <c r="E1217" s="16" t="s">
        <v>268</v>
      </c>
      <c r="F1217" s="16" t="s">
        <v>5</v>
      </c>
      <c r="G1217" s="35" t="s">
        <v>269</v>
      </c>
      <c r="H1217" s="39">
        <v>0</v>
      </c>
      <c r="I1217" s="39">
        <v>0</v>
      </c>
      <c r="J1217" s="39">
        <v>0</v>
      </c>
      <c r="K1217" s="39">
        <v>0</v>
      </c>
      <c r="L1217" s="39">
        <v>0</v>
      </c>
      <c r="M1217" s="39">
        <v>0</v>
      </c>
      <c r="N1217" s="39">
        <v>0</v>
      </c>
      <c r="O1217" s="39">
        <v>0</v>
      </c>
      <c r="P1217" s="39">
        <v>0</v>
      </c>
      <c r="Q1217" s="39">
        <v>0</v>
      </c>
      <c r="R1217" s="39">
        <v>0</v>
      </c>
      <c r="S1217" s="39">
        <v>0</v>
      </c>
      <c r="T1217" s="39">
        <v>0</v>
      </c>
      <c r="U1217" s="39">
        <v>0</v>
      </c>
      <c r="V1217" s="39">
        <v>0</v>
      </c>
      <c r="W1217" s="39">
        <v>0</v>
      </c>
      <c r="X1217" s="39">
        <v>0</v>
      </c>
      <c r="Y1217" s="39">
        <v>0</v>
      </c>
      <c r="Z1217" s="39">
        <v>0</v>
      </c>
      <c r="AA1217" s="39">
        <v>0</v>
      </c>
      <c r="AB1217" s="39">
        <v>0</v>
      </c>
      <c r="AC1217" s="39">
        <v>358.9</v>
      </c>
      <c r="AD1217" s="39">
        <v>336.53</v>
      </c>
      <c r="AE1217" s="39">
        <v>289.19</v>
      </c>
      <c r="AF1217" s="39">
        <v>0</v>
      </c>
      <c r="AG1217" s="39">
        <v>0</v>
      </c>
      <c r="AH1217" s="39">
        <v>0</v>
      </c>
      <c r="AI1217" s="39">
        <v>358.9</v>
      </c>
      <c r="AJ1217" s="39">
        <v>336.53</v>
      </c>
      <c r="AK1217" s="39">
        <v>289.19</v>
      </c>
      <c r="AL1217" s="39">
        <v>0</v>
      </c>
      <c r="AM1217" s="39">
        <v>0</v>
      </c>
      <c r="AN1217" s="39">
        <v>0</v>
      </c>
      <c r="AO1217" s="39">
        <v>358.9</v>
      </c>
      <c r="AP1217" s="39">
        <v>336.53</v>
      </c>
      <c r="AQ1217" s="39">
        <v>289.19</v>
      </c>
      <c r="AR1217" s="39">
        <v>358.9</v>
      </c>
    </row>
    <row r="1218" spans="1:44" x14ac:dyDescent="0.35">
      <c r="A1218" s="16" t="str">
        <f t="shared" si="101"/>
        <v>07</v>
      </c>
      <c r="B1218" s="19">
        <v>10074</v>
      </c>
      <c r="C1218" s="16" t="str">
        <f>TEXT(6118368,"0000000")</f>
        <v>6118368</v>
      </c>
      <c r="D1218" s="17" t="s">
        <v>274</v>
      </c>
      <c r="E1218" s="16" t="s">
        <v>272</v>
      </c>
      <c r="F1218" s="16" t="s">
        <v>5</v>
      </c>
      <c r="G1218" s="35" t="s">
        <v>273</v>
      </c>
      <c r="H1218" s="39">
        <v>0</v>
      </c>
      <c r="I1218" s="39">
        <v>0</v>
      </c>
      <c r="J1218" s="39">
        <v>0</v>
      </c>
      <c r="K1218" s="39">
        <v>0</v>
      </c>
      <c r="L1218" s="39">
        <v>0</v>
      </c>
      <c r="M1218" s="39">
        <v>0</v>
      </c>
      <c r="N1218" s="39">
        <v>0</v>
      </c>
      <c r="O1218" s="39">
        <v>0</v>
      </c>
      <c r="P1218" s="39">
        <v>0</v>
      </c>
      <c r="Q1218" s="39">
        <v>0</v>
      </c>
      <c r="R1218" s="39">
        <v>0</v>
      </c>
      <c r="S1218" s="39">
        <v>0</v>
      </c>
      <c r="T1218" s="39">
        <v>0</v>
      </c>
      <c r="U1218" s="39">
        <v>0</v>
      </c>
      <c r="V1218" s="39">
        <v>0</v>
      </c>
      <c r="W1218" s="39">
        <v>0</v>
      </c>
      <c r="X1218" s="39">
        <v>0</v>
      </c>
      <c r="Y1218" s="39">
        <v>0</v>
      </c>
      <c r="Z1218" s="39">
        <v>0</v>
      </c>
      <c r="AA1218" s="39">
        <v>0</v>
      </c>
      <c r="AB1218" s="39">
        <v>0</v>
      </c>
      <c r="AC1218" s="39">
        <v>79.94</v>
      </c>
      <c r="AD1218" s="39">
        <v>80.760000000000005</v>
      </c>
      <c r="AE1218" s="39">
        <v>70.08</v>
      </c>
      <c r="AF1218" s="39">
        <v>0</v>
      </c>
      <c r="AG1218" s="39">
        <v>0</v>
      </c>
      <c r="AH1218" s="39">
        <v>0</v>
      </c>
      <c r="AI1218" s="39">
        <v>79.94</v>
      </c>
      <c r="AJ1218" s="39">
        <v>80.760000000000005</v>
      </c>
      <c r="AK1218" s="39">
        <v>70.08</v>
      </c>
      <c r="AL1218" s="39">
        <v>0</v>
      </c>
      <c r="AM1218" s="39">
        <v>0</v>
      </c>
      <c r="AN1218" s="39">
        <v>0</v>
      </c>
      <c r="AO1218" s="39">
        <v>79.94</v>
      </c>
      <c r="AP1218" s="39">
        <v>80.760000000000005</v>
      </c>
      <c r="AQ1218" s="39">
        <v>70.08</v>
      </c>
      <c r="AR1218" s="39">
        <v>80.760000000000005</v>
      </c>
    </row>
    <row r="1219" spans="1:44" x14ac:dyDescent="0.35">
      <c r="A1219" s="16" t="str">
        <f t="shared" si="101"/>
        <v>07</v>
      </c>
      <c r="B1219" s="19">
        <v>10074</v>
      </c>
      <c r="C1219" s="16" t="str">
        <f>TEXT(731380,"0000000")</f>
        <v>0731380</v>
      </c>
      <c r="D1219" s="19">
        <v>1400</v>
      </c>
      <c r="E1219" s="16" t="s">
        <v>270</v>
      </c>
      <c r="F1219" s="16" t="s">
        <v>5</v>
      </c>
      <c r="G1219" s="35" t="s">
        <v>271</v>
      </c>
      <c r="H1219" s="39">
        <v>0</v>
      </c>
      <c r="I1219" s="39">
        <v>0</v>
      </c>
      <c r="J1219" s="39">
        <v>0</v>
      </c>
      <c r="K1219" s="39">
        <v>0</v>
      </c>
      <c r="L1219" s="39">
        <v>0</v>
      </c>
      <c r="M1219" s="39">
        <v>0</v>
      </c>
      <c r="N1219" s="39">
        <v>0</v>
      </c>
      <c r="O1219" s="39">
        <v>0</v>
      </c>
      <c r="P1219" s="39">
        <v>0</v>
      </c>
      <c r="Q1219" s="39">
        <v>0</v>
      </c>
      <c r="R1219" s="39">
        <v>0</v>
      </c>
      <c r="S1219" s="39">
        <v>0</v>
      </c>
      <c r="T1219" s="39">
        <v>0</v>
      </c>
      <c r="U1219" s="39">
        <v>0</v>
      </c>
      <c r="V1219" s="39">
        <v>0</v>
      </c>
      <c r="W1219" s="39">
        <v>0</v>
      </c>
      <c r="X1219" s="39">
        <v>0</v>
      </c>
      <c r="Y1219" s="39">
        <v>0</v>
      </c>
      <c r="Z1219" s="39">
        <v>0</v>
      </c>
      <c r="AA1219" s="39">
        <v>0</v>
      </c>
      <c r="AB1219" s="39">
        <v>0</v>
      </c>
      <c r="AC1219" s="39">
        <v>2204.23</v>
      </c>
      <c r="AD1219" s="39">
        <v>2273.21</v>
      </c>
      <c r="AE1219" s="39">
        <v>2222.48</v>
      </c>
      <c r="AF1219" s="39">
        <v>0</v>
      </c>
      <c r="AG1219" s="39">
        <v>0</v>
      </c>
      <c r="AH1219" s="39">
        <v>0</v>
      </c>
      <c r="AI1219" s="39">
        <v>2204.23</v>
      </c>
      <c r="AJ1219" s="39">
        <v>2273.21</v>
      </c>
      <c r="AK1219" s="39">
        <v>2222.48</v>
      </c>
      <c r="AL1219" s="39">
        <v>0</v>
      </c>
      <c r="AM1219" s="39">
        <v>0</v>
      </c>
      <c r="AN1219" s="39">
        <v>0</v>
      </c>
      <c r="AO1219" s="39">
        <v>2204.23</v>
      </c>
      <c r="AP1219" s="39">
        <v>2273.21</v>
      </c>
      <c r="AQ1219" s="39">
        <v>2222.48</v>
      </c>
      <c r="AR1219" s="39">
        <v>2273.21</v>
      </c>
    </row>
    <row r="1220" spans="1:44" x14ac:dyDescent="0.35">
      <c r="A1220" s="16" t="str">
        <f t="shared" si="101"/>
        <v>07</v>
      </c>
      <c r="B1220" s="19">
        <v>61648</v>
      </c>
      <c r="C1220" s="16" t="str">
        <f>TEXT(115063,"0000000")</f>
        <v>0115063</v>
      </c>
      <c r="D1220" s="17" t="s">
        <v>281</v>
      </c>
      <c r="E1220" s="16" t="s">
        <v>279</v>
      </c>
      <c r="F1220" s="16" t="s">
        <v>5</v>
      </c>
      <c r="G1220" s="35" t="s">
        <v>280</v>
      </c>
      <c r="H1220" s="39">
        <v>0</v>
      </c>
      <c r="I1220" s="39">
        <v>0</v>
      </c>
      <c r="J1220" s="39">
        <v>0</v>
      </c>
      <c r="K1220" s="39">
        <v>0</v>
      </c>
      <c r="L1220" s="39">
        <v>0</v>
      </c>
      <c r="M1220" s="39">
        <v>0</v>
      </c>
      <c r="N1220" s="39">
        <v>0</v>
      </c>
      <c r="O1220" s="39">
        <v>0</v>
      </c>
      <c r="P1220" s="39">
        <v>0</v>
      </c>
      <c r="Q1220" s="39">
        <v>0</v>
      </c>
      <c r="R1220" s="39">
        <v>0</v>
      </c>
      <c r="S1220" s="39">
        <v>0</v>
      </c>
      <c r="T1220" s="39">
        <v>0</v>
      </c>
      <c r="U1220" s="39">
        <v>0</v>
      </c>
      <c r="V1220" s="39">
        <v>0</v>
      </c>
      <c r="W1220" s="39">
        <v>0</v>
      </c>
      <c r="X1220" s="39">
        <v>0</v>
      </c>
      <c r="Y1220" s="39">
        <v>0</v>
      </c>
      <c r="Z1220" s="39">
        <v>0</v>
      </c>
      <c r="AA1220" s="39">
        <v>0</v>
      </c>
      <c r="AB1220" s="39">
        <v>0</v>
      </c>
      <c r="AC1220" s="39">
        <v>201.12</v>
      </c>
      <c r="AD1220" s="39">
        <v>197.2</v>
      </c>
      <c r="AE1220" s="39">
        <v>189.9</v>
      </c>
      <c r="AF1220" s="39">
        <v>0</v>
      </c>
      <c r="AG1220" s="39">
        <v>0</v>
      </c>
      <c r="AH1220" s="39">
        <v>0</v>
      </c>
      <c r="AI1220" s="39">
        <v>201.12</v>
      </c>
      <c r="AJ1220" s="39">
        <v>197.2</v>
      </c>
      <c r="AK1220" s="39">
        <v>189.9</v>
      </c>
      <c r="AL1220" s="39">
        <v>0</v>
      </c>
      <c r="AM1220" s="39">
        <v>0</v>
      </c>
      <c r="AN1220" s="39">
        <v>0</v>
      </c>
      <c r="AO1220" s="39">
        <v>201.12</v>
      </c>
      <c r="AP1220" s="39">
        <v>197.2</v>
      </c>
      <c r="AQ1220" s="39">
        <v>189.9</v>
      </c>
      <c r="AR1220" s="39">
        <v>201.12</v>
      </c>
    </row>
    <row r="1221" spans="1:44" x14ac:dyDescent="0.35">
      <c r="A1221" s="16" t="str">
        <f t="shared" si="101"/>
        <v>07</v>
      </c>
      <c r="B1221" s="19">
        <v>61648</v>
      </c>
      <c r="C1221" s="16" t="str">
        <f>TEXT(137430,"0000000")</f>
        <v>0137430</v>
      </c>
      <c r="D1221" s="19">
        <v>1965</v>
      </c>
      <c r="E1221" s="16" t="s">
        <v>282</v>
      </c>
      <c r="F1221" s="16" t="s">
        <v>5</v>
      </c>
      <c r="G1221" s="35" t="s">
        <v>283</v>
      </c>
      <c r="H1221" s="39">
        <v>0</v>
      </c>
      <c r="I1221" s="39">
        <v>0</v>
      </c>
      <c r="J1221" s="39">
        <v>0</v>
      </c>
      <c r="K1221" s="39">
        <v>0</v>
      </c>
      <c r="L1221" s="39">
        <v>0</v>
      </c>
      <c r="M1221" s="39">
        <v>0</v>
      </c>
      <c r="N1221" s="39">
        <v>0</v>
      </c>
      <c r="O1221" s="39">
        <v>0</v>
      </c>
      <c r="P1221" s="39">
        <v>0</v>
      </c>
      <c r="Q1221" s="39">
        <v>0</v>
      </c>
      <c r="R1221" s="39">
        <v>0</v>
      </c>
      <c r="S1221" s="39">
        <v>0</v>
      </c>
      <c r="T1221" s="39">
        <v>0</v>
      </c>
      <c r="U1221" s="39">
        <v>0</v>
      </c>
      <c r="V1221" s="39">
        <v>0</v>
      </c>
      <c r="W1221" s="39">
        <v>0</v>
      </c>
      <c r="X1221" s="39">
        <v>0</v>
      </c>
      <c r="Y1221" s="39">
        <v>0</v>
      </c>
      <c r="Z1221" s="39">
        <v>0</v>
      </c>
      <c r="AA1221" s="39">
        <v>0</v>
      </c>
      <c r="AB1221" s="39">
        <v>0</v>
      </c>
      <c r="AC1221" s="39">
        <v>476.07</v>
      </c>
      <c r="AD1221" s="39">
        <v>527.20000000000005</v>
      </c>
      <c r="AE1221" s="39">
        <v>503.49</v>
      </c>
      <c r="AF1221" s="39">
        <v>0</v>
      </c>
      <c r="AG1221" s="39">
        <v>0</v>
      </c>
      <c r="AH1221" s="39">
        <v>0</v>
      </c>
      <c r="AI1221" s="39">
        <v>476.07</v>
      </c>
      <c r="AJ1221" s="39">
        <v>527.20000000000005</v>
      </c>
      <c r="AK1221" s="39">
        <v>503.49</v>
      </c>
      <c r="AL1221" s="39">
        <v>0</v>
      </c>
      <c r="AM1221" s="39">
        <v>0</v>
      </c>
      <c r="AN1221" s="39">
        <v>0</v>
      </c>
      <c r="AO1221" s="39">
        <v>476.07</v>
      </c>
      <c r="AP1221" s="39">
        <v>527.20000000000005</v>
      </c>
      <c r="AQ1221" s="39">
        <v>503.49</v>
      </c>
      <c r="AR1221" s="39">
        <v>527.20000000000005</v>
      </c>
    </row>
    <row r="1222" spans="1:44" x14ac:dyDescent="0.35">
      <c r="A1222" s="16" t="str">
        <f t="shared" si="101"/>
        <v>07</v>
      </c>
      <c r="B1222" s="19">
        <v>61648</v>
      </c>
      <c r="C1222" s="16" t="str">
        <f>TEXT(6115703,"0000000")</f>
        <v>6115703</v>
      </c>
      <c r="D1222" s="17" t="s">
        <v>286</v>
      </c>
      <c r="E1222" s="16" t="s">
        <v>284</v>
      </c>
      <c r="F1222" s="16" t="s">
        <v>5</v>
      </c>
      <c r="G1222" s="35" t="s">
        <v>285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0</v>
      </c>
      <c r="Z1222" s="39">
        <v>0</v>
      </c>
      <c r="AA1222" s="39">
        <v>0</v>
      </c>
      <c r="AB1222" s="39">
        <v>0</v>
      </c>
      <c r="AC1222" s="39">
        <v>200.51</v>
      </c>
      <c r="AD1222" s="39">
        <v>201.97</v>
      </c>
      <c r="AE1222" s="39">
        <v>201.12</v>
      </c>
      <c r="AF1222" s="39">
        <v>0</v>
      </c>
      <c r="AG1222" s="39">
        <v>0</v>
      </c>
      <c r="AH1222" s="39">
        <v>0</v>
      </c>
      <c r="AI1222" s="39">
        <v>200.51</v>
      </c>
      <c r="AJ1222" s="39">
        <v>201.97</v>
      </c>
      <c r="AK1222" s="39">
        <v>201.12</v>
      </c>
      <c r="AL1222" s="39">
        <v>0</v>
      </c>
      <c r="AM1222" s="39">
        <v>0</v>
      </c>
      <c r="AN1222" s="39">
        <v>0</v>
      </c>
      <c r="AO1222" s="39">
        <v>200.51</v>
      </c>
      <c r="AP1222" s="39">
        <v>201.97</v>
      </c>
      <c r="AQ1222" s="39">
        <v>201.12</v>
      </c>
      <c r="AR1222" s="39">
        <v>201.97</v>
      </c>
    </row>
    <row r="1223" spans="1:44" x14ac:dyDescent="0.35">
      <c r="A1223" s="16" t="str">
        <f t="shared" si="101"/>
        <v>07</v>
      </c>
      <c r="B1223" s="19">
        <v>61663</v>
      </c>
      <c r="C1223" s="16" t="str">
        <f>TEXT(130930,"0000000")</f>
        <v>0130930</v>
      </c>
      <c r="D1223" s="19">
        <v>1684</v>
      </c>
      <c r="E1223" s="16" t="s">
        <v>291</v>
      </c>
      <c r="F1223" s="16" t="s">
        <v>5</v>
      </c>
      <c r="G1223" s="35" t="s">
        <v>292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0</v>
      </c>
      <c r="AC1223" s="39">
        <v>989.73</v>
      </c>
      <c r="AD1223" s="39">
        <v>942.47</v>
      </c>
      <c r="AE1223" s="39">
        <v>927.5</v>
      </c>
      <c r="AF1223" s="39">
        <v>0</v>
      </c>
      <c r="AG1223" s="39">
        <v>0</v>
      </c>
      <c r="AH1223" s="39">
        <v>0</v>
      </c>
      <c r="AI1223" s="39">
        <v>989.73</v>
      </c>
      <c r="AJ1223" s="39">
        <v>942.47</v>
      </c>
      <c r="AK1223" s="39">
        <v>927.5</v>
      </c>
      <c r="AL1223" s="39">
        <v>0</v>
      </c>
      <c r="AM1223" s="39">
        <v>0</v>
      </c>
      <c r="AN1223" s="39">
        <v>0</v>
      </c>
      <c r="AO1223" s="39">
        <v>989.73</v>
      </c>
      <c r="AP1223" s="39">
        <v>942.47</v>
      </c>
      <c r="AQ1223" s="39">
        <v>927.5</v>
      </c>
      <c r="AR1223" s="39">
        <v>989.73</v>
      </c>
    </row>
    <row r="1224" spans="1:44" x14ac:dyDescent="0.35">
      <c r="A1224" s="16" t="str">
        <f t="shared" si="101"/>
        <v>07</v>
      </c>
      <c r="B1224" s="19">
        <v>61754</v>
      </c>
      <c r="C1224" s="16" t="str">
        <f>TEXT(134072,"0000000")</f>
        <v>0134072</v>
      </c>
      <c r="D1224" s="19">
        <v>1805</v>
      </c>
      <c r="E1224" s="16" t="s">
        <v>307</v>
      </c>
      <c r="F1224" s="16" t="s">
        <v>5</v>
      </c>
      <c r="G1224" s="35" t="s">
        <v>308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620.41</v>
      </c>
      <c r="AD1224" s="39">
        <v>601.80999999999995</v>
      </c>
      <c r="AE1224" s="39">
        <v>598.99</v>
      </c>
      <c r="AF1224" s="39">
        <v>0</v>
      </c>
      <c r="AG1224" s="39">
        <v>0</v>
      </c>
      <c r="AH1224" s="39">
        <v>0</v>
      </c>
      <c r="AI1224" s="39">
        <v>620.41</v>
      </c>
      <c r="AJ1224" s="39">
        <v>601.80999999999995</v>
      </c>
      <c r="AK1224" s="39">
        <v>598.99</v>
      </c>
      <c r="AL1224" s="39">
        <v>0</v>
      </c>
      <c r="AM1224" s="39">
        <v>0</v>
      </c>
      <c r="AN1224" s="39">
        <v>0</v>
      </c>
      <c r="AO1224" s="39">
        <v>620.41</v>
      </c>
      <c r="AP1224" s="39">
        <v>601.80999999999995</v>
      </c>
      <c r="AQ1224" s="39">
        <v>598.99</v>
      </c>
      <c r="AR1224" s="39">
        <v>620.41</v>
      </c>
    </row>
    <row r="1225" spans="1:44" x14ac:dyDescent="0.35">
      <c r="A1225" s="16" t="str">
        <f t="shared" si="101"/>
        <v>07</v>
      </c>
      <c r="B1225" s="19">
        <v>61796</v>
      </c>
      <c r="C1225" s="16" t="str">
        <f>TEXT(101477,"0000000")</f>
        <v>0101477</v>
      </c>
      <c r="D1225" s="17" t="s">
        <v>319</v>
      </c>
      <c r="E1225" s="16" t="s">
        <v>317</v>
      </c>
      <c r="F1225" s="16" t="s">
        <v>5</v>
      </c>
      <c r="G1225" s="35" t="s">
        <v>318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502.07</v>
      </c>
      <c r="AD1225" s="39">
        <v>481.18</v>
      </c>
      <c r="AE1225" s="39">
        <v>492.39</v>
      </c>
      <c r="AF1225" s="39">
        <v>0</v>
      </c>
      <c r="AG1225" s="39">
        <v>0</v>
      </c>
      <c r="AH1225" s="39">
        <v>0</v>
      </c>
      <c r="AI1225" s="39">
        <v>502.07</v>
      </c>
      <c r="AJ1225" s="39">
        <v>481.18</v>
      </c>
      <c r="AK1225" s="39">
        <v>492.39</v>
      </c>
      <c r="AL1225" s="39">
        <v>0</v>
      </c>
      <c r="AM1225" s="39">
        <v>0</v>
      </c>
      <c r="AN1225" s="39">
        <v>0</v>
      </c>
      <c r="AO1225" s="39">
        <v>502.07</v>
      </c>
      <c r="AP1225" s="39">
        <v>481.18</v>
      </c>
      <c r="AQ1225" s="39">
        <v>492.39</v>
      </c>
      <c r="AR1225" s="39">
        <v>502.07</v>
      </c>
    </row>
    <row r="1226" spans="1:44" x14ac:dyDescent="0.35">
      <c r="A1226" s="16" t="str">
        <f t="shared" si="101"/>
        <v>07</v>
      </c>
      <c r="B1226" s="19">
        <v>61796</v>
      </c>
      <c r="C1226" s="16" t="str">
        <f>TEXT(126805,"0000000")</f>
        <v>0126805</v>
      </c>
      <c r="D1226" s="19">
        <v>1441</v>
      </c>
      <c r="E1226" s="16" t="s">
        <v>320</v>
      </c>
      <c r="F1226" s="16" t="s">
        <v>5</v>
      </c>
      <c r="G1226" s="35" t="s">
        <v>321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  <c r="W1226" s="39">
        <v>0</v>
      </c>
      <c r="X1226" s="39">
        <v>0</v>
      </c>
      <c r="Y1226" s="39">
        <v>0</v>
      </c>
      <c r="Z1226" s="39">
        <v>0</v>
      </c>
      <c r="AA1226" s="39">
        <v>0</v>
      </c>
      <c r="AB1226" s="39">
        <v>0</v>
      </c>
      <c r="AC1226" s="39">
        <v>270.08999999999997</v>
      </c>
      <c r="AD1226" s="39">
        <v>275.47000000000003</v>
      </c>
      <c r="AE1226" s="39">
        <v>297.97000000000003</v>
      </c>
      <c r="AF1226" s="39">
        <v>0</v>
      </c>
      <c r="AG1226" s="39">
        <v>0</v>
      </c>
      <c r="AH1226" s="39">
        <v>0</v>
      </c>
      <c r="AI1226" s="39">
        <v>270.08999999999997</v>
      </c>
      <c r="AJ1226" s="39">
        <v>275.47000000000003</v>
      </c>
      <c r="AK1226" s="39">
        <v>297.97000000000003</v>
      </c>
      <c r="AL1226" s="39">
        <v>0</v>
      </c>
      <c r="AM1226" s="39">
        <v>0</v>
      </c>
      <c r="AN1226" s="39">
        <v>0</v>
      </c>
      <c r="AO1226" s="39">
        <v>270.08999999999997</v>
      </c>
      <c r="AP1226" s="39">
        <v>275.47000000000003</v>
      </c>
      <c r="AQ1226" s="39">
        <v>297.97000000000003</v>
      </c>
      <c r="AR1226" s="39">
        <v>297.97000000000003</v>
      </c>
    </row>
    <row r="1227" spans="1:44" x14ac:dyDescent="0.35">
      <c r="A1227" s="16" t="str">
        <f t="shared" si="101"/>
        <v>07</v>
      </c>
      <c r="B1227" s="19">
        <v>61796</v>
      </c>
      <c r="C1227" s="16" t="str">
        <f>TEXT(129643,"0000000")</f>
        <v>0129643</v>
      </c>
      <c r="D1227" s="19">
        <v>1660</v>
      </c>
      <c r="E1227" s="16" t="s">
        <v>322</v>
      </c>
      <c r="F1227" s="16" t="s">
        <v>5</v>
      </c>
      <c r="G1227" s="35" t="s">
        <v>323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442.22</v>
      </c>
      <c r="AD1227" s="39">
        <v>422.65</v>
      </c>
      <c r="AE1227" s="39">
        <v>435.62</v>
      </c>
      <c r="AF1227" s="39">
        <v>0</v>
      </c>
      <c r="AG1227" s="39">
        <v>0</v>
      </c>
      <c r="AH1227" s="39">
        <v>0</v>
      </c>
      <c r="AI1227" s="39">
        <v>442.22</v>
      </c>
      <c r="AJ1227" s="39">
        <v>422.65</v>
      </c>
      <c r="AK1227" s="39">
        <v>435.62</v>
      </c>
      <c r="AL1227" s="39">
        <v>0</v>
      </c>
      <c r="AM1227" s="39">
        <v>0</v>
      </c>
      <c r="AN1227" s="39">
        <v>0</v>
      </c>
      <c r="AO1227" s="39">
        <v>442.22</v>
      </c>
      <c r="AP1227" s="39">
        <v>422.65</v>
      </c>
      <c r="AQ1227" s="39">
        <v>435.62</v>
      </c>
      <c r="AR1227" s="39">
        <v>442.22</v>
      </c>
    </row>
    <row r="1228" spans="1:44" ht="31" x14ac:dyDescent="0.35">
      <c r="A1228" s="16" t="str">
        <f t="shared" si="101"/>
        <v>07</v>
      </c>
      <c r="B1228" s="19">
        <v>61796</v>
      </c>
      <c r="C1228" s="16" t="str">
        <f>TEXT(132100,"0000000")</f>
        <v>0132100</v>
      </c>
      <c r="D1228" s="19">
        <v>1739</v>
      </c>
      <c r="E1228" s="16" t="s">
        <v>324</v>
      </c>
      <c r="F1228" s="16" t="s">
        <v>5</v>
      </c>
      <c r="G1228" s="35" t="s">
        <v>325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554.42999999999995</v>
      </c>
      <c r="AD1228" s="39">
        <v>561.73</v>
      </c>
      <c r="AE1228" s="39">
        <v>560.49</v>
      </c>
      <c r="AF1228" s="39">
        <v>0</v>
      </c>
      <c r="AG1228" s="39">
        <v>0</v>
      </c>
      <c r="AH1228" s="39">
        <v>0</v>
      </c>
      <c r="AI1228" s="39">
        <v>554.42999999999995</v>
      </c>
      <c r="AJ1228" s="39">
        <v>561.73</v>
      </c>
      <c r="AK1228" s="39">
        <v>560.49</v>
      </c>
      <c r="AL1228" s="39">
        <v>0</v>
      </c>
      <c r="AM1228" s="39">
        <v>0</v>
      </c>
      <c r="AN1228" s="39">
        <v>0</v>
      </c>
      <c r="AO1228" s="39">
        <v>554.42999999999995</v>
      </c>
      <c r="AP1228" s="39">
        <v>561.73</v>
      </c>
      <c r="AQ1228" s="39">
        <v>560.49</v>
      </c>
      <c r="AR1228" s="39">
        <v>561.73</v>
      </c>
    </row>
    <row r="1229" spans="1:44" x14ac:dyDescent="0.35">
      <c r="A1229" s="16" t="str">
        <f t="shared" si="101"/>
        <v>07</v>
      </c>
      <c r="B1229" s="19">
        <v>61796</v>
      </c>
      <c r="C1229" s="16" t="str">
        <f>TEXT(132118,"0000000")</f>
        <v>0132118</v>
      </c>
      <c r="D1229" s="19">
        <v>1740</v>
      </c>
      <c r="E1229" s="16" t="s">
        <v>326</v>
      </c>
      <c r="F1229" s="16" t="s">
        <v>5</v>
      </c>
      <c r="G1229" s="35" t="s">
        <v>327</v>
      </c>
      <c r="H1229" s="39">
        <v>0</v>
      </c>
      <c r="I1229" s="39">
        <v>0</v>
      </c>
      <c r="J1229" s="39">
        <v>0</v>
      </c>
      <c r="K1229" s="39">
        <v>0</v>
      </c>
      <c r="L1229" s="39">
        <v>0</v>
      </c>
      <c r="M1229" s="39">
        <v>0</v>
      </c>
      <c r="N1229" s="39">
        <v>0</v>
      </c>
      <c r="O1229" s="39">
        <v>0</v>
      </c>
      <c r="P1229" s="39">
        <v>0</v>
      </c>
      <c r="Q1229" s="39">
        <v>0</v>
      </c>
      <c r="R1229" s="39">
        <v>0</v>
      </c>
      <c r="S1229" s="39">
        <v>0</v>
      </c>
      <c r="T1229" s="39">
        <v>0</v>
      </c>
      <c r="U1229" s="39">
        <v>0</v>
      </c>
      <c r="V1229" s="39">
        <v>0</v>
      </c>
      <c r="W1229" s="39">
        <v>0</v>
      </c>
      <c r="X1229" s="39">
        <v>0</v>
      </c>
      <c r="Y1229" s="39">
        <v>0</v>
      </c>
      <c r="Z1229" s="39">
        <v>0</v>
      </c>
      <c r="AA1229" s="39">
        <v>0</v>
      </c>
      <c r="AB1229" s="39">
        <v>0</v>
      </c>
      <c r="AC1229" s="39">
        <v>541.24</v>
      </c>
      <c r="AD1229" s="39">
        <v>518.44000000000005</v>
      </c>
      <c r="AE1229" s="39">
        <v>493.87</v>
      </c>
      <c r="AF1229" s="39">
        <v>0</v>
      </c>
      <c r="AG1229" s="39">
        <v>0</v>
      </c>
      <c r="AH1229" s="39">
        <v>0</v>
      </c>
      <c r="AI1229" s="39">
        <v>541.24</v>
      </c>
      <c r="AJ1229" s="39">
        <v>518.44000000000005</v>
      </c>
      <c r="AK1229" s="39">
        <v>493.87</v>
      </c>
      <c r="AL1229" s="39">
        <v>0</v>
      </c>
      <c r="AM1229" s="39">
        <v>0</v>
      </c>
      <c r="AN1229" s="39">
        <v>0</v>
      </c>
      <c r="AO1229" s="39">
        <v>541.24</v>
      </c>
      <c r="AP1229" s="39">
        <v>518.44000000000005</v>
      </c>
      <c r="AQ1229" s="39">
        <v>493.87</v>
      </c>
      <c r="AR1229" s="39">
        <v>541.24</v>
      </c>
    </row>
    <row r="1230" spans="1:44" x14ac:dyDescent="0.35">
      <c r="A1230" s="16" t="str">
        <f t="shared" si="101"/>
        <v>07</v>
      </c>
      <c r="B1230" s="19">
        <v>61796</v>
      </c>
      <c r="C1230" s="16" t="str">
        <f>TEXT(133637,"0000000")</f>
        <v>0133637</v>
      </c>
      <c r="D1230" s="19">
        <v>1774</v>
      </c>
      <c r="E1230" s="16" t="s">
        <v>328</v>
      </c>
      <c r="F1230" s="16" t="s">
        <v>5</v>
      </c>
      <c r="G1230" s="35" t="s">
        <v>329</v>
      </c>
      <c r="H1230" s="39">
        <v>0</v>
      </c>
      <c r="I1230" s="39">
        <v>0</v>
      </c>
      <c r="J1230" s="39">
        <v>0</v>
      </c>
      <c r="K1230" s="39">
        <v>0</v>
      </c>
      <c r="L1230" s="39">
        <v>0</v>
      </c>
      <c r="M1230" s="39">
        <v>0</v>
      </c>
      <c r="N1230" s="39">
        <v>0</v>
      </c>
      <c r="O1230" s="39">
        <v>0</v>
      </c>
      <c r="P1230" s="39">
        <v>0</v>
      </c>
      <c r="Q1230" s="39">
        <v>0</v>
      </c>
      <c r="R1230" s="39">
        <v>0</v>
      </c>
      <c r="S1230" s="39">
        <v>0</v>
      </c>
      <c r="T1230" s="39">
        <v>0</v>
      </c>
      <c r="U1230" s="39">
        <v>0</v>
      </c>
      <c r="V1230" s="39">
        <v>0</v>
      </c>
      <c r="W1230" s="39">
        <v>0</v>
      </c>
      <c r="X1230" s="39">
        <v>0</v>
      </c>
      <c r="Y1230" s="39">
        <v>0</v>
      </c>
      <c r="Z1230" s="39">
        <v>0</v>
      </c>
      <c r="AA1230" s="39">
        <v>0</v>
      </c>
      <c r="AB1230" s="39">
        <v>0</v>
      </c>
      <c r="AC1230" s="39">
        <v>576.69000000000005</v>
      </c>
      <c r="AD1230" s="39">
        <v>597.1</v>
      </c>
      <c r="AE1230" s="39">
        <v>561.58000000000004</v>
      </c>
      <c r="AF1230" s="39">
        <v>0</v>
      </c>
      <c r="AG1230" s="39">
        <v>0</v>
      </c>
      <c r="AH1230" s="39">
        <v>0</v>
      </c>
      <c r="AI1230" s="39">
        <v>576.69000000000005</v>
      </c>
      <c r="AJ1230" s="39">
        <v>597.1</v>
      </c>
      <c r="AK1230" s="39">
        <v>561.58000000000004</v>
      </c>
      <c r="AL1230" s="39">
        <v>0</v>
      </c>
      <c r="AM1230" s="39">
        <v>0</v>
      </c>
      <c r="AN1230" s="39">
        <v>0</v>
      </c>
      <c r="AO1230" s="39">
        <v>576.69000000000005</v>
      </c>
      <c r="AP1230" s="39">
        <v>597.1</v>
      </c>
      <c r="AQ1230" s="39">
        <v>561.58000000000004</v>
      </c>
      <c r="AR1230" s="39">
        <v>597.1</v>
      </c>
    </row>
    <row r="1231" spans="1:44" x14ac:dyDescent="0.35">
      <c r="A1231" s="16" t="str">
        <f t="shared" si="101"/>
        <v>07</v>
      </c>
      <c r="B1231" s="19">
        <v>77354</v>
      </c>
      <c r="C1231" s="16" t="str">
        <f>TEXT(132233,"0000000")</f>
        <v>0132233</v>
      </c>
      <c r="D1231" s="19">
        <v>1741</v>
      </c>
      <c r="E1231" s="16" t="s">
        <v>336</v>
      </c>
      <c r="F1231" s="16" t="s">
        <v>5</v>
      </c>
      <c r="G1231" s="35" t="s">
        <v>337</v>
      </c>
      <c r="H1231" s="39">
        <v>0</v>
      </c>
      <c r="I1231" s="39">
        <v>0</v>
      </c>
      <c r="J1231" s="39">
        <v>0</v>
      </c>
      <c r="K1231" s="39">
        <v>0</v>
      </c>
      <c r="L1231" s="39">
        <v>0</v>
      </c>
      <c r="M1231" s="39">
        <v>0</v>
      </c>
      <c r="N1231" s="39">
        <v>0</v>
      </c>
      <c r="O1231" s="39">
        <v>0</v>
      </c>
      <c r="P1231" s="39">
        <v>0</v>
      </c>
      <c r="Q1231" s="39">
        <v>0</v>
      </c>
      <c r="R1231" s="39">
        <v>0</v>
      </c>
      <c r="S1231" s="39">
        <v>0</v>
      </c>
      <c r="T1231" s="39">
        <v>0</v>
      </c>
      <c r="U1231" s="39">
        <v>0</v>
      </c>
      <c r="V1231" s="39">
        <v>0</v>
      </c>
      <c r="W1231" s="39">
        <v>0</v>
      </c>
      <c r="X1231" s="39">
        <v>0</v>
      </c>
      <c r="Y1231" s="39">
        <v>0</v>
      </c>
      <c r="Z1231" s="39">
        <v>0</v>
      </c>
      <c r="AA1231" s="39">
        <v>0</v>
      </c>
      <c r="AB1231" s="39">
        <v>0</v>
      </c>
      <c r="AC1231" s="39">
        <v>311.85000000000002</v>
      </c>
      <c r="AD1231" s="39">
        <v>277.72000000000003</v>
      </c>
      <c r="AE1231" s="39">
        <v>334.26</v>
      </c>
      <c r="AF1231" s="39">
        <v>0</v>
      </c>
      <c r="AG1231" s="39">
        <v>0</v>
      </c>
      <c r="AH1231" s="39">
        <v>0</v>
      </c>
      <c r="AI1231" s="39">
        <v>311.85000000000002</v>
      </c>
      <c r="AJ1231" s="39">
        <v>277.72000000000003</v>
      </c>
      <c r="AK1231" s="39">
        <v>334.26</v>
      </c>
      <c r="AL1231" s="39">
        <v>0</v>
      </c>
      <c r="AM1231" s="39">
        <v>0</v>
      </c>
      <c r="AN1231" s="39">
        <v>0</v>
      </c>
      <c r="AO1231" s="39">
        <v>311.85000000000002</v>
      </c>
      <c r="AP1231" s="39">
        <v>277.72000000000003</v>
      </c>
      <c r="AQ1231" s="39">
        <v>334.26</v>
      </c>
      <c r="AR1231" s="39">
        <v>334.26</v>
      </c>
    </row>
    <row r="1232" spans="1:44" x14ac:dyDescent="0.35">
      <c r="A1232" s="16" t="str">
        <f>TEXT(9,"00")</f>
        <v>09</v>
      </c>
      <c r="B1232" s="19">
        <v>10090</v>
      </c>
      <c r="C1232" s="16" t="str">
        <f>TEXT(136036,"0000000")</f>
        <v>0136036</v>
      </c>
      <c r="D1232" s="19">
        <v>1880</v>
      </c>
      <c r="E1232" s="16" t="s">
        <v>346</v>
      </c>
      <c r="F1232" s="16" t="s">
        <v>5</v>
      </c>
      <c r="G1232" s="35" t="s">
        <v>347</v>
      </c>
      <c r="H1232" s="39">
        <v>0</v>
      </c>
      <c r="I1232" s="39">
        <v>0</v>
      </c>
      <c r="J1232" s="39">
        <v>0</v>
      </c>
      <c r="K1232" s="39">
        <v>0</v>
      </c>
      <c r="L1232" s="39">
        <v>0</v>
      </c>
      <c r="M1232" s="39">
        <v>0</v>
      </c>
      <c r="N1232" s="39">
        <v>0</v>
      </c>
      <c r="O1232" s="39">
        <v>0</v>
      </c>
      <c r="P1232" s="39">
        <v>0</v>
      </c>
      <c r="Q1232" s="39">
        <v>0</v>
      </c>
      <c r="R1232" s="39">
        <v>0</v>
      </c>
      <c r="S1232" s="39">
        <v>0</v>
      </c>
      <c r="T1232" s="39">
        <v>0</v>
      </c>
      <c r="U1232" s="39">
        <v>0</v>
      </c>
      <c r="V1232" s="39">
        <v>0</v>
      </c>
      <c r="W1232" s="39">
        <v>0</v>
      </c>
      <c r="X1232" s="39">
        <v>0</v>
      </c>
      <c r="Y1232" s="39">
        <v>0</v>
      </c>
      <c r="Z1232" s="39">
        <v>0</v>
      </c>
      <c r="AA1232" s="39">
        <v>0</v>
      </c>
      <c r="AB1232" s="39">
        <v>0</v>
      </c>
      <c r="AC1232" s="39">
        <v>1489.09</v>
      </c>
      <c r="AD1232" s="39">
        <v>1409.21</v>
      </c>
      <c r="AE1232" s="39">
        <v>1126.27</v>
      </c>
      <c r="AF1232" s="39">
        <v>0</v>
      </c>
      <c r="AG1232" s="39">
        <v>0</v>
      </c>
      <c r="AH1232" s="39">
        <v>0</v>
      </c>
      <c r="AI1232" s="39">
        <v>1489.09</v>
      </c>
      <c r="AJ1232" s="39">
        <v>1409.21</v>
      </c>
      <c r="AK1232" s="39">
        <v>1126.27</v>
      </c>
      <c r="AL1232" s="39">
        <v>0</v>
      </c>
      <c r="AM1232" s="39">
        <v>0</v>
      </c>
      <c r="AN1232" s="39">
        <v>0</v>
      </c>
      <c r="AO1232" s="39">
        <v>1489.09</v>
      </c>
      <c r="AP1232" s="39">
        <v>1409.21</v>
      </c>
      <c r="AQ1232" s="39">
        <v>1126.27</v>
      </c>
      <c r="AR1232" s="39">
        <v>1489.09</v>
      </c>
    </row>
    <row r="1233" spans="1:44" x14ac:dyDescent="0.35">
      <c r="A1233" s="16" t="str">
        <f>TEXT(9,"00")</f>
        <v>09</v>
      </c>
      <c r="B1233" s="19">
        <v>61838</v>
      </c>
      <c r="C1233" s="16" t="str">
        <f>TEXT(129965,"0000000")</f>
        <v>0129965</v>
      </c>
      <c r="D1233" s="19">
        <v>1655</v>
      </c>
      <c r="E1233" s="16" t="s">
        <v>355</v>
      </c>
      <c r="F1233" s="16" t="s">
        <v>5</v>
      </c>
      <c r="G1233" s="35" t="s">
        <v>356</v>
      </c>
      <c r="H1233" s="39">
        <v>0</v>
      </c>
      <c r="I1233" s="39">
        <v>0</v>
      </c>
      <c r="J1233" s="39">
        <v>0</v>
      </c>
      <c r="K1233" s="39">
        <v>0</v>
      </c>
      <c r="L1233" s="39">
        <v>0</v>
      </c>
      <c r="M1233" s="39">
        <v>0</v>
      </c>
      <c r="N1233" s="39">
        <v>0</v>
      </c>
      <c r="O1233" s="39">
        <v>0</v>
      </c>
      <c r="P1233" s="39">
        <v>0</v>
      </c>
      <c r="Q1233" s="39">
        <v>0</v>
      </c>
      <c r="R1233" s="39">
        <v>0</v>
      </c>
      <c r="S1233" s="39">
        <v>0</v>
      </c>
      <c r="T1233" s="39">
        <v>0</v>
      </c>
      <c r="U1233" s="39">
        <v>0</v>
      </c>
      <c r="V1233" s="39">
        <v>0</v>
      </c>
      <c r="W1233" s="39">
        <v>0</v>
      </c>
      <c r="X1233" s="39">
        <v>0</v>
      </c>
      <c r="Y1233" s="39">
        <v>0</v>
      </c>
      <c r="Z1233" s="39">
        <v>0</v>
      </c>
      <c r="AA1233" s="39">
        <v>0</v>
      </c>
      <c r="AB1233" s="39">
        <v>0</v>
      </c>
      <c r="AC1233" s="39">
        <v>148.18</v>
      </c>
      <c r="AD1233" s="39">
        <v>129.99</v>
      </c>
      <c r="AE1233" s="39">
        <v>124.75</v>
      </c>
      <c r="AF1233" s="39">
        <v>0</v>
      </c>
      <c r="AG1233" s="39">
        <v>0</v>
      </c>
      <c r="AH1233" s="39">
        <v>0</v>
      </c>
      <c r="AI1233" s="39">
        <v>148.18</v>
      </c>
      <c r="AJ1233" s="39">
        <v>129.99</v>
      </c>
      <c r="AK1233" s="39">
        <v>124.75</v>
      </c>
      <c r="AL1233" s="39">
        <v>0</v>
      </c>
      <c r="AM1233" s="39">
        <v>0</v>
      </c>
      <c r="AN1233" s="39">
        <v>0</v>
      </c>
      <c r="AO1233" s="39">
        <v>148.18</v>
      </c>
      <c r="AP1233" s="39">
        <v>129.99</v>
      </c>
      <c r="AQ1233" s="39">
        <v>124.75</v>
      </c>
      <c r="AR1233" s="39">
        <v>148.18</v>
      </c>
    </row>
    <row r="1234" spans="1:44" x14ac:dyDescent="0.35">
      <c r="A1234" s="16" t="str">
        <f>TEXT(9,"00")</f>
        <v>09</v>
      </c>
      <c r="B1234" s="19">
        <v>61838</v>
      </c>
      <c r="C1234" s="16" t="str">
        <f>TEXT(136200,"0000000")</f>
        <v>0136200</v>
      </c>
      <c r="D1234" s="19">
        <v>1891</v>
      </c>
      <c r="E1234" s="16" t="s">
        <v>357</v>
      </c>
      <c r="F1234" s="16" t="s">
        <v>5</v>
      </c>
      <c r="G1234" s="35" t="s">
        <v>358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2341.17</v>
      </c>
      <c r="AD1234" s="39">
        <v>2135.44</v>
      </c>
      <c r="AE1234" s="39">
        <v>1939.89</v>
      </c>
      <c r="AF1234" s="39">
        <v>0</v>
      </c>
      <c r="AG1234" s="39">
        <v>0</v>
      </c>
      <c r="AH1234" s="39">
        <v>0</v>
      </c>
      <c r="AI1234" s="39">
        <v>2341.17</v>
      </c>
      <c r="AJ1234" s="39">
        <v>2135.44</v>
      </c>
      <c r="AK1234" s="39">
        <v>1939.89</v>
      </c>
      <c r="AL1234" s="39">
        <v>0</v>
      </c>
      <c r="AM1234" s="39">
        <v>0</v>
      </c>
      <c r="AN1234" s="39">
        <v>0</v>
      </c>
      <c r="AO1234" s="39">
        <v>2341.17</v>
      </c>
      <c r="AP1234" s="39">
        <v>2135.44</v>
      </c>
      <c r="AQ1234" s="39">
        <v>1939.89</v>
      </c>
      <c r="AR1234" s="39">
        <v>2341.17</v>
      </c>
    </row>
    <row r="1235" spans="1:44" x14ac:dyDescent="0.35">
      <c r="A1235" s="16" t="str">
        <f>TEXT(9,"00")</f>
        <v>09</v>
      </c>
      <c r="B1235" s="19">
        <v>61838</v>
      </c>
      <c r="C1235" s="16" t="str">
        <f>TEXT(139006,"0000000")</f>
        <v>0139006</v>
      </c>
      <c r="D1235" s="19">
        <v>1964</v>
      </c>
      <c r="E1235" s="16" t="s">
        <v>359</v>
      </c>
      <c r="F1235" s="16" t="s">
        <v>5</v>
      </c>
      <c r="G1235" s="35" t="s">
        <v>360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0</v>
      </c>
      <c r="AB1235" s="39">
        <v>0</v>
      </c>
      <c r="AC1235" s="39">
        <v>3522.17</v>
      </c>
      <c r="AD1235" s="39">
        <v>3092.04</v>
      </c>
      <c r="AE1235" s="39">
        <v>2790.15</v>
      </c>
      <c r="AF1235" s="39">
        <v>0</v>
      </c>
      <c r="AG1235" s="39">
        <v>0</v>
      </c>
      <c r="AH1235" s="39">
        <v>0</v>
      </c>
      <c r="AI1235" s="39">
        <v>3522.17</v>
      </c>
      <c r="AJ1235" s="39">
        <v>3092.04</v>
      </c>
      <c r="AK1235" s="39">
        <v>2790.15</v>
      </c>
      <c r="AL1235" s="39">
        <v>0</v>
      </c>
      <c r="AM1235" s="39">
        <v>0</v>
      </c>
      <c r="AN1235" s="39">
        <v>0</v>
      </c>
      <c r="AO1235" s="39">
        <v>3522.17</v>
      </c>
      <c r="AP1235" s="39">
        <v>3092.04</v>
      </c>
      <c r="AQ1235" s="39">
        <v>2790.15</v>
      </c>
      <c r="AR1235" s="39">
        <v>3522.17</v>
      </c>
    </row>
    <row r="1236" spans="1:44" x14ac:dyDescent="0.35">
      <c r="A1236" s="16" t="str">
        <f t="shared" ref="A1236:A1241" si="102">TEXT(10,"00")</f>
        <v>10</v>
      </c>
      <c r="B1236" s="19">
        <v>62166</v>
      </c>
      <c r="C1236" s="16" t="str">
        <f>TEXT(106740,"0000000")</f>
        <v>0106740</v>
      </c>
      <c r="D1236" s="17" t="s">
        <v>425</v>
      </c>
      <c r="E1236" s="16" t="s">
        <v>423</v>
      </c>
      <c r="F1236" s="16" t="s">
        <v>5</v>
      </c>
      <c r="G1236" s="35" t="s">
        <v>424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  <c r="W1236" s="39">
        <v>0</v>
      </c>
      <c r="X1236" s="39">
        <v>0</v>
      </c>
      <c r="Y1236" s="39">
        <v>0</v>
      </c>
      <c r="Z1236" s="39">
        <v>0</v>
      </c>
      <c r="AA1236" s="39">
        <v>0</v>
      </c>
      <c r="AB1236" s="39">
        <v>0</v>
      </c>
      <c r="AC1236" s="39">
        <v>292.42</v>
      </c>
      <c r="AD1236" s="39">
        <v>317.45</v>
      </c>
      <c r="AE1236" s="39">
        <v>301.16000000000003</v>
      </c>
      <c r="AF1236" s="39">
        <v>0</v>
      </c>
      <c r="AG1236" s="39">
        <v>0</v>
      </c>
      <c r="AH1236" s="39">
        <v>0</v>
      </c>
      <c r="AI1236" s="39">
        <v>292.42</v>
      </c>
      <c r="AJ1236" s="39">
        <v>317.45</v>
      </c>
      <c r="AK1236" s="39">
        <v>301.16000000000003</v>
      </c>
      <c r="AL1236" s="39">
        <v>0</v>
      </c>
      <c r="AM1236" s="39">
        <v>0</v>
      </c>
      <c r="AN1236" s="39">
        <v>0</v>
      </c>
      <c r="AO1236" s="39">
        <v>292.42</v>
      </c>
      <c r="AP1236" s="39">
        <v>317.45</v>
      </c>
      <c r="AQ1236" s="39">
        <v>301.16000000000003</v>
      </c>
      <c r="AR1236" s="39">
        <v>317.45</v>
      </c>
    </row>
    <row r="1237" spans="1:44" x14ac:dyDescent="0.35">
      <c r="A1237" s="16" t="str">
        <f t="shared" si="102"/>
        <v>10</v>
      </c>
      <c r="B1237" s="19">
        <v>62166</v>
      </c>
      <c r="C1237" s="16" t="str">
        <f>TEXT(114355,"0000000")</f>
        <v>0114355</v>
      </c>
      <c r="D1237" s="17" t="s">
        <v>428</v>
      </c>
      <c r="E1237" s="16" t="s">
        <v>426</v>
      </c>
      <c r="F1237" s="16" t="s">
        <v>5</v>
      </c>
      <c r="G1237" s="35" t="s">
        <v>427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0</v>
      </c>
      <c r="AA1237" s="39">
        <v>0</v>
      </c>
      <c r="AB1237" s="39">
        <v>0</v>
      </c>
      <c r="AC1237" s="39">
        <v>357.82</v>
      </c>
      <c r="AD1237" s="39">
        <v>358.33</v>
      </c>
      <c r="AE1237" s="39">
        <v>330.56</v>
      </c>
      <c r="AF1237" s="39">
        <v>0</v>
      </c>
      <c r="AG1237" s="39">
        <v>0</v>
      </c>
      <c r="AH1237" s="39">
        <v>0</v>
      </c>
      <c r="AI1237" s="39">
        <v>357.82</v>
      </c>
      <c r="AJ1237" s="39">
        <v>358.33</v>
      </c>
      <c r="AK1237" s="39">
        <v>330.56</v>
      </c>
      <c r="AL1237" s="39">
        <v>0</v>
      </c>
      <c r="AM1237" s="39">
        <v>0</v>
      </c>
      <c r="AN1237" s="39">
        <v>0</v>
      </c>
      <c r="AO1237" s="39">
        <v>357.82</v>
      </c>
      <c r="AP1237" s="39">
        <v>358.33</v>
      </c>
      <c r="AQ1237" s="39">
        <v>330.56</v>
      </c>
      <c r="AR1237" s="39">
        <v>358.33</v>
      </c>
    </row>
    <row r="1238" spans="1:44" x14ac:dyDescent="0.35">
      <c r="A1238" s="16" t="str">
        <f t="shared" si="102"/>
        <v>10</v>
      </c>
      <c r="B1238" s="19">
        <v>62166</v>
      </c>
      <c r="C1238" s="16" t="str">
        <f>TEXT(133942,"0000000")</f>
        <v>0133942</v>
      </c>
      <c r="D1238" s="19">
        <v>1792</v>
      </c>
      <c r="E1238" s="16" t="s">
        <v>432</v>
      </c>
      <c r="F1238" s="16" t="s">
        <v>5</v>
      </c>
      <c r="G1238" s="35" t="s">
        <v>433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0</v>
      </c>
      <c r="AA1238" s="39">
        <v>0</v>
      </c>
      <c r="AB1238" s="39">
        <v>0</v>
      </c>
      <c r="AC1238" s="39">
        <v>265.83</v>
      </c>
      <c r="AD1238" s="39">
        <v>270.5</v>
      </c>
      <c r="AE1238" s="39">
        <v>264.08999999999997</v>
      </c>
      <c r="AF1238" s="39">
        <v>0</v>
      </c>
      <c r="AG1238" s="39">
        <v>0</v>
      </c>
      <c r="AH1238" s="39">
        <v>0</v>
      </c>
      <c r="AI1238" s="39">
        <v>265.83</v>
      </c>
      <c r="AJ1238" s="39">
        <v>270.5</v>
      </c>
      <c r="AK1238" s="39">
        <v>264.08999999999997</v>
      </c>
      <c r="AL1238" s="39">
        <v>0</v>
      </c>
      <c r="AM1238" s="39">
        <v>0</v>
      </c>
      <c r="AN1238" s="39">
        <v>0</v>
      </c>
      <c r="AO1238" s="39">
        <v>265.83</v>
      </c>
      <c r="AP1238" s="39">
        <v>270.5</v>
      </c>
      <c r="AQ1238" s="39">
        <v>264.08999999999997</v>
      </c>
      <c r="AR1238" s="39">
        <v>270.5</v>
      </c>
    </row>
    <row r="1239" spans="1:44" x14ac:dyDescent="0.35">
      <c r="A1239" s="16" t="str">
        <f t="shared" si="102"/>
        <v>10</v>
      </c>
      <c r="B1239" s="19">
        <v>62166</v>
      </c>
      <c r="C1239" s="16" t="str">
        <f>TEXT(140806,"0000000")</f>
        <v>0140806</v>
      </c>
      <c r="D1239" s="19">
        <v>2115</v>
      </c>
      <c r="E1239" s="16" t="s">
        <v>438</v>
      </c>
      <c r="F1239" s="16" t="s">
        <v>5</v>
      </c>
      <c r="G1239" s="35" t="s">
        <v>439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216.04</v>
      </c>
      <c r="AD1239" s="39">
        <v>196.4</v>
      </c>
      <c r="AE1239" s="39">
        <v>154.41999999999999</v>
      </c>
      <c r="AF1239" s="39">
        <v>0</v>
      </c>
      <c r="AG1239" s="39">
        <v>0</v>
      </c>
      <c r="AH1239" s="39">
        <v>0</v>
      </c>
      <c r="AI1239" s="39">
        <v>216.04</v>
      </c>
      <c r="AJ1239" s="39">
        <v>196.4</v>
      </c>
      <c r="AK1239" s="39">
        <v>154.41999999999999</v>
      </c>
      <c r="AL1239" s="39">
        <v>0</v>
      </c>
      <c r="AM1239" s="39">
        <v>0</v>
      </c>
      <c r="AN1239" s="39">
        <v>0</v>
      </c>
      <c r="AO1239" s="39">
        <v>216.04</v>
      </c>
      <c r="AP1239" s="39">
        <v>196.4</v>
      </c>
      <c r="AQ1239" s="39">
        <v>154.41999999999999</v>
      </c>
      <c r="AR1239" s="39">
        <v>216.04</v>
      </c>
    </row>
    <row r="1240" spans="1:44" x14ac:dyDescent="0.35">
      <c r="A1240" s="16" t="str">
        <f t="shared" si="102"/>
        <v>10</v>
      </c>
      <c r="B1240" s="19">
        <v>62331</v>
      </c>
      <c r="C1240" s="16" t="str">
        <f>TEXT(137661,"0000000")</f>
        <v>0137661</v>
      </c>
      <c r="D1240" s="19">
        <v>1492</v>
      </c>
      <c r="E1240" s="16" t="s">
        <v>452</v>
      </c>
      <c r="F1240" s="16" t="s">
        <v>5</v>
      </c>
      <c r="G1240" s="35" t="s">
        <v>453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1505.75</v>
      </c>
      <c r="AD1240" s="39">
        <v>1387.72</v>
      </c>
      <c r="AE1240" s="39">
        <v>1164.72</v>
      </c>
      <c r="AF1240" s="39">
        <v>0</v>
      </c>
      <c r="AG1240" s="39">
        <v>0</v>
      </c>
      <c r="AH1240" s="39">
        <v>0</v>
      </c>
      <c r="AI1240" s="39">
        <v>1505.75</v>
      </c>
      <c r="AJ1240" s="39">
        <v>1387.72</v>
      </c>
      <c r="AK1240" s="39">
        <v>1164.72</v>
      </c>
      <c r="AL1240" s="39">
        <v>0</v>
      </c>
      <c r="AM1240" s="39">
        <v>0</v>
      </c>
      <c r="AN1240" s="39">
        <v>0</v>
      </c>
      <c r="AO1240" s="39">
        <v>1505.75</v>
      </c>
      <c r="AP1240" s="39">
        <v>1387.72</v>
      </c>
      <c r="AQ1240" s="39">
        <v>1164.72</v>
      </c>
      <c r="AR1240" s="39">
        <v>1505.75</v>
      </c>
    </row>
    <row r="1241" spans="1:44" x14ac:dyDescent="0.35">
      <c r="A1241" s="16" t="str">
        <f t="shared" si="102"/>
        <v>10</v>
      </c>
      <c r="B1241" s="19">
        <v>62547</v>
      </c>
      <c r="C1241" s="16" t="str">
        <f>TEXT(135103,"0000000")</f>
        <v>0135103</v>
      </c>
      <c r="D1241" s="19">
        <v>1841</v>
      </c>
      <c r="E1241" s="16" t="s">
        <v>474</v>
      </c>
      <c r="F1241" s="16" t="s">
        <v>5</v>
      </c>
      <c r="G1241" s="35" t="s">
        <v>475</v>
      </c>
      <c r="H1241" s="39">
        <v>0</v>
      </c>
      <c r="I1241" s="39">
        <v>0</v>
      </c>
      <c r="J1241" s="39">
        <v>0</v>
      </c>
      <c r="K1241" s="39">
        <v>0</v>
      </c>
      <c r="L1241" s="39">
        <v>0</v>
      </c>
      <c r="M1241" s="39">
        <v>0</v>
      </c>
      <c r="N1241" s="39">
        <v>0</v>
      </c>
      <c r="O1241" s="39">
        <v>0</v>
      </c>
      <c r="P1241" s="39">
        <v>0</v>
      </c>
      <c r="Q1241" s="39">
        <v>0</v>
      </c>
      <c r="R1241" s="39">
        <v>0</v>
      </c>
      <c r="S1241" s="39">
        <v>0</v>
      </c>
      <c r="T1241" s="39">
        <v>0</v>
      </c>
      <c r="U1241" s="39">
        <v>0</v>
      </c>
      <c r="V1241" s="39">
        <v>0</v>
      </c>
      <c r="W1241" s="39">
        <v>0</v>
      </c>
      <c r="X1241" s="39">
        <v>0</v>
      </c>
      <c r="Y1241" s="39">
        <v>0</v>
      </c>
      <c r="Z1241" s="39">
        <v>0</v>
      </c>
      <c r="AA1241" s="39">
        <v>0</v>
      </c>
      <c r="AB1241" s="39">
        <v>0</v>
      </c>
      <c r="AC1241" s="39">
        <v>2963.74</v>
      </c>
      <c r="AD1241" s="39">
        <v>2646.02</v>
      </c>
      <c r="AE1241" s="39">
        <v>2442.38</v>
      </c>
      <c r="AF1241" s="39">
        <v>0</v>
      </c>
      <c r="AG1241" s="39">
        <v>0</v>
      </c>
      <c r="AH1241" s="39">
        <v>0</v>
      </c>
      <c r="AI1241" s="39">
        <v>2963.74</v>
      </c>
      <c r="AJ1241" s="39">
        <v>2646.02</v>
      </c>
      <c r="AK1241" s="39">
        <v>2442.38</v>
      </c>
      <c r="AL1241" s="39">
        <v>0</v>
      </c>
      <c r="AM1241" s="39">
        <v>0</v>
      </c>
      <c r="AN1241" s="39">
        <v>0</v>
      </c>
      <c r="AO1241" s="39">
        <v>2963.74</v>
      </c>
      <c r="AP1241" s="39">
        <v>2646.02</v>
      </c>
      <c r="AQ1241" s="39">
        <v>2442.38</v>
      </c>
      <c r="AR1241" s="39">
        <v>2963.74</v>
      </c>
    </row>
    <row r="1242" spans="1:44" x14ac:dyDescent="0.35">
      <c r="A1242" s="16" t="str">
        <f>TEXT(12,"00")</f>
        <v>12</v>
      </c>
      <c r="B1242" s="19">
        <v>10124</v>
      </c>
      <c r="C1242" s="16" t="str">
        <f>TEXT(6008221,"0000000")</f>
        <v>6008221</v>
      </c>
      <c r="D1242" s="19">
        <v>2103</v>
      </c>
      <c r="E1242" s="16" t="s">
        <v>522</v>
      </c>
      <c r="F1242" s="16" t="s">
        <v>5</v>
      </c>
      <c r="G1242" s="35" t="s">
        <v>523</v>
      </c>
      <c r="H1242" s="39">
        <v>0</v>
      </c>
      <c r="I1242" s="39">
        <v>0</v>
      </c>
      <c r="J1242" s="39">
        <v>0</v>
      </c>
      <c r="K1242" s="39">
        <v>0</v>
      </c>
      <c r="L1242" s="39">
        <v>0</v>
      </c>
      <c r="M1242" s="39">
        <v>0</v>
      </c>
      <c r="N1242" s="39">
        <v>0</v>
      </c>
      <c r="O1242" s="39">
        <v>0</v>
      </c>
      <c r="P1242" s="39">
        <v>0</v>
      </c>
      <c r="Q1242" s="39">
        <v>0</v>
      </c>
      <c r="R1242" s="39">
        <v>0</v>
      </c>
      <c r="S1242" s="39">
        <v>0</v>
      </c>
      <c r="T1242" s="39">
        <v>0</v>
      </c>
      <c r="U1242" s="39">
        <v>0</v>
      </c>
      <c r="V1242" s="39">
        <v>0</v>
      </c>
      <c r="W1242" s="39">
        <v>0</v>
      </c>
      <c r="X1242" s="39">
        <v>0</v>
      </c>
      <c r="Y1242" s="39">
        <v>0</v>
      </c>
      <c r="Z1242" s="39">
        <v>0</v>
      </c>
      <c r="AA1242" s="39">
        <v>0</v>
      </c>
      <c r="AB1242" s="39">
        <v>0</v>
      </c>
      <c r="AC1242" s="39">
        <v>76.59</v>
      </c>
      <c r="AD1242" s="39">
        <v>74.78</v>
      </c>
      <c r="AE1242" s="39">
        <v>75.400000000000006</v>
      </c>
      <c r="AF1242" s="39">
        <v>0</v>
      </c>
      <c r="AG1242" s="39">
        <v>0</v>
      </c>
      <c r="AH1242" s="39">
        <v>0</v>
      </c>
      <c r="AI1242" s="39">
        <v>76.59</v>
      </c>
      <c r="AJ1242" s="39">
        <v>74.78</v>
      </c>
      <c r="AK1242" s="39">
        <v>75.400000000000006</v>
      </c>
      <c r="AL1242" s="39">
        <v>0</v>
      </c>
      <c r="AM1242" s="39">
        <v>0</v>
      </c>
      <c r="AN1242" s="39">
        <v>0</v>
      </c>
      <c r="AO1242" s="39">
        <v>76.59</v>
      </c>
      <c r="AP1242" s="39">
        <v>74.78</v>
      </c>
      <c r="AQ1242" s="39">
        <v>75.400000000000006</v>
      </c>
      <c r="AR1242" s="39">
        <v>76.59</v>
      </c>
    </row>
    <row r="1243" spans="1:44" x14ac:dyDescent="0.35">
      <c r="A1243" s="16" t="str">
        <f>TEXT(15,"00")</f>
        <v>15</v>
      </c>
      <c r="B1243" s="19">
        <v>63628</v>
      </c>
      <c r="C1243" s="16" t="str">
        <f>TEXT(127209,"0000000")</f>
        <v>0127209</v>
      </c>
      <c r="D1243" s="19">
        <v>1491</v>
      </c>
      <c r="E1243" s="16" t="s">
        <v>701</v>
      </c>
      <c r="F1243" s="16" t="s">
        <v>5</v>
      </c>
      <c r="G1243" s="35" t="s">
        <v>702</v>
      </c>
      <c r="H1243" s="39">
        <v>0</v>
      </c>
      <c r="I1243" s="39">
        <v>0</v>
      </c>
      <c r="J1243" s="39">
        <v>0</v>
      </c>
      <c r="K1243" s="39">
        <v>0</v>
      </c>
      <c r="L1243" s="39">
        <v>0</v>
      </c>
      <c r="M1243" s="39">
        <v>0</v>
      </c>
      <c r="N1243" s="39">
        <v>0</v>
      </c>
      <c r="O1243" s="39">
        <v>0</v>
      </c>
      <c r="P1243" s="39">
        <v>0</v>
      </c>
      <c r="Q1243" s="39">
        <v>0</v>
      </c>
      <c r="R1243" s="39">
        <v>0</v>
      </c>
      <c r="S1243" s="39">
        <v>0</v>
      </c>
      <c r="T1243" s="39">
        <v>0</v>
      </c>
      <c r="U1243" s="39">
        <v>0</v>
      </c>
      <c r="V1243" s="39">
        <v>0</v>
      </c>
      <c r="W1243" s="39">
        <v>0</v>
      </c>
      <c r="X1243" s="39">
        <v>0</v>
      </c>
      <c r="Y1243" s="39">
        <v>0</v>
      </c>
      <c r="Z1243" s="39">
        <v>0</v>
      </c>
      <c r="AA1243" s="39">
        <v>0</v>
      </c>
      <c r="AB1243" s="39">
        <v>0</v>
      </c>
      <c r="AC1243" s="39">
        <v>480.71</v>
      </c>
      <c r="AD1243" s="39">
        <v>382.64</v>
      </c>
      <c r="AE1243" s="39">
        <v>306.2</v>
      </c>
      <c r="AF1243" s="39">
        <v>0</v>
      </c>
      <c r="AG1243" s="39">
        <v>0</v>
      </c>
      <c r="AH1243" s="39">
        <v>0</v>
      </c>
      <c r="AI1243" s="39">
        <v>480.71</v>
      </c>
      <c r="AJ1243" s="39">
        <v>382.64</v>
      </c>
      <c r="AK1243" s="39">
        <v>306.2</v>
      </c>
      <c r="AL1243" s="39">
        <v>0</v>
      </c>
      <c r="AM1243" s="39">
        <v>0</v>
      </c>
      <c r="AN1243" s="39">
        <v>0</v>
      </c>
      <c r="AO1243" s="39">
        <v>480.71</v>
      </c>
      <c r="AP1243" s="39">
        <v>382.64</v>
      </c>
      <c r="AQ1243" s="39">
        <v>306.2</v>
      </c>
      <c r="AR1243" s="39">
        <v>480.71</v>
      </c>
    </row>
    <row r="1244" spans="1:44" x14ac:dyDescent="0.35">
      <c r="A1244" s="16" t="str">
        <f>TEXT(15,"00")</f>
        <v>15</v>
      </c>
      <c r="B1244" s="19">
        <v>63628</v>
      </c>
      <c r="C1244" s="16" t="str">
        <f>TEXT(128504,"0000000")</f>
        <v>0128504</v>
      </c>
      <c r="D1244" s="19">
        <v>1575</v>
      </c>
      <c r="E1244" s="16" t="s">
        <v>703</v>
      </c>
      <c r="F1244" s="16" t="s">
        <v>5</v>
      </c>
      <c r="G1244" s="35" t="s">
        <v>704</v>
      </c>
      <c r="H1244" s="39">
        <v>0</v>
      </c>
      <c r="I1244" s="39">
        <v>0</v>
      </c>
      <c r="J1244" s="39">
        <v>0</v>
      </c>
      <c r="K1244" s="39">
        <v>0</v>
      </c>
      <c r="L1244" s="39">
        <v>0</v>
      </c>
      <c r="M1244" s="39">
        <v>0</v>
      </c>
      <c r="N1244" s="39">
        <v>0</v>
      </c>
      <c r="O1244" s="39">
        <v>0</v>
      </c>
      <c r="P1244" s="39">
        <v>0</v>
      </c>
      <c r="Q1244" s="39">
        <v>0</v>
      </c>
      <c r="R1244" s="39">
        <v>0</v>
      </c>
      <c r="S1244" s="39">
        <v>0</v>
      </c>
      <c r="T1244" s="39">
        <v>0</v>
      </c>
      <c r="U1244" s="39">
        <v>0</v>
      </c>
      <c r="V1244" s="39">
        <v>0</v>
      </c>
      <c r="W1244" s="39">
        <v>0</v>
      </c>
      <c r="X1244" s="39">
        <v>0</v>
      </c>
      <c r="Y1244" s="39">
        <v>0</v>
      </c>
      <c r="Z1244" s="39">
        <v>0</v>
      </c>
      <c r="AA1244" s="39">
        <v>0</v>
      </c>
      <c r="AB1244" s="39">
        <v>0</v>
      </c>
      <c r="AC1244" s="39">
        <v>49.32</v>
      </c>
      <c r="AD1244" s="39">
        <v>48.58</v>
      </c>
      <c r="AE1244" s="39">
        <v>49.25</v>
      </c>
      <c r="AF1244" s="39">
        <v>0</v>
      </c>
      <c r="AG1244" s="39">
        <v>0</v>
      </c>
      <c r="AH1244" s="39">
        <v>0</v>
      </c>
      <c r="AI1244" s="39">
        <v>49.32</v>
      </c>
      <c r="AJ1244" s="39">
        <v>48.58</v>
      </c>
      <c r="AK1244" s="39">
        <v>49.25</v>
      </c>
      <c r="AL1244" s="39">
        <v>0</v>
      </c>
      <c r="AM1244" s="39">
        <v>0</v>
      </c>
      <c r="AN1244" s="39">
        <v>0</v>
      </c>
      <c r="AO1244" s="39">
        <v>49.32</v>
      </c>
      <c r="AP1244" s="39">
        <v>48.58</v>
      </c>
      <c r="AQ1244" s="39">
        <v>49.25</v>
      </c>
      <c r="AR1244" s="39">
        <v>49.32</v>
      </c>
    </row>
    <row r="1245" spans="1:44" x14ac:dyDescent="0.35">
      <c r="A1245" s="16" t="str">
        <f>TEXT(15,"00")</f>
        <v>15</v>
      </c>
      <c r="B1245" s="19">
        <v>63628</v>
      </c>
      <c r="C1245" s="16" t="str">
        <f>TEXT(137687,"0000000")</f>
        <v>0137687</v>
      </c>
      <c r="D1245" s="19">
        <v>1490</v>
      </c>
      <c r="E1245" s="16" t="s">
        <v>707</v>
      </c>
      <c r="F1245" s="16" t="s">
        <v>5</v>
      </c>
      <c r="G1245" s="35" t="s">
        <v>708</v>
      </c>
      <c r="H1245" s="39">
        <v>0</v>
      </c>
      <c r="I1245" s="39">
        <v>0</v>
      </c>
      <c r="J1245" s="39">
        <v>0</v>
      </c>
      <c r="K1245" s="39">
        <v>0</v>
      </c>
      <c r="L1245" s="39">
        <v>0</v>
      </c>
      <c r="M1245" s="39">
        <v>0</v>
      </c>
      <c r="N1245" s="39">
        <v>0</v>
      </c>
      <c r="O1245" s="39">
        <v>0</v>
      </c>
      <c r="P1245" s="39">
        <v>0</v>
      </c>
      <c r="Q1245" s="39">
        <v>0</v>
      </c>
      <c r="R1245" s="39">
        <v>0</v>
      </c>
      <c r="S1245" s="39">
        <v>0</v>
      </c>
      <c r="T1245" s="39">
        <v>0</v>
      </c>
      <c r="U1245" s="39">
        <v>0</v>
      </c>
      <c r="V1245" s="39">
        <v>0</v>
      </c>
      <c r="W1245" s="39">
        <v>0</v>
      </c>
      <c r="X1245" s="39">
        <v>0</v>
      </c>
      <c r="Y1245" s="39">
        <v>0</v>
      </c>
      <c r="Z1245" s="39">
        <v>0</v>
      </c>
      <c r="AA1245" s="39">
        <v>0</v>
      </c>
      <c r="AB1245" s="39">
        <v>0</v>
      </c>
      <c r="AC1245" s="39">
        <v>1285.4100000000001</v>
      </c>
      <c r="AD1245" s="39">
        <v>1223.79</v>
      </c>
      <c r="AE1245" s="39">
        <v>1116.0899999999999</v>
      </c>
      <c r="AF1245" s="39">
        <v>0</v>
      </c>
      <c r="AG1245" s="39">
        <v>0</v>
      </c>
      <c r="AH1245" s="39">
        <v>0</v>
      </c>
      <c r="AI1245" s="39">
        <v>1285.4100000000001</v>
      </c>
      <c r="AJ1245" s="39">
        <v>1223.79</v>
      </c>
      <c r="AK1245" s="39">
        <v>1116.0899999999999</v>
      </c>
      <c r="AL1245" s="39">
        <v>0</v>
      </c>
      <c r="AM1245" s="39">
        <v>0</v>
      </c>
      <c r="AN1245" s="39">
        <v>0</v>
      </c>
      <c r="AO1245" s="39">
        <v>1285.4100000000001</v>
      </c>
      <c r="AP1245" s="39">
        <v>1223.79</v>
      </c>
      <c r="AQ1245" s="39">
        <v>1116.0899999999999</v>
      </c>
      <c r="AR1245" s="39">
        <v>1285.4100000000001</v>
      </c>
    </row>
    <row r="1246" spans="1:44" x14ac:dyDescent="0.35">
      <c r="A1246" s="16" t="str">
        <f>TEXT(16,"00")</f>
        <v>16</v>
      </c>
      <c r="B1246" s="19">
        <v>63875</v>
      </c>
      <c r="C1246" s="16" t="str">
        <f>TEXT(112698,"0000000")</f>
        <v>0112698</v>
      </c>
      <c r="D1246" s="17" t="s">
        <v>759</v>
      </c>
      <c r="E1246" s="16" t="s">
        <v>757</v>
      </c>
      <c r="F1246" s="16" t="s">
        <v>5</v>
      </c>
      <c r="G1246" s="35" t="s">
        <v>758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0</v>
      </c>
      <c r="AA1246" s="39">
        <v>0</v>
      </c>
      <c r="AB1246" s="39">
        <v>0</v>
      </c>
      <c r="AC1246" s="39">
        <v>747.86</v>
      </c>
      <c r="AD1246" s="39">
        <v>575.04999999999995</v>
      </c>
      <c r="AE1246" s="39">
        <v>529.45000000000005</v>
      </c>
      <c r="AF1246" s="39">
        <v>0</v>
      </c>
      <c r="AG1246" s="39">
        <v>0</v>
      </c>
      <c r="AH1246" s="39">
        <v>0</v>
      </c>
      <c r="AI1246" s="39">
        <v>747.86</v>
      </c>
      <c r="AJ1246" s="39">
        <v>575.04999999999995</v>
      </c>
      <c r="AK1246" s="39">
        <v>529.45000000000005</v>
      </c>
      <c r="AL1246" s="39">
        <v>0</v>
      </c>
      <c r="AM1246" s="39">
        <v>0</v>
      </c>
      <c r="AN1246" s="39">
        <v>0</v>
      </c>
      <c r="AO1246" s="39">
        <v>747.86</v>
      </c>
      <c r="AP1246" s="39">
        <v>575.04999999999995</v>
      </c>
      <c r="AQ1246" s="39">
        <v>529.45000000000005</v>
      </c>
      <c r="AR1246" s="39">
        <v>747.86</v>
      </c>
    </row>
    <row r="1247" spans="1:44" x14ac:dyDescent="0.35">
      <c r="A1247" s="16" t="str">
        <f>TEXT(17,"00")</f>
        <v>17</v>
      </c>
      <c r="B1247" s="19">
        <v>64055</v>
      </c>
      <c r="C1247" s="16" t="str">
        <f>TEXT(129601,"0000000")</f>
        <v>0129601</v>
      </c>
      <c r="D1247" s="19">
        <v>1653</v>
      </c>
      <c r="E1247" s="16" t="s">
        <v>797</v>
      </c>
      <c r="F1247" s="16" t="s">
        <v>5</v>
      </c>
      <c r="G1247" s="35" t="s">
        <v>798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  <c r="W1247" s="39">
        <v>0</v>
      </c>
      <c r="X1247" s="39">
        <v>0</v>
      </c>
      <c r="Y1247" s="39">
        <v>0</v>
      </c>
      <c r="Z1247" s="39">
        <v>0</v>
      </c>
      <c r="AA1247" s="39">
        <v>0</v>
      </c>
      <c r="AB1247" s="39">
        <v>0</v>
      </c>
      <c r="AC1247" s="39">
        <v>153.24</v>
      </c>
      <c r="AD1247" s="39">
        <v>163.43</v>
      </c>
      <c r="AE1247" s="39">
        <v>141.25</v>
      </c>
      <c r="AF1247" s="39">
        <v>0</v>
      </c>
      <c r="AG1247" s="39">
        <v>0</v>
      </c>
      <c r="AH1247" s="39">
        <v>0</v>
      </c>
      <c r="AI1247" s="39">
        <v>153.24</v>
      </c>
      <c r="AJ1247" s="39">
        <v>163.43</v>
      </c>
      <c r="AK1247" s="39">
        <v>141.25</v>
      </c>
      <c r="AL1247" s="39">
        <v>0</v>
      </c>
      <c r="AM1247" s="39">
        <v>0</v>
      </c>
      <c r="AN1247" s="39">
        <v>0</v>
      </c>
      <c r="AO1247" s="39">
        <v>153.24</v>
      </c>
      <c r="AP1247" s="39">
        <v>163.43</v>
      </c>
      <c r="AQ1247" s="39">
        <v>141.25</v>
      </c>
      <c r="AR1247" s="39">
        <v>163.43</v>
      </c>
    </row>
    <row r="1248" spans="1:44" x14ac:dyDescent="0.35">
      <c r="A1248" s="16" t="str">
        <f t="shared" ref="A1248:A1253" si="103">TEXT(19,"00")</f>
        <v>19</v>
      </c>
      <c r="B1248" s="19">
        <v>10199</v>
      </c>
      <c r="C1248" s="16" t="str">
        <f>TEXT(109660,"0000000")</f>
        <v>0109660</v>
      </c>
      <c r="D1248" s="17" t="s">
        <v>837</v>
      </c>
      <c r="E1248" s="16" t="s">
        <v>835</v>
      </c>
      <c r="F1248" s="16" t="s">
        <v>5</v>
      </c>
      <c r="G1248" s="35" t="s">
        <v>836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0</v>
      </c>
      <c r="AC1248" s="39">
        <v>382.16</v>
      </c>
      <c r="AD1248" s="39">
        <v>367.58</v>
      </c>
      <c r="AE1248" s="39">
        <v>382.3</v>
      </c>
      <c r="AF1248" s="39">
        <v>0</v>
      </c>
      <c r="AG1248" s="39">
        <v>0</v>
      </c>
      <c r="AH1248" s="39">
        <v>0</v>
      </c>
      <c r="AI1248" s="39">
        <v>382.16</v>
      </c>
      <c r="AJ1248" s="39">
        <v>367.58</v>
      </c>
      <c r="AK1248" s="39">
        <v>382.3</v>
      </c>
      <c r="AL1248" s="39">
        <v>0</v>
      </c>
      <c r="AM1248" s="39">
        <v>0</v>
      </c>
      <c r="AN1248" s="39">
        <v>0</v>
      </c>
      <c r="AO1248" s="39">
        <v>382.16</v>
      </c>
      <c r="AP1248" s="39">
        <v>367.58</v>
      </c>
      <c r="AQ1248" s="39">
        <v>382.3</v>
      </c>
      <c r="AR1248" s="39">
        <v>382.3</v>
      </c>
    </row>
    <row r="1249" spans="1:44" x14ac:dyDescent="0.35">
      <c r="A1249" s="16" t="str">
        <f t="shared" si="103"/>
        <v>19</v>
      </c>
      <c r="B1249" s="19">
        <v>10199</v>
      </c>
      <c r="C1249" s="16" t="str">
        <f>TEXT(112128,"0000000")</f>
        <v>0112128</v>
      </c>
      <c r="D1249" s="17" t="s">
        <v>840</v>
      </c>
      <c r="E1249" s="16" t="s">
        <v>838</v>
      </c>
      <c r="F1249" s="16" t="s">
        <v>5</v>
      </c>
      <c r="G1249" s="35" t="s">
        <v>839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520.22</v>
      </c>
      <c r="AD1249" s="39">
        <v>514.97</v>
      </c>
      <c r="AE1249" s="39">
        <v>511.05</v>
      </c>
      <c r="AF1249" s="39">
        <v>0</v>
      </c>
      <c r="AG1249" s="39">
        <v>0</v>
      </c>
      <c r="AH1249" s="39">
        <v>0</v>
      </c>
      <c r="AI1249" s="39">
        <v>520.22</v>
      </c>
      <c r="AJ1249" s="39">
        <v>514.97</v>
      </c>
      <c r="AK1249" s="39">
        <v>511.05</v>
      </c>
      <c r="AL1249" s="39">
        <v>0</v>
      </c>
      <c r="AM1249" s="39">
        <v>0</v>
      </c>
      <c r="AN1249" s="39">
        <v>0</v>
      </c>
      <c r="AO1249" s="39">
        <v>520.22</v>
      </c>
      <c r="AP1249" s="39">
        <v>514.97</v>
      </c>
      <c r="AQ1249" s="39">
        <v>511.05</v>
      </c>
      <c r="AR1249" s="39">
        <v>520.22</v>
      </c>
    </row>
    <row r="1250" spans="1:44" x14ac:dyDescent="0.35">
      <c r="A1250" s="16" t="str">
        <f t="shared" si="103"/>
        <v>19</v>
      </c>
      <c r="B1250" s="19">
        <v>10199</v>
      </c>
      <c r="C1250" s="16" t="str">
        <f>TEXT(115030,"0000000")</f>
        <v>0115030</v>
      </c>
      <c r="D1250" s="17" t="s">
        <v>843</v>
      </c>
      <c r="E1250" s="16" t="s">
        <v>841</v>
      </c>
      <c r="F1250" s="16" t="s">
        <v>5</v>
      </c>
      <c r="G1250" s="35" t="s">
        <v>842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374.24</v>
      </c>
      <c r="AD1250" s="39">
        <v>355.08</v>
      </c>
      <c r="AE1250" s="39">
        <v>339.62</v>
      </c>
      <c r="AF1250" s="39">
        <v>0</v>
      </c>
      <c r="AG1250" s="39">
        <v>0</v>
      </c>
      <c r="AH1250" s="39">
        <v>0</v>
      </c>
      <c r="AI1250" s="39">
        <v>374.24</v>
      </c>
      <c r="AJ1250" s="39">
        <v>355.08</v>
      </c>
      <c r="AK1250" s="39">
        <v>339.62</v>
      </c>
      <c r="AL1250" s="39">
        <v>0</v>
      </c>
      <c r="AM1250" s="39">
        <v>0</v>
      </c>
      <c r="AN1250" s="39">
        <v>0</v>
      </c>
      <c r="AO1250" s="39">
        <v>374.24</v>
      </c>
      <c r="AP1250" s="39">
        <v>355.08</v>
      </c>
      <c r="AQ1250" s="39">
        <v>339.62</v>
      </c>
      <c r="AR1250" s="39">
        <v>374.24</v>
      </c>
    </row>
    <row r="1251" spans="1:44" x14ac:dyDescent="0.35">
      <c r="A1251" s="16" t="str">
        <f t="shared" si="103"/>
        <v>19</v>
      </c>
      <c r="B1251" s="19">
        <v>10199</v>
      </c>
      <c r="C1251" s="16" t="str">
        <f>TEXT(115212,"0000000")</f>
        <v>0115212</v>
      </c>
      <c r="D1251" s="17" t="s">
        <v>846</v>
      </c>
      <c r="E1251" s="16" t="s">
        <v>844</v>
      </c>
      <c r="F1251" s="16" t="s">
        <v>5</v>
      </c>
      <c r="G1251" s="35" t="s">
        <v>845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0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479.24</v>
      </c>
      <c r="AD1251" s="39">
        <v>497.08</v>
      </c>
      <c r="AE1251" s="39">
        <v>473.23</v>
      </c>
      <c r="AF1251" s="39">
        <v>0</v>
      </c>
      <c r="AG1251" s="39">
        <v>0</v>
      </c>
      <c r="AH1251" s="39">
        <v>0</v>
      </c>
      <c r="AI1251" s="39">
        <v>479.24</v>
      </c>
      <c r="AJ1251" s="39">
        <v>497.08</v>
      </c>
      <c r="AK1251" s="39">
        <v>473.23</v>
      </c>
      <c r="AL1251" s="39">
        <v>0</v>
      </c>
      <c r="AM1251" s="39">
        <v>0</v>
      </c>
      <c r="AN1251" s="39">
        <v>0</v>
      </c>
      <c r="AO1251" s="39">
        <v>479.24</v>
      </c>
      <c r="AP1251" s="39">
        <v>497.08</v>
      </c>
      <c r="AQ1251" s="39">
        <v>473.23</v>
      </c>
      <c r="AR1251" s="39">
        <v>497.08</v>
      </c>
    </row>
    <row r="1252" spans="1:44" x14ac:dyDescent="0.35">
      <c r="A1252" s="16" t="str">
        <f t="shared" si="103"/>
        <v>19</v>
      </c>
      <c r="B1252" s="19">
        <v>10199</v>
      </c>
      <c r="C1252" s="16" t="str">
        <f>TEXT(121772,"0000000")</f>
        <v>0121772</v>
      </c>
      <c r="D1252" s="19">
        <v>1204</v>
      </c>
      <c r="E1252" s="16" t="s">
        <v>847</v>
      </c>
      <c r="F1252" s="16" t="s">
        <v>5</v>
      </c>
      <c r="G1252" s="35" t="s">
        <v>848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337.99</v>
      </c>
      <c r="AD1252" s="39">
        <v>337.3</v>
      </c>
      <c r="AE1252" s="39">
        <v>328.5</v>
      </c>
      <c r="AF1252" s="39">
        <v>0</v>
      </c>
      <c r="AG1252" s="39">
        <v>0</v>
      </c>
      <c r="AH1252" s="39">
        <v>0</v>
      </c>
      <c r="AI1252" s="39">
        <v>337.99</v>
      </c>
      <c r="AJ1252" s="39">
        <v>337.3</v>
      </c>
      <c r="AK1252" s="39">
        <v>328.5</v>
      </c>
      <c r="AL1252" s="39">
        <v>0</v>
      </c>
      <c r="AM1252" s="39">
        <v>0</v>
      </c>
      <c r="AN1252" s="39">
        <v>0</v>
      </c>
      <c r="AO1252" s="39">
        <v>337.99</v>
      </c>
      <c r="AP1252" s="39">
        <v>337.3</v>
      </c>
      <c r="AQ1252" s="39">
        <v>328.5</v>
      </c>
      <c r="AR1252" s="39">
        <v>337.99</v>
      </c>
    </row>
    <row r="1253" spans="1:44" x14ac:dyDescent="0.35">
      <c r="A1253" s="16" t="str">
        <f t="shared" si="103"/>
        <v>19</v>
      </c>
      <c r="B1253" s="19">
        <v>10199</v>
      </c>
      <c r="C1253" s="16" t="str">
        <f>TEXT(127498,"0000000")</f>
        <v>0127498</v>
      </c>
      <c r="D1253" s="19">
        <v>1501</v>
      </c>
      <c r="E1253" s="16" t="s">
        <v>849</v>
      </c>
      <c r="F1253" s="16" t="s">
        <v>5</v>
      </c>
      <c r="G1253" s="35" t="s">
        <v>850</v>
      </c>
      <c r="H1253" s="39">
        <v>0</v>
      </c>
      <c r="I1253" s="39">
        <v>0</v>
      </c>
      <c r="J1253" s="39">
        <v>0</v>
      </c>
      <c r="K1253" s="39">
        <v>0</v>
      </c>
      <c r="L1253" s="39">
        <v>0</v>
      </c>
      <c r="M1253" s="39">
        <v>0</v>
      </c>
      <c r="N1253" s="39">
        <v>0</v>
      </c>
      <c r="O1253" s="39">
        <v>0</v>
      </c>
      <c r="P1253" s="39">
        <v>0</v>
      </c>
      <c r="Q1253" s="39">
        <v>0</v>
      </c>
      <c r="R1253" s="39">
        <v>0</v>
      </c>
      <c r="S1253" s="39">
        <v>0</v>
      </c>
      <c r="T1253" s="39">
        <v>0</v>
      </c>
      <c r="U1253" s="39">
        <v>0</v>
      </c>
      <c r="V1253" s="39">
        <v>0</v>
      </c>
      <c r="W1253" s="39">
        <v>0</v>
      </c>
      <c r="X1253" s="39">
        <v>0</v>
      </c>
      <c r="Y1253" s="39">
        <v>0</v>
      </c>
      <c r="Z1253" s="39">
        <v>0</v>
      </c>
      <c r="AA1253" s="39">
        <v>0</v>
      </c>
      <c r="AB1253" s="39">
        <v>0</v>
      </c>
      <c r="AC1253" s="39">
        <v>339.19</v>
      </c>
      <c r="AD1253" s="39">
        <v>337.18</v>
      </c>
      <c r="AE1253" s="39">
        <v>334.8</v>
      </c>
      <c r="AF1253" s="39">
        <v>0</v>
      </c>
      <c r="AG1253" s="39">
        <v>0</v>
      </c>
      <c r="AH1253" s="39">
        <v>0</v>
      </c>
      <c r="AI1253" s="39">
        <v>339.19</v>
      </c>
      <c r="AJ1253" s="39">
        <v>337.18</v>
      </c>
      <c r="AK1253" s="39">
        <v>334.8</v>
      </c>
      <c r="AL1253" s="39">
        <v>0</v>
      </c>
      <c r="AM1253" s="39">
        <v>0</v>
      </c>
      <c r="AN1253" s="39">
        <v>0</v>
      </c>
      <c r="AO1253" s="39">
        <v>339.19</v>
      </c>
      <c r="AP1253" s="39">
        <v>337.18</v>
      </c>
      <c r="AQ1253" s="39">
        <v>334.8</v>
      </c>
      <c r="AR1253" s="39">
        <v>339.19</v>
      </c>
    </row>
    <row r="1254" spans="1:44" x14ac:dyDescent="0.35">
      <c r="A1254" s="16" t="str">
        <f>TEXT(33,"00")</f>
        <v>33</v>
      </c>
      <c r="B1254" s="19">
        <v>67033</v>
      </c>
      <c r="C1254" s="16" t="str">
        <f>TEXT(,"0000000")</f>
        <v>0000000</v>
      </c>
      <c r="D1254" s="17" t="s">
        <v>3663</v>
      </c>
      <c r="E1254" s="16" t="s">
        <v>1730</v>
      </c>
      <c r="F1254" s="16" t="s">
        <v>1731</v>
      </c>
      <c r="G1254" s="35" t="s">
        <v>1731</v>
      </c>
      <c r="H1254" s="39">
        <v>46857.16</v>
      </c>
      <c r="I1254" s="39">
        <v>47650.48</v>
      </c>
      <c r="J1254" s="39">
        <v>47612.68</v>
      </c>
      <c r="K1254" s="39">
        <v>0</v>
      </c>
      <c r="L1254" s="39">
        <v>0</v>
      </c>
      <c r="M1254" s="39">
        <v>0</v>
      </c>
      <c r="N1254" s="39">
        <v>0</v>
      </c>
      <c r="O1254" s="39">
        <v>0</v>
      </c>
      <c r="P1254" s="39">
        <v>0</v>
      </c>
      <c r="Q1254" s="39">
        <v>0</v>
      </c>
      <c r="R1254" s="39">
        <v>0</v>
      </c>
      <c r="S1254" s="39">
        <v>0</v>
      </c>
      <c r="T1254" s="39">
        <v>0</v>
      </c>
      <c r="U1254" s="39">
        <v>0</v>
      </c>
      <c r="V1254" s="39">
        <v>0</v>
      </c>
      <c r="W1254" s="39">
        <v>0</v>
      </c>
      <c r="X1254" s="39">
        <v>0</v>
      </c>
      <c r="Y1254" s="39">
        <v>0</v>
      </c>
      <c r="Z1254" s="39">
        <v>0</v>
      </c>
      <c r="AA1254" s="39">
        <v>0</v>
      </c>
      <c r="AB1254" s="39">
        <v>0</v>
      </c>
      <c r="AC1254" s="39">
        <v>0</v>
      </c>
      <c r="AD1254" s="39">
        <v>0</v>
      </c>
      <c r="AE1254" s="39">
        <v>0</v>
      </c>
      <c r="AF1254" s="39">
        <v>0</v>
      </c>
      <c r="AG1254" s="39">
        <v>0</v>
      </c>
      <c r="AH1254" s="39">
        <v>0</v>
      </c>
      <c r="AI1254" s="39">
        <v>46857.16</v>
      </c>
      <c r="AJ1254" s="39">
        <v>47650.48</v>
      </c>
      <c r="AK1254" s="39">
        <v>47612.68</v>
      </c>
      <c r="AL1254" s="39">
        <v>0</v>
      </c>
      <c r="AM1254" s="39">
        <v>0</v>
      </c>
      <c r="AN1254" s="39">
        <v>0</v>
      </c>
      <c r="AO1254" s="39">
        <v>46857.16</v>
      </c>
      <c r="AP1254" s="39">
        <v>47650.48</v>
      </c>
      <c r="AQ1254" s="39">
        <v>47612.68</v>
      </c>
      <c r="AR1254" s="39">
        <v>47650.48</v>
      </c>
    </row>
    <row r="1255" spans="1:44" x14ac:dyDescent="0.35">
      <c r="A1255" s="16" t="str">
        <f>TEXT(36,"00")</f>
        <v>36</v>
      </c>
      <c r="B1255" s="19">
        <v>67710</v>
      </c>
      <c r="C1255" s="16" t="str">
        <f>TEXT(,"0000000")</f>
        <v>0000000</v>
      </c>
      <c r="D1255" s="17" t="s">
        <v>3663</v>
      </c>
      <c r="E1255" s="16" t="s">
        <v>1947</v>
      </c>
      <c r="F1255" s="16" t="s">
        <v>1948</v>
      </c>
      <c r="G1255" s="35" t="s">
        <v>1948</v>
      </c>
      <c r="H1255" s="39">
        <v>30923.62</v>
      </c>
      <c r="I1255" s="39">
        <v>31288.87</v>
      </c>
      <c r="J1255" s="39">
        <v>31601.03</v>
      </c>
      <c r="K1255" s="39">
        <v>0</v>
      </c>
      <c r="L1255" s="39">
        <v>0</v>
      </c>
      <c r="M1255" s="39">
        <v>0</v>
      </c>
      <c r="N1255" s="39">
        <v>0</v>
      </c>
      <c r="O1255" s="39">
        <v>0</v>
      </c>
      <c r="P1255" s="39">
        <v>0</v>
      </c>
      <c r="Q1255" s="39">
        <v>0</v>
      </c>
      <c r="R1255" s="39">
        <v>0</v>
      </c>
      <c r="S1255" s="39">
        <v>0</v>
      </c>
      <c r="T1255" s="39">
        <v>0</v>
      </c>
      <c r="U1255" s="39">
        <v>0</v>
      </c>
      <c r="V1255" s="39">
        <v>0</v>
      </c>
      <c r="W1255" s="39">
        <v>0</v>
      </c>
      <c r="X1255" s="39">
        <v>0</v>
      </c>
      <c r="Y1255" s="39">
        <v>0</v>
      </c>
      <c r="Z1255" s="39">
        <v>0</v>
      </c>
      <c r="AA1255" s="39">
        <v>0</v>
      </c>
      <c r="AB1255" s="39">
        <v>0</v>
      </c>
      <c r="AC1255" s="39">
        <v>0</v>
      </c>
      <c r="AD1255" s="39">
        <v>0</v>
      </c>
      <c r="AE1255" s="39">
        <v>0</v>
      </c>
      <c r="AF1255" s="39">
        <v>0</v>
      </c>
      <c r="AG1255" s="39">
        <v>0</v>
      </c>
      <c r="AH1255" s="39">
        <v>0</v>
      </c>
      <c r="AI1255" s="39">
        <v>30923.62</v>
      </c>
      <c r="AJ1255" s="39">
        <v>31288.87</v>
      </c>
      <c r="AK1255" s="39">
        <v>31601.03</v>
      </c>
      <c r="AL1255" s="39">
        <v>0</v>
      </c>
      <c r="AM1255" s="39">
        <v>0</v>
      </c>
      <c r="AN1255" s="39">
        <v>0</v>
      </c>
      <c r="AO1255" s="39">
        <v>30923.62</v>
      </c>
      <c r="AP1255" s="39">
        <v>31288.87</v>
      </c>
      <c r="AQ1255" s="39">
        <v>31601.03</v>
      </c>
      <c r="AR1255" s="39">
        <v>31601.03</v>
      </c>
    </row>
    <row r="1256" spans="1:44" x14ac:dyDescent="0.35">
      <c r="A1256" s="16" t="str">
        <f>TEXT(10,"00")</f>
        <v>10</v>
      </c>
      <c r="B1256" s="19">
        <v>62117</v>
      </c>
      <c r="C1256" s="16" t="str">
        <f>TEXT(,"0000000")</f>
        <v>0000000</v>
      </c>
      <c r="D1256" s="17" t="s">
        <v>3663</v>
      </c>
      <c r="E1256" s="16" t="s">
        <v>415</v>
      </c>
      <c r="F1256" s="16" t="s">
        <v>416</v>
      </c>
      <c r="G1256" s="35" t="s">
        <v>416</v>
      </c>
      <c r="H1256" s="39">
        <v>40505.89</v>
      </c>
      <c r="I1256" s="39">
        <v>40330.080000000002</v>
      </c>
      <c r="J1256" s="39">
        <v>39466.22</v>
      </c>
      <c r="K1256" s="39">
        <v>0</v>
      </c>
      <c r="L1256" s="39">
        <v>0</v>
      </c>
      <c r="M1256" s="39">
        <v>0</v>
      </c>
      <c r="N1256" s="39">
        <v>0</v>
      </c>
      <c r="O1256" s="39">
        <v>0</v>
      </c>
      <c r="P1256" s="39">
        <v>0</v>
      </c>
      <c r="Q1256" s="39">
        <v>0</v>
      </c>
      <c r="R1256" s="39">
        <v>0</v>
      </c>
      <c r="S1256" s="39">
        <v>0</v>
      </c>
      <c r="T1256" s="39">
        <v>0</v>
      </c>
      <c r="U1256" s="39">
        <v>0</v>
      </c>
      <c r="V1256" s="39">
        <v>0</v>
      </c>
      <c r="W1256" s="39">
        <v>0</v>
      </c>
      <c r="X1256" s="39">
        <v>0</v>
      </c>
      <c r="Y1256" s="39">
        <v>0</v>
      </c>
      <c r="Z1256" s="39">
        <v>0</v>
      </c>
      <c r="AA1256" s="39">
        <v>0</v>
      </c>
      <c r="AB1256" s="39">
        <v>0</v>
      </c>
      <c r="AC1256" s="39">
        <v>876.29</v>
      </c>
      <c r="AD1256" s="39">
        <v>788.03</v>
      </c>
      <c r="AE1256" s="39">
        <v>838.12</v>
      </c>
      <c r="AF1256" s="39">
        <v>0</v>
      </c>
      <c r="AG1256" s="39">
        <v>0</v>
      </c>
      <c r="AH1256" s="39">
        <v>0</v>
      </c>
      <c r="AI1256" s="39">
        <v>41382.18</v>
      </c>
      <c r="AJ1256" s="39">
        <v>41118.11</v>
      </c>
      <c r="AK1256" s="39">
        <v>40304.339999999997</v>
      </c>
      <c r="AL1256" s="39">
        <v>0</v>
      </c>
      <c r="AM1256" s="39">
        <v>0</v>
      </c>
      <c r="AN1256" s="39">
        <v>0</v>
      </c>
      <c r="AO1256" s="39">
        <v>41382.18</v>
      </c>
      <c r="AP1256" s="39">
        <v>41118.11</v>
      </c>
      <c r="AQ1256" s="39">
        <v>40304.339999999997</v>
      </c>
      <c r="AR1256" s="39">
        <v>41382.18</v>
      </c>
    </row>
    <row r="1257" spans="1:44" x14ac:dyDescent="0.35">
      <c r="A1257" s="16" t="str">
        <f>TEXT(34,"00")</f>
        <v>34</v>
      </c>
      <c r="B1257" s="19">
        <v>67330</v>
      </c>
      <c r="C1257" s="16" t="str">
        <f>TEXT(,"0000000")</f>
        <v>0000000</v>
      </c>
      <c r="D1257" s="17" t="s">
        <v>3663</v>
      </c>
      <c r="E1257" s="16" t="s">
        <v>1802</v>
      </c>
      <c r="F1257" s="16" t="s">
        <v>1803</v>
      </c>
      <c r="G1257" s="35" t="s">
        <v>1803</v>
      </c>
      <c r="H1257" s="39">
        <v>20536.23</v>
      </c>
      <c r="I1257" s="39">
        <v>19897.34</v>
      </c>
      <c r="J1257" s="39">
        <v>19220.669999999998</v>
      </c>
      <c r="K1257" s="39">
        <v>0</v>
      </c>
      <c r="L1257" s="39">
        <v>0</v>
      </c>
      <c r="M1257" s="39">
        <v>0</v>
      </c>
      <c r="N1257" s="39">
        <v>0</v>
      </c>
      <c r="O1257" s="39">
        <v>0</v>
      </c>
      <c r="P1257" s="39">
        <v>0</v>
      </c>
      <c r="Q1257" s="39">
        <v>0</v>
      </c>
      <c r="R1257" s="39">
        <v>0</v>
      </c>
      <c r="S1257" s="39">
        <v>0</v>
      </c>
      <c r="T1257" s="39">
        <v>0</v>
      </c>
      <c r="U1257" s="39">
        <v>0</v>
      </c>
      <c r="V1257" s="39">
        <v>0</v>
      </c>
      <c r="W1257" s="39">
        <v>0</v>
      </c>
      <c r="X1257" s="39">
        <v>0</v>
      </c>
      <c r="Y1257" s="39">
        <v>0</v>
      </c>
      <c r="Z1257" s="39">
        <v>0</v>
      </c>
      <c r="AA1257" s="39">
        <v>0</v>
      </c>
      <c r="AB1257" s="39">
        <v>0</v>
      </c>
      <c r="AC1257" s="39">
        <v>142.24</v>
      </c>
      <c r="AD1257" s="39">
        <v>153.91999999999999</v>
      </c>
      <c r="AE1257" s="39">
        <v>165.3</v>
      </c>
      <c r="AF1257" s="39">
        <v>0</v>
      </c>
      <c r="AG1257" s="39">
        <v>0</v>
      </c>
      <c r="AH1257" s="39">
        <v>0</v>
      </c>
      <c r="AI1257" s="39">
        <v>20678.47</v>
      </c>
      <c r="AJ1257" s="39">
        <v>20051.259999999998</v>
      </c>
      <c r="AK1257" s="39">
        <v>19385.97</v>
      </c>
      <c r="AL1257" s="39">
        <v>0</v>
      </c>
      <c r="AM1257" s="39">
        <v>0</v>
      </c>
      <c r="AN1257" s="39">
        <v>0</v>
      </c>
      <c r="AO1257" s="39">
        <v>20678.47</v>
      </c>
      <c r="AP1257" s="39">
        <v>20051.259999999998</v>
      </c>
      <c r="AQ1257" s="39">
        <v>19385.97</v>
      </c>
      <c r="AR1257" s="39">
        <v>20678.47</v>
      </c>
    </row>
    <row r="1258" spans="1:44" x14ac:dyDescent="0.35">
      <c r="A1258" s="16" t="str">
        <f t="shared" ref="A1258:A1270" si="104">TEXT(10,"00")</f>
        <v>10</v>
      </c>
      <c r="B1258" s="19">
        <v>10108</v>
      </c>
      <c r="C1258" s="16" t="str">
        <f>TEXT(,"0000000")</f>
        <v>0000000</v>
      </c>
      <c r="D1258" s="17" t="s">
        <v>3663</v>
      </c>
      <c r="E1258" s="16" t="s">
        <v>388</v>
      </c>
      <c r="F1258" s="16" t="s">
        <v>389</v>
      </c>
      <c r="G1258" s="35" t="s">
        <v>389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  <c r="AE1258" s="39">
        <v>0</v>
      </c>
      <c r="AF1258" s="39">
        <v>0</v>
      </c>
      <c r="AG1258" s="39">
        <v>0</v>
      </c>
      <c r="AH1258" s="39">
        <v>0</v>
      </c>
      <c r="AI1258" s="39">
        <v>0</v>
      </c>
      <c r="AJ1258" s="39">
        <v>0</v>
      </c>
      <c r="AK1258" s="39">
        <v>0</v>
      </c>
      <c r="AL1258" s="39">
        <v>0</v>
      </c>
      <c r="AM1258" s="39">
        <v>0</v>
      </c>
      <c r="AN1258" s="39">
        <v>0</v>
      </c>
      <c r="AO1258" s="39">
        <v>0</v>
      </c>
      <c r="AP1258" s="39">
        <v>0</v>
      </c>
      <c r="AQ1258" s="39">
        <v>0</v>
      </c>
      <c r="AR1258" s="39">
        <v>0</v>
      </c>
    </row>
    <row r="1259" spans="1:44" x14ac:dyDescent="0.35">
      <c r="A1259" s="16" t="str">
        <f t="shared" si="104"/>
        <v>10</v>
      </c>
      <c r="B1259" s="19">
        <v>10108</v>
      </c>
      <c r="C1259" s="16" t="str">
        <f>TEXT(109991,"0000000")</f>
        <v>0109991</v>
      </c>
      <c r="D1259" s="17" t="s">
        <v>392</v>
      </c>
      <c r="E1259" s="16" t="s">
        <v>390</v>
      </c>
      <c r="F1259" s="16" t="s">
        <v>389</v>
      </c>
      <c r="G1259" s="35" t="s">
        <v>391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0</v>
      </c>
      <c r="AA1259" s="39">
        <v>0</v>
      </c>
      <c r="AB1259" s="39">
        <v>0</v>
      </c>
      <c r="AC1259" s="39">
        <v>1769.76</v>
      </c>
      <c r="AD1259" s="39">
        <v>1768.78</v>
      </c>
      <c r="AE1259" s="39">
        <v>1764.46</v>
      </c>
      <c r="AF1259" s="39">
        <v>0</v>
      </c>
      <c r="AG1259" s="39">
        <v>0</v>
      </c>
      <c r="AH1259" s="39">
        <v>0</v>
      </c>
      <c r="AI1259" s="39">
        <v>1769.76</v>
      </c>
      <c r="AJ1259" s="39">
        <v>1768.78</v>
      </c>
      <c r="AK1259" s="39">
        <v>1764.46</v>
      </c>
      <c r="AL1259" s="39">
        <v>0</v>
      </c>
      <c r="AM1259" s="39">
        <v>0</v>
      </c>
      <c r="AN1259" s="39">
        <v>0</v>
      </c>
      <c r="AO1259" s="39">
        <v>1769.76</v>
      </c>
      <c r="AP1259" s="39">
        <v>1768.78</v>
      </c>
      <c r="AQ1259" s="39">
        <v>1764.46</v>
      </c>
      <c r="AR1259" s="39">
        <v>1769.76</v>
      </c>
    </row>
    <row r="1260" spans="1:44" x14ac:dyDescent="0.35">
      <c r="A1260" s="16" t="str">
        <f t="shared" si="104"/>
        <v>10</v>
      </c>
      <c r="B1260" s="19">
        <v>10108</v>
      </c>
      <c r="C1260" s="16" t="str">
        <f>TEXT(111682,"0000000")</f>
        <v>0111682</v>
      </c>
      <c r="D1260" s="17" t="s">
        <v>395</v>
      </c>
      <c r="E1260" s="16" t="s">
        <v>393</v>
      </c>
      <c r="F1260" s="16" t="s">
        <v>389</v>
      </c>
      <c r="G1260" s="35" t="s">
        <v>394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0</v>
      </c>
      <c r="AC1260" s="39">
        <v>43.74</v>
      </c>
      <c r="AD1260" s="39">
        <v>49.76</v>
      </c>
      <c r="AE1260" s="39">
        <v>49.64</v>
      </c>
      <c r="AF1260" s="39">
        <v>0</v>
      </c>
      <c r="AG1260" s="39">
        <v>0</v>
      </c>
      <c r="AH1260" s="39">
        <v>0</v>
      </c>
      <c r="AI1260" s="39">
        <v>43.74</v>
      </c>
      <c r="AJ1260" s="39">
        <v>49.76</v>
      </c>
      <c r="AK1260" s="39">
        <v>49.64</v>
      </c>
      <c r="AL1260" s="39">
        <v>0</v>
      </c>
      <c r="AM1260" s="39">
        <v>0</v>
      </c>
      <c r="AN1260" s="39">
        <v>0</v>
      </c>
      <c r="AO1260" s="39">
        <v>43.74</v>
      </c>
      <c r="AP1260" s="39">
        <v>49.76</v>
      </c>
      <c r="AQ1260" s="39">
        <v>49.64</v>
      </c>
      <c r="AR1260" s="39">
        <v>49.76</v>
      </c>
    </row>
    <row r="1261" spans="1:44" x14ac:dyDescent="0.35">
      <c r="A1261" s="16" t="str">
        <f t="shared" si="104"/>
        <v>10</v>
      </c>
      <c r="B1261" s="19">
        <v>10108</v>
      </c>
      <c r="C1261" s="16" t="str">
        <f>TEXT(119628,"0000000")</f>
        <v>0119628</v>
      </c>
      <c r="D1261" s="19">
        <v>1085</v>
      </c>
      <c r="E1261" s="16" t="s">
        <v>396</v>
      </c>
      <c r="F1261" s="16" t="s">
        <v>389</v>
      </c>
      <c r="G1261" s="35" t="s">
        <v>397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472.06</v>
      </c>
      <c r="AD1261" s="39">
        <v>469.12</v>
      </c>
      <c r="AE1261" s="39">
        <v>388.34</v>
      </c>
      <c r="AF1261" s="39">
        <v>0</v>
      </c>
      <c r="AG1261" s="39">
        <v>0</v>
      </c>
      <c r="AH1261" s="39">
        <v>0</v>
      </c>
      <c r="AI1261" s="39">
        <v>472.06</v>
      </c>
      <c r="AJ1261" s="39">
        <v>469.12</v>
      </c>
      <c r="AK1261" s="39">
        <v>388.34</v>
      </c>
      <c r="AL1261" s="39">
        <v>0</v>
      </c>
      <c r="AM1261" s="39">
        <v>0</v>
      </c>
      <c r="AN1261" s="39">
        <v>0</v>
      </c>
      <c r="AO1261" s="39">
        <v>472.06</v>
      </c>
      <c r="AP1261" s="39">
        <v>469.12</v>
      </c>
      <c r="AQ1261" s="39">
        <v>388.34</v>
      </c>
      <c r="AR1261" s="39">
        <v>472.06</v>
      </c>
    </row>
    <row r="1262" spans="1:44" x14ac:dyDescent="0.35">
      <c r="A1262" s="16" t="str">
        <f t="shared" si="104"/>
        <v>10</v>
      </c>
      <c r="B1262" s="19">
        <v>10108</v>
      </c>
      <c r="C1262" s="16" t="str">
        <f>TEXT(127514,"0000000")</f>
        <v>0127514</v>
      </c>
      <c r="D1262" s="19">
        <v>1503</v>
      </c>
      <c r="E1262" s="16" t="s">
        <v>398</v>
      </c>
      <c r="F1262" s="16" t="s">
        <v>389</v>
      </c>
      <c r="G1262" s="35" t="s">
        <v>399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270.54000000000002</v>
      </c>
      <c r="AD1262" s="39">
        <v>259.83999999999997</v>
      </c>
      <c r="AE1262" s="39">
        <v>322.22000000000003</v>
      </c>
      <c r="AF1262" s="39">
        <v>0</v>
      </c>
      <c r="AG1262" s="39">
        <v>0</v>
      </c>
      <c r="AH1262" s="39">
        <v>0</v>
      </c>
      <c r="AI1262" s="39">
        <v>270.54000000000002</v>
      </c>
      <c r="AJ1262" s="39">
        <v>259.83999999999997</v>
      </c>
      <c r="AK1262" s="39">
        <v>322.22000000000003</v>
      </c>
      <c r="AL1262" s="39">
        <v>0</v>
      </c>
      <c r="AM1262" s="39">
        <v>0</v>
      </c>
      <c r="AN1262" s="39">
        <v>0</v>
      </c>
      <c r="AO1262" s="39">
        <v>270.54000000000002</v>
      </c>
      <c r="AP1262" s="39">
        <v>259.83999999999997</v>
      </c>
      <c r="AQ1262" s="39">
        <v>322.22000000000003</v>
      </c>
      <c r="AR1262" s="39">
        <v>322.22000000000003</v>
      </c>
    </row>
    <row r="1263" spans="1:44" x14ac:dyDescent="0.35">
      <c r="A1263" s="16" t="str">
        <f t="shared" si="104"/>
        <v>10</v>
      </c>
      <c r="B1263" s="19">
        <v>10108</v>
      </c>
      <c r="C1263" s="16" t="str">
        <f>TEXT(136291,"0000000")</f>
        <v>0136291</v>
      </c>
      <c r="D1263" s="19">
        <v>1850</v>
      </c>
      <c r="E1263" s="16" t="s">
        <v>400</v>
      </c>
      <c r="F1263" s="16" t="s">
        <v>389</v>
      </c>
      <c r="G1263" s="35" t="s">
        <v>401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273.5</v>
      </c>
      <c r="AA1263" s="39">
        <v>234.48</v>
      </c>
      <c r="AB1263" s="39">
        <v>220.75</v>
      </c>
      <c r="AC1263" s="39">
        <v>0</v>
      </c>
      <c r="AD1263" s="39">
        <v>0</v>
      </c>
      <c r="AE1263" s="39">
        <v>0</v>
      </c>
      <c r="AF1263" s="39">
        <v>0</v>
      </c>
      <c r="AG1263" s="39">
        <v>0</v>
      </c>
      <c r="AH1263" s="39">
        <v>0</v>
      </c>
      <c r="AI1263" s="39">
        <v>273.5</v>
      </c>
      <c r="AJ1263" s="39">
        <v>234.48</v>
      </c>
      <c r="AK1263" s="39">
        <v>220.75</v>
      </c>
      <c r="AL1263" s="39">
        <v>0</v>
      </c>
      <c r="AM1263" s="39">
        <v>0</v>
      </c>
      <c r="AN1263" s="39">
        <v>0</v>
      </c>
      <c r="AO1263" s="39">
        <v>273.5</v>
      </c>
      <c r="AP1263" s="39">
        <v>234.48</v>
      </c>
      <c r="AQ1263" s="39">
        <v>220.75</v>
      </c>
      <c r="AR1263" s="39">
        <v>273.5</v>
      </c>
    </row>
    <row r="1264" spans="1:44" x14ac:dyDescent="0.35">
      <c r="A1264" s="16" t="str">
        <f t="shared" si="104"/>
        <v>10</v>
      </c>
      <c r="B1264" s="19">
        <v>10108</v>
      </c>
      <c r="C1264" s="16" t="str">
        <f>TEXT(140186,"0000000")</f>
        <v>0140186</v>
      </c>
      <c r="D1264" s="19">
        <v>2101</v>
      </c>
      <c r="E1264" s="16" t="s">
        <v>402</v>
      </c>
      <c r="F1264" s="16" t="s">
        <v>389</v>
      </c>
      <c r="G1264" s="35" t="s">
        <v>403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294.27</v>
      </c>
      <c r="AD1264" s="39">
        <v>249.01</v>
      </c>
      <c r="AE1264" s="39">
        <v>196.3</v>
      </c>
      <c r="AF1264" s="39">
        <v>0</v>
      </c>
      <c r="AG1264" s="39">
        <v>0</v>
      </c>
      <c r="AH1264" s="39">
        <v>0</v>
      </c>
      <c r="AI1264" s="39">
        <v>294.27</v>
      </c>
      <c r="AJ1264" s="39">
        <v>249.01</v>
      </c>
      <c r="AK1264" s="39">
        <v>196.3</v>
      </c>
      <c r="AL1264" s="39">
        <v>0</v>
      </c>
      <c r="AM1264" s="39">
        <v>0</v>
      </c>
      <c r="AN1264" s="39">
        <v>0</v>
      </c>
      <c r="AO1264" s="39">
        <v>294.27</v>
      </c>
      <c r="AP1264" s="39">
        <v>249.01</v>
      </c>
      <c r="AQ1264" s="39">
        <v>196.3</v>
      </c>
      <c r="AR1264" s="39">
        <v>294.27</v>
      </c>
    </row>
    <row r="1265" spans="1:44" x14ac:dyDescent="0.35">
      <c r="A1265" s="16" t="str">
        <f t="shared" si="104"/>
        <v>10</v>
      </c>
      <c r="B1265" s="19">
        <v>10108</v>
      </c>
      <c r="C1265" s="16" t="str">
        <f>TEXT(6085112,"0000000")</f>
        <v>6085112</v>
      </c>
      <c r="D1265" s="17" t="s">
        <v>406</v>
      </c>
      <c r="E1265" s="16" t="s">
        <v>404</v>
      </c>
      <c r="F1265" s="16" t="s">
        <v>389</v>
      </c>
      <c r="G1265" s="35" t="s">
        <v>405</v>
      </c>
      <c r="H1265" s="39">
        <v>0</v>
      </c>
      <c r="I1265" s="39">
        <v>0</v>
      </c>
      <c r="J1265" s="39">
        <v>0</v>
      </c>
      <c r="K1265" s="39">
        <v>0</v>
      </c>
      <c r="L1265" s="39">
        <v>0</v>
      </c>
      <c r="M1265" s="39">
        <v>0</v>
      </c>
      <c r="N1265" s="39">
        <v>0</v>
      </c>
      <c r="O1265" s="39">
        <v>0</v>
      </c>
      <c r="P1265" s="39">
        <v>0</v>
      </c>
      <c r="Q1265" s="39">
        <v>0</v>
      </c>
      <c r="R1265" s="39">
        <v>0</v>
      </c>
      <c r="S1265" s="39">
        <v>0</v>
      </c>
      <c r="T1265" s="39">
        <v>0</v>
      </c>
      <c r="U1265" s="39">
        <v>0</v>
      </c>
      <c r="V1265" s="39">
        <v>0</v>
      </c>
      <c r="W1265" s="39">
        <v>0</v>
      </c>
      <c r="X1265" s="39">
        <v>0</v>
      </c>
      <c r="Y1265" s="39">
        <v>0</v>
      </c>
      <c r="Z1265" s="39">
        <v>0</v>
      </c>
      <c r="AA1265" s="39">
        <v>0</v>
      </c>
      <c r="AB1265" s="39">
        <v>0</v>
      </c>
      <c r="AC1265" s="39">
        <v>351.79</v>
      </c>
      <c r="AD1265" s="39">
        <v>386.58</v>
      </c>
      <c r="AE1265" s="39">
        <v>390.14</v>
      </c>
      <c r="AF1265" s="39">
        <v>0</v>
      </c>
      <c r="AG1265" s="39">
        <v>0</v>
      </c>
      <c r="AH1265" s="39">
        <v>0</v>
      </c>
      <c r="AI1265" s="39">
        <v>351.79</v>
      </c>
      <c r="AJ1265" s="39">
        <v>386.58</v>
      </c>
      <c r="AK1265" s="39">
        <v>390.14</v>
      </c>
      <c r="AL1265" s="39">
        <v>0</v>
      </c>
      <c r="AM1265" s="39">
        <v>0</v>
      </c>
      <c r="AN1265" s="39">
        <v>0</v>
      </c>
      <c r="AO1265" s="39">
        <v>351.79</v>
      </c>
      <c r="AP1265" s="39">
        <v>386.58</v>
      </c>
      <c r="AQ1265" s="39">
        <v>390.14</v>
      </c>
      <c r="AR1265" s="39">
        <v>390.14</v>
      </c>
    </row>
    <row r="1266" spans="1:44" x14ac:dyDescent="0.35">
      <c r="A1266" s="16" t="str">
        <f t="shared" si="104"/>
        <v>10</v>
      </c>
      <c r="B1266" s="19">
        <v>62166</v>
      </c>
      <c r="C1266" s="16" t="str">
        <f>TEXT(114553,"0000000")</f>
        <v>0114553</v>
      </c>
      <c r="D1266" s="17" t="s">
        <v>431</v>
      </c>
      <c r="E1266" s="16" t="s">
        <v>429</v>
      </c>
      <c r="F1266" s="16" t="s">
        <v>389</v>
      </c>
      <c r="G1266" s="35" t="s">
        <v>430</v>
      </c>
      <c r="H1266" s="39">
        <v>0</v>
      </c>
      <c r="I1266" s="39">
        <v>0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0</v>
      </c>
      <c r="P1266" s="39">
        <v>0</v>
      </c>
      <c r="Q1266" s="39">
        <v>0</v>
      </c>
      <c r="R1266" s="39">
        <v>0</v>
      </c>
      <c r="S1266" s="39">
        <v>0</v>
      </c>
      <c r="T1266" s="39">
        <v>0</v>
      </c>
      <c r="U1266" s="39">
        <v>0</v>
      </c>
      <c r="V1266" s="39">
        <v>0</v>
      </c>
      <c r="W1266" s="39">
        <v>0</v>
      </c>
      <c r="X1266" s="39">
        <v>0</v>
      </c>
      <c r="Y1266" s="39">
        <v>0</v>
      </c>
      <c r="Z1266" s="39">
        <v>0</v>
      </c>
      <c r="AA1266" s="39">
        <v>0</v>
      </c>
      <c r="AB1266" s="39">
        <v>0</v>
      </c>
      <c r="AC1266" s="39">
        <v>481.12</v>
      </c>
      <c r="AD1266" s="39">
        <v>467.26</v>
      </c>
      <c r="AE1266" s="39">
        <v>470.23</v>
      </c>
      <c r="AF1266" s="39">
        <v>0</v>
      </c>
      <c r="AG1266" s="39">
        <v>0</v>
      </c>
      <c r="AH1266" s="39">
        <v>0</v>
      </c>
      <c r="AI1266" s="39">
        <v>481.12</v>
      </c>
      <c r="AJ1266" s="39">
        <v>467.26</v>
      </c>
      <c r="AK1266" s="39">
        <v>470.23</v>
      </c>
      <c r="AL1266" s="39">
        <v>0</v>
      </c>
      <c r="AM1266" s="39">
        <v>0</v>
      </c>
      <c r="AN1266" s="39">
        <v>0</v>
      </c>
      <c r="AO1266" s="39">
        <v>481.12</v>
      </c>
      <c r="AP1266" s="39">
        <v>467.26</v>
      </c>
      <c r="AQ1266" s="39">
        <v>470.23</v>
      </c>
      <c r="AR1266" s="39">
        <v>481.12</v>
      </c>
    </row>
    <row r="1267" spans="1:44" x14ac:dyDescent="0.35">
      <c r="A1267" s="16" t="str">
        <f t="shared" si="104"/>
        <v>10</v>
      </c>
      <c r="B1267" s="19">
        <v>62166</v>
      </c>
      <c r="C1267" s="16" t="str">
        <f>TEXT(140038,"0000000")</f>
        <v>0140038</v>
      </c>
      <c r="D1267" s="19">
        <v>2099</v>
      </c>
      <c r="E1267" s="16" t="s">
        <v>434</v>
      </c>
      <c r="F1267" s="16" t="s">
        <v>389</v>
      </c>
      <c r="G1267" s="35" t="s">
        <v>435</v>
      </c>
      <c r="H1267" s="39">
        <v>0</v>
      </c>
      <c r="I1267" s="39">
        <v>0</v>
      </c>
      <c r="J1267" s="39">
        <v>0</v>
      </c>
      <c r="K1267" s="39">
        <v>0</v>
      </c>
      <c r="L1267" s="39">
        <v>0</v>
      </c>
      <c r="M1267" s="39">
        <v>0</v>
      </c>
      <c r="N1267" s="39">
        <v>0</v>
      </c>
      <c r="O1267" s="39">
        <v>0</v>
      </c>
      <c r="P1267" s="39">
        <v>0</v>
      </c>
      <c r="Q1267" s="39">
        <v>0</v>
      </c>
      <c r="R1267" s="39">
        <v>0</v>
      </c>
      <c r="S1267" s="39">
        <v>0</v>
      </c>
      <c r="T1267" s="39">
        <v>0</v>
      </c>
      <c r="U1267" s="39">
        <v>0</v>
      </c>
      <c r="V1267" s="39">
        <v>0</v>
      </c>
      <c r="W1267" s="39">
        <v>0</v>
      </c>
      <c r="X1267" s="39">
        <v>0</v>
      </c>
      <c r="Y1267" s="39">
        <v>0</v>
      </c>
      <c r="Z1267" s="39">
        <v>0</v>
      </c>
      <c r="AA1267" s="39">
        <v>0</v>
      </c>
      <c r="AB1267" s="39">
        <v>0</v>
      </c>
      <c r="AC1267" s="39">
        <v>333.77</v>
      </c>
      <c r="AD1267" s="39">
        <v>335.58</v>
      </c>
      <c r="AE1267" s="39">
        <v>325.74</v>
      </c>
      <c r="AF1267" s="39">
        <v>0</v>
      </c>
      <c r="AG1267" s="39">
        <v>0</v>
      </c>
      <c r="AH1267" s="39">
        <v>0</v>
      </c>
      <c r="AI1267" s="39">
        <v>333.77</v>
      </c>
      <c r="AJ1267" s="39">
        <v>335.58</v>
      </c>
      <c r="AK1267" s="39">
        <v>325.74</v>
      </c>
      <c r="AL1267" s="39">
        <v>0</v>
      </c>
      <c r="AM1267" s="39">
        <v>0</v>
      </c>
      <c r="AN1267" s="39">
        <v>0</v>
      </c>
      <c r="AO1267" s="39">
        <v>333.77</v>
      </c>
      <c r="AP1267" s="39">
        <v>335.58</v>
      </c>
      <c r="AQ1267" s="39">
        <v>325.74</v>
      </c>
      <c r="AR1267" s="39">
        <v>335.58</v>
      </c>
    </row>
    <row r="1268" spans="1:44" x14ac:dyDescent="0.35">
      <c r="A1268" s="16" t="str">
        <f t="shared" si="104"/>
        <v>10</v>
      </c>
      <c r="B1268" s="19">
        <v>62166</v>
      </c>
      <c r="C1268" s="16" t="str">
        <f>TEXT(140764,"0000000")</f>
        <v>0140764</v>
      </c>
      <c r="D1268" s="19">
        <v>2113</v>
      </c>
      <c r="E1268" s="16" t="s">
        <v>436</v>
      </c>
      <c r="F1268" s="16" t="s">
        <v>389</v>
      </c>
      <c r="G1268" s="35" t="s">
        <v>437</v>
      </c>
      <c r="H1268" s="39">
        <v>0</v>
      </c>
      <c r="I1268" s="39">
        <v>0</v>
      </c>
      <c r="J1268" s="39">
        <v>0</v>
      </c>
      <c r="K1268" s="39">
        <v>0</v>
      </c>
      <c r="L1268" s="39">
        <v>0</v>
      </c>
      <c r="M1268" s="39">
        <v>0</v>
      </c>
      <c r="N1268" s="39">
        <v>0</v>
      </c>
      <c r="O1268" s="39">
        <v>0</v>
      </c>
      <c r="P1268" s="39">
        <v>0</v>
      </c>
      <c r="Q1268" s="39">
        <v>0</v>
      </c>
      <c r="R1268" s="39">
        <v>0</v>
      </c>
      <c r="S1268" s="39">
        <v>0</v>
      </c>
      <c r="T1268" s="39">
        <v>0</v>
      </c>
      <c r="U1268" s="39">
        <v>0</v>
      </c>
      <c r="V1268" s="39">
        <v>0</v>
      </c>
      <c r="W1268" s="39">
        <v>0</v>
      </c>
      <c r="X1268" s="39">
        <v>0</v>
      </c>
      <c r="Y1268" s="39">
        <v>0</v>
      </c>
      <c r="Z1268" s="39">
        <v>0</v>
      </c>
      <c r="AA1268" s="39">
        <v>0</v>
      </c>
      <c r="AB1268" s="39">
        <v>0</v>
      </c>
      <c r="AC1268" s="39">
        <v>358.78</v>
      </c>
      <c r="AD1268" s="39">
        <v>286.82</v>
      </c>
      <c r="AE1268" s="39">
        <v>231.95</v>
      </c>
      <c r="AF1268" s="39">
        <v>0</v>
      </c>
      <c r="AG1268" s="39">
        <v>0</v>
      </c>
      <c r="AH1268" s="39">
        <v>0</v>
      </c>
      <c r="AI1268" s="39">
        <v>358.78</v>
      </c>
      <c r="AJ1268" s="39">
        <v>286.82</v>
      </c>
      <c r="AK1268" s="39">
        <v>231.95</v>
      </c>
      <c r="AL1268" s="39">
        <v>0</v>
      </c>
      <c r="AM1268" s="39">
        <v>0</v>
      </c>
      <c r="AN1268" s="39">
        <v>0</v>
      </c>
      <c r="AO1268" s="39">
        <v>358.78</v>
      </c>
      <c r="AP1268" s="39">
        <v>286.82</v>
      </c>
      <c r="AQ1268" s="39">
        <v>231.95</v>
      </c>
      <c r="AR1268" s="39">
        <v>358.78</v>
      </c>
    </row>
    <row r="1269" spans="1:44" x14ac:dyDescent="0.35">
      <c r="A1269" s="16" t="str">
        <f t="shared" si="104"/>
        <v>10</v>
      </c>
      <c r="B1269" s="19">
        <v>62380</v>
      </c>
      <c r="C1269" s="16" t="str">
        <f>TEXT(136499,"0000000")</f>
        <v>0136499</v>
      </c>
      <c r="D1269" s="19">
        <v>1905</v>
      </c>
      <c r="E1269" s="16" t="s">
        <v>462</v>
      </c>
      <c r="F1269" s="16" t="s">
        <v>389</v>
      </c>
      <c r="G1269" s="35" t="s">
        <v>463</v>
      </c>
      <c r="H1269" s="39">
        <v>0</v>
      </c>
      <c r="I1269" s="39">
        <v>0</v>
      </c>
      <c r="J1269" s="39">
        <v>0</v>
      </c>
      <c r="K1269" s="39">
        <v>0</v>
      </c>
      <c r="L1269" s="39">
        <v>0</v>
      </c>
      <c r="M1269" s="39">
        <v>0</v>
      </c>
      <c r="N1269" s="39">
        <v>0</v>
      </c>
      <c r="O1269" s="39">
        <v>0</v>
      </c>
      <c r="P1269" s="39">
        <v>0</v>
      </c>
      <c r="Q1269" s="39">
        <v>0</v>
      </c>
      <c r="R1269" s="39">
        <v>0</v>
      </c>
      <c r="S1269" s="39">
        <v>0</v>
      </c>
      <c r="T1269" s="39">
        <v>0</v>
      </c>
      <c r="U1269" s="39">
        <v>0</v>
      </c>
      <c r="V1269" s="39">
        <v>0</v>
      </c>
      <c r="W1269" s="39">
        <v>0</v>
      </c>
      <c r="X1269" s="39">
        <v>0</v>
      </c>
      <c r="Y1269" s="39">
        <v>0</v>
      </c>
      <c r="Z1269" s="39">
        <v>0</v>
      </c>
      <c r="AA1269" s="39">
        <v>0</v>
      </c>
      <c r="AB1269" s="39">
        <v>0</v>
      </c>
      <c r="AC1269" s="39">
        <v>326.77</v>
      </c>
      <c r="AD1269" s="39">
        <v>362.84</v>
      </c>
      <c r="AE1269" s="39">
        <v>336.45</v>
      </c>
      <c r="AF1269" s="39">
        <v>0</v>
      </c>
      <c r="AG1269" s="39">
        <v>0</v>
      </c>
      <c r="AH1269" s="39">
        <v>0</v>
      </c>
      <c r="AI1269" s="39">
        <v>326.77</v>
      </c>
      <c r="AJ1269" s="39">
        <v>362.84</v>
      </c>
      <c r="AK1269" s="39">
        <v>336.45</v>
      </c>
      <c r="AL1269" s="39">
        <v>0</v>
      </c>
      <c r="AM1269" s="39">
        <v>0</v>
      </c>
      <c r="AN1269" s="39">
        <v>0</v>
      </c>
      <c r="AO1269" s="39">
        <v>326.77</v>
      </c>
      <c r="AP1269" s="39">
        <v>362.84</v>
      </c>
      <c r="AQ1269" s="39">
        <v>336.45</v>
      </c>
      <c r="AR1269" s="39">
        <v>362.84</v>
      </c>
    </row>
    <row r="1270" spans="1:44" x14ac:dyDescent="0.35">
      <c r="A1270" s="16" t="str">
        <f t="shared" si="104"/>
        <v>10</v>
      </c>
      <c r="B1270" s="19">
        <v>62547</v>
      </c>
      <c r="C1270" s="16" t="str">
        <f>TEXT(136523,"0000000")</f>
        <v>0136523</v>
      </c>
      <c r="D1270" s="19">
        <v>1893</v>
      </c>
      <c r="E1270" s="16" t="s">
        <v>476</v>
      </c>
      <c r="F1270" s="16" t="s">
        <v>389</v>
      </c>
      <c r="G1270" s="35" t="s">
        <v>477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0</v>
      </c>
      <c r="AB1270" s="39">
        <v>0</v>
      </c>
      <c r="AC1270" s="39">
        <v>1432.69</v>
      </c>
      <c r="AD1270" s="39">
        <v>1331.88</v>
      </c>
      <c r="AE1270" s="39">
        <v>1348.33</v>
      </c>
      <c r="AF1270" s="39">
        <v>0</v>
      </c>
      <c r="AG1270" s="39">
        <v>0</v>
      </c>
      <c r="AH1270" s="39">
        <v>0</v>
      </c>
      <c r="AI1270" s="39">
        <v>1432.69</v>
      </c>
      <c r="AJ1270" s="39">
        <v>1331.88</v>
      </c>
      <c r="AK1270" s="39">
        <v>1348.33</v>
      </c>
      <c r="AL1270" s="39">
        <v>0</v>
      </c>
      <c r="AM1270" s="39">
        <v>0</v>
      </c>
      <c r="AN1270" s="39">
        <v>0</v>
      </c>
      <c r="AO1270" s="39">
        <v>1432.69</v>
      </c>
      <c r="AP1270" s="39">
        <v>1331.88</v>
      </c>
      <c r="AQ1270" s="39">
        <v>1348.33</v>
      </c>
      <c r="AR1270" s="39">
        <v>1432.69</v>
      </c>
    </row>
    <row r="1271" spans="1:44" x14ac:dyDescent="0.35">
      <c r="A1271" s="16" t="str">
        <f>TEXT(16,"00")</f>
        <v>16</v>
      </c>
      <c r="B1271" s="19">
        <v>63958</v>
      </c>
      <c r="C1271" s="16" t="str">
        <f>TEXT(136556,"0000000")</f>
        <v>0136556</v>
      </c>
      <c r="D1271" s="19">
        <v>1896</v>
      </c>
      <c r="E1271" s="16" t="s">
        <v>774</v>
      </c>
      <c r="F1271" s="16" t="s">
        <v>389</v>
      </c>
      <c r="G1271" s="35" t="s">
        <v>775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0</v>
      </c>
      <c r="AC1271" s="39">
        <v>1074</v>
      </c>
      <c r="AD1271" s="39">
        <v>1169.1400000000001</v>
      </c>
      <c r="AE1271" s="39">
        <v>1114.98</v>
      </c>
      <c r="AF1271" s="39">
        <v>0</v>
      </c>
      <c r="AG1271" s="39">
        <v>0</v>
      </c>
      <c r="AH1271" s="39">
        <v>0</v>
      </c>
      <c r="AI1271" s="39">
        <v>1074</v>
      </c>
      <c r="AJ1271" s="39">
        <v>1169.1400000000001</v>
      </c>
      <c r="AK1271" s="39">
        <v>1114.98</v>
      </c>
      <c r="AL1271" s="39">
        <v>0</v>
      </c>
      <c r="AM1271" s="39">
        <v>0</v>
      </c>
      <c r="AN1271" s="39">
        <v>0</v>
      </c>
      <c r="AO1271" s="39">
        <v>1074</v>
      </c>
      <c r="AP1271" s="39">
        <v>1169.1400000000001</v>
      </c>
      <c r="AQ1271" s="39">
        <v>1114.98</v>
      </c>
      <c r="AR1271" s="39">
        <v>1169.1400000000001</v>
      </c>
    </row>
    <row r="1272" spans="1:44" x14ac:dyDescent="0.35">
      <c r="A1272" s="16" t="str">
        <f>TEXT(34,"00")</f>
        <v>34</v>
      </c>
      <c r="B1272" s="19">
        <v>67421</v>
      </c>
      <c r="C1272" s="16" t="str">
        <f>TEXT(132019,"0000000")</f>
        <v>0132019</v>
      </c>
      <c r="D1272" s="19">
        <v>1727</v>
      </c>
      <c r="E1272" s="16" t="s">
        <v>1815</v>
      </c>
      <c r="F1272" s="16" t="s">
        <v>389</v>
      </c>
      <c r="G1272" s="35" t="s">
        <v>1816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206.58</v>
      </c>
      <c r="AD1272" s="39">
        <v>109.35</v>
      </c>
      <c r="AE1272" s="39">
        <v>73.02</v>
      </c>
      <c r="AF1272" s="39">
        <v>0</v>
      </c>
      <c r="AG1272" s="39">
        <v>0</v>
      </c>
      <c r="AH1272" s="39">
        <v>0</v>
      </c>
      <c r="AI1272" s="39">
        <v>206.58</v>
      </c>
      <c r="AJ1272" s="39">
        <v>109.35</v>
      </c>
      <c r="AK1272" s="39">
        <v>73.02</v>
      </c>
      <c r="AL1272" s="39">
        <v>0</v>
      </c>
      <c r="AM1272" s="39">
        <v>0</v>
      </c>
      <c r="AN1272" s="39">
        <v>0</v>
      </c>
      <c r="AO1272" s="39">
        <v>206.58</v>
      </c>
      <c r="AP1272" s="39">
        <v>109.35</v>
      </c>
      <c r="AQ1272" s="39">
        <v>73.02</v>
      </c>
      <c r="AR1272" s="39">
        <v>206.58</v>
      </c>
    </row>
    <row r="1273" spans="1:44" x14ac:dyDescent="0.35">
      <c r="A1273" s="16" t="str">
        <f>TEXT(34,"00")</f>
        <v>34</v>
      </c>
      <c r="B1273" s="19">
        <v>67421</v>
      </c>
      <c r="C1273" s="16" t="str">
        <f>TEXT(137950,"0000000")</f>
        <v>0137950</v>
      </c>
      <c r="D1273" s="19">
        <v>1970</v>
      </c>
      <c r="E1273" s="16" t="s">
        <v>1817</v>
      </c>
      <c r="F1273" s="16" t="s">
        <v>389</v>
      </c>
      <c r="G1273" s="35" t="s">
        <v>1818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459.47</v>
      </c>
      <c r="AD1273" s="39">
        <v>449.13</v>
      </c>
      <c r="AE1273" s="39">
        <v>383.25</v>
      </c>
      <c r="AF1273" s="39">
        <v>0</v>
      </c>
      <c r="AG1273" s="39">
        <v>0</v>
      </c>
      <c r="AH1273" s="39">
        <v>0</v>
      </c>
      <c r="AI1273" s="39">
        <v>459.47</v>
      </c>
      <c r="AJ1273" s="39">
        <v>449.13</v>
      </c>
      <c r="AK1273" s="39">
        <v>383.25</v>
      </c>
      <c r="AL1273" s="39">
        <v>0</v>
      </c>
      <c r="AM1273" s="39">
        <v>0</v>
      </c>
      <c r="AN1273" s="39">
        <v>0</v>
      </c>
      <c r="AO1273" s="39">
        <v>459.47</v>
      </c>
      <c r="AP1273" s="39">
        <v>449.13</v>
      </c>
      <c r="AQ1273" s="39">
        <v>383.25</v>
      </c>
      <c r="AR1273" s="39">
        <v>459.47</v>
      </c>
    </row>
    <row r="1274" spans="1:44" x14ac:dyDescent="0.35">
      <c r="A1274" s="16" t="str">
        <f>TEXT(39,"00")</f>
        <v>39</v>
      </c>
      <c r="B1274" s="19">
        <v>68627</v>
      </c>
      <c r="C1274" s="16" t="str">
        <f>TEXT(126755,"0000000")</f>
        <v>0126755</v>
      </c>
      <c r="D1274" s="19">
        <v>1448</v>
      </c>
      <c r="E1274" s="16" t="s">
        <v>2442</v>
      </c>
      <c r="F1274" s="16" t="s">
        <v>389</v>
      </c>
      <c r="G1274" s="35" t="s">
        <v>3543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1093.8699999999999</v>
      </c>
      <c r="AD1274" s="39">
        <v>1096.47</v>
      </c>
      <c r="AE1274" s="39">
        <v>1081.3</v>
      </c>
      <c r="AF1274" s="39">
        <v>0</v>
      </c>
      <c r="AG1274" s="39">
        <v>0</v>
      </c>
      <c r="AH1274" s="39">
        <v>0</v>
      </c>
      <c r="AI1274" s="39">
        <v>1093.8699999999999</v>
      </c>
      <c r="AJ1274" s="39">
        <v>1096.47</v>
      </c>
      <c r="AK1274" s="39">
        <v>1081.3</v>
      </c>
      <c r="AL1274" s="39">
        <v>0</v>
      </c>
      <c r="AM1274" s="39">
        <v>0</v>
      </c>
      <c r="AN1274" s="39">
        <v>0</v>
      </c>
      <c r="AO1274" s="39">
        <v>1093.8699999999999</v>
      </c>
      <c r="AP1274" s="39">
        <v>1096.47</v>
      </c>
      <c r="AQ1274" s="39">
        <v>1081.3</v>
      </c>
      <c r="AR1274" s="39">
        <v>1096.47</v>
      </c>
    </row>
    <row r="1275" spans="1:44" x14ac:dyDescent="0.35">
      <c r="A1275" s="16" t="str">
        <f>TEXT(54,"00")</f>
        <v>54</v>
      </c>
      <c r="B1275" s="19">
        <v>72140</v>
      </c>
      <c r="C1275" s="16" t="str">
        <f>TEXT(136507,"0000000")</f>
        <v>0136507</v>
      </c>
      <c r="D1275" s="19">
        <v>1894</v>
      </c>
      <c r="E1275" s="16" t="s">
        <v>3376</v>
      </c>
      <c r="F1275" s="16" t="s">
        <v>389</v>
      </c>
      <c r="G1275" s="35" t="s">
        <v>3377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938.59</v>
      </c>
      <c r="AD1275" s="39">
        <v>830.18</v>
      </c>
      <c r="AE1275" s="39">
        <v>735.87</v>
      </c>
      <c r="AF1275" s="39">
        <v>0</v>
      </c>
      <c r="AG1275" s="39">
        <v>0</v>
      </c>
      <c r="AH1275" s="39">
        <v>0</v>
      </c>
      <c r="AI1275" s="39">
        <v>938.59</v>
      </c>
      <c r="AJ1275" s="39">
        <v>830.18</v>
      </c>
      <c r="AK1275" s="39">
        <v>735.87</v>
      </c>
      <c r="AL1275" s="39">
        <v>0</v>
      </c>
      <c r="AM1275" s="39">
        <v>0</v>
      </c>
      <c r="AN1275" s="39">
        <v>0</v>
      </c>
      <c r="AO1275" s="39">
        <v>938.59</v>
      </c>
      <c r="AP1275" s="39">
        <v>830.18</v>
      </c>
      <c r="AQ1275" s="39">
        <v>735.87</v>
      </c>
      <c r="AR1275" s="39">
        <v>938.59</v>
      </c>
    </row>
    <row r="1276" spans="1:44" x14ac:dyDescent="0.35">
      <c r="A1276" s="16" t="str">
        <f>TEXT(19,"00")</f>
        <v>19</v>
      </c>
      <c r="B1276" s="19">
        <v>10199</v>
      </c>
      <c r="C1276" s="16" t="str">
        <f>TEXT(,"0000000")</f>
        <v>0000000</v>
      </c>
      <c r="D1276" s="17" t="s">
        <v>3663</v>
      </c>
      <c r="E1276" s="16" t="s">
        <v>504</v>
      </c>
      <c r="F1276" s="16" t="s">
        <v>505</v>
      </c>
      <c r="G1276" s="35" t="s">
        <v>505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</v>
      </c>
      <c r="AF1276" s="39">
        <v>0</v>
      </c>
      <c r="AG1276" s="39">
        <v>0</v>
      </c>
      <c r="AH1276" s="39">
        <v>0</v>
      </c>
      <c r="AI1276" s="39">
        <v>0</v>
      </c>
      <c r="AJ1276" s="39">
        <v>0</v>
      </c>
      <c r="AK1276" s="39">
        <v>0</v>
      </c>
      <c r="AL1276" s="39">
        <v>0</v>
      </c>
      <c r="AM1276" s="39">
        <v>0</v>
      </c>
      <c r="AN1276" s="39">
        <v>0</v>
      </c>
      <c r="AO1276" s="39">
        <v>0</v>
      </c>
      <c r="AP1276" s="39">
        <v>0</v>
      </c>
      <c r="AQ1276" s="39">
        <v>0</v>
      </c>
      <c r="AR1276" s="39">
        <v>0</v>
      </c>
    </row>
    <row r="1277" spans="1:44" x14ac:dyDescent="0.35">
      <c r="A1277" s="16" t="str">
        <f>TEXT(15,"00")</f>
        <v>15</v>
      </c>
      <c r="B1277" s="19">
        <v>63628</v>
      </c>
      <c r="C1277" s="16" t="str">
        <f>TEXT(134312,"0000000")</f>
        <v>0134312</v>
      </c>
      <c r="D1277" s="19">
        <v>1816</v>
      </c>
      <c r="E1277" s="16" t="s">
        <v>705</v>
      </c>
      <c r="F1277" s="16" t="s">
        <v>505</v>
      </c>
      <c r="G1277" s="35" t="s">
        <v>706</v>
      </c>
      <c r="H1277" s="39">
        <v>0</v>
      </c>
      <c r="I1277" s="39">
        <v>0</v>
      </c>
      <c r="J1277" s="39">
        <v>0</v>
      </c>
      <c r="K1277" s="39">
        <v>0</v>
      </c>
      <c r="L1277" s="39">
        <v>0</v>
      </c>
      <c r="M1277" s="39">
        <v>0</v>
      </c>
      <c r="N1277" s="39">
        <v>0</v>
      </c>
      <c r="O1277" s="39">
        <v>0</v>
      </c>
      <c r="P1277" s="39">
        <v>0</v>
      </c>
      <c r="Q1277" s="39">
        <v>0</v>
      </c>
      <c r="R1277" s="39">
        <v>0</v>
      </c>
      <c r="S1277" s="39">
        <v>0</v>
      </c>
      <c r="T1277" s="39">
        <v>0</v>
      </c>
      <c r="U1277" s="39">
        <v>0</v>
      </c>
      <c r="V1277" s="39">
        <v>0</v>
      </c>
      <c r="W1277" s="39">
        <v>0</v>
      </c>
      <c r="X1277" s="39">
        <v>0</v>
      </c>
      <c r="Y1277" s="39">
        <v>0</v>
      </c>
      <c r="Z1277" s="39">
        <v>0</v>
      </c>
      <c r="AA1277" s="39">
        <v>0</v>
      </c>
      <c r="AB1277" s="39">
        <v>0</v>
      </c>
      <c r="AC1277" s="39">
        <v>7547.17</v>
      </c>
      <c r="AD1277" s="39">
        <v>6853.3</v>
      </c>
      <c r="AE1277" s="39">
        <v>6650.93</v>
      </c>
      <c r="AF1277" s="39">
        <v>0</v>
      </c>
      <c r="AG1277" s="39">
        <v>0</v>
      </c>
      <c r="AH1277" s="39">
        <v>0</v>
      </c>
      <c r="AI1277" s="39">
        <v>7547.17</v>
      </c>
      <c r="AJ1277" s="39">
        <v>6853.3</v>
      </c>
      <c r="AK1277" s="39">
        <v>6650.93</v>
      </c>
      <c r="AL1277" s="39">
        <v>0</v>
      </c>
      <c r="AM1277" s="39">
        <v>0</v>
      </c>
      <c r="AN1277" s="39">
        <v>0</v>
      </c>
      <c r="AO1277" s="39">
        <v>7547.17</v>
      </c>
      <c r="AP1277" s="39">
        <v>6853.3</v>
      </c>
      <c r="AQ1277" s="39">
        <v>6650.93</v>
      </c>
      <c r="AR1277" s="39">
        <v>7547.17</v>
      </c>
    </row>
    <row r="1278" spans="1:44" x14ac:dyDescent="0.35">
      <c r="A1278" s="16" t="str">
        <f>TEXT(15,"00")</f>
        <v>15</v>
      </c>
      <c r="B1278" s="19">
        <v>63628</v>
      </c>
      <c r="C1278" s="16" t="str">
        <f>TEXT(138131,"0000000")</f>
        <v>0138131</v>
      </c>
      <c r="D1278" s="19">
        <v>1998</v>
      </c>
      <c r="E1278" s="16" t="s">
        <v>709</v>
      </c>
      <c r="F1278" s="16" t="s">
        <v>505</v>
      </c>
      <c r="G1278" s="35" t="s">
        <v>710</v>
      </c>
      <c r="H1278" s="39">
        <v>0</v>
      </c>
      <c r="I1278" s="39">
        <v>0</v>
      </c>
      <c r="J1278" s="39">
        <v>0</v>
      </c>
      <c r="K1278" s="39">
        <v>0</v>
      </c>
      <c r="L1278" s="39">
        <v>0</v>
      </c>
      <c r="M1278" s="39">
        <v>0</v>
      </c>
      <c r="N1278" s="39">
        <v>0</v>
      </c>
      <c r="O1278" s="39">
        <v>0</v>
      </c>
      <c r="P1278" s="39">
        <v>0</v>
      </c>
      <c r="Q1278" s="39">
        <v>0</v>
      </c>
      <c r="R1278" s="39">
        <v>0</v>
      </c>
      <c r="S1278" s="39">
        <v>0</v>
      </c>
      <c r="T1278" s="39">
        <v>0</v>
      </c>
      <c r="U1278" s="39">
        <v>0</v>
      </c>
      <c r="V1278" s="39">
        <v>0</v>
      </c>
      <c r="W1278" s="39">
        <v>0</v>
      </c>
      <c r="X1278" s="39">
        <v>0</v>
      </c>
      <c r="Y1278" s="39">
        <v>0</v>
      </c>
      <c r="Z1278" s="39">
        <v>0</v>
      </c>
      <c r="AA1278" s="39">
        <v>0</v>
      </c>
      <c r="AB1278" s="39">
        <v>0</v>
      </c>
      <c r="AC1278" s="39">
        <v>5899.27</v>
      </c>
      <c r="AD1278" s="39">
        <v>5531.37</v>
      </c>
      <c r="AE1278" s="39">
        <v>4624.82</v>
      </c>
      <c r="AF1278" s="39">
        <v>0</v>
      </c>
      <c r="AG1278" s="39">
        <v>0</v>
      </c>
      <c r="AH1278" s="39">
        <v>0</v>
      </c>
      <c r="AI1278" s="39">
        <v>5899.27</v>
      </c>
      <c r="AJ1278" s="39">
        <v>5531.37</v>
      </c>
      <c r="AK1278" s="39">
        <v>4624.82</v>
      </c>
      <c r="AL1278" s="39">
        <v>0</v>
      </c>
      <c r="AM1278" s="39">
        <v>0</v>
      </c>
      <c r="AN1278" s="39">
        <v>0</v>
      </c>
      <c r="AO1278" s="39">
        <v>5899.27</v>
      </c>
      <c r="AP1278" s="39">
        <v>5531.37</v>
      </c>
      <c r="AQ1278" s="39">
        <v>4624.82</v>
      </c>
      <c r="AR1278" s="39">
        <v>5899.27</v>
      </c>
    </row>
    <row r="1279" spans="1:44" x14ac:dyDescent="0.35">
      <c r="A1279" s="16" t="str">
        <f t="shared" ref="A1279:A1296" si="105">TEXT(19,"00")</f>
        <v>19</v>
      </c>
      <c r="B1279" s="19">
        <v>10199</v>
      </c>
      <c r="C1279" s="16" t="str">
        <f>TEXT(106880,"0000000")</f>
        <v>0106880</v>
      </c>
      <c r="D1279" s="17" t="s">
        <v>834</v>
      </c>
      <c r="E1279" s="16" t="s">
        <v>832</v>
      </c>
      <c r="F1279" s="16" t="s">
        <v>505</v>
      </c>
      <c r="G1279" s="35" t="s">
        <v>833</v>
      </c>
      <c r="H1279" s="39">
        <v>0</v>
      </c>
      <c r="I1279" s="39">
        <v>0</v>
      </c>
      <c r="J1279" s="39">
        <v>0</v>
      </c>
      <c r="K1279" s="39">
        <v>0</v>
      </c>
      <c r="L1279" s="39">
        <v>0</v>
      </c>
      <c r="M1279" s="39">
        <v>0</v>
      </c>
      <c r="N1279" s="39">
        <v>0</v>
      </c>
      <c r="O1279" s="39">
        <v>0</v>
      </c>
      <c r="P1279" s="39">
        <v>0</v>
      </c>
      <c r="Q1279" s="39">
        <v>0</v>
      </c>
      <c r="R1279" s="39">
        <v>0</v>
      </c>
      <c r="S1279" s="39">
        <v>0</v>
      </c>
      <c r="T1279" s="39">
        <v>0</v>
      </c>
      <c r="U1279" s="39">
        <v>0</v>
      </c>
      <c r="V1279" s="39">
        <v>0</v>
      </c>
      <c r="W1279" s="39">
        <v>0</v>
      </c>
      <c r="X1279" s="39">
        <v>0</v>
      </c>
      <c r="Y1279" s="39">
        <v>0</v>
      </c>
      <c r="Z1279" s="39">
        <v>0</v>
      </c>
      <c r="AA1279" s="39">
        <v>0</v>
      </c>
      <c r="AB1279" s="39">
        <v>0</v>
      </c>
      <c r="AC1279" s="39">
        <v>20.52</v>
      </c>
      <c r="AD1279" s="39">
        <v>17.09</v>
      </c>
      <c r="AE1279" s="39">
        <v>13.87</v>
      </c>
      <c r="AF1279" s="39">
        <v>0</v>
      </c>
      <c r="AG1279" s="39">
        <v>0</v>
      </c>
      <c r="AH1279" s="39">
        <v>0</v>
      </c>
      <c r="AI1279" s="39">
        <v>20.52</v>
      </c>
      <c r="AJ1279" s="39">
        <v>17.09</v>
      </c>
      <c r="AK1279" s="39">
        <v>13.87</v>
      </c>
      <c r="AL1279" s="39">
        <v>0</v>
      </c>
      <c r="AM1279" s="39">
        <v>0</v>
      </c>
      <c r="AN1279" s="39">
        <v>0</v>
      </c>
      <c r="AO1279" s="39">
        <v>20.52</v>
      </c>
      <c r="AP1279" s="39">
        <v>17.09</v>
      </c>
      <c r="AQ1279" s="39">
        <v>13.87</v>
      </c>
      <c r="AR1279" s="39">
        <v>20.52</v>
      </c>
    </row>
    <row r="1280" spans="1:44" x14ac:dyDescent="0.35">
      <c r="A1280" s="16" t="str">
        <f t="shared" si="105"/>
        <v>19</v>
      </c>
      <c r="B1280" s="19">
        <v>10199</v>
      </c>
      <c r="C1280" s="16" t="str">
        <f>TEXT(128025,"0000000")</f>
        <v>0128025</v>
      </c>
      <c r="D1280" s="19">
        <v>1560</v>
      </c>
      <c r="E1280" s="16" t="s">
        <v>851</v>
      </c>
      <c r="F1280" s="16" t="s">
        <v>505</v>
      </c>
      <c r="G1280" s="35" t="s">
        <v>852</v>
      </c>
      <c r="H1280" s="39">
        <v>0</v>
      </c>
      <c r="I1280" s="39">
        <v>0</v>
      </c>
      <c r="J1280" s="39">
        <v>0</v>
      </c>
      <c r="K1280" s="39">
        <v>0</v>
      </c>
      <c r="L1280" s="39">
        <v>0</v>
      </c>
      <c r="M1280" s="39">
        <v>0</v>
      </c>
      <c r="N1280" s="39">
        <v>0</v>
      </c>
      <c r="O1280" s="39">
        <v>0</v>
      </c>
      <c r="P1280" s="39">
        <v>0</v>
      </c>
      <c r="Q1280" s="39">
        <v>0</v>
      </c>
      <c r="R1280" s="39">
        <v>0</v>
      </c>
      <c r="S1280" s="39">
        <v>0</v>
      </c>
      <c r="T1280" s="39">
        <v>0</v>
      </c>
      <c r="U1280" s="39">
        <v>0</v>
      </c>
      <c r="V1280" s="39">
        <v>0</v>
      </c>
      <c r="W1280" s="39">
        <v>0</v>
      </c>
      <c r="X1280" s="39">
        <v>0</v>
      </c>
      <c r="Y1280" s="39">
        <v>0</v>
      </c>
      <c r="Z1280" s="39">
        <v>0</v>
      </c>
      <c r="AA1280" s="39">
        <v>0</v>
      </c>
      <c r="AB1280" s="39">
        <v>0</v>
      </c>
      <c r="AC1280" s="39">
        <v>555.76</v>
      </c>
      <c r="AD1280" s="39">
        <v>548.58000000000004</v>
      </c>
      <c r="AE1280" s="39">
        <v>505.54</v>
      </c>
      <c r="AF1280" s="39">
        <v>0</v>
      </c>
      <c r="AG1280" s="39">
        <v>0</v>
      </c>
      <c r="AH1280" s="39">
        <v>0</v>
      </c>
      <c r="AI1280" s="39">
        <v>555.76</v>
      </c>
      <c r="AJ1280" s="39">
        <v>548.58000000000004</v>
      </c>
      <c r="AK1280" s="39">
        <v>505.54</v>
      </c>
      <c r="AL1280" s="39">
        <v>0</v>
      </c>
      <c r="AM1280" s="39">
        <v>0</v>
      </c>
      <c r="AN1280" s="39">
        <v>0</v>
      </c>
      <c r="AO1280" s="39">
        <v>555.76</v>
      </c>
      <c r="AP1280" s="39">
        <v>548.58000000000004</v>
      </c>
      <c r="AQ1280" s="39">
        <v>505.54</v>
      </c>
      <c r="AR1280" s="39">
        <v>555.76</v>
      </c>
    </row>
    <row r="1281" spans="1:44" x14ac:dyDescent="0.35">
      <c r="A1281" s="16" t="str">
        <f t="shared" si="105"/>
        <v>19</v>
      </c>
      <c r="B1281" s="19">
        <v>10199</v>
      </c>
      <c r="C1281" s="16" t="str">
        <f>TEXT(134346,"0000000")</f>
        <v>0134346</v>
      </c>
      <c r="D1281" s="19">
        <v>1814</v>
      </c>
      <c r="E1281" s="16" t="s">
        <v>855</v>
      </c>
      <c r="F1281" s="16" t="s">
        <v>505</v>
      </c>
      <c r="G1281" s="35" t="s">
        <v>856</v>
      </c>
      <c r="H1281" s="39">
        <v>0</v>
      </c>
      <c r="I1281" s="39">
        <v>0</v>
      </c>
      <c r="J1281" s="39">
        <v>0</v>
      </c>
      <c r="K1281" s="39">
        <v>0</v>
      </c>
      <c r="L1281" s="39">
        <v>0</v>
      </c>
      <c r="M1281" s="39">
        <v>0</v>
      </c>
      <c r="N1281" s="39">
        <v>0</v>
      </c>
      <c r="O1281" s="39">
        <v>0</v>
      </c>
      <c r="P1281" s="39">
        <v>0</v>
      </c>
      <c r="Q1281" s="39">
        <v>0</v>
      </c>
      <c r="R1281" s="39">
        <v>0</v>
      </c>
      <c r="S1281" s="39">
        <v>0</v>
      </c>
      <c r="T1281" s="39">
        <v>0</v>
      </c>
      <c r="U1281" s="39">
        <v>0</v>
      </c>
      <c r="V1281" s="39">
        <v>0</v>
      </c>
      <c r="W1281" s="39">
        <v>0</v>
      </c>
      <c r="X1281" s="39">
        <v>0</v>
      </c>
      <c r="Y1281" s="39">
        <v>0</v>
      </c>
      <c r="Z1281" s="39">
        <v>0</v>
      </c>
      <c r="AA1281" s="39">
        <v>0</v>
      </c>
      <c r="AB1281" s="39">
        <v>0</v>
      </c>
      <c r="AC1281" s="39">
        <v>104.35</v>
      </c>
      <c r="AD1281" s="39">
        <v>83.13</v>
      </c>
      <c r="AE1281" s="39">
        <v>84.72</v>
      </c>
      <c r="AF1281" s="39">
        <v>0</v>
      </c>
      <c r="AG1281" s="39">
        <v>0</v>
      </c>
      <c r="AH1281" s="39">
        <v>0</v>
      </c>
      <c r="AI1281" s="39">
        <v>104.35</v>
      </c>
      <c r="AJ1281" s="39">
        <v>83.13</v>
      </c>
      <c r="AK1281" s="39">
        <v>84.72</v>
      </c>
      <c r="AL1281" s="39">
        <v>0</v>
      </c>
      <c r="AM1281" s="39">
        <v>0</v>
      </c>
      <c r="AN1281" s="39">
        <v>0</v>
      </c>
      <c r="AO1281" s="39">
        <v>104.35</v>
      </c>
      <c r="AP1281" s="39">
        <v>83.13</v>
      </c>
      <c r="AQ1281" s="39">
        <v>84.72</v>
      </c>
      <c r="AR1281" s="39">
        <v>104.35</v>
      </c>
    </row>
    <row r="1282" spans="1:44" x14ac:dyDescent="0.35">
      <c r="A1282" s="16" t="str">
        <f t="shared" si="105"/>
        <v>19</v>
      </c>
      <c r="B1282" s="19">
        <v>10199</v>
      </c>
      <c r="C1282" s="16" t="str">
        <f>TEXT(135582,"0000000")</f>
        <v>0135582</v>
      </c>
      <c r="D1282" s="19">
        <v>1817</v>
      </c>
      <c r="E1282" s="16" t="s">
        <v>861</v>
      </c>
      <c r="F1282" s="16" t="s">
        <v>505</v>
      </c>
      <c r="G1282" s="35" t="s">
        <v>862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0</v>
      </c>
      <c r="AB1282" s="39">
        <v>0</v>
      </c>
      <c r="AC1282" s="39">
        <v>365.74</v>
      </c>
      <c r="AD1282" s="39">
        <v>154.38999999999999</v>
      </c>
      <c r="AE1282" s="39">
        <v>194.1</v>
      </c>
      <c r="AF1282" s="39">
        <v>0</v>
      </c>
      <c r="AG1282" s="39">
        <v>0</v>
      </c>
      <c r="AH1282" s="39">
        <v>0</v>
      </c>
      <c r="AI1282" s="39">
        <v>365.74</v>
      </c>
      <c r="AJ1282" s="39">
        <v>154.38999999999999</v>
      </c>
      <c r="AK1282" s="39">
        <v>194.1</v>
      </c>
      <c r="AL1282" s="39">
        <v>0</v>
      </c>
      <c r="AM1282" s="39">
        <v>0</v>
      </c>
      <c r="AN1282" s="39">
        <v>0</v>
      </c>
      <c r="AO1282" s="39">
        <v>365.74</v>
      </c>
      <c r="AP1282" s="39">
        <v>154.38999999999999</v>
      </c>
      <c r="AQ1282" s="39">
        <v>194.1</v>
      </c>
      <c r="AR1282" s="39">
        <v>365.74</v>
      </c>
    </row>
    <row r="1283" spans="1:44" x14ac:dyDescent="0.35">
      <c r="A1283" s="16" t="str">
        <f t="shared" si="105"/>
        <v>19</v>
      </c>
      <c r="B1283" s="19">
        <v>10199</v>
      </c>
      <c r="C1283" s="16" t="str">
        <f>TEXT(137166,"0000000")</f>
        <v>0137166</v>
      </c>
      <c r="D1283" s="19">
        <v>1931</v>
      </c>
      <c r="E1283" s="16" t="s">
        <v>865</v>
      </c>
      <c r="F1283" s="16" t="s">
        <v>505</v>
      </c>
      <c r="G1283" s="35" t="s">
        <v>866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0</v>
      </c>
      <c r="AC1283" s="39">
        <v>353.78</v>
      </c>
      <c r="AD1283" s="39">
        <v>306.39999999999998</v>
      </c>
      <c r="AE1283" s="39">
        <v>242.5</v>
      </c>
      <c r="AF1283" s="39">
        <v>0</v>
      </c>
      <c r="AG1283" s="39">
        <v>0</v>
      </c>
      <c r="AH1283" s="39">
        <v>0</v>
      </c>
      <c r="AI1283" s="39">
        <v>353.78</v>
      </c>
      <c r="AJ1283" s="39">
        <v>306.39999999999998</v>
      </c>
      <c r="AK1283" s="39">
        <v>242.5</v>
      </c>
      <c r="AL1283" s="39">
        <v>0</v>
      </c>
      <c r="AM1283" s="39">
        <v>0</v>
      </c>
      <c r="AN1283" s="39">
        <v>0</v>
      </c>
      <c r="AO1283" s="39">
        <v>353.78</v>
      </c>
      <c r="AP1283" s="39">
        <v>306.39999999999998</v>
      </c>
      <c r="AQ1283" s="39">
        <v>242.5</v>
      </c>
      <c r="AR1283" s="39">
        <v>353.78</v>
      </c>
    </row>
    <row r="1284" spans="1:44" x14ac:dyDescent="0.35">
      <c r="A1284" s="16" t="str">
        <f t="shared" si="105"/>
        <v>19</v>
      </c>
      <c r="B1284" s="19">
        <v>10199</v>
      </c>
      <c r="C1284" s="16" t="str">
        <f>TEXT(138669,"0000000")</f>
        <v>0138669</v>
      </c>
      <c r="D1284" s="19">
        <v>2017</v>
      </c>
      <c r="E1284" s="16" t="s">
        <v>870</v>
      </c>
      <c r="F1284" s="16" t="s">
        <v>505</v>
      </c>
      <c r="G1284" s="35" t="s">
        <v>871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125.97</v>
      </c>
      <c r="AA1284" s="39">
        <v>94.09</v>
      </c>
      <c r="AB1284" s="39">
        <v>99.58</v>
      </c>
      <c r="AC1284" s="39">
        <v>0</v>
      </c>
      <c r="AD1284" s="39">
        <v>0</v>
      </c>
      <c r="AE1284" s="39">
        <v>0</v>
      </c>
      <c r="AF1284" s="39">
        <v>0</v>
      </c>
      <c r="AG1284" s="39">
        <v>0</v>
      </c>
      <c r="AH1284" s="39">
        <v>0</v>
      </c>
      <c r="AI1284" s="39">
        <v>125.97</v>
      </c>
      <c r="AJ1284" s="39">
        <v>94.09</v>
      </c>
      <c r="AK1284" s="39">
        <v>99.58</v>
      </c>
      <c r="AL1284" s="39">
        <v>0</v>
      </c>
      <c r="AM1284" s="39">
        <v>0</v>
      </c>
      <c r="AN1284" s="39">
        <v>0</v>
      </c>
      <c r="AO1284" s="39">
        <v>125.97</v>
      </c>
      <c r="AP1284" s="39">
        <v>94.09</v>
      </c>
      <c r="AQ1284" s="39">
        <v>99.58</v>
      </c>
      <c r="AR1284" s="39">
        <v>125.97</v>
      </c>
    </row>
    <row r="1285" spans="1:44" x14ac:dyDescent="0.35">
      <c r="A1285" s="16" t="str">
        <f t="shared" si="105"/>
        <v>19</v>
      </c>
      <c r="B1285" s="19">
        <v>10199</v>
      </c>
      <c r="C1285" s="16" t="str">
        <f>TEXT(139170,"0000000")</f>
        <v>0139170</v>
      </c>
      <c r="D1285" s="19">
        <v>2029</v>
      </c>
      <c r="E1285" s="16" t="s">
        <v>872</v>
      </c>
      <c r="F1285" s="16" t="s">
        <v>505</v>
      </c>
      <c r="G1285" s="35" t="s">
        <v>873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115.64</v>
      </c>
      <c r="AD1285" s="39">
        <v>98.64</v>
      </c>
      <c r="AE1285" s="39">
        <v>67.94</v>
      </c>
      <c r="AF1285" s="39">
        <v>0</v>
      </c>
      <c r="AG1285" s="39">
        <v>0</v>
      </c>
      <c r="AH1285" s="39">
        <v>0</v>
      </c>
      <c r="AI1285" s="39">
        <v>115.64</v>
      </c>
      <c r="AJ1285" s="39">
        <v>98.64</v>
      </c>
      <c r="AK1285" s="39">
        <v>67.94</v>
      </c>
      <c r="AL1285" s="39">
        <v>0</v>
      </c>
      <c r="AM1285" s="39">
        <v>0</v>
      </c>
      <c r="AN1285" s="39">
        <v>0</v>
      </c>
      <c r="AO1285" s="39">
        <v>115.64</v>
      </c>
      <c r="AP1285" s="39">
        <v>98.64</v>
      </c>
      <c r="AQ1285" s="39">
        <v>67.94</v>
      </c>
      <c r="AR1285" s="39">
        <v>115.64</v>
      </c>
    </row>
    <row r="1286" spans="1:44" x14ac:dyDescent="0.35">
      <c r="A1286" s="16" t="str">
        <f t="shared" si="105"/>
        <v>19</v>
      </c>
      <c r="B1286" s="19">
        <v>10199</v>
      </c>
      <c r="C1286" s="16" t="str">
        <f>TEXT(140798,"0000000")</f>
        <v>0140798</v>
      </c>
      <c r="D1286" s="19">
        <v>2114</v>
      </c>
      <c r="E1286" s="16" t="s">
        <v>882</v>
      </c>
      <c r="F1286" s="16" t="s">
        <v>505</v>
      </c>
      <c r="G1286" s="35" t="s">
        <v>883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141.03</v>
      </c>
      <c r="AD1286" s="39">
        <v>126.77</v>
      </c>
      <c r="AE1286" s="39">
        <v>115.85</v>
      </c>
      <c r="AF1286" s="39">
        <v>0</v>
      </c>
      <c r="AG1286" s="39">
        <v>0</v>
      </c>
      <c r="AH1286" s="39">
        <v>0</v>
      </c>
      <c r="AI1286" s="39">
        <v>141.03</v>
      </c>
      <c r="AJ1286" s="39">
        <v>126.77</v>
      </c>
      <c r="AK1286" s="39">
        <v>115.85</v>
      </c>
      <c r="AL1286" s="39">
        <v>0</v>
      </c>
      <c r="AM1286" s="39">
        <v>0</v>
      </c>
      <c r="AN1286" s="39">
        <v>0</v>
      </c>
      <c r="AO1286" s="39">
        <v>141.03</v>
      </c>
      <c r="AP1286" s="39">
        <v>126.77</v>
      </c>
      <c r="AQ1286" s="39">
        <v>115.85</v>
      </c>
      <c r="AR1286" s="39">
        <v>141.03</v>
      </c>
    </row>
    <row r="1287" spans="1:44" x14ac:dyDescent="0.35">
      <c r="A1287" s="16" t="str">
        <f t="shared" si="105"/>
        <v>19</v>
      </c>
      <c r="B1287" s="19">
        <v>10199</v>
      </c>
      <c r="C1287" s="16" t="str">
        <f>TEXT(140962,"0000000")</f>
        <v>0140962</v>
      </c>
      <c r="D1287" s="19">
        <v>2108</v>
      </c>
      <c r="E1287" s="16" t="s">
        <v>884</v>
      </c>
      <c r="F1287" s="16" t="s">
        <v>505</v>
      </c>
      <c r="G1287" s="35" t="s">
        <v>885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0</v>
      </c>
      <c r="O1287" s="39">
        <v>0</v>
      </c>
      <c r="P1287" s="39">
        <v>0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184.96</v>
      </c>
      <c r="AA1287" s="39">
        <v>153.91</v>
      </c>
      <c r="AB1287" s="39">
        <v>65.569999999999993</v>
      </c>
      <c r="AC1287" s="39">
        <v>0</v>
      </c>
      <c r="AD1287" s="39">
        <v>0</v>
      </c>
      <c r="AE1287" s="39">
        <v>0</v>
      </c>
      <c r="AF1287" s="39">
        <v>0</v>
      </c>
      <c r="AG1287" s="39">
        <v>0</v>
      </c>
      <c r="AH1287" s="39">
        <v>0</v>
      </c>
      <c r="AI1287" s="39">
        <v>184.96</v>
      </c>
      <c r="AJ1287" s="39">
        <v>153.91</v>
      </c>
      <c r="AK1287" s="39">
        <v>65.569999999999993</v>
      </c>
      <c r="AL1287" s="39">
        <v>0</v>
      </c>
      <c r="AM1287" s="39">
        <v>0</v>
      </c>
      <c r="AN1287" s="39">
        <v>0</v>
      </c>
      <c r="AO1287" s="39">
        <v>184.96</v>
      </c>
      <c r="AP1287" s="39">
        <v>153.91</v>
      </c>
      <c r="AQ1287" s="39">
        <v>65.569999999999993</v>
      </c>
      <c r="AR1287" s="39">
        <v>184.96</v>
      </c>
    </row>
    <row r="1288" spans="1:44" x14ac:dyDescent="0.35">
      <c r="A1288" s="16" t="str">
        <f t="shared" si="105"/>
        <v>19</v>
      </c>
      <c r="B1288" s="19">
        <v>64469</v>
      </c>
      <c r="C1288" s="16" t="str">
        <f>TEXT(128736,"0000000")</f>
        <v>0128736</v>
      </c>
      <c r="D1288" s="19">
        <v>1599</v>
      </c>
      <c r="E1288" s="16" t="s">
        <v>948</v>
      </c>
      <c r="F1288" s="16" t="s">
        <v>505</v>
      </c>
      <c r="G1288" s="35" t="s">
        <v>949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342.02</v>
      </c>
      <c r="AD1288" s="39">
        <v>336.64</v>
      </c>
      <c r="AE1288" s="39">
        <v>351.4</v>
      </c>
      <c r="AF1288" s="39">
        <v>0</v>
      </c>
      <c r="AG1288" s="39">
        <v>0</v>
      </c>
      <c r="AH1288" s="39">
        <v>0</v>
      </c>
      <c r="AI1288" s="39">
        <v>342.02</v>
      </c>
      <c r="AJ1288" s="39">
        <v>336.64</v>
      </c>
      <c r="AK1288" s="39">
        <v>351.4</v>
      </c>
      <c r="AL1288" s="39">
        <v>0</v>
      </c>
      <c r="AM1288" s="39">
        <v>0</v>
      </c>
      <c r="AN1288" s="39">
        <v>0</v>
      </c>
      <c r="AO1288" s="39">
        <v>342.02</v>
      </c>
      <c r="AP1288" s="39">
        <v>336.64</v>
      </c>
      <c r="AQ1288" s="39">
        <v>351.4</v>
      </c>
      <c r="AR1288" s="39">
        <v>351.4</v>
      </c>
    </row>
    <row r="1289" spans="1:44" x14ac:dyDescent="0.35">
      <c r="A1289" s="16" t="str">
        <f t="shared" si="105"/>
        <v>19</v>
      </c>
      <c r="B1289" s="19">
        <v>64634</v>
      </c>
      <c r="C1289" s="16" t="str">
        <f>TEXT(120303,"0000000")</f>
        <v>0120303</v>
      </c>
      <c r="D1289" s="19">
        <v>1121</v>
      </c>
      <c r="E1289" s="16" t="s">
        <v>989</v>
      </c>
      <c r="F1289" s="16" t="s">
        <v>505</v>
      </c>
      <c r="G1289" s="35" t="s">
        <v>990</v>
      </c>
      <c r="H1289" s="39">
        <v>0</v>
      </c>
      <c r="I1289" s="39">
        <v>0</v>
      </c>
      <c r="J1289" s="39">
        <v>0</v>
      </c>
      <c r="K1289" s="39">
        <v>0</v>
      </c>
      <c r="L1289" s="39">
        <v>0</v>
      </c>
      <c r="M1289" s="39">
        <v>0</v>
      </c>
      <c r="N1289" s="39">
        <v>0</v>
      </c>
      <c r="O1289" s="39">
        <v>0</v>
      </c>
      <c r="P1289" s="39">
        <v>0</v>
      </c>
      <c r="Q1289" s="39">
        <v>0</v>
      </c>
      <c r="R1289" s="39">
        <v>0</v>
      </c>
      <c r="S1289" s="39">
        <v>0</v>
      </c>
      <c r="T1289" s="39">
        <v>0</v>
      </c>
      <c r="U1289" s="39">
        <v>0</v>
      </c>
      <c r="V1289" s="39">
        <v>0</v>
      </c>
      <c r="W1289" s="39">
        <v>0</v>
      </c>
      <c r="X1289" s="39">
        <v>0</v>
      </c>
      <c r="Y1289" s="39">
        <v>0</v>
      </c>
      <c r="Z1289" s="39">
        <v>0</v>
      </c>
      <c r="AA1289" s="39">
        <v>0</v>
      </c>
      <c r="AB1289" s="39">
        <v>0</v>
      </c>
      <c r="AC1289" s="39">
        <v>347.58</v>
      </c>
      <c r="AD1289" s="39">
        <v>364.54</v>
      </c>
      <c r="AE1289" s="39">
        <v>345.66</v>
      </c>
      <c r="AF1289" s="39">
        <v>0</v>
      </c>
      <c r="AG1289" s="39">
        <v>0</v>
      </c>
      <c r="AH1289" s="39">
        <v>0</v>
      </c>
      <c r="AI1289" s="39">
        <v>347.58</v>
      </c>
      <c r="AJ1289" s="39">
        <v>364.54</v>
      </c>
      <c r="AK1289" s="39">
        <v>345.66</v>
      </c>
      <c r="AL1289" s="39">
        <v>0</v>
      </c>
      <c r="AM1289" s="39">
        <v>0</v>
      </c>
      <c r="AN1289" s="39">
        <v>0</v>
      </c>
      <c r="AO1289" s="39">
        <v>347.58</v>
      </c>
      <c r="AP1289" s="39">
        <v>364.54</v>
      </c>
      <c r="AQ1289" s="39">
        <v>345.66</v>
      </c>
      <c r="AR1289" s="39">
        <v>364.54</v>
      </c>
    </row>
    <row r="1290" spans="1:44" x14ac:dyDescent="0.35">
      <c r="A1290" s="16" t="str">
        <f t="shared" si="105"/>
        <v>19</v>
      </c>
      <c r="B1290" s="19">
        <v>64733</v>
      </c>
      <c r="C1290" s="16" t="str">
        <f>TEXT(120097,"0000000")</f>
        <v>0120097</v>
      </c>
      <c r="D1290" s="19">
        <v>1101</v>
      </c>
      <c r="E1290" s="16" t="s">
        <v>1035</v>
      </c>
      <c r="F1290" s="16" t="s">
        <v>505</v>
      </c>
      <c r="G1290" s="35" t="s">
        <v>1036</v>
      </c>
      <c r="H1290" s="39">
        <v>0</v>
      </c>
      <c r="I1290" s="39">
        <v>0</v>
      </c>
      <c r="J1290" s="39">
        <v>0</v>
      </c>
      <c r="K1290" s="39">
        <v>0</v>
      </c>
      <c r="L1290" s="39">
        <v>0</v>
      </c>
      <c r="M1290" s="39">
        <v>0</v>
      </c>
      <c r="N1290" s="39">
        <v>0</v>
      </c>
      <c r="O1290" s="39">
        <v>0</v>
      </c>
      <c r="P1290" s="39">
        <v>0</v>
      </c>
      <c r="Q1290" s="39">
        <v>0</v>
      </c>
      <c r="R1290" s="39">
        <v>0</v>
      </c>
      <c r="S1290" s="39">
        <v>0</v>
      </c>
      <c r="T1290" s="39">
        <v>0</v>
      </c>
      <c r="U1290" s="39">
        <v>0</v>
      </c>
      <c r="V1290" s="39">
        <v>0</v>
      </c>
      <c r="W1290" s="39">
        <v>0</v>
      </c>
      <c r="X1290" s="39">
        <v>0</v>
      </c>
      <c r="Y1290" s="39">
        <v>0</v>
      </c>
      <c r="Z1290" s="39">
        <v>0</v>
      </c>
      <c r="AA1290" s="39">
        <v>0</v>
      </c>
      <c r="AB1290" s="39">
        <v>0</v>
      </c>
      <c r="AC1290" s="39">
        <v>368.13</v>
      </c>
      <c r="AD1290" s="39">
        <v>390.15</v>
      </c>
      <c r="AE1290" s="39">
        <v>393.7</v>
      </c>
      <c r="AF1290" s="39">
        <v>0</v>
      </c>
      <c r="AG1290" s="39">
        <v>0</v>
      </c>
      <c r="AH1290" s="39">
        <v>0</v>
      </c>
      <c r="AI1290" s="39">
        <v>368.13</v>
      </c>
      <c r="AJ1290" s="39">
        <v>390.15</v>
      </c>
      <c r="AK1290" s="39">
        <v>393.7</v>
      </c>
      <c r="AL1290" s="39">
        <v>0</v>
      </c>
      <c r="AM1290" s="39">
        <v>0</v>
      </c>
      <c r="AN1290" s="39">
        <v>0</v>
      </c>
      <c r="AO1290" s="39">
        <v>368.13</v>
      </c>
      <c r="AP1290" s="39">
        <v>390.15</v>
      </c>
      <c r="AQ1290" s="39">
        <v>393.7</v>
      </c>
      <c r="AR1290" s="39">
        <v>393.7</v>
      </c>
    </row>
    <row r="1291" spans="1:44" x14ac:dyDescent="0.35">
      <c r="A1291" s="16" t="str">
        <f t="shared" si="105"/>
        <v>19</v>
      </c>
      <c r="B1291" s="19">
        <v>64733</v>
      </c>
      <c r="C1291" s="16" t="str">
        <f>TEXT(127936,"0000000")</f>
        <v>0127936</v>
      </c>
      <c r="D1291" s="19">
        <v>1542</v>
      </c>
      <c r="E1291" s="16" t="s">
        <v>1045</v>
      </c>
      <c r="F1291" s="16" t="s">
        <v>505</v>
      </c>
      <c r="G1291" s="35" t="s">
        <v>1046</v>
      </c>
      <c r="H1291" s="39">
        <v>0</v>
      </c>
      <c r="I1291" s="39">
        <v>0</v>
      </c>
      <c r="J1291" s="39">
        <v>0</v>
      </c>
      <c r="K1291" s="39">
        <v>0</v>
      </c>
      <c r="L1291" s="39">
        <v>0</v>
      </c>
      <c r="M1291" s="39">
        <v>0</v>
      </c>
      <c r="N1291" s="39">
        <v>0</v>
      </c>
      <c r="O1291" s="39">
        <v>0</v>
      </c>
      <c r="P1291" s="39">
        <v>0</v>
      </c>
      <c r="Q1291" s="39">
        <v>0</v>
      </c>
      <c r="R1291" s="39">
        <v>0</v>
      </c>
      <c r="S1291" s="39">
        <v>0</v>
      </c>
      <c r="T1291" s="39">
        <v>0</v>
      </c>
      <c r="U1291" s="39">
        <v>0</v>
      </c>
      <c r="V1291" s="39">
        <v>0</v>
      </c>
      <c r="W1291" s="39">
        <v>0</v>
      </c>
      <c r="X1291" s="39">
        <v>0</v>
      </c>
      <c r="Y1291" s="39">
        <v>0</v>
      </c>
      <c r="Z1291" s="39">
        <v>0</v>
      </c>
      <c r="AA1291" s="39">
        <v>0</v>
      </c>
      <c r="AB1291" s="39">
        <v>0</v>
      </c>
      <c r="AC1291" s="39">
        <v>288.52999999999997</v>
      </c>
      <c r="AD1291" s="39">
        <v>275.42</v>
      </c>
      <c r="AE1291" s="39">
        <v>261.17</v>
      </c>
      <c r="AF1291" s="39">
        <v>0</v>
      </c>
      <c r="AG1291" s="39">
        <v>0</v>
      </c>
      <c r="AH1291" s="39">
        <v>0</v>
      </c>
      <c r="AI1291" s="39">
        <v>288.52999999999997</v>
      </c>
      <c r="AJ1291" s="39">
        <v>275.42</v>
      </c>
      <c r="AK1291" s="39">
        <v>261.17</v>
      </c>
      <c r="AL1291" s="39">
        <v>0</v>
      </c>
      <c r="AM1291" s="39">
        <v>0</v>
      </c>
      <c r="AN1291" s="39">
        <v>0</v>
      </c>
      <c r="AO1291" s="39">
        <v>288.52999999999997</v>
      </c>
      <c r="AP1291" s="39">
        <v>275.42</v>
      </c>
      <c r="AQ1291" s="39">
        <v>261.17</v>
      </c>
      <c r="AR1291" s="39">
        <v>288.52999999999997</v>
      </c>
    </row>
    <row r="1292" spans="1:44" x14ac:dyDescent="0.35">
      <c r="A1292" s="16" t="str">
        <f t="shared" si="105"/>
        <v>19</v>
      </c>
      <c r="B1292" s="19">
        <v>64733</v>
      </c>
      <c r="C1292" s="16" t="str">
        <f>TEXT(129866,"0000000")</f>
        <v>0129866</v>
      </c>
      <c r="D1292" s="19">
        <v>1639</v>
      </c>
      <c r="E1292" s="16" t="s">
        <v>1047</v>
      </c>
      <c r="F1292" s="16" t="s">
        <v>505</v>
      </c>
      <c r="G1292" s="35" t="s">
        <v>1048</v>
      </c>
      <c r="H1292" s="39">
        <v>0</v>
      </c>
      <c r="I1292" s="39">
        <v>0</v>
      </c>
      <c r="J1292" s="39">
        <v>0</v>
      </c>
      <c r="K1292" s="39">
        <v>0</v>
      </c>
      <c r="L1292" s="39">
        <v>0</v>
      </c>
      <c r="M1292" s="39">
        <v>0</v>
      </c>
      <c r="N1292" s="39">
        <v>0</v>
      </c>
      <c r="O1292" s="39">
        <v>0</v>
      </c>
      <c r="P1292" s="39">
        <v>0</v>
      </c>
      <c r="Q1292" s="39">
        <v>0</v>
      </c>
      <c r="R1292" s="39">
        <v>0</v>
      </c>
      <c r="S1292" s="39">
        <v>0</v>
      </c>
      <c r="T1292" s="39">
        <v>0</v>
      </c>
      <c r="U1292" s="39">
        <v>0</v>
      </c>
      <c r="V1292" s="39">
        <v>0</v>
      </c>
      <c r="W1292" s="39">
        <v>0</v>
      </c>
      <c r="X1292" s="39">
        <v>0</v>
      </c>
      <c r="Y1292" s="39">
        <v>0</v>
      </c>
      <c r="Z1292" s="39">
        <v>0</v>
      </c>
      <c r="AA1292" s="39">
        <v>0</v>
      </c>
      <c r="AB1292" s="39">
        <v>0</v>
      </c>
      <c r="AC1292" s="39">
        <v>291.10000000000002</v>
      </c>
      <c r="AD1292" s="39">
        <v>284.82</v>
      </c>
      <c r="AE1292" s="39">
        <v>273.83</v>
      </c>
      <c r="AF1292" s="39">
        <v>0</v>
      </c>
      <c r="AG1292" s="39">
        <v>0</v>
      </c>
      <c r="AH1292" s="39">
        <v>0</v>
      </c>
      <c r="AI1292" s="39">
        <v>291.10000000000002</v>
      </c>
      <c r="AJ1292" s="39">
        <v>284.82</v>
      </c>
      <c r="AK1292" s="39">
        <v>273.83</v>
      </c>
      <c r="AL1292" s="39">
        <v>0</v>
      </c>
      <c r="AM1292" s="39">
        <v>0</v>
      </c>
      <c r="AN1292" s="39">
        <v>0</v>
      </c>
      <c r="AO1292" s="39">
        <v>291.10000000000002</v>
      </c>
      <c r="AP1292" s="39">
        <v>284.82</v>
      </c>
      <c r="AQ1292" s="39">
        <v>273.83</v>
      </c>
      <c r="AR1292" s="39">
        <v>291.10000000000002</v>
      </c>
    </row>
    <row r="1293" spans="1:44" x14ac:dyDescent="0.35">
      <c r="A1293" s="16" t="str">
        <f t="shared" si="105"/>
        <v>19</v>
      </c>
      <c r="B1293" s="19">
        <v>65136</v>
      </c>
      <c r="C1293" s="16" t="str">
        <f>TEXT(1996263,"0000000")</f>
        <v>1996263</v>
      </c>
      <c r="D1293" s="17" t="s">
        <v>1138</v>
      </c>
      <c r="E1293" s="16" t="s">
        <v>1136</v>
      </c>
      <c r="F1293" s="16" t="s">
        <v>505</v>
      </c>
      <c r="G1293" s="35" t="s">
        <v>1137</v>
      </c>
      <c r="H1293" s="39">
        <v>0</v>
      </c>
      <c r="I1293" s="39">
        <v>0</v>
      </c>
      <c r="J1293" s="39">
        <v>0</v>
      </c>
      <c r="K1293" s="39">
        <v>0</v>
      </c>
      <c r="L1293" s="39">
        <v>0</v>
      </c>
      <c r="M1293" s="39">
        <v>0</v>
      </c>
      <c r="N1293" s="39">
        <v>0</v>
      </c>
      <c r="O1293" s="39">
        <v>0</v>
      </c>
      <c r="P1293" s="39">
        <v>0</v>
      </c>
      <c r="Q1293" s="39">
        <v>0</v>
      </c>
      <c r="R1293" s="39">
        <v>0</v>
      </c>
      <c r="S1293" s="39">
        <v>0</v>
      </c>
      <c r="T1293" s="39">
        <v>0</v>
      </c>
      <c r="U1293" s="39">
        <v>0</v>
      </c>
      <c r="V1293" s="39">
        <v>0</v>
      </c>
      <c r="W1293" s="39">
        <v>0</v>
      </c>
      <c r="X1293" s="39">
        <v>0</v>
      </c>
      <c r="Y1293" s="39">
        <v>0</v>
      </c>
      <c r="Z1293" s="39">
        <v>0</v>
      </c>
      <c r="AA1293" s="39">
        <v>0</v>
      </c>
      <c r="AB1293" s="39">
        <v>0</v>
      </c>
      <c r="AC1293" s="39">
        <v>1544.05</v>
      </c>
      <c r="AD1293" s="39">
        <v>1477.63</v>
      </c>
      <c r="AE1293" s="39">
        <v>1403.38</v>
      </c>
      <c r="AF1293" s="39">
        <v>0</v>
      </c>
      <c r="AG1293" s="39">
        <v>0</v>
      </c>
      <c r="AH1293" s="39">
        <v>0</v>
      </c>
      <c r="AI1293" s="39">
        <v>1544.05</v>
      </c>
      <c r="AJ1293" s="39">
        <v>1477.63</v>
      </c>
      <c r="AK1293" s="39">
        <v>1403.38</v>
      </c>
      <c r="AL1293" s="39">
        <v>0</v>
      </c>
      <c r="AM1293" s="39">
        <v>0</v>
      </c>
      <c r="AN1293" s="39">
        <v>0</v>
      </c>
      <c r="AO1293" s="39">
        <v>1544.05</v>
      </c>
      <c r="AP1293" s="39">
        <v>1477.63</v>
      </c>
      <c r="AQ1293" s="39">
        <v>1403.38</v>
      </c>
      <c r="AR1293" s="39">
        <v>1544.05</v>
      </c>
    </row>
    <row r="1294" spans="1:44" x14ac:dyDescent="0.35">
      <c r="A1294" s="16" t="str">
        <f t="shared" si="105"/>
        <v>19</v>
      </c>
      <c r="B1294" s="19">
        <v>73437</v>
      </c>
      <c r="C1294" s="16" t="str">
        <f>TEXT(134338,"0000000")</f>
        <v>0134338</v>
      </c>
      <c r="D1294" s="19">
        <v>1827</v>
      </c>
      <c r="E1294" s="16" t="s">
        <v>1150</v>
      </c>
      <c r="F1294" s="16" t="s">
        <v>505</v>
      </c>
      <c r="G1294" s="35" t="s">
        <v>1151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0</v>
      </c>
      <c r="AB1294" s="39">
        <v>0</v>
      </c>
      <c r="AC1294" s="39">
        <v>375.74</v>
      </c>
      <c r="AD1294" s="39">
        <v>383.14</v>
      </c>
      <c r="AE1294" s="39">
        <v>388.97</v>
      </c>
      <c r="AF1294" s="39">
        <v>0</v>
      </c>
      <c r="AG1294" s="39">
        <v>0</v>
      </c>
      <c r="AH1294" s="39">
        <v>0</v>
      </c>
      <c r="AI1294" s="39">
        <v>375.74</v>
      </c>
      <c r="AJ1294" s="39">
        <v>383.14</v>
      </c>
      <c r="AK1294" s="39">
        <v>388.97</v>
      </c>
      <c r="AL1294" s="39">
        <v>0</v>
      </c>
      <c r="AM1294" s="39">
        <v>0</v>
      </c>
      <c r="AN1294" s="39">
        <v>0</v>
      </c>
      <c r="AO1294" s="39">
        <v>375.74</v>
      </c>
      <c r="AP1294" s="39">
        <v>383.14</v>
      </c>
      <c r="AQ1294" s="39">
        <v>388.97</v>
      </c>
      <c r="AR1294" s="39">
        <v>388.97</v>
      </c>
    </row>
    <row r="1295" spans="1:44" x14ac:dyDescent="0.35">
      <c r="A1295" s="16" t="str">
        <f t="shared" si="105"/>
        <v>19</v>
      </c>
      <c r="B1295" s="19">
        <v>75309</v>
      </c>
      <c r="C1295" s="16" t="str">
        <f>TEXT(136648,"0000000")</f>
        <v>0136648</v>
      </c>
      <c r="D1295" s="19">
        <v>1911</v>
      </c>
      <c r="E1295" s="16" t="s">
        <v>1182</v>
      </c>
      <c r="F1295" s="16" t="s">
        <v>505</v>
      </c>
      <c r="G1295" s="35" t="s">
        <v>1183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0</v>
      </c>
      <c r="AC1295" s="39">
        <v>2536.09</v>
      </c>
      <c r="AD1295" s="39">
        <v>2471.46</v>
      </c>
      <c r="AE1295" s="39">
        <v>2072.5500000000002</v>
      </c>
      <c r="AF1295" s="39">
        <v>0</v>
      </c>
      <c r="AG1295" s="39">
        <v>0</v>
      </c>
      <c r="AH1295" s="39">
        <v>0</v>
      </c>
      <c r="AI1295" s="39">
        <v>2536.09</v>
      </c>
      <c r="AJ1295" s="39">
        <v>2471.46</v>
      </c>
      <c r="AK1295" s="39">
        <v>2072.5500000000002</v>
      </c>
      <c r="AL1295" s="39">
        <v>0</v>
      </c>
      <c r="AM1295" s="39">
        <v>0</v>
      </c>
      <c r="AN1295" s="39">
        <v>0</v>
      </c>
      <c r="AO1295" s="39">
        <v>2536.09</v>
      </c>
      <c r="AP1295" s="39">
        <v>2471.46</v>
      </c>
      <c r="AQ1295" s="39">
        <v>2072.5500000000002</v>
      </c>
      <c r="AR1295" s="39">
        <v>2536.09</v>
      </c>
    </row>
    <row r="1296" spans="1:44" x14ac:dyDescent="0.35">
      <c r="A1296" s="16" t="str">
        <f t="shared" si="105"/>
        <v>19</v>
      </c>
      <c r="B1296" s="19">
        <v>76968</v>
      </c>
      <c r="C1296" s="16" t="str">
        <f>TEXT(109926,"0000000")</f>
        <v>0109926</v>
      </c>
      <c r="D1296" s="17" t="s">
        <v>1209</v>
      </c>
      <c r="E1296" s="16" t="s">
        <v>1207</v>
      </c>
      <c r="F1296" s="16" t="s">
        <v>505</v>
      </c>
      <c r="G1296" s="35" t="s">
        <v>1208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183.88</v>
      </c>
      <c r="AD1296" s="39">
        <v>211.43</v>
      </c>
      <c r="AE1296" s="39">
        <v>223.3</v>
      </c>
      <c r="AF1296" s="39">
        <v>0</v>
      </c>
      <c r="AG1296" s="39">
        <v>0</v>
      </c>
      <c r="AH1296" s="39">
        <v>0</v>
      </c>
      <c r="AI1296" s="39">
        <v>183.88</v>
      </c>
      <c r="AJ1296" s="39">
        <v>211.43</v>
      </c>
      <c r="AK1296" s="39">
        <v>223.3</v>
      </c>
      <c r="AL1296" s="39">
        <v>0</v>
      </c>
      <c r="AM1296" s="39">
        <v>0</v>
      </c>
      <c r="AN1296" s="39">
        <v>0</v>
      </c>
      <c r="AO1296" s="39">
        <v>183.88</v>
      </c>
      <c r="AP1296" s="39">
        <v>211.43</v>
      </c>
      <c r="AQ1296" s="39">
        <v>223.3</v>
      </c>
      <c r="AR1296" s="39">
        <v>223.3</v>
      </c>
    </row>
    <row r="1297" spans="1:44" x14ac:dyDescent="0.35">
      <c r="A1297" s="16" t="str">
        <f>TEXT(30,"00")</f>
        <v>30</v>
      </c>
      <c r="B1297" s="19">
        <v>10306</v>
      </c>
      <c r="C1297" s="16" t="str">
        <f>TEXT(139352,"0000000")</f>
        <v>0139352</v>
      </c>
      <c r="D1297" s="19">
        <v>2047</v>
      </c>
      <c r="E1297" s="16" t="s">
        <v>1520</v>
      </c>
      <c r="F1297" s="16" t="s">
        <v>505</v>
      </c>
      <c r="G1297" s="35" t="s">
        <v>1521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v>0</v>
      </c>
      <c r="AB1297" s="39">
        <v>0</v>
      </c>
      <c r="AC1297" s="39">
        <v>146.41</v>
      </c>
      <c r="AD1297" s="39">
        <v>154.37</v>
      </c>
      <c r="AE1297" s="39">
        <v>148.77000000000001</v>
      </c>
      <c r="AF1297" s="39">
        <v>0</v>
      </c>
      <c r="AG1297" s="39">
        <v>0</v>
      </c>
      <c r="AH1297" s="39">
        <v>0</v>
      </c>
      <c r="AI1297" s="39">
        <v>146.41</v>
      </c>
      <c r="AJ1297" s="39">
        <v>154.37</v>
      </c>
      <c r="AK1297" s="39">
        <v>148.77000000000001</v>
      </c>
      <c r="AL1297" s="39">
        <v>0</v>
      </c>
      <c r="AM1297" s="39">
        <v>0</v>
      </c>
      <c r="AN1297" s="39">
        <v>0</v>
      </c>
      <c r="AO1297" s="39">
        <v>146.41</v>
      </c>
      <c r="AP1297" s="39">
        <v>154.37</v>
      </c>
      <c r="AQ1297" s="39">
        <v>148.77000000000001</v>
      </c>
      <c r="AR1297" s="39">
        <v>154.37</v>
      </c>
    </row>
    <row r="1298" spans="1:44" x14ac:dyDescent="0.35">
      <c r="A1298" s="16" t="str">
        <f>TEXT(30,"00")</f>
        <v>30</v>
      </c>
      <c r="B1298" s="19">
        <v>10306</v>
      </c>
      <c r="C1298" s="16" t="str">
        <f>TEXT(139469,"0000000")</f>
        <v>0139469</v>
      </c>
      <c r="D1298" s="19">
        <v>2048</v>
      </c>
      <c r="E1298" s="16" t="s">
        <v>1522</v>
      </c>
      <c r="F1298" s="16" t="s">
        <v>505</v>
      </c>
      <c r="G1298" s="35" t="s">
        <v>1523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97.15</v>
      </c>
      <c r="AD1298" s="39">
        <v>107.85</v>
      </c>
      <c r="AE1298" s="39">
        <v>125.7</v>
      </c>
      <c r="AF1298" s="39">
        <v>0</v>
      </c>
      <c r="AG1298" s="39">
        <v>0</v>
      </c>
      <c r="AH1298" s="39">
        <v>0</v>
      </c>
      <c r="AI1298" s="39">
        <v>97.15</v>
      </c>
      <c r="AJ1298" s="39">
        <v>107.85</v>
      </c>
      <c r="AK1298" s="39">
        <v>125.7</v>
      </c>
      <c r="AL1298" s="39">
        <v>0</v>
      </c>
      <c r="AM1298" s="39">
        <v>0</v>
      </c>
      <c r="AN1298" s="39">
        <v>0</v>
      </c>
      <c r="AO1298" s="39">
        <v>97.15</v>
      </c>
      <c r="AP1298" s="39">
        <v>107.85</v>
      </c>
      <c r="AQ1298" s="39">
        <v>125.7</v>
      </c>
      <c r="AR1298" s="39">
        <v>125.7</v>
      </c>
    </row>
    <row r="1299" spans="1:44" x14ac:dyDescent="0.35">
      <c r="A1299" s="16" t="str">
        <f>TEXT(30,"00")</f>
        <v>30</v>
      </c>
      <c r="B1299" s="19">
        <v>10306</v>
      </c>
      <c r="C1299" s="16" t="str">
        <f>TEXT(140822,"0000000")</f>
        <v>0140822</v>
      </c>
      <c r="D1299" s="19">
        <v>2116</v>
      </c>
      <c r="E1299" s="16" t="s">
        <v>1526</v>
      </c>
      <c r="F1299" s="16" t="s">
        <v>505</v>
      </c>
      <c r="G1299" s="35" t="s">
        <v>1527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509.25</v>
      </c>
      <c r="AD1299" s="39">
        <v>356.05</v>
      </c>
      <c r="AE1299" s="39">
        <v>211.2</v>
      </c>
      <c r="AF1299" s="39">
        <v>0</v>
      </c>
      <c r="AG1299" s="39">
        <v>0</v>
      </c>
      <c r="AH1299" s="39">
        <v>0</v>
      </c>
      <c r="AI1299" s="39">
        <v>509.25</v>
      </c>
      <c r="AJ1299" s="39">
        <v>356.05</v>
      </c>
      <c r="AK1299" s="39">
        <v>211.2</v>
      </c>
      <c r="AL1299" s="39">
        <v>0</v>
      </c>
      <c r="AM1299" s="39">
        <v>0</v>
      </c>
      <c r="AN1299" s="39">
        <v>0</v>
      </c>
      <c r="AO1299" s="39">
        <v>509.25</v>
      </c>
      <c r="AP1299" s="39">
        <v>356.05</v>
      </c>
      <c r="AQ1299" s="39">
        <v>211.2</v>
      </c>
      <c r="AR1299" s="39">
        <v>509.25</v>
      </c>
    </row>
    <row r="1300" spans="1:44" x14ac:dyDescent="0.35">
      <c r="A1300" s="16" t="str">
        <f>TEXT(30,"00")</f>
        <v>30</v>
      </c>
      <c r="B1300" s="19">
        <v>66670</v>
      </c>
      <c r="C1300" s="16" t="str">
        <f>TEXT(101626,"0000000")</f>
        <v>0101626</v>
      </c>
      <c r="D1300" s="17" t="s">
        <v>1603</v>
      </c>
      <c r="E1300" s="16" t="s">
        <v>1601</v>
      </c>
      <c r="F1300" s="16" t="s">
        <v>505</v>
      </c>
      <c r="G1300" s="35" t="s">
        <v>1602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399</v>
      </c>
      <c r="AD1300" s="39">
        <v>400.2</v>
      </c>
      <c r="AE1300" s="39">
        <v>400.73</v>
      </c>
      <c r="AF1300" s="39">
        <v>0</v>
      </c>
      <c r="AG1300" s="39">
        <v>0</v>
      </c>
      <c r="AH1300" s="39">
        <v>0</v>
      </c>
      <c r="AI1300" s="39">
        <v>399</v>
      </c>
      <c r="AJ1300" s="39">
        <v>400.2</v>
      </c>
      <c r="AK1300" s="39">
        <v>400.73</v>
      </c>
      <c r="AL1300" s="39">
        <v>0</v>
      </c>
      <c r="AM1300" s="39">
        <v>0</v>
      </c>
      <c r="AN1300" s="39">
        <v>0</v>
      </c>
      <c r="AO1300" s="39">
        <v>399</v>
      </c>
      <c r="AP1300" s="39">
        <v>400.2</v>
      </c>
      <c r="AQ1300" s="39">
        <v>400.73</v>
      </c>
      <c r="AR1300" s="39">
        <v>400.73</v>
      </c>
    </row>
    <row r="1301" spans="1:44" x14ac:dyDescent="0.35">
      <c r="A1301" s="16" t="str">
        <f>TEXT(36,"00")</f>
        <v>36</v>
      </c>
      <c r="B1301" s="19">
        <v>75051</v>
      </c>
      <c r="C1301" s="16" t="str">
        <f>TEXT(139188,"0000000")</f>
        <v>0139188</v>
      </c>
      <c r="D1301" s="19">
        <v>2033</v>
      </c>
      <c r="E1301" s="16" t="s">
        <v>2037</v>
      </c>
      <c r="F1301" s="16" t="s">
        <v>505</v>
      </c>
      <c r="G1301" s="35" t="s">
        <v>2038</v>
      </c>
      <c r="H1301" s="39">
        <v>0</v>
      </c>
      <c r="I1301" s="39">
        <v>0</v>
      </c>
      <c r="J1301" s="39">
        <v>0</v>
      </c>
      <c r="K1301" s="39">
        <v>0</v>
      </c>
      <c r="L1301" s="39">
        <v>0</v>
      </c>
      <c r="M1301" s="39">
        <v>0</v>
      </c>
      <c r="N1301" s="39">
        <v>0</v>
      </c>
      <c r="O1301" s="39">
        <v>0</v>
      </c>
      <c r="P1301" s="39">
        <v>0</v>
      </c>
      <c r="Q1301" s="39">
        <v>0</v>
      </c>
      <c r="R1301" s="39">
        <v>0</v>
      </c>
      <c r="S1301" s="39">
        <v>0</v>
      </c>
      <c r="T1301" s="39">
        <v>0</v>
      </c>
      <c r="U1301" s="39">
        <v>0</v>
      </c>
      <c r="V1301" s="39">
        <v>0</v>
      </c>
      <c r="W1301" s="39">
        <v>0</v>
      </c>
      <c r="X1301" s="39">
        <v>0</v>
      </c>
      <c r="Y1301" s="39">
        <v>0</v>
      </c>
      <c r="Z1301" s="39">
        <v>0</v>
      </c>
      <c r="AA1301" s="39">
        <v>0</v>
      </c>
      <c r="AB1301" s="39">
        <v>0</v>
      </c>
      <c r="AC1301" s="39">
        <v>4352.76</v>
      </c>
      <c r="AD1301" s="39">
        <v>3930.04</v>
      </c>
      <c r="AE1301" s="39">
        <v>3485.72</v>
      </c>
      <c r="AF1301" s="39">
        <v>0</v>
      </c>
      <c r="AG1301" s="39">
        <v>0</v>
      </c>
      <c r="AH1301" s="39">
        <v>0</v>
      </c>
      <c r="AI1301" s="39">
        <v>4352.76</v>
      </c>
      <c r="AJ1301" s="39">
        <v>3930.04</v>
      </c>
      <c r="AK1301" s="39">
        <v>3485.72</v>
      </c>
      <c r="AL1301" s="39">
        <v>0</v>
      </c>
      <c r="AM1301" s="39">
        <v>0</v>
      </c>
      <c r="AN1301" s="39">
        <v>0</v>
      </c>
      <c r="AO1301" s="39">
        <v>4352.76</v>
      </c>
      <c r="AP1301" s="39">
        <v>3930.04</v>
      </c>
      <c r="AQ1301" s="39">
        <v>3485.72</v>
      </c>
      <c r="AR1301" s="39">
        <v>4352.76</v>
      </c>
    </row>
    <row r="1302" spans="1:44" x14ac:dyDescent="0.35">
      <c r="A1302" s="16" t="str">
        <f>TEXT(28,"00")</f>
        <v>28</v>
      </c>
      <c r="B1302" s="19">
        <v>10280</v>
      </c>
      <c r="C1302" s="16" t="str">
        <f>TEXT(142034,"0000000")</f>
        <v>0142034</v>
      </c>
      <c r="D1302" s="19">
        <v>2134</v>
      </c>
      <c r="E1302" s="16" t="s">
        <v>3517</v>
      </c>
      <c r="F1302" s="16" t="s">
        <v>505</v>
      </c>
      <c r="G1302" s="35" t="s">
        <v>3518</v>
      </c>
      <c r="H1302" s="39">
        <v>0</v>
      </c>
      <c r="I1302" s="39">
        <v>0</v>
      </c>
      <c r="J1302" s="39">
        <v>0</v>
      </c>
      <c r="K1302" s="39">
        <v>0</v>
      </c>
      <c r="L1302" s="39">
        <v>0</v>
      </c>
      <c r="M1302" s="39">
        <v>0</v>
      </c>
      <c r="N1302" s="39">
        <v>0</v>
      </c>
      <c r="O1302" s="39">
        <v>0</v>
      </c>
      <c r="P1302" s="39">
        <v>0</v>
      </c>
      <c r="Q1302" s="39">
        <v>0</v>
      </c>
      <c r="R1302" s="39">
        <v>0</v>
      </c>
      <c r="S1302" s="39">
        <v>0</v>
      </c>
      <c r="T1302" s="39">
        <v>0</v>
      </c>
      <c r="U1302" s="39">
        <v>0</v>
      </c>
      <c r="V1302" s="39">
        <v>0</v>
      </c>
      <c r="W1302" s="39">
        <v>0</v>
      </c>
      <c r="X1302" s="39">
        <v>0</v>
      </c>
      <c r="Y1302" s="39">
        <v>0</v>
      </c>
      <c r="Z1302" s="39">
        <v>0</v>
      </c>
      <c r="AA1302" s="39">
        <v>0</v>
      </c>
      <c r="AB1302" s="39">
        <v>0</v>
      </c>
      <c r="AC1302" s="39">
        <v>0</v>
      </c>
      <c r="AD1302" s="39">
        <v>0</v>
      </c>
      <c r="AE1302" s="39">
        <v>0</v>
      </c>
      <c r="AF1302" s="39">
        <v>0</v>
      </c>
      <c r="AG1302" s="39">
        <v>0</v>
      </c>
      <c r="AH1302" s="39">
        <v>0</v>
      </c>
      <c r="AI1302" s="39">
        <v>0</v>
      </c>
      <c r="AJ1302" s="39">
        <v>0</v>
      </c>
      <c r="AK1302" s="39">
        <v>0</v>
      </c>
      <c r="AL1302" s="39">
        <v>0</v>
      </c>
      <c r="AM1302" s="39">
        <v>0</v>
      </c>
      <c r="AN1302" s="39">
        <v>0</v>
      </c>
      <c r="AO1302" s="39">
        <v>0</v>
      </c>
      <c r="AP1302" s="39">
        <v>0</v>
      </c>
      <c r="AQ1302" s="39">
        <v>0</v>
      </c>
      <c r="AR1302" s="39">
        <v>0</v>
      </c>
    </row>
    <row r="1303" spans="1:44" x14ac:dyDescent="0.35">
      <c r="A1303" s="16" t="str">
        <f>TEXT(30,"00")</f>
        <v>30</v>
      </c>
      <c r="B1303" s="19">
        <v>10306</v>
      </c>
      <c r="C1303" s="16" t="str">
        <f>TEXT(142000,"0000000")</f>
        <v>0142000</v>
      </c>
      <c r="D1303" s="19">
        <v>2129</v>
      </c>
      <c r="E1303" s="16" t="s">
        <v>3567</v>
      </c>
      <c r="F1303" s="16" t="s">
        <v>505</v>
      </c>
      <c r="G1303" s="35" t="s">
        <v>3568</v>
      </c>
      <c r="H1303" s="39">
        <v>0</v>
      </c>
      <c r="I1303" s="39">
        <v>0</v>
      </c>
      <c r="J1303" s="39">
        <v>0</v>
      </c>
      <c r="K1303" s="39">
        <v>0</v>
      </c>
      <c r="L1303" s="39">
        <v>0</v>
      </c>
      <c r="M1303" s="39">
        <v>0</v>
      </c>
      <c r="N1303" s="39">
        <v>0</v>
      </c>
      <c r="O1303" s="39">
        <v>0</v>
      </c>
      <c r="P1303" s="39">
        <v>0</v>
      </c>
      <c r="Q1303" s="39">
        <v>0</v>
      </c>
      <c r="R1303" s="39">
        <v>0</v>
      </c>
      <c r="S1303" s="39">
        <v>0</v>
      </c>
      <c r="T1303" s="39">
        <v>0</v>
      </c>
      <c r="U1303" s="39">
        <v>0</v>
      </c>
      <c r="V1303" s="39">
        <v>0</v>
      </c>
      <c r="W1303" s="39">
        <v>0</v>
      </c>
      <c r="X1303" s="39">
        <v>0</v>
      </c>
      <c r="Y1303" s="39">
        <v>0</v>
      </c>
      <c r="Z1303" s="39">
        <v>118.97</v>
      </c>
      <c r="AA1303" s="39">
        <v>0</v>
      </c>
      <c r="AB1303" s="39">
        <v>0</v>
      </c>
      <c r="AC1303" s="39">
        <v>0</v>
      </c>
      <c r="AD1303" s="39">
        <v>0</v>
      </c>
      <c r="AE1303" s="39">
        <v>0</v>
      </c>
      <c r="AF1303" s="39">
        <v>0</v>
      </c>
      <c r="AG1303" s="39">
        <v>0</v>
      </c>
      <c r="AH1303" s="39">
        <v>0</v>
      </c>
      <c r="AI1303" s="39">
        <v>118.97</v>
      </c>
      <c r="AJ1303" s="39">
        <v>0</v>
      </c>
      <c r="AK1303" s="39">
        <v>0</v>
      </c>
      <c r="AL1303" s="39">
        <v>0</v>
      </c>
      <c r="AM1303" s="39">
        <v>0</v>
      </c>
      <c r="AN1303" s="39">
        <v>0</v>
      </c>
      <c r="AO1303" s="39">
        <v>118.97</v>
      </c>
      <c r="AP1303" s="39">
        <v>0</v>
      </c>
      <c r="AQ1303" s="39">
        <v>0</v>
      </c>
      <c r="AR1303" s="39">
        <v>118.97</v>
      </c>
    </row>
    <row r="1304" spans="1:44" x14ac:dyDescent="0.35">
      <c r="A1304" s="16" t="str">
        <f>TEXT(28,"00")</f>
        <v>28</v>
      </c>
      <c r="B1304" s="19">
        <v>10280</v>
      </c>
      <c r="C1304" s="16" t="str">
        <f>TEXT(148361,"0000000")</f>
        <v>0148361</v>
      </c>
      <c r="D1304" s="19">
        <v>2150</v>
      </c>
      <c r="E1304" s="16" t="s">
        <v>3565</v>
      </c>
      <c r="F1304" s="16" t="s">
        <v>505</v>
      </c>
      <c r="G1304" s="35" t="s">
        <v>3566</v>
      </c>
      <c r="H1304" s="39">
        <v>0</v>
      </c>
      <c r="I1304" s="39">
        <v>0</v>
      </c>
      <c r="J1304" s="39">
        <v>0</v>
      </c>
      <c r="K1304" s="39">
        <v>0</v>
      </c>
      <c r="L1304" s="39">
        <v>0</v>
      </c>
      <c r="M1304" s="39">
        <v>0</v>
      </c>
      <c r="N1304" s="39">
        <v>0</v>
      </c>
      <c r="O1304" s="39">
        <v>0</v>
      </c>
      <c r="P1304" s="39">
        <v>0</v>
      </c>
      <c r="Q1304" s="39">
        <v>0</v>
      </c>
      <c r="R1304" s="39">
        <v>0</v>
      </c>
      <c r="S1304" s="39">
        <v>0</v>
      </c>
      <c r="T1304" s="39">
        <v>0</v>
      </c>
      <c r="U1304" s="39">
        <v>0</v>
      </c>
      <c r="V1304" s="39">
        <v>0</v>
      </c>
      <c r="W1304" s="39">
        <v>0</v>
      </c>
      <c r="X1304" s="39">
        <v>0</v>
      </c>
      <c r="Y1304" s="39">
        <v>0</v>
      </c>
      <c r="Z1304" s="39">
        <v>116.44</v>
      </c>
      <c r="AA1304" s="39">
        <v>0</v>
      </c>
      <c r="AB1304" s="39">
        <v>0</v>
      </c>
      <c r="AC1304" s="39">
        <v>0</v>
      </c>
      <c r="AD1304" s="39">
        <v>0</v>
      </c>
      <c r="AE1304" s="39">
        <v>0</v>
      </c>
      <c r="AF1304" s="39">
        <v>0</v>
      </c>
      <c r="AG1304" s="39">
        <v>0</v>
      </c>
      <c r="AH1304" s="39">
        <v>0</v>
      </c>
      <c r="AI1304" s="39">
        <v>116.44</v>
      </c>
      <c r="AJ1304" s="39">
        <v>0</v>
      </c>
      <c r="AK1304" s="39">
        <v>0</v>
      </c>
      <c r="AL1304" s="39">
        <v>0</v>
      </c>
      <c r="AM1304" s="39">
        <v>0</v>
      </c>
      <c r="AN1304" s="39">
        <v>0</v>
      </c>
      <c r="AO1304" s="39">
        <v>116.44</v>
      </c>
      <c r="AP1304" s="39">
        <v>0</v>
      </c>
      <c r="AQ1304" s="39">
        <v>0</v>
      </c>
      <c r="AR1304" s="39">
        <v>116.44</v>
      </c>
    </row>
    <row r="1305" spans="1:44" x14ac:dyDescent="0.35">
      <c r="A1305" s="16" t="str">
        <f>TEXT(19,"00")</f>
        <v>19</v>
      </c>
      <c r="B1305" s="19">
        <v>73437</v>
      </c>
      <c r="C1305" s="16" t="str">
        <f t="shared" ref="C1305:C1336" si="106">TEXT(,"0000000")</f>
        <v>0000000</v>
      </c>
      <c r="D1305" s="17" t="s">
        <v>3663</v>
      </c>
      <c r="E1305" s="16" t="s">
        <v>1141</v>
      </c>
      <c r="F1305" s="16" t="s">
        <v>1142</v>
      </c>
      <c r="G1305" s="35" t="s">
        <v>1142</v>
      </c>
      <c r="H1305" s="39">
        <v>15472.05</v>
      </c>
      <c r="I1305" s="39">
        <v>15641.92</v>
      </c>
      <c r="J1305" s="39">
        <v>15906.59</v>
      </c>
      <c r="K1305" s="39">
        <v>0</v>
      </c>
      <c r="L1305" s="39">
        <v>0</v>
      </c>
      <c r="M1305" s="39">
        <v>0</v>
      </c>
      <c r="N1305" s="39">
        <v>0</v>
      </c>
      <c r="O1305" s="39">
        <v>0</v>
      </c>
      <c r="P1305" s="39">
        <v>0</v>
      </c>
      <c r="Q1305" s="39">
        <v>0</v>
      </c>
      <c r="R1305" s="39">
        <v>0</v>
      </c>
      <c r="S1305" s="39">
        <v>0</v>
      </c>
      <c r="T1305" s="39">
        <v>7.64</v>
      </c>
      <c r="U1305" s="39">
        <v>7.62</v>
      </c>
      <c r="V1305" s="39">
        <v>7.14</v>
      </c>
      <c r="W1305" s="39">
        <v>8.02</v>
      </c>
      <c r="X1305" s="39">
        <v>7.09</v>
      </c>
      <c r="Y1305" s="39">
        <v>8.19</v>
      </c>
      <c r="Z1305" s="39">
        <v>0</v>
      </c>
      <c r="AA1305" s="39">
        <v>0</v>
      </c>
      <c r="AB1305" s="39">
        <v>0</v>
      </c>
      <c r="AC1305" s="39">
        <v>0</v>
      </c>
      <c r="AD1305" s="39">
        <v>0</v>
      </c>
      <c r="AE1305" s="39">
        <v>0</v>
      </c>
      <c r="AF1305" s="39">
        <v>0</v>
      </c>
      <c r="AG1305" s="39">
        <v>0</v>
      </c>
      <c r="AH1305" s="39">
        <v>0</v>
      </c>
      <c r="AI1305" s="39">
        <v>15487.71</v>
      </c>
      <c r="AJ1305" s="39">
        <v>15656.63</v>
      </c>
      <c r="AK1305" s="39">
        <v>15921.92</v>
      </c>
      <c r="AL1305" s="39">
        <v>0</v>
      </c>
      <c r="AM1305" s="39">
        <v>0</v>
      </c>
      <c r="AN1305" s="39">
        <v>0</v>
      </c>
      <c r="AO1305" s="39">
        <v>15487.71</v>
      </c>
      <c r="AP1305" s="39">
        <v>15656.63</v>
      </c>
      <c r="AQ1305" s="39">
        <v>15921.92</v>
      </c>
      <c r="AR1305" s="39">
        <v>15921.92</v>
      </c>
    </row>
    <row r="1306" spans="1:44" x14ac:dyDescent="0.35">
      <c r="A1306" s="16" t="str">
        <f t="shared" ref="A1306:A1314" si="107">TEXT(30,"00")</f>
        <v>30</v>
      </c>
      <c r="B1306" s="19">
        <v>66431</v>
      </c>
      <c r="C1306" s="16" t="str">
        <f t="shared" si="106"/>
        <v>0000000</v>
      </c>
      <c r="D1306" s="17" t="s">
        <v>3663</v>
      </c>
      <c r="E1306" s="16" t="s">
        <v>1539</v>
      </c>
      <c r="F1306" s="16" t="s">
        <v>1540</v>
      </c>
      <c r="G1306" s="35" t="s">
        <v>1540</v>
      </c>
      <c r="H1306" s="39">
        <v>24068.37</v>
      </c>
      <c r="I1306" s="39">
        <v>25079.61</v>
      </c>
      <c r="J1306" s="39">
        <v>25309.01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0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  <c r="AE1306" s="39">
        <v>0</v>
      </c>
      <c r="AF1306" s="39">
        <v>0</v>
      </c>
      <c r="AG1306" s="39">
        <v>0</v>
      </c>
      <c r="AH1306" s="39">
        <v>0</v>
      </c>
      <c r="AI1306" s="39">
        <v>24068.37</v>
      </c>
      <c r="AJ1306" s="39">
        <v>25079.61</v>
      </c>
      <c r="AK1306" s="39">
        <v>25309.01</v>
      </c>
      <c r="AL1306" s="39">
        <v>0</v>
      </c>
      <c r="AM1306" s="39">
        <v>0</v>
      </c>
      <c r="AN1306" s="39">
        <v>0</v>
      </c>
      <c r="AO1306" s="39">
        <v>24068.37</v>
      </c>
      <c r="AP1306" s="39">
        <v>25079.61</v>
      </c>
      <c r="AQ1306" s="39">
        <v>25309.01</v>
      </c>
      <c r="AR1306" s="39">
        <v>25309.01</v>
      </c>
    </row>
    <row r="1307" spans="1:44" x14ac:dyDescent="0.35">
      <c r="A1307" s="16" t="str">
        <f t="shared" si="107"/>
        <v>30</v>
      </c>
      <c r="B1307" s="19">
        <v>66472</v>
      </c>
      <c r="C1307" s="16" t="str">
        <f t="shared" si="106"/>
        <v>0000000</v>
      </c>
      <c r="D1307" s="17" t="s">
        <v>3663</v>
      </c>
      <c r="E1307" s="16" t="s">
        <v>1561</v>
      </c>
      <c r="F1307" s="16" t="s">
        <v>1540</v>
      </c>
      <c r="G1307" s="35" t="s">
        <v>1562</v>
      </c>
      <c r="H1307" s="39">
        <v>3799.12</v>
      </c>
      <c r="I1307" s="39">
        <v>3819.72</v>
      </c>
      <c r="J1307" s="39">
        <v>3765.58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0</v>
      </c>
      <c r="AA1307" s="39">
        <v>0</v>
      </c>
      <c r="AB1307" s="39">
        <v>0</v>
      </c>
      <c r="AC1307" s="39">
        <v>0</v>
      </c>
      <c r="AD1307" s="39">
        <v>0</v>
      </c>
      <c r="AE1307" s="39">
        <v>0</v>
      </c>
      <c r="AF1307" s="39">
        <v>0</v>
      </c>
      <c r="AG1307" s="39">
        <v>0</v>
      </c>
      <c r="AH1307" s="39">
        <v>0</v>
      </c>
      <c r="AI1307" s="39">
        <v>3799.12</v>
      </c>
      <c r="AJ1307" s="39">
        <v>3819.72</v>
      </c>
      <c r="AK1307" s="39">
        <v>3765.58</v>
      </c>
      <c r="AL1307" s="39">
        <v>0</v>
      </c>
      <c r="AM1307" s="39">
        <v>0</v>
      </c>
      <c r="AN1307" s="39">
        <v>0</v>
      </c>
      <c r="AO1307" s="39">
        <v>3799.12</v>
      </c>
      <c r="AP1307" s="39">
        <v>3819.72</v>
      </c>
      <c r="AQ1307" s="39">
        <v>3765.58</v>
      </c>
      <c r="AR1307" s="39">
        <v>3819.72</v>
      </c>
    </row>
    <row r="1308" spans="1:44" x14ac:dyDescent="0.35">
      <c r="A1308" s="16" t="str">
        <f t="shared" si="107"/>
        <v>30</v>
      </c>
      <c r="B1308" s="19">
        <v>66480</v>
      </c>
      <c r="C1308" s="16" t="str">
        <f t="shared" si="106"/>
        <v>0000000</v>
      </c>
      <c r="D1308" s="17" t="s">
        <v>3663</v>
      </c>
      <c r="E1308" s="16" t="s">
        <v>1563</v>
      </c>
      <c r="F1308" s="16" t="s">
        <v>1540</v>
      </c>
      <c r="G1308" s="35" t="s">
        <v>1564</v>
      </c>
      <c r="H1308" s="39">
        <v>3139.99</v>
      </c>
      <c r="I1308" s="39">
        <v>3196.37</v>
      </c>
      <c r="J1308" s="39">
        <v>3218.76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0</v>
      </c>
      <c r="AB1308" s="39">
        <v>0</v>
      </c>
      <c r="AC1308" s="39">
        <v>0</v>
      </c>
      <c r="AD1308" s="39">
        <v>0</v>
      </c>
      <c r="AE1308" s="39">
        <v>0</v>
      </c>
      <c r="AF1308" s="39">
        <v>0</v>
      </c>
      <c r="AG1308" s="39">
        <v>0</v>
      </c>
      <c r="AH1308" s="39">
        <v>0</v>
      </c>
      <c r="AI1308" s="39">
        <v>3139.99</v>
      </c>
      <c r="AJ1308" s="39">
        <v>3196.37</v>
      </c>
      <c r="AK1308" s="39">
        <v>3218.76</v>
      </c>
      <c r="AL1308" s="39">
        <v>0</v>
      </c>
      <c r="AM1308" s="39">
        <v>0</v>
      </c>
      <c r="AN1308" s="39">
        <v>0</v>
      </c>
      <c r="AO1308" s="39">
        <v>3139.99</v>
      </c>
      <c r="AP1308" s="39">
        <v>3196.37</v>
      </c>
      <c r="AQ1308" s="39">
        <v>3218.76</v>
      </c>
      <c r="AR1308" s="39">
        <v>3218.76</v>
      </c>
    </row>
    <row r="1309" spans="1:44" x14ac:dyDescent="0.35">
      <c r="A1309" s="16" t="str">
        <f t="shared" si="107"/>
        <v>30</v>
      </c>
      <c r="B1309" s="19">
        <v>66589</v>
      </c>
      <c r="C1309" s="16" t="str">
        <f t="shared" si="106"/>
        <v>0000000</v>
      </c>
      <c r="D1309" s="17" t="s">
        <v>3663</v>
      </c>
      <c r="E1309" s="16" t="s">
        <v>1585</v>
      </c>
      <c r="F1309" s="16" t="s">
        <v>1540</v>
      </c>
      <c r="G1309" s="35" t="s">
        <v>1586</v>
      </c>
      <c r="H1309" s="39">
        <v>4468.33</v>
      </c>
      <c r="I1309" s="39">
        <v>4579.0600000000004</v>
      </c>
      <c r="J1309" s="39">
        <v>4636.43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0</v>
      </c>
      <c r="AC1309" s="39">
        <v>0</v>
      </c>
      <c r="AD1309" s="39">
        <v>0</v>
      </c>
      <c r="AE1309" s="39">
        <v>0</v>
      </c>
      <c r="AF1309" s="39">
        <v>0</v>
      </c>
      <c r="AG1309" s="39">
        <v>0</v>
      </c>
      <c r="AH1309" s="39">
        <v>0</v>
      </c>
      <c r="AI1309" s="39">
        <v>4468.33</v>
      </c>
      <c r="AJ1309" s="39">
        <v>4579.0600000000004</v>
      </c>
      <c r="AK1309" s="39">
        <v>4636.43</v>
      </c>
      <c r="AL1309" s="39">
        <v>0</v>
      </c>
      <c r="AM1309" s="39">
        <v>0</v>
      </c>
      <c r="AN1309" s="39">
        <v>0</v>
      </c>
      <c r="AO1309" s="39">
        <v>4468.33</v>
      </c>
      <c r="AP1309" s="39">
        <v>4579.0600000000004</v>
      </c>
      <c r="AQ1309" s="39">
        <v>4636.43</v>
      </c>
      <c r="AR1309" s="39">
        <v>4636.43</v>
      </c>
    </row>
    <row r="1310" spans="1:44" x14ac:dyDescent="0.35">
      <c r="A1310" s="16" t="str">
        <f t="shared" si="107"/>
        <v>30</v>
      </c>
      <c r="B1310" s="19">
        <v>66696</v>
      </c>
      <c r="C1310" s="16" t="str">
        <f t="shared" si="106"/>
        <v>0000000</v>
      </c>
      <c r="D1310" s="17" t="s">
        <v>3663</v>
      </c>
      <c r="E1310" s="16" t="s">
        <v>1613</v>
      </c>
      <c r="F1310" s="16" t="s">
        <v>1540</v>
      </c>
      <c r="G1310" s="35" t="s">
        <v>1614</v>
      </c>
      <c r="H1310" s="39">
        <v>1594.94</v>
      </c>
      <c r="I1310" s="39">
        <v>1632.39</v>
      </c>
      <c r="J1310" s="39">
        <v>1682.39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0</v>
      </c>
      <c r="AD1310" s="39">
        <v>0</v>
      </c>
      <c r="AE1310" s="39">
        <v>0</v>
      </c>
      <c r="AF1310" s="39">
        <v>0</v>
      </c>
      <c r="AG1310" s="39">
        <v>0</v>
      </c>
      <c r="AH1310" s="39">
        <v>0</v>
      </c>
      <c r="AI1310" s="39">
        <v>1594.94</v>
      </c>
      <c r="AJ1310" s="39">
        <v>1632.39</v>
      </c>
      <c r="AK1310" s="39">
        <v>1682.39</v>
      </c>
      <c r="AL1310" s="39">
        <v>0</v>
      </c>
      <c r="AM1310" s="39">
        <v>0</v>
      </c>
      <c r="AN1310" s="39">
        <v>0</v>
      </c>
      <c r="AO1310" s="39">
        <v>1594.94</v>
      </c>
      <c r="AP1310" s="39">
        <v>1632.39</v>
      </c>
      <c r="AQ1310" s="39">
        <v>1682.39</v>
      </c>
      <c r="AR1310" s="39">
        <v>1682.39</v>
      </c>
    </row>
    <row r="1311" spans="1:44" x14ac:dyDescent="0.35">
      <c r="A1311" s="16" t="str">
        <f t="shared" si="107"/>
        <v>30</v>
      </c>
      <c r="B1311" s="19">
        <v>73924</v>
      </c>
      <c r="C1311" s="16" t="str">
        <f t="shared" si="106"/>
        <v>0000000</v>
      </c>
      <c r="D1311" s="17" t="s">
        <v>3663</v>
      </c>
      <c r="E1311" s="16" t="s">
        <v>1621</v>
      </c>
      <c r="F1311" s="16" t="s">
        <v>1540</v>
      </c>
      <c r="G1311" s="35" t="s">
        <v>1622</v>
      </c>
      <c r="H1311" s="39">
        <v>8369.56</v>
      </c>
      <c r="I1311" s="39">
        <v>8565.16</v>
      </c>
      <c r="J1311" s="39">
        <v>8496.76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0</v>
      </c>
      <c r="AE1311" s="39">
        <v>0</v>
      </c>
      <c r="AF1311" s="39">
        <v>0</v>
      </c>
      <c r="AG1311" s="39">
        <v>0</v>
      </c>
      <c r="AH1311" s="39">
        <v>0</v>
      </c>
      <c r="AI1311" s="39">
        <v>8369.56</v>
      </c>
      <c r="AJ1311" s="39">
        <v>8565.16</v>
      </c>
      <c r="AK1311" s="39">
        <v>8496.76</v>
      </c>
      <c r="AL1311" s="39">
        <v>0</v>
      </c>
      <c r="AM1311" s="39">
        <v>0</v>
      </c>
      <c r="AN1311" s="39">
        <v>0</v>
      </c>
      <c r="AO1311" s="39">
        <v>8369.56</v>
      </c>
      <c r="AP1311" s="39">
        <v>8565.16</v>
      </c>
      <c r="AQ1311" s="39">
        <v>8496.76</v>
      </c>
      <c r="AR1311" s="39">
        <v>8565.16</v>
      </c>
    </row>
    <row r="1312" spans="1:44" x14ac:dyDescent="0.35">
      <c r="A1312" s="16" t="str">
        <f t="shared" si="107"/>
        <v>30</v>
      </c>
      <c r="B1312" s="19">
        <v>73635</v>
      </c>
      <c r="C1312" s="16" t="str">
        <f t="shared" si="106"/>
        <v>0000000</v>
      </c>
      <c r="D1312" s="17" t="s">
        <v>3663</v>
      </c>
      <c r="E1312" s="16" t="s">
        <v>1579</v>
      </c>
      <c r="F1312" s="16" t="s">
        <v>1580</v>
      </c>
      <c r="G1312" s="35" t="s">
        <v>1580</v>
      </c>
      <c r="H1312" s="39">
        <v>21438.85</v>
      </c>
      <c r="I1312" s="39">
        <v>21968.07</v>
      </c>
      <c r="J1312" s="39">
        <v>22226.65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  <c r="AE1312" s="39">
        <v>0</v>
      </c>
      <c r="AF1312" s="39">
        <v>0</v>
      </c>
      <c r="AG1312" s="39">
        <v>0</v>
      </c>
      <c r="AH1312" s="39">
        <v>0</v>
      </c>
      <c r="AI1312" s="39">
        <v>21438.85</v>
      </c>
      <c r="AJ1312" s="39">
        <v>21968.07</v>
      </c>
      <c r="AK1312" s="39">
        <v>22226.65</v>
      </c>
      <c r="AL1312" s="39">
        <v>0</v>
      </c>
      <c r="AM1312" s="39">
        <v>0</v>
      </c>
      <c r="AN1312" s="39">
        <v>0</v>
      </c>
      <c r="AO1312" s="39">
        <v>21438.85</v>
      </c>
      <c r="AP1312" s="39">
        <v>21968.07</v>
      </c>
      <c r="AQ1312" s="39">
        <v>22226.65</v>
      </c>
      <c r="AR1312" s="39">
        <v>22226.65</v>
      </c>
    </row>
    <row r="1313" spans="1:44" x14ac:dyDescent="0.35">
      <c r="A1313" s="16" t="str">
        <f t="shared" si="107"/>
        <v>30</v>
      </c>
      <c r="B1313" s="19">
        <v>66555</v>
      </c>
      <c r="C1313" s="16" t="str">
        <f t="shared" si="106"/>
        <v>0000000</v>
      </c>
      <c r="D1313" s="17" t="s">
        <v>3663</v>
      </c>
      <c r="E1313" s="16" t="s">
        <v>1581</v>
      </c>
      <c r="F1313" s="16" t="s">
        <v>1580</v>
      </c>
      <c r="G1313" s="35" t="s">
        <v>1582</v>
      </c>
      <c r="H1313" s="39">
        <v>2180.3200000000002</v>
      </c>
      <c r="I1313" s="39">
        <v>2258.48</v>
      </c>
      <c r="J1313" s="39">
        <v>2296.6799999999998</v>
      </c>
      <c r="K1313" s="39">
        <v>0</v>
      </c>
      <c r="L1313" s="39">
        <v>0</v>
      </c>
      <c r="M1313" s="39">
        <v>0</v>
      </c>
      <c r="N1313" s="39">
        <v>0</v>
      </c>
      <c r="O1313" s="39">
        <v>0</v>
      </c>
      <c r="P1313" s="39">
        <v>0</v>
      </c>
      <c r="Q1313" s="39">
        <v>0</v>
      </c>
      <c r="R1313" s="39">
        <v>0</v>
      </c>
      <c r="S1313" s="39">
        <v>0</v>
      </c>
      <c r="T1313" s="39">
        <v>0</v>
      </c>
      <c r="U1313" s="39">
        <v>0</v>
      </c>
      <c r="V1313" s="39">
        <v>0</v>
      </c>
      <c r="W1313" s="39">
        <v>0</v>
      </c>
      <c r="X1313" s="39">
        <v>0</v>
      </c>
      <c r="Y1313" s="39">
        <v>0</v>
      </c>
      <c r="Z1313" s="39">
        <v>0</v>
      </c>
      <c r="AA1313" s="39">
        <v>0</v>
      </c>
      <c r="AB1313" s="39">
        <v>0</v>
      </c>
      <c r="AC1313" s="39">
        <v>0</v>
      </c>
      <c r="AD1313" s="39">
        <v>0</v>
      </c>
      <c r="AE1313" s="39">
        <v>0</v>
      </c>
      <c r="AF1313" s="39">
        <v>0</v>
      </c>
      <c r="AG1313" s="39">
        <v>0</v>
      </c>
      <c r="AH1313" s="39">
        <v>0</v>
      </c>
      <c r="AI1313" s="39">
        <v>2180.3200000000002</v>
      </c>
      <c r="AJ1313" s="39">
        <v>2258.48</v>
      </c>
      <c r="AK1313" s="39">
        <v>2296.6799999999998</v>
      </c>
      <c r="AL1313" s="39">
        <v>0</v>
      </c>
      <c r="AM1313" s="39">
        <v>0</v>
      </c>
      <c r="AN1313" s="39">
        <v>0</v>
      </c>
      <c r="AO1313" s="39">
        <v>2180.3200000000002</v>
      </c>
      <c r="AP1313" s="39">
        <v>2258.48</v>
      </c>
      <c r="AQ1313" s="39">
        <v>2296.6799999999998</v>
      </c>
      <c r="AR1313" s="39">
        <v>2296.6799999999998</v>
      </c>
    </row>
    <row r="1314" spans="1:44" x14ac:dyDescent="0.35">
      <c r="A1314" s="16" t="str">
        <f t="shared" si="107"/>
        <v>30</v>
      </c>
      <c r="B1314" s="19">
        <v>66423</v>
      </c>
      <c r="C1314" s="16" t="str">
        <f t="shared" si="106"/>
        <v>0000000</v>
      </c>
      <c r="D1314" s="17" t="s">
        <v>3663</v>
      </c>
      <c r="E1314" s="16" t="s">
        <v>1533</v>
      </c>
      <c r="F1314" s="16" t="s">
        <v>1534</v>
      </c>
      <c r="G1314" s="35" t="s">
        <v>1534</v>
      </c>
      <c r="H1314" s="39">
        <v>12761.8</v>
      </c>
      <c r="I1314" s="39">
        <v>13087.62</v>
      </c>
      <c r="J1314" s="39">
        <v>13090.74</v>
      </c>
      <c r="K1314" s="39">
        <v>0</v>
      </c>
      <c r="L1314" s="39">
        <v>0</v>
      </c>
      <c r="M1314" s="39">
        <v>0</v>
      </c>
      <c r="N1314" s="39">
        <v>0</v>
      </c>
      <c r="O1314" s="39">
        <v>0</v>
      </c>
      <c r="P1314" s="39">
        <v>0</v>
      </c>
      <c r="Q1314" s="39">
        <v>0</v>
      </c>
      <c r="R1314" s="39">
        <v>0</v>
      </c>
      <c r="S1314" s="39">
        <v>0</v>
      </c>
      <c r="T1314" s="39">
        <v>0</v>
      </c>
      <c r="U1314" s="39">
        <v>0</v>
      </c>
      <c r="V1314" s="39">
        <v>0</v>
      </c>
      <c r="W1314" s="39">
        <v>0</v>
      </c>
      <c r="X1314" s="39">
        <v>0</v>
      </c>
      <c r="Y1314" s="39">
        <v>0</v>
      </c>
      <c r="Z1314" s="39">
        <v>0</v>
      </c>
      <c r="AA1314" s="39">
        <v>0</v>
      </c>
      <c r="AB1314" s="39">
        <v>0</v>
      </c>
      <c r="AC1314" s="39">
        <v>0</v>
      </c>
      <c r="AD1314" s="39">
        <v>0</v>
      </c>
      <c r="AE1314" s="39">
        <v>0</v>
      </c>
      <c r="AF1314" s="39">
        <v>0</v>
      </c>
      <c r="AG1314" s="39">
        <v>0</v>
      </c>
      <c r="AH1314" s="39">
        <v>0</v>
      </c>
      <c r="AI1314" s="39">
        <v>12761.8</v>
      </c>
      <c r="AJ1314" s="39">
        <v>13087.62</v>
      </c>
      <c r="AK1314" s="39">
        <v>13090.74</v>
      </c>
      <c r="AL1314" s="39">
        <v>0</v>
      </c>
      <c r="AM1314" s="39">
        <v>0</v>
      </c>
      <c r="AN1314" s="39">
        <v>0</v>
      </c>
      <c r="AO1314" s="39">
        <v>12761.8</v>
      </c>
      <c r="AP1314" s="39">
        <v>13087.62</v>
      </c>
      <c r="AQ1314" s="39">
        <v>13090.74</v>
      </c>
      <c r="AR1314" s="39">
        <v>13090.74</v>
      </c>
    </row>
    <row r="1315" spans="1:44" x14ac:dyDescent="0.35">
      <c r="A1315" s="16" t="str">
        <f>TEXT(3,"00")</f>
        <v>03</v>
      </c>
      <c r="B1315" s="19">
        <v>10033</v>
      </c>
      <c r="C1315" s="16" t="str">
        <f t="shared" si="106"/>
        <v>0000000</v>
      </c>
      <c r="D1315" s="17" t="s">
        <v>3663</v>
      </c>
      <c r="E1315" s="16" t="s">
        <v>171</v>
      </c>
      <c r="F1315" s="16" t="s">
        <v>172</v>
      </c>
      <c r="G1315" s="35" t="s">
        <v>172</v>
      </c>
      <c r="H1315" s="39">
        <v>0</v>
      </c>
      <c r="I1315" s="39">
        <v>0</v>
      </c>
      <c r="J1315" s="39">
        <v>0</v>
      </c>
      <c r="K1315" s="39">
        <v>0</v>
      </c>
      <c r="L1315" s="39">
        <v>0</v>
      </c>
      <c r="M1315" s="39">
        <v>0</v>
      </c>
      <c r="N1315" s="39">
        <v>0</v>
      </c>
      <c r="O1315" s="39">
        <v>0</v>
      </c>
      <c r="P1315" s="39">
        <v>0</v>
      </c>
      <c r="Q1315" s="39">
        <v>0</v>
      </c>
      <c r="R1315" s="39">
        <v>0</v>
      </c>
      <c r="S1315" s="39">
        <v>0</v>
      </c>
      <c r="T1315" s="39">
        <v>0.4</v>
      </c>
      <c r="U1315" s="39">
        <v>2.41</v>
      </c>
      <c r="V1315" s="39">
        <v>3.28</v>
      </c>
      <c r="W1315" s="39">
        <v>50.51</v>
      </c>
      <c r="X1315" s="39">
        <v>30.17</v>
      </c>
      <c r="Y1315" s="39">
        <v>72.599999999999994</v>
      </c>
      <c r="Z1315" s="39">
        <v>0</v>
      </c>
      <c r="AA1315" s="39">
        <v>0</v>
      </c>
      <c r="AB1315" s="39">
        <v>0</v>
      </c>
      <c r="AC1315" s="39">
        <v>0</v>
      </c>
      <c r="AD1315" s="39">
        <v>0</v>
      </c>
      <c r="AE1315" s="39">
        <v>0</v>
      </c>
      <c r="AF1315" s="39">
        <v>0</v>
      </c>
      <c r="AG1315" s="39">
        <v>0</v>
      </c>
      <c r="AH1315" s="39">
        <v>0</v>
      </c>
      <c r="AI1315" s="39">
        <v>50.91</v>
      </c>
      <c r="AJ1315" s="39">
        <v>32.58</v>
      </c>
      <c r="AK1315" s="39">
        <v>75.88</v>
      </c>
      <c r="AL1315" s="39">
        <v>0</v>
      </c>
      <c r="AM1315" s="39">
        <v>0</v>
      </c>
      <c r="AN1315" s="39">
        <v>0</v>
      </c>
      <c r="AO1315" s="39">
        <v>50.91</v>
      </c>
      <c r="AP1315" s="39">
        <v>32.58</v>
      </c>
      <c r="AQ1315" s="39">
        <v>75.88</v>
      </c>
      <c r="AR1315" s="39">
        <v>75.88</v>
      </c>
    </row>
    <row r="1316" spans="1:44" x14ac:dyDescent="0.35">
      <c r="A1316" s="16" t="str">
        <f>TEXT(3,"00")</f>
        <v>03</v>
      </c>
      <c r="B1316" s="19">
        <v>73981</v>
      </c>
      <c r="C1316" s="16" t="str">
        <f t="shared" si="106"/>
        <v>0000000</v>
      </c>
      <c r="D1316" s="17" t="s">
        <v>3663</v>
      </c>
      <c r="E1316" s="16" t="s">
        <v>173</v>
      </c>
      <c r="F1316" s="16" t="s">
        <v>172</v>
      </c>
      <c r="G1316" s="35" t="s">
        <v>174</v>
      </c>
      <c r="H1316" s="39">
        <v>3722.44</v>
      </c>
      <c r="I1316" s="39">
        <v>3863.06</v>
      </c>
      <c r="J1316" s="39">
        <v>3797.19</v>
      </c>
      <c r="K1316" s="39">
        <v>0</v>
      </c>
      <c r="L1316" s="39">
        <v>0</v>
      </c>
      <c r="M1316" s="39">
        <v>0</v>
      </c>
      <c r="N1316" s="39">
        <v>0</v>
      </c>
      <c r="O1316" s="39">
        <v>0</v>
      </c>
      <c r="P1316" s="39">
        <v>0</v>
      </c>
      <c r="Q1316" s="39">
        <v>0</v>
      </c>
      <c r="R1316" s="39">
        <v>0</v>
      </c>
      <c r="S1316" s="39">
        <v>0</v>
      </c>
      <c r="T1316" s="39">
        <v>0</v>
      </c>
      <c r="U1316" s="39">
        <v>0</v>
      </c>
      <c r="V1316" s="39">
        <v>0</v>
      </c>
      <c r="W1316" s="39">
        <v>0</v>
      </c>
      <c r="X1316" s="39">
        <v>0</v>
      </c>
      <c r="Y1316" s="39">
        <v>0</v>
      </c>
      <c r="Z1316" s="39">
        <v>0</v>
      </c>
      <c r="AA1316" s="39">
        <v>0</v>
      </c>
      <c r="AB1316" s="39">
        <v>0</v>
      </c>
      <c r="AC1316" s="39">
        <v>0</v>
      </c>
      <c r="AD1316" s="39">
        <v>0</v>
      </c>
      <c r="AE1316" s="39">
        <v>0</v>
      </c>
      <c r="AF1316" s="39">
        <v>0</v>
      </c>
      <c r="AG1316" s="39">
        <v>0</v>
      </c>
      <c r="AH1316" s="39">
        <v>0</v>
      </c>
      <c r="AI1316" s="39">
        <v>3722.44</v>
      </c>
      <c r="AJ1316" s="39">
        <v>3863.06</v>
      </c>
      <c r="AK1316" s="39">
        <v>3797.19</v>
      </c>
      <c r="AL1316" s="39">
        <v>0</v>
      </c>
      <c r="AM1316" s="39">
        <v>0</v>
      </c>
      <c r="AN1316" s="39">
        <v>0</v>
      </c>
      <c r="AO1316" s="39">
        <v>3722.44</v>
      </c>
      <c r="AP1316" s="39">
        <v>3863.06</v>
      </c>
      <c r="AQ1316" s="39">
        <v>3797.19</v>
      </c>
      <c r="AR1316" s="39">
        <v>3863.06</v>
      </c>
    </row>
    <row r="1317" spans="1:44" x14ac:dyDescent="0.35">
      <c r="A1317" s="16" t="str">
        <f t="shared" ref="A1317:A1322" si="108">TEXT(30,"00")</f>
        <v>30</v>
      </c>
      <c r="B1317" s="19">
        <v>10306</v>
      </c>
      <c r="C1317" s="16" t="str">
        <f t="shared" si="106"/>
        <v>0000000</v>
      </c>
      <c r="D1317" s="17" t="s">
        <v>3663</v>
      </c>
      <c r="E1317" s="16" t="s">
        <v>1492</v>
      </c>
      <c r="F1317" s="16" t="s">
        <v>1493</v>
      </c>
      <c r="G1317" s="35" t="s">
        <v>1493</v>
      </c>
      <c r="H1317" s="39">
        <v>0</v>
      </c>
      <c r="I1317" s="39">
        <v>0</v>
      </c>
      <c r="J1317" s="39">
        <v>0</v>
      </c>
      <c r="K1317" s="39">
        <v>0</v>
      </c>
      <c r="L1317" s="39">
        <v>0</v>
      </c>
      <c r="M1317" s="39">
        <v>0</v>
      </c>
      <c r="N1317" s="39">
        <v>0</v>
      </c>
      <c r="O1317" s="39">
        <v>0</v>
      </c>
      <c r="P1317" s="39">
        <v>0</v>
      </c>
      <c r="Q1317" s="39">
        <v>0</v>
      </c>
      <c r="R1317" s="39">
        <v>0</v>
      </c>
      <c r="S1317" s="39">
        <v>0</v>
      </c>
      <c r="T1317" s="39">
        <v>1111.8</v>
      </c>
      <c r="U1317" s="39">
        <v>1330.45</v>
      </c>
      <c r="V1317" s="39">
        <v>1282.67</v>
      </c>
      <c r="W1317" s="39">
        <v>3146.41</v>
      </c>
      <c r="X1317" s="39">
        <v>3268.02</v>
      </c>
      <c r="Y1317" s="39">
        <v>3194.69</v>
      </c>
      <c r="Z1317" s="39">
        <v>0</v>
      </c>
      <c r="AA1317" s="39">
        <v>0</v>
      </c>
      <c r="AB1317" s="39">
        <v>0</v>
      </c>
      <c r="AC1317" s="39">
        <v>0</v>
      </c>
      <c r="AD1317" s="39">
        <v>0</v>
      </c>
      <c r="AE1317" s="39">
        <v>0</v>
      </c>
      <c r="AF1317" s="39">
        <v>0</v>
      </c>
      <c r="AG1317" s="39">
        <v>0</v>
      </c>
      <c r="AH1317" s="39">
        <v>0</v>
      </c>
      <c r="AI1317" s="39">
        <v>4258.21</v>
      </c>
      <c r="AJ1317" s="39">
        <v>4598.47</v>
      </c>
      <c r="AK1317" s="39">
        <v>4477.3599999999997</v>
      </c>
      <c r="AL1317" s="39">
        <v>0</v>
      </c>
      <c r="AM1317" s="39">
        <v>0</v>
      </c>
      <c r="AN1317" s="39">
        <v>0</v>
      </c>
      <c r="AO1317" s="39">
        <v>4258.21</v>
      </c>
      <c r="AP1317" s="39">
        <v>4598.47</v>
      </c>
      <c r="AQ1317" s="39">
        <v>4477.3599999999997</v>
      </c>
      <c r="AR1317" s="39">
        <v>4598.47</v>
      </c>
    </row>
    <row r="1318" spans="1:44" x14ac:dyDescent="0.35">
      <c r="A1318" s="16" t="str">
        <f t="shared" si="108"/>
        <v>30</v>
      </c>
      <c r="B1318" s="19">
        <v>66456</v>
      </c>
      <c r="C1318" s="16" t="str">
        <f t="shared" si="106"/>
        <v>0000000</v>
      </c>
      <c r="D1318" s="17" t="s">
        <v>3663</v>
      </c>
      <c r="E1318" s="16" t="s">
        <v>1545</v>
      </c>
      <c r="F1318" s="16" t="s">
        <v>1493</v>
      </c>
      <c r="G1318" s="35" t="s">
        <v>1546</v>
      </c>
      <c r="H1318" s="39">
        <v>3484.01</v>
      </c>
      <c r="I1318" s="39">
        <v>3520.14</v>
      </c>
      <c r="J1318" s="39">
        <v>3611.73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  <c r="W1318" s="39">
        <v>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  <c r="AE1318" s="39">
        <v>0</v>
      </c>
      <c r="AF1318" s="39">
        <v>0</v>
      </c>
      <c r="AG1318" s="39">
        <v>0</v>
      </c>
      <c r="AH1318" s="39">
        <v>0</v>
      </c>
      <c r="AI1318" s="39">
        <v>3484.01</v>
      </c>
      <c r="AJ1318" s="39">
        <v>3520.14</v>
      </c>
      <c r="AK1318" s="39">
        <v>3611.73</v>
      </c>
      <c r="AL1318" s="39">
        <v>0</v>
      </c>
      <c r="AM1318" s="39">
        <v>0</v>
      </c>
      <c r="AN1318" s="39">
        <v>0</v>
      </c>
      <c r="AO1318" s="39">
        <v>3484.01</v>
      </c>
      <c r="AP1318" s="39">
        <v>3520.14</v>
      </c>
      <c r="AQ1318" s="39">
        <v>3611.73</v>
      </c>
      <c r="AR1318" s="39">
        <v>3611.73</v>
      </c>
    </row>
    <row r="1319" spans="1:44" x14ac:dyDescent="0.35">
      <c r="A1319" s="16" t="str">
        <f t="shared" si="108"/>
        <v>30</v>
      </c>
      <c r="B1319" s="19">
        <v>66506</v>
      </c>
      <c r="C1319" s="16" t="str">
        <f t="shared" si="106"/>
        <v>0000000</v>
      </c>
      <c r="D1319" s="17" t="s">
        <v>3663</v>
      </c>
      <c r="E1319" s="16" t="s">
        <v>1569</v>
      </c>
      <c r="F1319" s="16" t="s">
        <v>1493</v>
      </c>
      <c r="G1319" s="35" t="s">
        <v>1570</v>
      </c>
      <c r="H1319" s="39">
        <v>10779.87</v>
      </c>
      <c r="I1319" s="39">
        <v>10944.27</v>
      </c>
      <c r="J1319" s="39">
        <v>11042.21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  <c r="W1319" s="39">
        <v>0</v>
      </c>
      <c r="X1319" s="39">
        <v>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  <c r="AE1319" s="39">
        <v>0</v>
      </c>
      <c r="AF1319" s="39">
        <v>0</v>
      </c>
      <c r="AG1319" s="39">
        <v>0</v>
      </c>
      <c r="AH1319" s="39">
        <v>0</v>
      </c>
      <c r="AI1319" s="39">
        <v>10779.87</v>
      </c>
      <c r="AJ1319" s="39">
        <v>10944.27</v>
      </c>
      <c r="AK1319" s="39">
        <v>11042.21</v>
      </c>
      <c r="AL1319" s="39">
        <v>0</v>
      </c>
      <c r="AM1319" s="39">
        <v>0</v>
      </c>
      <c r="AN1319" s="39">
        <v>0</v>
      </c>
      <c r="AO1319" s="39">
        <v>10779.87</v>
      </c>
      <c r="AP1319" s="39">
        <v>10944.27</v>
      </c>
      <c r="AQ1319" s="39">
        <v>11042.21</v>
      </c>
      <c r="AR1319" s="39">
        <v>11042.21</v>
      </c>
    </row>
    <row r="1320" spans="1:44" x14ac:dyDescent="0.35">
      <c r="A1320" s="16" t="str">
        <f t="shared" si="108"/>
        <v>30</v>
      </c>
      <c r="B1320" s="19">
        <v>66563</v>
      </c>
      <c r="C1320" s="16" t="str">
        <f t="shared" si="106"/>
        <v>0000000</v>
      </c>
      <c r="D1320" s="17" t="s">
        <v>3663</v>
      </c>
      <c r="E1320" s="16" t="s">
        <v>1583</v>
      </c>
      <c r="F1320" s="16" t="s">
        <v>1493</v>
      </c>
      <c r="G1320" s="35" t="s">
        <v>1584</v>
      </c>
      <c r="H1320" s="39">
        <v>3980.11</v>
      </c>
      <c r="I1320" s="39">
        <v>3989.88</v>
      </c>
      <c r="J1320" s="39">
        <v>3985.1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  <c r="AE1320" s="39">
        <v>0</v>
      </c>
      <c r="AF1320" s="39">
        <v>0</v>
      </c>
      <c r="AG1320" s="39">
        <v>0</v>
      </c>
      <c r="AH1320" s="39">
        <v>0</v>
      </c>
      <c r="AI1320" s="39">
        <v>3980.11</v>
      </c>
      <c r="AJ1320" s="39">
        <v>3989.88</v>
      </c>
      <c r="AK1320" s="39">
        <v>3985.1</v>
      </c>
      <c r="AL1320" s="39">
        <v>0</v>
      </c>
      <c r="AM1320" s="39">
        <v>0</v>
      </c>
      <c r="AN1320" s="39">
        <v>0</v>
      </c>
      <c r="AO1320" s="39">
        <v>3980.11</v>
      </c>
      <c r="AP1320" s="39">
        <v>3989.88</v>
      </c>
      <c r="AQ1320" s="39">
        <v>3985.1</v>
      </c>
      <c r="AR1320" s="39">
        <v>3989.88</v>
      </c>
    </row>
    <row r="1321" spans="1:44" x14ac:dyDescent="0.35">
      <c r="A1321" s="16" t="str">
        <f t="shared" si="108"/>
        <v>30</v>
      </c>
      <c r="B1321" s="19">
        <v>66514</v>
      </c>
      <c r="C1321" s="16" t="str">
        <f t="shared" si="106"/>
        <v>0000000</v>
      </c>
      <c r="D1321" s="17" t="s">
        <v>3663</v>
      </c>
      <c r="E1321" s="16" t="s">
        <v>1571</v>
      </c>
      <c r="F1321" s="16" t="s">
        <v>1493</v>
      </c>
      <c r="G1321" s="35" t="s">
        <v>1572</v>
      </c>
      <c r="H1321" s="39">
        <v>11944.67</v>
      </c>
      <c r="I1321" s="39">
        <v>12124.49</v>
      </c>
      <c r="J1321" s="39">
        <v>12353.85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0</v>
      </c>
      <c r="AA1321" s="39">
        <v>0</v>
      </c>
      <c r="AB1321" s="39">
        <v>0</v>
      </c>
      <c r="AC1321" s="39">
        <v>0</v>
      </c>
      <c r="AD1321" s="39">
        <v>0</v>
      </c>
      <c r="AE1321" s="39">
        <v>0</v>
      </c>
      <c r="AF1321" s="39">
        <v>0</v>
      </c>
      <c r="AG1321" s="39">
        <v>0</v>
      </c>
      <c r="AH1321" s="39">
        <v>0</v>
      </c>
      <c r="AI1321" s="39">
        <v>11944.67</v>
      </c>
      <c r="AJ1321" s="39">
        <v>12124.49</v>
      </c>
      <c r="AK1321" s="39">
        <v>12353.85</v>
      </c>
      <c r="AL1321" s="39">
        <v>0</v>
      </c>
      <c r="AM1321" s="39">
        <v>0</v>
      </c>
      <c r="AN1321" s="39">
        <v>0</v>
      </c>
      <c r="AO1321" s="39">
        <v>11944.67</v>
      </c>
      <c r="AP1321" s="39">
        <v>12124.49</v>
      </c>
      <c r="AQ1321" s="39">
        <v>12353.85</v>
      </c>
      <c r="AR1321" s="39">
        <v>12353.85</v>
      </c>
    </row>
    <row r="1322" spans="1:44" x14ac:dyDescent="0.35">
      <c r="A1322" s="16" t="str">
        <f t="shared" si="108"/>
        <v>30</v>
      </c>
      <c r="B1322" s="19">
        <v>64766</v>
      </c>
      <c r="C1322" s="16" t="str">
        <f t="shared" si="106"/>
        <v>0000000</v>
      </c>
      <c r="D1322" s="17" t="s">
        <v>3663</v>
      </c>
      <c r="E1322" s="16" t="s">
        <v>1531</v>
      </c>
      <c r="F1322" s="16" t="s">
        <v>1493</v>
      </c>
      <c r="G1322" s="35" t="s">
        <v>1532</v>
      </c>
      <c r="H1322" s="39">
        <v>2830.6</v>
      </c>
      <c r="I1322" s="39">
        <v>2874.57</v>
      </c>
      <c r="J1322" s="39">
        <v>2829.47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0</v>
      </c>
      <c r="AB1322" s="39">
        <v>0</v>
      </c>
      <c r="AC1322" s="39">
        <v>0</v>
      </c>
      <c r="AD1322" s="39">
        <v>0</v>
      </c>
      <c r="AE1322" s="39">
        <v>0</v>
      </c>
      <c r="AF1322" s="39">
        <v>0</v>
      </c>
      <c r="AG1322" s="39">
        <v>0</v>
      </c>
      <c r="AH1322" s="39">
        <v>0</v>
      </c>
      <c r="AI1322" s="39">
        <v>2830.6</v>
      </c>
      <c r="AJ1322" s="39">
        <v>2874.57</v>
      </c>
      <c r="AK1322" s="39">
        <v>2829.47</v>
      </c>
      <c r="AL1322" s="39">
        <v>0</v>
      </c>
      <c r="AM1322" s="39">
        <v>0</v>
      </c>
      <c r="AN1322" s="39">
        <v>0</v>
      </c>
      <c r="AO1322" s="39">
        <v>2830.6</v>
      </c>
      <c r="AP1322" s="39">
        <v>2874.57</v>
      </c>
      <c r="AQ1322" s="39">
        <v>2829.47</v>
      </c>
      <c r="AR1322" s="39">
        <v>2874.57</v>
      </c>
    </row>
    <row r="1323" spans="1:44" x14ac:dyDescent="0.35">
      <c r="A1323" s="16" t="str">
        <f>TEXT(33,"00")</f>
        <v>33</v>
      </c>
      <c r="B1323" s="19">
        <v>67124</v>
      </c>
      <c r="C1323" s="16" t="str">
        <f t="shared" si="106"/>
        <v>0000000</v>
      </c>
      <c r="D1323" s="17" t="s">
        <v>3663</v>
      </c>
      <c r="E1323" s="16" t="s">
        <v>1745</v>
      </c>
      <c r="F1323" s="16" t="s">
        <v>1746</v>
      </c>
      <c r="G1323" s="35" t="s">
        <v>1746</v>
      </c>
      <c r="H1323" s="39">
        <v>28547.09</v>
      </c>
      <c r="I1323" s="39">
        <v>28845.57</v>
      </c>
      <c r="J1323" s="39">
        <v>28691.22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0</v>
      </c>
      <c r="AC1323" s="39">
        <v>0</v>
      </c>
      <c r="AD1323" s="39">
        <v>0</v>
      </c>
      <c r="AE1323" s="39">
        <v>0</v>
      </c>
      <c r="AF1323" s="39">
        <v>0</v>
      </c>
      <c r="AG1323" s="39">
        <v>0</v>
      </c>
      <c r="AH1323" s="39">
        <v>0</v>
      </c>
      <c r="AI1323" s="39">
        <v>28547.09</v>
      </c>
      <c r="AJ1323" s="39">
        <v>28845.57</v>
      </c>
      <c r="AK1323" s="39">
        <v>28691.22</v>
      </c>
      <c r="AL1323" s="39">
        <v>0</v>
      </c>
      <c r="AM1323" s="39">
        <v>0</v>
      </c>
      <c r="AN1323" s="39">
        <v>0</v>
      </c>
      <c r="AO1323" s="39">
        <v>28547.09</v>
      </c>
      <c r="AP1323" s="39">
        <v>28845.57</v>
      </c>
      <c r="AQ1323" s="39">
        <v>28691.22</v>
      </c>
      <c r="AR1323" s="39">
        <v>28845.57</v>
      </c>
    </row>
    <row r="1324" spans="1:44" x14ac:dyDescent="0.35">
      <c r="A1324" s="16" t="str">
        <f t="shared" ref="A1324:A1356" si="109">TEXT(43,"00")</f>
        <v>43</v>
      </c>
      <c r="B1324" s="19">
        <v>10439</v>
      </c>
      <c r="C1324" s="16" t="str">
        <f t="shared" si="106"/>
        <v>0000000</v>
      </c>
      <c r="D1324" s="17" t="s">
        <v>3663</v>
      </c>
      <c r="E1324" s="16" t="s">
        <v>2689</v>
      </c>
      <c r="F1324" s="16" t="s">
        <v>3591</v>
      </c>
      <c r="G1324" s="35" t="s">
        <v>3591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  <c r="Q1324" s="39">
        <v>0</v>
      </c>
      <c r="R1324" s="39">
        <v>0</v>
      </c>
      <c r="S1324" s="39">
        <v>0</v>
      </c>
      <c r="T1324" s="39">
        <v>155.88</v>
      </c>
      <c r="U1324" s="39">
        <v>161.88999999999999</v>
      </c>
      <c r="V1324" s="39">
        <v>153.44</v>
      </c>
      <c r="W1324" s="39">
        <v>594.28</v>
      </c>
      <c r="X1324" s="39">
        <v>704.14</v>
      </c>
      <c r="Y1324" s="39">
        <v>709.39</v>
      </c>
      <c r="Z1324" s="39">
        <v>0</v>
      </c>
      <c r="AA1324" s="39">
        <v>0</v>
      </c>
      <c r="AB1324" s="39">
        <v>0</v>
      </c>
      <c r="AC1324" s="39">
        <v>187.85</v>
      </c>
      <c r="AD1324" s="39">
        <v>417.97</v>
      </c>
      <c r="AE1324" s="39">
        <v>471.73</v>
      </c>
      <c r="AF1324" s="39">
        <v>0</v>
      </c>
      <c r="AG1324" s="39">
        <v>0</v>
      </c>
      <c r="AH1324" s="39">
        <v>0</v>
      </c>
      <c r="AI1324" s="39">
        <v>938.01</v>
      </c>
      <c r="AJ1324" s="39">
        <v>1284</v>
      </c>
      <c r="AK1324" s="39">
        <v>1334.56</v>
      </c>
      <c r="AL1324" s="39">
        <v>0</v>
      </c>
      <c r="AM1324" s="39">
        <v>0</v>
      </c>
      <c r="AN1324" s="39">
        <v>0</v>
      </c>
      <c r="AO1324" s="39">
        <v>938.01</v>
      </c>
      <c r="AP1324" s="39">
        <v>1284</v>
      </c>
      <c r="AQ1324" s="39">
        <v>1334.56</v>
      </c>
      <c r="AR1324" s="39">
        <v>1334.56</v>
      </c>
    </row>
    <row r="1325" spans="1:44" x14ac:dyDescent="0.35">
      <c r="A1325" s="16" t="str">
        <f t="shared" si="109"/>
        <v>43</v>
      </c>
      <c r="B1325" s="19">
        <v>69369</v>
      </c>
      <c r="C1325" s="16" t="str">
        <f t="shared" si="106"/>
        <v>0000000</v>
      </c>
      <c r="D1325" s="17" t="s">
        <v>3663</v>
      </c>
      <c r="E1325" s="16" t="s">
        <v>2733</v>
      </c>
      <c r="F1325" s="16" t="s">
        <v>3591</v>
      </c>
      <c r="G1325" s="35" t="s">
        <v>2734</v>
      </c>
      <c r="H1325" s="39">
        <v>6893.65</v>
      </c>
      <c r="I1325" s="39">
        <v>7046.42</v>
      </c>
      <c r="J1325" s="39">
        <v>6534.84</v>
      </c>
      <c r="K1325" s="39">
        <v>0</v>
      </c>
      <c r="L1325" s="39">
        <v>0</v>
      </c>
      <c r="M1325" s="39">
        <v>0</v>
      </c>
      <c r="N1325" s="39">
        <v>0</v>
      </c>
      <c r="O1325" s="39">
        <v>0</v>
      </c>
      <c r="P1325" s="39">
        <v>0</v>
      </c>
      <c r="Q1325" s="39">
        <v>0</v>
      </c>
      <c r="R1325" s="39">
        <v>0</v>
      </c>
      <c r="S1325" s="39">
        <v>0</v>
      </c>
      <c r="T1325" s="39">
        <v>0</v>
      </c>
      <c r="U1325" s="39">
        <v>0</v>
      </c>
      <c r="V1325" s="39">
        <v>0</v>
      </c>
      <c r="W1325" s="39">
        <v>0</v>
      </c>
      <c r="X1325" s="39">
        <v>0</v>
      </c>
      <c r="Y1325" s="39">
        <v>0</v>
      </c>
      <c r="Z1325" s="39">
        <v>0</v>
      </c>
      <c r="AA1325" s="39">
        <v>0</v>
      </c>
      <c r="AB1325" s="39">
        <v>0</v>
      </c>
      <c r="AC1325" s="39">
        <v>0</v>
      </c>
      <c r="AD1325" s="39">
        <v>0</v>
      </c>
      <c r="AE1325" s="39">
        <v>385.28</v>
      </c>
      <c r="AF1325" s="39">
        <v>0</v>
      </c>
      <c r="AG1325" s="39">
        <v>0</v>
      </c>
      <c r="AH1325" s="39">
        <v>0</v>
      </c>
      <c r="AI1325" s="39">
        <v>6893.65</v>
      </c>
      <c r="AJ1325" s="39">
        <v>7046.42</v>
      </c>
      <c r="AK1325" s="39">
        <v>6920.12</v>
      </c>
      <c r="AL1325" s="39">
        <v>0</v>
      </c>
      <c r="AM1325" s="39">
        <v>0</v>
      </c>
      <c r="AN1325" s="39">
        <v>0</v>
      </c>
      <c r="AO1325" s="39">
        <v>6893.65</v>
      </c>
      <c r="AP1325" s="39">
        <v>7046.42</v>
      </c>
      <c r="AQ1325" s="39">
        <v>6920.12</v>
      </c>
      <c r="AR1325" s="39">
        <v>7046.42</v>
      </c>
    </row>
    <row r="1326" spans="1:44" x14ac:dyDescent="0.35">
      <c r="A1326" s="16" t="str">
        <f t="shared" si="109"/>
        <v>43</v>
      </c>
      <c r="B1326" s="19">
        <v>69377</v>
      </c>
      <c r="C1326" s="16" t="str">
        <f t="shared" si="106"/>
        <v>0000000</v>
      </c>
      <c r="D1326" s="17" t="s">
        <v>3663</v>
      </c>
      <c r="E1326" s="16" t="s">
        <v>2742</v>
      </c>
      <c r="F1326" s="16" t="s">
        <v>3591</v>
      </c>
      <c r="G1326" s="35" t="s">
        <v>2743</v>
      </c>
      <c r="H1326" s="39">
        <v>5608.05</v>
      </c>
      <c r="I1326" s="39">
        <v>5722.15</v>
      </c>
      <c r="J1326" s="39">
        <v>5629.25</v>
      </c>
      <c r="K1326" s="39">
        <v>0</v>
      </c>
      <c r="L1326" s="39">
        <v>0</v>
      </c>
      <c r="M1326" s="39">
        <v>0</v>
      </c>
      <c r="N1326" s="39">
        <v>0</v>
      </c>
      <c r="O1326" s="39">
        <v>0</v>
      </c>
      <c r="P1326" s="39">
        <v>0</v>
      </c>
      <c r="Q1326" s="39">
        <v>0</v>
      </c>
      <c r="R1326" s="39">
        <v>0</v>
      </c>
      <c r="S1326" s="39">
        <v>0</v>
      </c>
      <c r="T1326" s="39">
        <v>0</v>
      </c>
      <c r="U1326" s="39">
        <v>0</v>
      </c>
      <c r="V1326" s="39">
        <v>0</v>
      </c>
      <c r="W1326" s="39">
        <v>0</v>
      </c>
      <c r="X1326" s="39">
        <v>0</v>
      </c>
      <c r="Y1326" s="39">
        <v>0</v>
      </c>
      <c r="Z1326" s="39">
        <v>0</v>
      </c>
      <c r="AA1326" s="39">
        <v>0</v>
      </c>
      <c r="AB1326" s="39">
        <v>0</v>
      </c>
      <c r="AC1326" s="39">
        <v>0</v>
      </c>
      <c r="AD1326" s="39">
        <v>0</v>
      </c>
      <c r="AE1326" s="39">
        <v>0</v>
      </c>
      <c r="AF1326" s="39">
        <v>0</v>
      </c>
      <c r="AG1326" s="39">
        <v>0</v>
      </c>
      <c r="AH1326" s="39">
        <v>0</v>
      </c>
      <c r="AI1326" s="39">
        <v>5608.05</v>
      </c>
      <c r="AJ1326" s="39">
        <v>5722.15</v>
      </c>
      <c r="AK1326" s="39">
        <v>5629.25</v>
      </c>
      <c r="AL1326" s="39">
        <v>0</v>
      </c>
      <c r="AM1326" s="39">
        <v>0</v>
      </c>
      <c r="AN1326" s="39">
        <v>0</v>
      </c>
      <c r="AO1326" s="39">
        <v>5608.05</v>
      </c>
      <c r="AP1326" s="39">
        <v>5722.15</v>
      </c>
      <c r="AQ1326" s="39">
        <v>5629.25</v>
      </c>
      <c r="AR1326" s="39">
        <v>5722.15</v>
      </c>
    </row>
    <row r="1327" spans="1:44" x14ac:dyDescent="0.35">
      <c r="A1327" s="16" t="str">
        <f t="shared" si="109"/>
        <v>43</v>
      </c>
      <c r="B1327" s="19">
        <v>69427</v>
      </c>
      <c r="C1327" s="16" t="str">
        <f t="shared" si="106"/>
        <v>0000000</v>
      </c>
      <c r="D1327" s="17" t="s">
        <v>3663</v>
      </c>
      <c r="E1327" s="16" t="s">
        <v>2752</v>
      </c>
      <c r="F1327" s="16" t="s">
        <v>3591</v>
      </c>
      <c r="G1327" s="35" t="s">
        <v>2753</v>
      </c>
      <c r="H1327" s="39">
        <v>18404.39</v>
      </c>
      <c r="I1327" s="39">
        <v>18903.88</v>
      </c>
      <c r="J1327" s="39">
        <v>19307.45</v>
      </c>
      <c r="K1327" s="39">
        <v>0</v>
      </c>
      <c r="L1327" s="39">
        <v>0</v>
      </c>
      <c r="M1327" s="39">
        <v>0</v>
      </c>
      <c r="N1327" s="39">
        <v>0</v>
      </c>
      <c r="O1327" s="39">
        <v>0</v>
      </c>
      <c r="P1327" s="39">
        <v>0</v>
      </c>
      <c r="Q1327" s="39">
        <v>0</v>
      </c>
      <c r="R1327" s="39">
        <v>0</v>
      </c>
      <c r="S1327" s="39">
        <v>0</v>
      </c>
      <c r="T1327" s="39">
        <v>0</v>
      </c>
      <c r="U1327" s="39">
        <v>0</v>
      </c>
      <c r="V1327" s="39">
        <v>0</v>
      </c>
      <c r="W1327" s="39">
        <v>0</v>
      </c>
      <c r="X1327" s="39">
        <v>0</v>
      </c>
      <c r="Y1327" s="39">
        <v>0</v>
      </c>
      <c r="Z1327" s="39">
        <v>0</v>
      </c>
      <c r="AA1327" s="39">
        <v>0</v>
      </c>
      <c r="AB1327" s="39">
        <v>0</v>
      </c>
      <c r="AC1327" s="39">
        <v>0</v>
      </c>
      <c r="AD1327" s="39">
        <v>0</v>
      </c>
      <c r="AE1327" s="39">
        <v>0</v>
      </c>
      <c r="AF1327" s="39">
        <v>0</v>
      </c>
      <c r="AG1327" s="39">
        <v>0</v>
      </c>
      <c r="AH1327" s="39">
        <v>0</v>
      </c>
      <c r="AI1327" s="39">
        <v>18404.39</v>
      </c>
      <c r="AJ1327" s="39">
        <v>18903.88</v>
      </c>
      <c r="AK1327" s="39">
        <v>19307.45</v>
      </c>
      <c r="AL1327" s="39">
        <v>0</v>
      </c>
      <c r="AM1327" s="39">
        <v>0</v>
      </c>
      <c r="AN1327" s="39">
        <v>0</v>
      </c>
      <c r="AO1327" s="39">
        <v>18404.39</v>
      </c>
      <c r="AP1327" s="39">
        <v>18903.88</v>
      </c>
      <c r="AQ1327" s="39">
        <v>19307.45</v>
      </c>
      <c r="AR1327" s="39">
        <v>19307.45</v>
      </c>
    </row>
    <row r="1328" spans="1:44" x14ac:dyDescent="0.35">
      <c r="A1328" s="16" t="str">
        <f t="shared" si="109"/>
        <v>43</v>
      </c>
      <c r="B1328" s="19">
        <v>69435</v>
      </c>
      <c r="C1328" s="16" t="str">
        <f t="shared" si="106"/>
        <v>0000000</v>
      </c>
      <c r="D1328" s="17" t="s">
        <v>3663</v>
      </c>
      <c r="E1328" s="16" t="s">
        <v>2777</v>
      </c>
      <c r="F1328" s="16" t="s">
        <v>3591</v>
      </c>
      <c r="G1328" s="35" t="s">
        <v>2778</v>
      </c>
      <c r="H1328" s="39">
        <v>8117.08</v>
      </c>
      <c r="I1328" s="39">
        <v>8376.9</v>
      </c>
      <c r="J1328" s="39">
        <v>8402.42</v>
      </c>
      <c r="K1328" s="39">
        <v>0</v>
      </c>
      <c r="L1328" s="39">
        <v>0</v>
      </c>
      <c r="M1328" s="39">
        <v>0</v>
      </c>
      <c r="N1328" s="39">
        <v>0</v>
      </c>
      <c r="O1328" s="39">
        <v>0</v>
      </c>
      <c r="P1328" s="39">
        <v>0</v>
      </c>
      <c r="Q1328" s="39">
        <v>0</v>
      </c>
      <c r="R1328" s="39">
        <v>0</v>
      </c>
      <c r="S1328" s="39">
        <v>0</v>
      </c>
      <c r="T1328" s="39">
        <v>0</v>
      </c>
      <c r="U1328" s="39">
        <v>0</v>
      </c>
      <c r="V1328" s="39">
        <v>0</v>
      </c>
      <c r="W1328" s="39">
        <v>0</v>
      </c>
      <c r="X1328" s="39">
        <v>0</v>
      </c>
      <c r="Y1328" s="39">
        <v>0</v>
      </c>
      <c r="Z1328" s="39">
        <v>0</v>
      </c>
      <c r="AA1328" s="39">
        <v>0</v>
      </c>
      <c r="AB1328" s="39">
        <v>0</v>
      </c>
      <c r="AC1328" s="39">
        <v>0</v>
      </c>
      <c r="AD1328" s="39">
        <v>0</v>
      </c>
      <c r="AE1328" s="39">
        <v>0</v>
      </c>
      <c r="AF1328" s="39">
        <v>0</v>
      </c>
      <c r="AG1328" s="39">
        <v>0</v>
      </c>
      <c r="AH1328" s="39">
        <v>0</v>
      </c>
      <c r="AI1328" s="39">
        <v>8117.08</v>
      </c>
      <c r="AJ1328" s="39">
        <v>8376.9</v>
      </c>
      <c r="AK1328" s="39">
        <v>8402.42</v>
      </c>
      <c r="AL1328" s="39">
        <v>0</v>
      </c>
      <c r="AM1328" s="39">
        <v>0</v>
      </c>
      <c r="AN1328" s="39">
        <v>0</v>
      </c>
      <c r="AO1328" s="39">
        <v>8117.08</v>
      </c>
      <c r="AP1328" s="39">
        <v>8376.9</v>
      </c>
      <c r="AQ1328" s="39">
        <v>8402.42</v>
      </c>
      <c r="AR1328" s="39">
        <v>8402.42</v>
      </c>
    </row>
    <row r="1329" spans="1:44" x14ac:dyDescent="0.35">
      <c r="A1329" s="16" t="str">
        <f t="shared" si="109"/>
        <v>43</v>
      </c>
      <c r="B1329" s="19">
        <v>69450</v>
      </c>
      <c r="C1329" s="16" t="str">
        <f t="shared" si="106"/>
        <v>0000000</v>
      </c>
      <c r="D1329" s="17" t="s">
        <v>3663</v>
      </c>
      <c r="E1329" s="16" t="s">
        <v>2779</v>
      </c>
      <c r="F1329" s="16" t="s">
        <v>3591</v>
      </c>
      <c r="G1329" s="35" t="s">
        <v>2780</v>
      </c>
      <c r="H1329" s="39">
        <v>5341.62</v>
      </c>
      <c r="I1329" s="39">
        <v>5421.98</v>
      </c>
      <c r="J1329" s="39">
        <v>5487.25</v>
      </c>
      <c r="K1329" s="39">
        <v>0</v>
      </c>
      <c r="L1329" s="39">
        <v>0</v>
      </c>
      <c r="M1329" s="39">
        <v>0</v>
      </c>
      <c r="N1329" s="39">
        <v>0</v>
      </c>
      <c r="O1329" s="39">
        <v>0</v>
      </c>
      <c r="P1329" s="39">
        <v>0</v>
      </c>
      <c r="Q1329" s="39">
        <v>0</v>
      </c>
      <c r="R1329" s="39">
        <v>0</v>
      </c>
      <c r="S1329" s="39">
        <v>0</v>
      </c>
      <c r="T1329" s="39">
        <v>0</v>
      </c>
      <c r="U1329" s="39">
        <v>0</v>
      </c>
      <c r="V1329" s="39">
        <v>0</v>
      </c>
      <c r="W1329" s="39">
        <v>0</v>
      </c>
      <c r="X1329" s="39">
        <v>0</v>
      </c>
      <c r="Y1329" s="39">
        <v>0</v>
      </c>
      <c r="Z1329" s="39">
        <v>0</v>
      </c>
      <c r="AA1329" s="39">
        <v>0</v>
      </c>
      <c r="AB1329" s="39">
        <v>0</v>
      </c>
      <c r="AC1329" s="39">
        <v>0</v>
      </c>
      <c r="AD1329" s="39">
        <v>0</v>
      </c>
      <c r="AE1329" s="39">
        <v>0</v>
      </c>
      <c r="AF1329" s="39">
        <v>0</v>
      </c>
      <c r="AG1329" s="39">
        <v>0</v>
      </c>
      <c r="AH1329" s="39">
        <v>0</v>
      </c>
      <c r="AI1329" s="39">
        <v>5341.62</v>
      </c>
      <c r="AJ1329" s="39">
        <v>5421.98</v>
      </c>
      <c r="AK1329" s="39">
        <v>5487.25</v>
      </c>
      <c r="AL1329" s="39">
        <v>0</v>
      </c>
      <c r="AM1329" s="39">
        <v>0</v>
      </c>
      <c r="AN1329" s="39">
        <v>0</v>
      </c>
      <c r="AO1329" s="39">
        <v>5341.62</v>
      </c>
      <c r="AP1329" s="39">
        <v>5421.98</v>
      </c>
      <c r="AQ1329" s="39">
        <v>5487.25</v>
      </c>
      <c r="AR1329" s="39">
        <v>5487.25</v>
      </c>
    </row>
    <row r="1330" spans="1:44" x14ac:dyDescent="0.35">
      <c r="A1330" s="16" t="str">
        <f t="shared" si="109"/>
        <v>43</v>
      </c>
      <c r="B1330" s="19">
        <v>73387</v>
      </c>
      <c r="C1330" s="16" t="str">
        <f t="shared" si="106"/>
        <v>0000000</v>
      </c>
      <c r="D1330" s="17" t="s">
        <v>3663</v>
      </c>
      <c r="E1330" s="16" t="s">
        <v>2844</v>
      </c>
      <c r="F1330" s="16" t="s">
        <v>3591</v>
      </c>
      <c r="G1330" s="35" t="s">
        <v>2845</v>
      </c>
      <c r="H1330" s="39">
        <v>9705.84</v>
      </c>
      <c r="I1330" s="39">
        <v>9757.49</v>
      </c>
      <c r="J1330" s="39">
        <v>9513.4699999999993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  <c r="AE1330" s="39">
        <v>0</v>
      </c>
      <c r="AF1330" s="39">
        <v>0</v>
      </c>
      <c r="AG1330" s="39">
        <v>0</v>
      </c>
      <c r="AH1330" s="39">
        <v>0</v>
      </c>
      <c r="AI1330" s="39">
        <v>9705.84</v>
      </c>
      <c r="AJ1330" s="39">
        <v>9757.49</v>
      </c>
      <c r="AK1330" s="39">
        <v>9513.4699999999993</v>
      </c>
      <c r="AL1330" s="39">
        <v>0</v>
      </c>
      <c r="AM1330" s="39">
        <v>0</v>
      </c>
      <c r="AN1330" s="39">
        <v>0</v>
      </c>
      <c r="AO1330" s="39">
        <v>9705.84</v>
      </c>
      <c r="AP1330" s="39">
        <v>9757.49</v>
      </c>
      <c r="AQ1330" s="39">
        <v>9513.4699999999993</v>
      </c>
      <c r="AR1330" s="39">
        <v>9757.49</v>
      </c>
    </row>
    <row r="1331" spans="1:44" x14ac:dyDescent="0.35">
      <c r="A1331" s="16" t="str">
        <f t="shared" si="109"/>
        <v>43</v>
      </c>
      <c r="B1331" s="19">
        <v>69625</v>
      </c>
      <c r="C1331" s="16" t="str">
        <f t="shared" si="106"/>
        <v>0000000</v>
      </c>
      <c r="D1331" s="17" t="s">
        <v>3663</v>
      </c>
      <c r="E1331" s="16" t="s">
        <v>2821</v>
      </c>
      <c r="F1331" s="16" t="s">
        <v>3591</v>
      </c>
      <c r="G1331" s="35" t="s">
        <v>2822</v>
      </c>
      <c r="H1331" s="39">
        <v>8067.78</v>
      </c>
      <c r="I1331" s="39">
        <v>8178.11</v>
      </c>
      <c r="J1331" s="39">
        <v>8066.4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  <c r="AE1331" s="39">
        <v>0</v>
      </c>
      <c r="AF1331" s="39">
        <v>0</v>
      </c>
      <c r="AG1331" s="39">
        <v>0</v>
      </c>
      <c r="AH1331" s="39">
        <v>0</v>
      </c>
      <c r="AI1331" s="39">
        <v>8067.78</v>
      </c>
      <c r="AJ1331" s="39">
        <v>8178.11</v>
      </c>
      <c r="AK1331" s="39">
        <v>8066.4</v>
      </c>
      <c r="AL1331" s="39">
        <v>0</v>
      </c>
      <c r="AM1331" s="39">
        <v>0</v>
      </c>
      <c r="AN1331" s="39">
        <v>0</v>
      </c>
      <c r="AO1331" s="39">
        <v>8067.78</v>
      </c>
      <c r="AP1331" s="39">
        <v>8178.11</v>
      </c>
      <c r="AQ1331" s="39">
        <v>8066.4</v>
      </c>
      <c r="AR1331" s="39">
        <v>8178.11</v>
      </c>
    </row>
    <row r="1332" spans="1:44" x14ac:dyDescent="0.35">
      <c r="A1332" s="16" t="str">
        <f t="shared" si="109"/>
        <v>43</v>
      </c>
      <c r="B1332" s="19">
        <v>69633</v>
      </c>
      <c r="C1332" s="16" t="str">
        <f t="shared" si="106"/>
        <v>0000000</v>
      </c>
      <c r="D1332" s="17" t="s">
        <v>3663</v>
      </c>
      <c r="E1332" s="16" t="s">
        <v>2823</v>
      </c>
      <c r="F1332" s="16" t="s">
        <v>3591</v>
      </c>
      <c r="G1332" s="35" t="s">
        <v>2824</v>
      </c>
      <c r="H1332" s="39">
        <v>692.39</v>
      </c>
      <c r="I1332" s="39">
        <v>722.36</v>
      </c>
      <c r="J1332" s="39">
        <v>714.72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  <c r="AE1332" s="39">
        <v>0</v>
      </c>
      <c r="AF1332" s="39">
        <v>0</v>
      </c>
      <c r="AG1332" s="39">
        <v>0</v>
      </c>
      <c r="AH1332" s="39">
        <v>0</v>
      </c>
      <c r="AI1332" s="39">
        <v>692.39</v>
      </c>
      <c r="AJ1332" s="39">
        <v>722.36</v>
      </c>
      <c r="AK1332" s="39">
        <v>714.72</v>
      </c>
      <c r="AL1332" s="39">
        <v>0</v>
      </c>
      <c r="AM1332" s="39">
        <v>0</v>
      </c>
      <c r="AN1332" s="39">
        <v>0</v>
      </c>
      <c r="AO1332" s="39">
        <v>692.39</v>
      </c>
      <c r="AP1332" s="39">
        <v>722.36</v>
      </c>
      <c r="AQ1332" s="39">
        <v>714.72</v>
      </c>
      <c r="AR1332" s="39">
        <v>722.36</v>
      </c>
    </row>
    <row r="1333" spans="1:44" x14ac:dyDescent="0.35">
      <c r="A1333" s="16" t="str">
        <f t="shared" si="109"/>
        <v>43</v>
      </c>
      <c r="B1333" s="19">
        <v>69484</v>
      </c>
      <c r="C1333" s="16" t="str">
        <f t="shared" si="106"/>
        <v>0000000</v>
      </c>
      <c r="D1333" s="17" t="s">
        <v>3663</v>
      </c>
      <c r="E1333" s="16" t="s">
        <v>2794</v>
      </c>
      <c r="F1333" s="16" t="s">
        <v>3591</v>
      </c>
      <c r="G1333" s="35" t="s">
        <v>2795</v>
      </c>
      <c r="H1333" s="39">
        <v>9423.3799999999992</v>
      </c>
      <c r="I1333" s="39">
        <v>9522.7900000000009</v>
      </c>
      <c r="J1333" s="39">
        <v>9492.4699999999993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0</v>
      </c>
      <c r="AC1333" s="39">
        <v>0</v>
      </c>
      <c r="AD1333" s="39">
        <v>0</v>
      </c>
      <c r="AE1333" s="39">
        <v>0</v>
      </c>
      <c r="AF1333" s="39">
        <v>0</v>
      </c>
      <c r="AG1333" s="39">
        <v>0</v>
      </c>
      <c r="AH1333" s="39">
        <v>0</v>
      </c>
      <c r="AI1333" s="39">
        <v>9423.3799999999992</v>
      </c>
      <c r="AJ1333" s="39">
        <v>9522.7900000000009</v>
      </c>
      <c r="AK1333" s="39">
        <v>9492.4699999999993</v>
      </c>
      <c r="AL1333" s="39">
        <v>0</v>
      </c>
      <c r="AM1333" s="39">
        <v>0</v>
      </c>
      <c r="AN1333" s="39">
        <v>0</v>
      </c>
      <c r="AO1333" s="39">
        <v>9423.3799999999992</v>
      </c>
      <c r="AP1333" s="39">
        <v>9522.7900000000009</v>
      </c>
      <c r="AQ1333" s="39">
        <v>9492.4699999999993</v>
      </c>
      <c r="AR1333" s="39">
        <v>9522.7900000000009</v>
      </c>
    </row>
    <row r="1334" spans="1:44" x14ac:dyDescent="0.35">
      <c r="A1334" s="16" t="str">
        <f t="shared" si="109"/>
        <v>43</v>
      </c>
      <c r="B1334" s="19">
        <v>69583</v>
      </c>
      <c r="C1334" s="16" t="str">
        <f t="shared" si="106"/>
        <v>0000000</v>
      </c>
      <c r="D1334" s="17" t="s">
        <v>3663</v>
      </c>
      <c r="E1334" s="16" t="s">
        <v>2812</v>
      </c>
      <c r="F1334" s="16" t="s">
        <v>3591</v>
      </c>
      <c r="G1334" s="35" t="s">
        <v>2813</v>
      </c>
      <c r="H1334" s="39">
        <v>7279.63</v>
      </c>
      <c r="I1334" s="39">
        <v>7365.03</v>
      </c>
      <c r="J1334" s="39">
        <v>7467.14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v>0</v>
      </c>
      <c r="AB1334" s="39">
        <v>0</v>
      </c>
      <c r="AC1334" s="39">
        <v>0</v>
      </c>
      <c r="AD1334" s="39">
        <v>0</v>
      </c>
      <c r="AE1334" s="39">
        <v>0</v>
      </c>
      <c r="AF1334" s="39">
        <v>0</v>
      </c>
      <c r="AG1334" s="39">
        <v>0</v>
      </c>
      <c r="AH1334" s="39">
        <v>0</v>
      </c>
      <c r="AI1334" s="39">
        <v>7279.63</v>
      </c>
      <c r="AJ1334" s="39">
        <v>7365.03</v>
      </c>
      <c r="AK1334" s="39">
        <v>7467.14</v>
      </c>
      <c r="AL1334" s="39">
        <v>0</v>
      </c>
      <c r="AM1334" s="39">
        <v>0</v>
      </c>
      <c r="AN1334" s="39">
        <v>0</v>
      </c>
      <c r="AO1334" s="39">
        <v>7279.63</v>
      </c>
      <c r="AP1334" s="39">
        <v>7365.03</v>
      </c>
      <c r="AQ1334" s="39">
        <v>7467.14</v>
      </c>
      <c r="AR1334" s="39">
        <v>7467.14</v>
      </c>
    </row>
    <row r="1335" spans="1:44" x14ac:dyDescent="0.35">
      <c r="A1335" s="16" t="str">
        <f t="shared" si="109"/>
        <v>43</v>
      </c>
      <c r="B1335" s="19">
        <v>69617</v>
      </c>
      <c r="C1335" s="16" t="str">
        <f t="shared" si="106"/>
        <v>0000000</v>
      </c>
      <c r="D1335" s="17" t="s">
        <v>3663</v>
      </c>
      <c r="E1335" s="16" t="s">
        <v>3606</v>
      </c>
      <c r="F1335" s="16" t="s">
        <v>3591</v>
      </c>
      <c r="G1335" s="35" t="s">
        <v>3607</v>
      </c>
      <c r="H1335" s="39">
        <v>1024.92</v>
      </c>
      <c r="I1335" s="39">
        <v>1069.08</v>
      </c>
      <c r="J1335" s="39">
        <v>1129.93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v>0</v>
      </c>
      <c r="AB1335" s="39">
        <v>0</v>
      </c>
      <c r="AC1335" s="39">
        <v>404.82</v>
      </c>
      <c r="AD1335" s="39">
        <v>374.79</v>
      </c>
      <c r="AE1335" s="39">
        <v>381.63</v>
      </c>
      <c r="AF1335" s="39">
        <v>0</v>
      </c>
      <c r="AG1335" s="39">
        <v>0</v>
      </c>
      <c r="AH1335" s="39">
        <v>0</v>
      </c>
      <c r="AI1335" s="39">
        <v>1429.74</v>
      </c>
      <c r="AJ1335" s="39">
        <v>1443.87</v>
      </c>
      <c r="AK1335" s="39">
        <v>1511.56</v>
      </c>
      <c r="AL1335" s="39">
        <v>0</v>
      </c>
      <c r="AM1335" s="39">
        <v>0</v>
      </c>
      <c r="AN1335" s="39">
        <v>0</v>
      </c>
      <c r="AO1335" s="39">
        <v>1429.74</v>
      </c>
      <c r="AP1335" s="39">
        <v>1443.87</v>
      </c>
      <c r="AQ1335" s="39">
        <v>1511.56</v>
      </c>
      <c r="AR1335" s="39">
        <v>1511.56</v>
      </c>
    </row>
    <row r="1336" spans="1:44" x14ac:dyDescent="0.35">
      <c r="A1336" s="16" t="str">
        <f t="shared" si="109"/>
        <v>43</v>
      </c>
      <c r="B1336" s="19">
        <v>10439</v>
      </c>
      <c r="C1336" s="16" t="str">
        <f t="shared" si="106"/>
        <v>0000000</v>
      </c>
      <c r="D1336" s="17" t="s">
        <v>3663</v>
      </c>
      <c r="E1336" s="16" t="s">
        <v>3589</v>
      </c>
      <c r="F1336" s="16" t="s">
        <v>3590</v>
      </c>
      <c r="G1336" s="35" t="s">
        <v>3590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  <c r="Q1336" s="39">
        <v>0</v>
      </c>
      <c r="R1336" s="39">
        <v>0</v>
      </c>
      <c r="S1336" s="39">
        <v>0</v>
      </c>
      <c r="T1336" s="39">
        <v>64.75</v>
      </c>
      <c r="U1336" s="39">
        <v>67.55</v>
      </c>
      <c r="V1336" s="39">
        <v>60.54</v>
      </c>
      <c r="W1336" s="39">
        <v>268.48</v>
      </c>
      <c r="X1336" s="39">
        <v>303.24</v>
      </c>
      <c r="Y1336" s="39">
        <v>351.45</v>
      </c>
      <c r="Z1336" s="39">
        <v>704.52</v>
      </c>
      <c r="AA1336" s="39">
        <v>688.31</v>
      </c>
      <c r="AB1336" s="39">
        <v>696.1</v>
      </c>
      <c r="AC1336" s="39">
        <v>1926.89</v>
      </c>
      <c r="AD1336" s="39">
        <v>2005.33</v>
      </c>
      <c r="AE1336" s="39">
        <v>1968.92</v>
      </c>
      <c r="AF1336" s="39">
        <v>0</v>
      </c>
      <c r="AG1336" s="39">
        <v>0</v>
      </c>
      <c r="AH1336" s="39">
        <v>0</v>
      </c>
      <c r="AI1336" s="39">
        <v>2964.64</v>
      </c>
      <c r="AJ1336" s="39">
        <v>3064.43</v>
      </c>
      <c r="AK1336" s="39">
        <v>3077.01</v>
      </c>
      <c r="AL1336" s="39">
        <v>0</v>
      </c>
      <c r="AM1336" s="39">
        <v>0</v>
      </c>
      <c r="AN1336" s="39">
        <v>0</v>
      </c>
      <c r="AO1336" s="39">
        <v>2964.64</v>
      </c>
      <c r="AP1336" s="39">
        <v>3064.43</v>
      </c>
      <c r="AQ1336" s="39">
        <v>3077.01</v>
      </c>
      <c r="AR1336" s="39">
        <v>3077.01</v>
      </c>
    </row>
    <row r="1337" spans="1:44" x14ac:dyDescent="0.35">
      <c r="A1337" s="16" t="str">
        <f t="shared" si="109"/>
        <v>43</v>
      </c>
      <c r="B1337" s="19">
        <v>69385</v>
      </c>
      <c r="C1337" s="16" t="str">
        <f t="shared" ref="C1337:C1365" si="110">TEXT(,"0000000")</f>
        <v>0000000</v>
      </c>
      <c r="D1337" s="17" t="s">
        <v>3663</v>
      </c>
      <c r="E1337" s="16" t="s">
        <v>3592</v>
      </c>
      <c r="F1337" s="16" t="s">
        <v>3590</v>
      </c>
      <c r="G1337" s="35" t="s">
        <v>2745</v>
      </c>
      <c r="H1337" s="39">
        <v>994.95</v>
      </c>
      <c r="I1337" s="39">
        <v>963.12</v>
      </c>
      <c r="J1337" s="39">
        <v>935.85</v>
      </c>
      <c r="K1337" s="39">
        <v>0</v>
      </c>
      <c r="L1337" s="39">
        <v>0</v>
      </c>
      <c r="M1337" s="39">
        <v>0</v>
      </c>
      <c r="N1337" s="39">
        <v>0</v>
      </c>
      <c r="O1337" s="39">
        <v>0</v>
      </c>
      <c r="P1337" s="39">
        <v>0</v>
      </c>
      <c r="Q1337" s="39">
        <v>0</v>
      </c>
      <c r="R1337" s="39">
        <v>0</v>
      </c>
      <c r="S1337" s="39">
        <v>0</v>
      </c>
      <c r="T1337" s="39">
        <v>0</v>
      </c>
      <c r="U1337" s="39">
        <v>0</v>
      </c>
      <c r="V1337" s="39">
        <v>0</v>
      </c>
      <c r="W1337" s="39">
        <v>0</v>
      </c>
      <c r="X1337" s="39">
        <v>0</v>
      </c>
      <c r="Y1337" s="39">
        <v>0</v>
      </c>
      <c r="Z1337" s="39">
        <v>0</v>
      </c>
      <c r="AA1337" s="39">
        <v>0</v>
      </c>
      <c r="AB1337" s="39">
        <v>0</v>
      </c>
      <c r="AC1337" s="39">
        <v>2002.83</v>
      </c>
      <c r="AD1337" s="39">
        <v>1923.4</v>
      </c>
      <c r="AE1337" s="39">
        <v>1838.95</v>
      </c>
      <c r="AF1337" s="39">
        <v>0</v>
      </c>
      <c r="AG1337" s="39">
        <v>0</v>
      </c>
      <c r="AH1337" s="39">
        <v>0</v>
      </c>
      <c r="AI1337" s="39">
        <v>2997.78</v>
      </c>
      <c r="AJ1337" s="39">
        <v>2886.52</v>
      </c>
      <c r="AK1337" s="39">
        <v>2774.8</v>
      </c>
      <c r="AL1337" s="39">
        <v>0</v>
      </c>
      <c r="AM1337" s="39">
        <v>0</v>
      </c>
      <c r="AN1337" s="39">
        <v>0</v>
      </c>
      <c r="AO1337" s="39">
        <v>2997.78</v>
      </c>
      <c r="AP1337" s="39">
        <v>2886.52</v>
      </c>
      <c r="AQ1337" s="39">
        <v>2774.8</v>
      </c>
      <c r="AR1337" s="39">
        <v>2997.78</v>
      </c>
    </row>
    <row r="1338" spans="1:44" x14ac:dyDescent="0.35">
      <c r="A1338" s="16" t="str">
        <f t="shared" si="109"/>
        <v>43</v>
      </c>
      <c r="B1338" s="19">
        <v>69393</v>
      </c>
      <c r="C1338" s="16" t="str">
        <f t="shared" si="110"/>
        <v>0000000</v>
      </c>
      <c r="D1338" s="17" t="s">
        <v>3663</v>
      </c>
      <c r="E1338" s="16" t="s">
        <v>3593</v>
      </c>
      <c r="F1338" s="16" t="s">
        <v>3590</v>
      </c>
      <c r="G1338" s="35" t="s">
        <v>2747</v>
      </c>
      <c r="H1338" s="39">
        <v>396.83</v>
      </c>
      <c r="I1338" s="39">
        <v>377.68</v>
      </c>
      <c r="J1338" s="39">
        <v>347.73</v>
      </c>
      <c r="K1338" s="39">
        <v>0</v>
      </c>
      <c r="L1338" s="39">
        <v>0</v>
      </c>
      <c r="M1338" s="39">
        <v>0</v>
      </c>
      <c r="N1338" s="39">
        <v>0</v>
      </c>
      <c r="O1338" s="39">
        <v>0</v>
      </c>
      <c r="P1338" s="39">
        <v>0</v>
      </c>
      <c r="Q1338" s="39">
        <v>0</v>
      </c>
      <c r="R1338" s="39">
        <v>0</v>
      </c>
      <c r="S1338" s="39">
        <v>0</v>
      </c>
      <c r="T1338" s="39">
        <v>0</v>
      </c>
      <c r="U1338" s="39">
        <v>0</v>
      </c>
      <c r="V1338" s="39">
        <v>0</v>
      </c>
      <c r="W1338" s="39">
        <v>0</v>
      </c>
      <c r="X1338" s="39">
        <v>0</v>
      </c>
      <c r="Y1338" s="39">
        <v>0</v>
      </c>
      <c r="Z1338" s="39">
        <v>0</v>
      </c>
      <c r="AA1338" s="39">
        <v>0</v>
      </c>
      <c r="AB1338" s="39">
        <v>0</v>
      </c>
      <c r="AC1338" s="39">
        <v>5433.66</v>
      </c>
      <c r="AD1338" s="39">
        <v>5493.49</v>
      </c>
      <c r="AE1338" s="39">
        <v>5516.75</v>
      </c>
      <c r="AF1338" s="39">
        <v>0</v>
      </c>
      <c r="AG1338" s="39">
        <v>0</v>
      </c>
      <c r="AH1338" s="39">
        <v>0</v>
      </c>
      <c r="AI1338" s="39">
        <v>5830.49</v>
      </c>
      <c r="AJ1338" s="39">
        <v>5871.17</v>
      </c>
      <c r="AK1338" s="39">
        <v>5864.48</v>
      </c>
      <c r="AL1338" s="39">
        <v>0</v>
      </c>
      <c r="AM1338" s="39">
        <v>0</v>
      </c>
      <c r="AN1338" s="39">
        <v>0</v>
      </c>
      <c r="AO1338" s="39">
        <v>5830.49</v>
      </c>
      <c r="AP1338" s="39">
        <v>5871.17</v>
      </c>
      <c r="AQ1338" s="39">
        <v>5864.48</v>
      </c>
      <c r="AR1338" s="39">
        <v>5871.17</v>
      </c>
    </row>
    <row r="1339" spans="1:44" x14ac:dyDescent="0.35">
      <c r="A1339" s="16" t="str">
        <f t="shared" si="109"/>
        <v>43</v>
      </c>
      <c r="B1339" s="19">
        <v>69401</v>
      </c>
      <c r="C1339" s="16" t="str">
        <f t="shared" si="110"/>
        <v>0000000</v>
      </c>
      <c r="D1339" s="17" t="s">
        <v>3663</v>
      </c>
      <c r="E1339" s="16" t="s">
        <v>3594</v>
      </c>
      <c r="F1339" s="16" t="s">
        <v>3590</v>
      </c>
      <c r="G1339" s="35" t="s">
        <v>2749</v>
      </c>
      <c r="H1339" s="39">
        <v>7895.88</v>
      </c>
      <c r="I1339" s="39">
        <v>8010.87</v>
      </c>
      <c r="J1339" s="39">
        <v>8014.13</v>
      </c>
      <c r="K1339" s="39">
        <v>0</v>
      </c>
      <c r="L1339" s="39">
        <v>0</v>
      </c>
      <c r="M1339" s="39">
        <v>0</v>
      </c>
      <c r="N1339" s="39">
        <v>0</v>
      </c>
      <c r="O1339" s="39">
        <v>0</v>
      </c>
      <c r="P1339" s="39">
        <v>0</v>
      </c>
      <c r="Q1339" s="39">
        <v>0</v>
      </c>
      <c r="R1339" s="39">
        <v>0</v>
      </c>
      <c r="S1339" s="39">
        <v>0</v>
      </c>
      <c r="T1339" s="39">
        <v>0</v>
      </c>
      <c r="U1339" s="39">
        <v>0</v>
      </c>
      <c r="V1339" s="39">
        <v>0</v>
      </c>
      <c r="W1339" s="39">
        <v>0</v>
      </c>
      <c r="X1339" s="39">
        <v>0</v>
      </c>
      <c r="Y1339" s="39">
        <v>0</v>
      </c>
      <c r="Z1339" s="39">
        <v>0</v>
      </c>
      <c r="AA1339" s="39">
        <v>0</v>
      </c>
      <c r="AB1339" s="39">
        <v>0</v>
      </c>
      <c r="AC1339" s="39">
        <v>0</v>
      </c>
      <c r="AD1339" s="39">
        <v>0</v>
      </c>
      <c r="AE1339" s="39">
        <v>0</v>
      </c>
      <c r="AF1339" s="39">
        <v>0</v>
      </c>
      <c r="AG1339" s="39">
        <v>0</v>
      </c>
      <c r="AH1339" s="39">
        <v>0</v>
      </c>
      <c r="AI1339" s="39">
        <v>7895.88</v>
      </c>
      <c r="AJ1339" s="39">
        <v>8010.87</v>
      </c>
      <c r="AK1339" s="39">
        <v>8014.13</v>
      </c>
      <c r="AL1339" s="39">
        <v>0</v>
      </c>
      <c r="AM1339" s="39">
        <v>0</v>
      </c>
      <c r="AN1339" s="39">
        <v>0</v>
      </c>
      <c r="AO1339" s="39">
        <v>7895.88</v>
      </c>
      <c r="AP1339" s="39">
        <v>8010.87</v>
      </c>
      <c r="AQ1339" s="39">
        <v>8014.13</v>
      </c>
      <c r="AR1339" s="39">
        <v>8014.13</v>
      </c>
    </row>
    <row r="1340" spans="1:44" x14ac:dyDescent="0.35">
      <c r="A1340" s="16" t="str">
        <f t="shared" si="109"/>
        <v>43</v>
      </c>
      <c r="B1340" s="19">
        <v>69419</v>
      </c>
      <c r="C1340" s="16" t="str">
        <f t="shared" si="110"/>
        <v>0000000</v>
      </c>
      <c r="D1340" s="17" t="s">
        <v>3663</v>
      </c>
      <c r="E1340" s="16" t="s">
        <v>3595</v>
      </c>
      <c r="F1340" s="16" t="s">
        <v>3590</v>
      </c>
      <c r="G1340" s="35" t="s">
        <v>2751</v>
      </c>
      <c r="H1340" s="39">
        <v>13073.23</v>
      </c>
      <c r="I1340" s="39">
        <v>13093.36</v>
      </c>
      <c r="J1340" s="39">
        <v>12952.34</v>
      </c>
      <c r="K1340" s="39">
        <v>0</v>
      </c>
      <c r="L1340" s="39">
        <v>0</v>
      </c>
      <c r="M1340" s="39">
        <v>0</v>
      </c>
      <c r="N1340" s="39">
        <v>0</v>
      </c>
      <c r="O1340" s="39">
        <v>0</v>
      </c>
      <c r="P1340" s="39">
        <v>0</v>
      </c>
      <c r="Q1340" s="39">
        <v>0</v>
      </c>
      <c r="R1340" s="39">
        <v>0</v>
      </c>
      <c r="S1340" s="39">
        <v>0</v>
      </c>
      <c r="T1340" s="39">
        <v>0</v>
      </c>
      <c r="U1340" s="39">
        <v>0</v>
      </c>
      <c r="V1340" s="39">
        <v>0</v>
      </c>
      <c r="W1340" s="39">
        <v>0</v>
      </c>
      <c r="X1340" s="39">
        <v>0</v>
      </c>
      <c r="Y1340" s="39">
        <v>0</v>
      </c>
      <c r="Z1340" s="39">
        <v>0</v>
      </c>
      <c r="AA1340" s="39">
        <v>0</v>
      </c>
      <c r="AB1340" s="39">
        <v>0</v>
      </c>
      <c r="AC1340" s="39">
        <v>0</v>
      </c>
      <c r="AD1340" s="39">
        <v>0</v>
      </c>
      <c r="AE1340" s="39">
        <v>0</v>
      </c>
      <c r="AF1340" s="39">
        <v>0</v>
      </c>
      <c r="AG1340" s="39">
        <v>0</v>
      </c>
      <c r="AH1340" s="39">
        <v>0</v>
      </c>
      <c r="AI1340" s="39">
        <v>13073.23</v>
      </c>
      <c r="AJ1340" s="39">
        <v>13093.36</v>
      </c>
      <c r="AK1340" s="39">
        <v>12952.34</v>
      </c>
      <c r="AL1340" s="39">
        <v>0</v>
      </c>
      <c r="AM1340" s="39">
        <v>0</v>
      </c>
      <c r="AN1340" s="39">
        <v>0</v>
      </c>
      <c r="AO1340" s="39">
        <v>13073.23</v>
      </c>
      <c r="AP1340" s="39">
        <v>13093.36</v>
      </c>
      <c r="AQ1340" s="39">
        <v>12952.34</v>
      </c>
      <c r="AR1340" s="39">
        <v>13093.36</v>
      </c>
    </row>
    <row r="1341" spans="1:44" x14ac:dyDescent="0.35">
      <c r="A1341" s="16" t="str">
        <f t="shared" si="109"/>
        <v>43</v>
      </c>
      <c r="B1341" s="19">
        <v>69468</v>
      </c>
      <c r="C1341" s="16" t="str">
        <f t="shared" si="110"/>
        <v>0000000</v>
      </c>
      <c r="D1341" s="17" t="s">
        <v>3663</v>
      </c>
      <c r="E1341" s="16" t="s">
        <v>3596</v>
      </c>
      <c r="F1341" s="16" t="s">
        <v>3590</v>
      </c>
      <c r="G1341" s="35" t="s">
        <v>2793</v>
      </c>
      <c r="H1341" s="39">
        <v>8963.2000000000007</v>
      </c>
      <c r="I1341" s="39">
        <v>9137.2099999999991</v>
      </c>
      <c r="J1341" s="39">
        <v>9539.5</v>
      </c>
      <c r="K1341" s="39">
        <v>0</v>
      </c>
      <c r="L1341" s="39">
        <v>0</v>
      </c>
      <c r="M1341" s="39">
        <v>0</v>
      </c>
      <c r="N1341" s="39">
        <v>0</v>
      </c>
      <c r="O1341" s="39">
        <v>0</v>
      </c>
      <c r="P1341" s="39">
        <v>0</v>
      </c>
      <c r="Q1341" s="39">
        <v>0</v>
      </c>
      <c r="R1341" s="39">
        <v>0</v>
      </c>
      <c r="S1341" s="39">
        <v>0</v>
      </c>
      <c r="T1341" s="39">
        <v>0</v>
      </c>
      <c r="U1341" s="39">
        <v>0</v>
      </c>
      <c r="V1341" s="39">
        <v>0</v>
      </c>
      <c r="W1341" s="39">
        <v>0</v>
      </c>
      <c r="X1341" s="39">
        <v>0</v>
      </c>
      <c r="Y1341" s="39">
        <v>0</v>
      </c>
      <c r="Z1341" s="39">
        <v>0</v>
      </c>
      <c r="AA1341" s="39">
        <v>0</v>
      </c>
      <c r="AB1341" s="39">
        <v>0</v>
      </c>
      <c r="AC1341" s="39">
        <v>0</v>
      </c>
      <c r="AD1341" s="39">
        <v>0</v>
      </c>
      <c r="AE1341" s="39">
        <v>0</v>
      </c>
      <c r="AF1341" s="39">
        <v>0</v>
      </c>
      <c r="AG1341" s="39">
        <v>0</v>
      </c>
      <c r="AH1341" s="39">
        <v>0</v>
      </c>
      <c r="AI1341" s="39">
        <v>8963.2000000000007</v>
      </c>
      <c r="AJ1341" s="39">
        <v>9137.2099999999991</v>
      </c>
      <c r="AK1341" s="39">
        <v>9539.5</v>
      </c>
      <c r="AL1341" s="39">
        <v>0</v>
      </c>
      <c r="AM1341" s="39">
        <v>0</v>
      </c>
      <c r="AN1341" s="39">
        <v>0</v>
      </c>
      <c r="AO1341" s="39">
        <v>8963.2000000000007</v>
      </c>
      <c r="AP1341" s="39">
        <v>9137.2099999999991</v>
      </c>
      <c r="AQ1341" s="39">
        <v>9539.5</v>
      </c>
      <c r="AR1341" s="39">
        <v>9539.5</v>
      </c>
    </row>
    <row r="1342" spans="1:44" x14ac:dyDescent="0.35">
      <c r="A1342" s="16" t="str">
        <f t="shared" si="109"/>
        <v>43</v>
      </c>
      <c r="B1342" s="19">
        <v>69492</v>
      </c>
      <c r="C1342" s="16" t="str">
        <f t="shared" si="110"/>
        <v>0000000</v>
      </c>
      <c r="D1342" s="17" t="s">
        <v>3663</v>
      </c>
      <c r="E1342" s="16" t="s">
        <v>3597</v>
      </c>
      <c r="F1342" s="16" t="s">
        <v>3590</v>
      </c>
      <c r="G1342" s="35" t="s">
        <v>2799</v>
      </c>
      <c r="H1342" s="39">
        <v>61.91</v>
      </c>
      <c r="I1342" s="39">
        <v>72.72</v>
      </c>
      <c r="J1342" s="39">
        <v>69.27</v>
      </c>
      <c r="K1342" s="39">
        <v>0</v>
      </c>
      <c r="L1342" s="39">
        <v>0</v>
      </c>
      <c r="M1342" s="39">
        <v>0</v>
      </c>
      <c r="N1342" s="39">
        <v>0</v>
      </c>
      <c r="O1342" s="39">
        <v>0</v>
      </c>
      <c r="P1342" s="39">
        <v>0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  <c r="W1342" s="39">
        <v>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  <c r="AE1342" s="39">
        <v>0</v>
      </c>
      <c r="AF1342" s="39">
        <v>0</v>
      </c>
      <c r="AG1342" s="39">
        <v>0</v>
      </c>
      <c r="AH1342" s="39">
        <v>0</v>
      </c>
      <c r="AI1342" s="39">
        <v>61.91</v>
      </c>
      <c r="AJ1342" s="39">
        <v>72.72</v>
      </c>
      <c r="AK1342" s="39">
        <v>69.27</v>
      </c>
      <c r="AL1342" s="39">
        <v>0</v>
      </c>
      <c r="AM1342" s="39">
        <v>0</v>
      </c>
      <c r="AN1342" s="39">
        <v>0</v>
      </c>
      <c r="AO1342" s="39">
        <v>61.91</v>
      </c>
      <c r="AP1342" s="39">
        <v>72.72</v>
      </c>
      <c r="AQ1342" s="39">
        <v>69.27</v>
      </c>
      <c r="AR1342" s="39">
        <v>72.72</v>
      </c>
    </row>
    <row r="1343" spans="1:44" x14ac:dyDescent="0.35">
      <c r="A1343" s="16" t="str">
        <f t="shared" si="109"/>
        <v>43</v>
      </c>
      <c r="B1343" s="19">
        <v>69500</v>
      </c>
      <c r="C1343" s="16" t="str">
        <f t="shared" si="110"/>
        <v>0000000</v>
      </c>
      <c r="D1343" s="17" t="s">
        <v>3663</v>
      </c>
      <c r="E1343" s="16" t="s">
        <v>3598</v>
      </c>
      <c r="F1343" s="16" t="s">
        <v>3590</v>
      </c>
      <c r="G1343" s="35" t="s">
        <v>2801</v>
      </c>
      <c r="H1343" s="39">
        <v>403.65</v>
      </c>
      <c r="I1343" s="39">
        <v>401.65</v>
      </c>
      <c r="J1343" s="39">
        <v>402.63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</v>
      </c>
      <c r="AF1343" s="39">
        <v>0</v>
      </c>
      <c r="AG1343" s="39">
        <v>0</v>
      </c>
      <c r="AH1343" s="39">
        <v>0</v>
      </c>
      <c r="AI1343" s="39">
        <v>403.65</v>
      </c>
      <c r="AJ1343" s="39">
        <v>401.65</v>
      </c>
      <c r="AK1343" s="39">
        <v>402.63</v>
      </c>
      <c r="AL1343" s="39">
        <v>0</v>
      </c>
      <c r="AM1343" s="39">
        <v>0</v>
      </c>
      <c r="AN1343" s="39">
        <v>0</v>
      </c>
      <c r="AO1343" s="39">
        <v>403.65</v>
      </c>
      <c r="AP1343" s="39">
        <v>401.65</v>
      </c>
      <c r="AQ1343" s="39">
        <v>402.63</v>
      </c>
      <c r="AR1343" s="39">
        <v>403.65</v>
      </c>
    </row>
    <row r="1344" spans="1:44" x14ac:dyDescent="0.35">
      <c r="A1344" s="16" t="str">
        <f t="shared" si="109"/>
        <v>43</v>
      </c>
      <c r="B1344" s="19">
        <v>69518</v>
      </c>
      <c r="C1344" s="16" t="str">
        <f t="shared" si="110"/>
        <v>0000000</v>
      </c>
      <c r="D1344" s="17" t="s">
        <v>3663</v>
      </c>
      <c r="E1344" s="16" t="s">
        <v>3599</v>
      </c>
      <c r="F1344" s="16" t="s">
        <v>3590</v>
      </c>
      <c r="G1344" s="35" t="s">
        <v>2803</v>
      </c>
      <c r="H1344" s="39">
        <v>3250.65</v>
      </c>
      <c r="I1344" s="39">
        <v>3221.2</v>
      </c>
      <c r="J1344" s="39">
        <v>3201.1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</v>
      </c>
      <c r="AF1344" s="39">
        <v>0</v>
      </c>
      <c r="AG1344" s="39">
        <v>0</v>
      </c>
      <c r="AH1344" s="39">
        <v>0</v>
      </c>
      <c r="AI1344" s="39">
        <v>3250.65</v>
      </c>
      <c r="AJ1344" s="39">
        <v>3221.2</v>
      </c>
      <c r="AK1344" s="39">
        <v>3201.1</v>
      </c>
      <c r="AL1344" s="39">
        <v>0</v>
      </c>
      <c r="AM1344" s="39">
        <v>0</v>
      </c>
      <c r="AN1344" s="39">
        <v>0</v>
      </c>
      <c r="AO1344" s="39">
        <v>3250.65</v>
      </c>
      <c r="AP1344" s="39">
        <v>3221.2</v>
      </c>
      <c r="AQ1344" s="39">
        <v>3201.1</v>
      </c>
      <c r="AR1344" s="39">
        <v>3250.65</v>
      </c>
    </row>
    <row r="1345" spans="1:44" x14ac:dyDescent="0.35">
      <c r="A1345" s="16" t="str">
        <f t="shared" si="109"/>
        <v>43</v>
      </c>
      <c r="B1345" s="19">
        <v>69526</v>
      </c>
      <c r="C1345" s="16" t="str">
        <f t="shared" si="110"/>
        <v>0000000</v>
      </c>
      <c r="D1345" s="17" t="s">
        <v>3663</v>
      </c>
      <c r="E1345" s="16" t="s">
        <v>3600</v>
      </c>
      <c r="F1345" s="16" t="s">
        <v>3590</v>
      </c>
      <c r="G1345" s="35" t="s">
        <v>2805</v>
      </c>
      <c r="H1345" s="39">
        <v>2683.29</v>
      </c>
      <c r="I1345" s="39">
        <v>2594.61</v>
      </c>
      <c r="J1345" s="39">
        <v>2505.65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  <c r="AE1345" s="39">
        <v>0</v>
      </c>
      <c r="AF1345" s="39">
        <v>0</v>
      </c>
      <c r="AG1345" s="39">
        <v>0</v>
      </c>
      <c r="AH1345" s="39">
        <v>0</v>
      </c>
      <c r="AI1345" s="39">
        <v>2683.29</v>
      </c>
      <c r="AJ1345" s="39">
        <v>2594.61</v>
      </c>
      <c r="AK1345" s="39">
        <v>2505.65</v>
      </c>
      <c r="AL1345" s="39">
        <v>0</v>
      </c>
      <c r="AM1345" s="39">
        <v>0</v>
      </c>
      <c r="AN1345" s="39">
        <v>0</v>
      </c>
      <c r="AO1345" s="39">
        <v>2683.29</v>
      </c>
      <c r="AP1345" s="39">
        <v>2594.61</v>
      </c>
      <c r="AQ1345" s="39">
        <v>2505.65</v>
      </c>
      <c r="AR1345" s="39">
        <v>2683.29</v>
      </c>
    </row>
    <row r="1346" spans="1:44" x14ac:dyDescent="0.35">
      <c r="A1346" s="16" t="str">
        <f t="shared" si="109"/>
        <v>43</v>
      </c>
      <c r="B1346" s="19">
        <v>69534</v>
      </c>
      <c r="C1346" s="16" t="str">
        <f t="shared" si="110"/>
        <v>0000000</v>
      </c>
      <c r="D1346" s="17" t="s">
        <v>3663</v>
      </c>
      <c r="E1346" s="16" t="s">
        <v>3601</v>
      </c>
      <c r="F1346" s="16" t="s">
        <v>3590</v>
      </c>
      <c r="G1346" s="35" t="s">
        <v>2807</v>
      </c>
      <c r="H1346" s="39">
        <v>2907.79</v>
      </c>
      <c r="I1346" s="39">
        <v>3013.79</v>
      </c>
      <c r="J1346" s="39">
        <v>3068.1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0</v>
      </c>
      <c r="AB1346" s="39">
        <v>0</v>
      </c>
      <c r="AC1346" s="39">
        <v>0</v>
      </c>
      <c r="AD1346" s="39">
        <v>0</v>
      </c>
      <c r="AE1346" s="39">
        <v>0</v>
      </c>
      <c r="AF1346" s="39">
        <v>0</v>
      </c>
      <c r="AG1346" s="39">
        <v>0</v>
      </c>
      <c r="AH1346" s="39">
        <v>0</v>
      </c>
      <c r="AI1346" s="39">
        <v>2907.79</v>
      </c>
      <c r="AJ1346" s="39">
        <v>3013.79</v>
      </c>
      <c r="AK1346" s="39">
        <v>3068.1</v>
      </c>
      <c r="AL1346" s="39">
        <v>0</v>
      </c>
      <c r="AM1346" s="39">
        <v>0</v>
      </c>
      <c r="AN1346" s="39">
        <v>0</v>
      </c>
      <c r="AO1346" s="39">
        <v>2907.79</v>
      </c>
      <c r="AP1346" s="39">
        <v>3013.79</v>
      </c>
      <c r="AQ1346" s="39">
        <v>3068.1</v>
      </c>
      <c r="AR1346" s="39">
        <v>3068.1</v>
      </c>
    </row>
    <row r="1347" spans="1:44" x14ac:dyDescent="0.35">
      <c r="A1347" s="16" t="str">
        <f t="shared" si="109"/>
        <v>43</v>
      </c>
      <c r="B1347" s="19">
        <v>69542</v>
      </c>
      <c r="C1347" s="16" t="str">
        <f t="shared" si="110"/>
        <v>0000000</v>
      </c>
      <c r="D1347" s="17" t="s">
        <v>3663</v>
      </c>
      <c r="E1347" s="16" t="s">
        <v>3602</v>
      </c>
      <c r="F1347" s="16" t="s">
        <v>3590</v>
      </c>
      <c r="G1347" s="35" t="s">
        <v>2809</v>
      </c>
      <c r="H1347" s="39">
        <v>397.66</v>
      </c>
      <c r="I1347" s="39">
        <v>400.45</v>
      </c>
      <c r="J1347" s="39">
        <v>383.14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v>0</v>
      </c>
      <c r="AB1347" s="39">
        <v>0</v>
      </c>
      <c r="AC1347" s="39">
        <v>0</v>
      </c>
      <c r="AD1347" s="39">
        <v>0</v>
      </c>
      <c r="AE1347" s="39">
        <v>0</v>
      </c>
      <c r="AF1347" s="39">
        <v>0</v>
      </c>
      <c r="AG1347" s="39">
        <v>0</v>
      </c>
      <c r="AH1347" s="39">
        <v>0</v>
      </c>
      <c r="AI1347" s="39">
        <v>397.66</v>
      </c>
      <c r="AJ1347" s="39">
        <v>400.45</v>
      </c>
      <c r="AK1347" s="39">
        <v>383.14</v>
      </c>
      <c r="AL1347" s="39">
        <v>0</v>
      </c>
      <c r="AM1347" s="39">
        <v>0</v>
      </c>
      <c r="AN1347" s="39">
        <v>0</v>
      </c>
      <c r="AO1347" s="39">
        <v>397.66</v>
      </c>
      <c r="AP1347" s="39">
        <v>400.45</v>
      </c>
      <c r="AQ1347" s="39">
        <v>383.14</v>
      </c>
      <c r="AR1347" s="39">
        <v>400.45</v>
      </c>
    </row>
    <row r="1348" spans="1:44" x14ac:dyDescent="0.35">
      <c r="A1348" s="16" t="str">
        <f t="shared" si="109"/>
        <v>43</v>
      </c>
      <c r="B1348" s="19">
        <v>69575</v>
      </c>
      <c r="C1348" s="16" t="str">
        <f t="shared" si="110"/>
        <v>0000000</v>
      </c>
      <c r="D1348" s="17" t="s">
        <v>3663</v>
      </c>
      <c r="E1348" s="16" t="s">
        <v>3603</v>
      </c>
      <c r="F1348" s="16" t="s">
        <v>3590</v>
      </c>
      <c r="G1348" s="35" t="s">
        <v>2811</v>
      </c>
      <c r="H1348" s="39">
        <v>3616.22</v>
      </c>
      <c r="I1348" s="39">
        <v>3689.64</v>
      </c>
      <c r="J1348" s="39">
        <v>3710.28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0</v>
      </c>
      <c r="AD1348" s="39">
        <v>0</v>
      </c>
      <c r="AE1348" s="39">
        <v>0</v>
      </c>
      <c r="AF1348" s="39">
        <v>0</v>
      </c>
      <c r="AG1348" s="39">
        <v>0</v>
      </c>
      <c r="AH1348" s="39">
        <v>0</v>
      </c>
      <c r="AI1348" s="39">
        <v>3616.22</v>
      </c>
      <c r="AJ1348" s="39">
        <v>3689.64</v>
      </c>
      <c r="AK1348" s="39">
        <v>3710.28</v>
      </c>
      <c r="AL1348" s="39">
        <v>0</v>
      </c>
      <c r="AM1348" s="39">
        <v>0</v>
      </c>
      <c r="AN1348" s="39">
        <v>0</v>
      </c>
      <c r="AO1348" s="39">
        <v>3616.22</v>
      </c>
      <c r="AP1348" s="39">
        <v>3689.64</v>
      </c>
      <c r="AQ1348" s="39">
        <v>3710.28</v>
      </c>
      <c r="AR1348" s="39">
        <v>3710.28</v>
      </c>
    </row>
    <row r="1349" spans="1:44" x14ac:dyDescent="0.35">
      <c r="A1349" s="16" t="str">
        <f t="shared" si="109"/>
        <v>43</v>
      </c>
      <c r="B1349" s="19">
        <v>69591</v>
      </c>
      <c r="C1349" s="16" t="str">
        <f t="shared" si="110"/>
        <v>0000000</v>
      </c>
      <c r="D1349" s="17" t="s">
        <v>3663</v>
      </c>
      <c r="E1349" s="16" t="s">
        <v>3604</v>
      </c>
      <c r="F1349" s="16" t="s">
        <v>3590</v>
      </c>
      <c r="G1349" s="35" t="s">
        <v>2818</v>
      </c>
      <c r="H1349" s="39">
        <v>4428.1400000000003</v>
      </c>
      <c r="I1349" s="39">
        <v>4361.57</v>
      </c>
      <c r="J1349" s="39">
        <v>4264.67</v>
      </c>
      <c r="K1349" s="39">
        <v>0</v>
      </c>
      <c r="L1349" s="39">
        <v>0</v>
      </c>
      <c r="M1349" s="39">
        <v>0</v>
      </c>
      <c r="N1349" s="39">
        <v>0</v>
      </c>
      <c r="O1349" s="39">
        <v>0</v>
      </c>
      <c r="P1349" s="39">
        <v>0</v>
      </c>
      <c r="Q1349" s="39">
        <v>0</v>
      </c>
      <c r="R1349" s="39">
        <v>0</v>
      </c>
      <c r="S1349" s="39">
        <v>0</v>
      </c>
      <c r="T1349" s="39">
        <v>0</v>
      </c>
      <c r="U1349" s="39">
        <v>0</v>
      </c>
      <c r="V1349" s="39">
        <v>0</v>
      </c>
      <c r="W1349" s="39">
        <v>0</v>
      </c>
      <c r="X1349" s="39">
        <v>0</v>
      </c>
      <c r="Y1349" s="39">
        <v>0</v>
      </c>
      <c r="Z1349" s="39">
        <v>0</v>
      </c>
      <c r="AA1349" s="39">
        <v>0</v>
      </c>
      <c r="AB1349" s="39">
        <v>0</v>
      </c>
      <c r="AC1349" s="39">
        <v>0</v>
      </c>
      <c r="AD1349" s="39">
        <v>0</v>
      </c>
      <c r="AE1349" s="39">
        <v>0</v>
      </c>
      <c r="AF1349" s="39">
        <v>0</v>
      </c>
      <c r="AG1349" s="39">
        <v>0</v>
      </c>
      <c r="AH1349" s="39">
        <v>0</v>
      </c>
      <c r="AI1349" s="39">
        <v>4428.1400000000003</v>
      </c>
      <c r="AJ1349" s="39">
        <v>4361.57</v>
      </c>
      <c r="AK1349" s="39">
        <v>4264.67</v>
      </c>
      <c r="AL1349" s="39">
        <v>0</v>
      </c>
      <c r="AM1349" s="39">
        <v>0</v>
      </c>
      <c r="AN1349" s="39">
        <v>0</v>
      </c>
      <c r="AO1349" s="39">
        <v>4428.1400000000003</v>
      </c>
      <c r="AP1349" s="39">
        <v>4361.57</v>
      </c>
      <c r="AQ1349" s="39">
        <v>4264.67</v>
      </c>
      <c r="AR1349" s="39">
        <v>4428.1400000000003</v>
      </c>
    </row>
    <row r="1350" spans="1:44" x14ac:dyDescent="0.35">
      <c r="A1350" s="16" t="str">
        <f t="shared" si="109"/>
        <v>43</v>
      </c>
      <c r="B1350" s="19">
        <v>69609</v>
      </c>
      <c r="C1350" s="16" t="str">
        <f t="shared" si="110"/>
        <v>0000000</v>
      </c>
      <c r="D1350" s="17" t="s">
        <v>3663</v>
      </c>
      <c r="E1350" s="16" t="s">
        <v>3605</v>
      </c>
      <c r="F1350" s="16" t="s">
        <v>3590</v>
      </c>
      <c r="G1350" s="35" t="s">
        <v>2820</v>
      </c>
      <c r="H1350" s="39">
        <v>4239.75</v>
      </c>
      <c r="I1350" s="39">
        <v>4047.81</v>
      </c>
      <c r="J1350" s="39">
        <v>4066.63</v>
      </c>
      <c r="K1350" s="39">
        <v>0</v>
      </c>
      <c r="L1350" s="39">
        <v>0</v>
      </c>
      <c r="M1350" s="39">
        <v>0</v>
      </c>
      <c r="N1350" s="39">
        <v>0</v>
      </c>
      <c r="O1350" s="39">
        <v>0</v>
      </c>
      <c r="P1350" s="39">
        <v>0</v>
      </c>
      <c r="Q1350" s="39">
        <v>0</v>
      </c>
      <c r="R1350" s="39">
        <v>0</v>
      </c>
      <c r="S1350" s="39">
        <v>0</v>
      </c>
      <c r="T1350" s="39">
        <v>0</v>
      </c>
      <c r="U1350" s="39">
        <v>0</v>
      </c>
      <c r="V1350" s="39">
        <v>0</v>
      </c>
      <c r="W1350" s="39">
        <v>0</v>
      </c>
      <c r="X1350" s="39">
        <v>0</v>
      </c>
      <c r="Y1350" s="39">
        <v>0</v>
      </c>
      <c r="Z1350" s="39">
        <v>0</v>
      </c>
      <c r="AA1350" s="39">
        <v>0</v>
      </c>
      <c r="AB1350" s="39">
        <v>0</v>
      </c>
      <c r="AC1350" s="39">
        <v>0</v>
      </c>
      <c r="AD1350" s="39">
        <v>0</v>
      </c>
      <c r="AE1350" s="39">
        <v>0</v>
      </c>
      <c r="AF1350" s="39">
        <v>0</v>
      </c>
      <c r="AG1350" s="39">
        <v>0</v>
      </c>
      <c r="AH1350" s="39">
        <v>0</v>
      </c>
      <c r="AI1350" s="39">
        <v>4239.75</v>
      </c>
      <c r="AJ1350" s="39">
        <v>4047.81</v>
      </c>
      <c r="AK1350" s="39">
        <v>4066.63</v>
      </c>
      <c r="AL1350" s="39">
        <v>0</v>
      </c>
      <c r="AM1350" s="39">
        <v>0</v>
      </c>
      <c r="AN1350" s="39">
        <v>0</v>
      </c>
      <c r="AO1350" s="39">
        <v>4239.75</v>
      </c>
      <c r="AP1350" s="39">
        <v>4047.81</v>
      </c>
      <c r="AQ1350" s="39">
        <v>4066.63</v>
      </c>
      <c r="AR1350" s="39">
        <v>4239.75</v>
      </c>
    </row>
    <row r="1351" spans="1:44" x14ac:dyDescent="0.35">
      <c r="A1351" s="16" t="str">
        <f t="shared" si="109"/>
        <v>43</v>
      </c>
      <c r="B1351" s="19">
        <v>69641</v>
      </c>
      <c r="C1351" s="16" t="str">
        <f t="shared" si="110"/>
        <v>0000000</v>
      </c>
      <c r="D1351" s="17" t="s">
        <v>3663</v>
      </c>
      <c r="E1351" s="16" t="s">
        <v>3608</v>
      </c>
      <c r="F1351" s="16" t="s">
        <v>3590</v>
      </c>
      <c r="G1351" s="35" t="s">
        <v>2826</v>
      </c>
      <c r="H1351" s="39">
        <v>9233.6299999999992</v>
      </c>
      <c r="I1351" s="39">
        <v>9276.8700000000008</v>
      </c>
      <c r="J1351" s="39">
        <v>9285.52</v>
      </c>
      <c r="K1351" s="39">
        <v>0</v>
      </c>
      <c r="L1351" s="39">
        <v>0</v>
      </c>
      <c r="M1351" s="39">
        <v>0</v>
      </c>
      <c r="N1351" s="39">
        <v>483.4</v>
      </c>
      <c r="O1351" s="39">
        <v>498.29</v>
      </c>
      <c r="P1351" s="39">
        <v>456.63</v>
      </c>
      <c r="Q1351" s="39">
        <v>0</v>
      </c>
      <c r="R1351" s="39">
        <v>0</v>
      </c>
      <c r="S1351" s="39">
        <v>0</v>
      </c>
      <c r="T1351" s="39">
        <v>0</v>
      </c>
      <c r="U1351" s="39">
        <v>0</v>
      </c>
      <c r="V1351" s="39">
        <v>0</v>
      </c>
      <c r="W1351" s="39">
        <v>0</v>
      </c>
      <c r="X1351" s="39">
        <v>0</v>
      </c>
      <c r="Y1351" s="39">
        <v>0</v>
      </c>
      <c r="Z1351" s="39">
        <v>0</v>
      </c>
      <c r="AA1351" s="39">
        <v>0</v>
      </c>
      <c r="AB1351" s="39">
        <v>0</v>
      </c>
      <c r="AC1351" s="39">
        <v>0</v>
      </c>
      <c r="AD1351" s="39">
        <v>0</v>
      </c>
      <c r="AE1351" s="39">
        <v>0</v>
      </c>
      <c r="AF1351" s="39">
        <v>0</v>
      </c>
      <c r="AG1351" s="39">
        <v>0</v>
      </c>
      <c r="AH1351" s="39">
        <v>0</v>
      </c>
      <c r="AI1351" s="39">
        <v>9717.0300000000007</v>
      </c>
      <c r="AJ1351" s="39">
        <v>9775.16</v>
      </c>
      <c r="AK1351" s="39">
        <v>9742.15</v>
      </c>
      <c r="AL1351" s="39">
        <v>0</v>
      </c>
      <c r="AM1351" s="39">
        <v>0</v>
      </c>
      <c r="AN1351" s="39">
        <v>0</v>
      </c>
      <c r="AO1351" s="39">
        <v>9717.0300000000007</v>
      </c>
      <c r="AP1351" s="39">
        <v>9775.16</v>
      </c>
      <c r="AQ1351" s="39">
        <v>9742.15</v>
      </c>
      <c r="AR1351" s="39">
        <v>9775.16</v>
      </c>
    </row>
    <row r="1352" spans="1:44" x14ac:dyDescent="0.35">
      <c r="A1352" s="16" t="str">
        <f t="shared" si="109"/>
        <v>43</v>
      </c>
      <c r="B1352" s="19">
        <v>69666</v>
      </c>
      <c r="C1352" s="16" t="str">
        <f t="shared" si="110"/>
        <v>0000000</v>
      </c>
      <c r="D1352" s="17" t="s">
        <v>3663</v>
      </c>
      <c r="E1352" s="16" t="s">
        <v>3609</v>
      </c>
      <c r="F1352" s="16" t="s">
        <v>3590</v>
      </c>
      <c r="G1352" s="35" t="s">
        <v>2828</v>
      </c>
      <c r="H1352" s="39">
        <v>22511.84</v>
      </c>
      <c r="I1352" s="39">
        <v>22846.59</v>
      </c>
      <c r="J1352" s="39">
        <v>23138.27</v>
      </c>
      <c r="K1352" s="39">
        <v>0</v>
      </c>
      <c r="L1352" s="39">
        <v>0</v>
      </c>
      <c r="M1352" s="39">
        <v>0</v>
      </c>
      <c r="N1352" s="39">
        <v>0</v>
      </c>
      <c r="O1352" s="39">
        <v>0</v>
      </c>
      <c r="P1352" s="39">
        <v>0</v>
      </c>
      <c r="Q1352" s="39">
        <v>0</v>
      </c>
      <c r="R1352" s="39">
        <v>0</v>
      </c>
      <c r="S1352" s="39">
        <v>0</v>
      </c>
      <c r="T1352" s="39">
        <v>0</v>
      </c>
      <c r="U1352" s="39">
        <v>0</v>
      </c>
      <c r="V1352" s="39">
        <v>0</v>
      </c>
      <c r="W1352" s="39">
        <v>0</v>
      </c>
      <c r="X1352" s="39">
        <v>0</v>
      </c>
      <c r="Y1352" s="39">
        <v>0</v>
      </c>
      <c r="Z1352" s="39">
        <v>0</v>
      </c>
      <c r="AA1352" s="39">
        <v>0</v>
      </c>
      <c r="AB1352" s="39">
        <v>0</v>
      </c>
      <c r="AC1352" s="39">
        <v>0</v>
      </c>
      <c r="AD1352" s="39">
        <v>0</v>
      </c>
      <c r="AE1352" s="39">
        <v>0</v>
      </c>
      <c r="AF1352" s="39">
        <v>0</v>
      </c>
      <c r="AG1352" s="39">
        <v>0</v>
      </c>
      <c r="AH1352" s="39">
        <v>0</v>
      </c>
      <c r="AI1352" s="39">
        <v>22511.84</v>
      </c>
      <c r="AJ1352" s="39">
        <v>22846.59</v>
      </c>
      <c r="AK1352" s="39">
        <v>23138.27</v>
      </c>
      <c r="AL1352" s="39">
        <v>0</v>
      </c>
      <c r="AM1352" s="39">
        <v>0</v>
      </c>
      <c r="AN1352" s="39">
        <v>0</v>
      </c>
      <c r="AO1352" s="39">
        <v>22511.84</v>
      </c>
      <c r="AP1352" s="39">
        <v>22846.59</v>
      </c>
      <c r="AQ1352" s="39">
        <v>23138.27</v>
      </c>
      <c r="AR1352" s="39">
        <v>23138.27</v>
      </c>
    </row>
    <row r="1353" spans="1:44" x14ac:dyDescent="0.35">
      <c r="A1353" s="16" t="str">
        <f t="shared" si="109"/>
        <v>43</v>
      </c>
      <c r="B1353" s="19">
        <v>69674</v>
      </c>
      <c r="C1353" s="16" t="str">
        <f t="shared" si="110"/>
        <v>0000000</v>
      </c>
      <c r="D1353" s="17" t="s">
        <v>3663</v>
      </c>
      <c r="E1353" s="16" t="s">
        <v>3610</v>
      </c>
      <c r="F1353" s="16" t="s">
        <v>3590</v>
      </c>
      <c r="G1353" s="35" t="s">
        <v>2837</v>
      </c>
      <c r="H1353" s="39">
        <v>13622.41</v>
      </c>
      <c r="I1353" s="39">
        <v>13456.14</v>
      </c>
      <c r="J1353" s="39">
        <v>13036.48</v>
      </c>
      <c r="K1353" s="39">
        <v>0</v>
      </c>
      <c r="L1353" s="39">
        <v>0</v>
      </c>
      <c r="M1353" s="39">
        <v>0</v>
      </c>
      <c r="N1353" s="39">
        <v>0</v>
      </c>
      <c r="O1353" s="39">
        <v>0</v>
      </c>
      <c r="P1353" s="39">
        <v>0</v>
      </c>
      <c r="Q1353" s="39">
        <v>0</v>
      </c>
      <c r="R1353" s="39">
        <v>0</v>
      </c>
      <c r="S1353" s="39">
        <v>0</v>
      </c>
      <c r="T1353" s="39">
        <v>0</v>
      </c>
      <c r="U1353" s="39">
        <v>0</v>
      </c>
      <c r="V1353" s="39">
        <v>0</v>
      </c>
      <c r="W1353" s="39">
        <v>0</v>
      </c>
      <c r="X1353" s="39">
        <v>0</v>
      </c>
      <c r="Y1353" s="39">
        <v>0</v>
      </c>
      <c r="Z1353" s="39">
        <v>0</v>
      </c>
      <c r="AA1353" s="39">
        <v>0</v>
      </c>
      <c r="AB1353" s="39">
        <v>0</v>
      </c>
      <c r="AC1353" s="39">
        <v>0</v>
      </c>
      <c r="AD1353" s="39">
        <v>0</v>
      </c>
      <c r="AE1353" s="39">
        <v>0</v>
      </c>
      <c r="AF1353" s="39">
        <v>0</v>
      </c>
      <c r="AG1353" s="39">
        <v>0</v>
      </c>
      <c r="AH1353" s="39">
        <v>0</v>
      </c>
      <c r="AI1353" s="39">
        <v>13622.41</v>
      </c>
      <c r="AJ1353" s="39">
        <v>13456.14</v>
      </c>
      <c r="AK1353" s="39">
        <v>13036.48</v>
      </c>
      <c r="AL1353" s="39">
        <v>0</v>
      </c>
      <c r="AM1353" s="39">
        <v>0</v>
      </c>
      <c r="AN1353" s="39">
        <v>0</v>
      </c>
      <c r="AO1353" s="39">
        <v>13622.41</v>
      </c>
      <c r="AP1353" s="39">
        <v>13456.14</v>
      </c>
      <c r="AQ1353" s="39">
        <v>13036.48</v>
      </c>
      <c r="AR1353" s="39">
        <v>13622.41</v>
      </c>
    </row>
    <row r="1354" spans="1:44" x14ac:dyDescent="0.35">
      <c r="A1354" s="16" t="str">
        <f t="shared" si="109"/>
        <v>43</v>
      </c>
      <c r="B1354" s="19">
        <v>69682</v>
      </c>
      <c r="C1354" s="16" t="str">
        <f t="shared" si="110"/>
        <v>0000000</v>
      </c>
      <c r="D1354" s="17" t="s">
        <v>3663</v>
      </c>
      <c r="E1354" s="16" t="s">
        <v>3611</v>
      </c>
      <c r="F1354" s="16" t="s">
        <v>3590</v>
      </c>
      <c r="G1354" s="35" t="s">
        <v>2839</v>
      </c>
      <c r="H1354" s="39">
        <v>1592.83</v>
      </c>
      <c r="I1354" s="39">
        <v>1550.05</v>
      </c>
      <c r="J1354" s="39">
        <v>1571.81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  <c r="W1354" s="39">
        <v>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  <c r="AE1354" s="39">
        <v>0</v>
      </c>
      <c r="AF1354" s="39">
        <v>0</v>
      </c>
      <c r="AG1354" s="39">
        <v>0</v>
      </c>
      <c r="AH1354" s="39">
        <v>0</v>
      </c>
      <c r="AI1354" s="39">
        <v>1592.83</v>
      </c>
      <c r="AJ1354" s="39">
        <v>1550.05</v>
      </c>
      <c r="AK1354" s="39">
        <v>1571.81</v>
      </c>
      <c r="AL1354" s="39">
        <v>0</v>
      </c>
      <c r="AM1354" s="39">
        <v>0</v>
      </c>
      <c r="AN1354" s="39">
        <v>0</v>
      </c>
      <c r="AO1354" s="39">
        <v>1592.83</v>
      </c>
      <c r="AP1354" s="39">
        <v>1550.05</v>
      </c>
      <c r="AQ1354" s="39">
        <v>1571.81</v>
      </c>
      <c r="AR1354" s="39">
        <v>1592.83</v>
      </c>
    </row>
    <row r="1355" spans="1:44" x14ac:dyDescent="0.35">
      <c r="A1355" s="16" t="str">
        <f t="shared" si="109"/>
        <v>43</v>
      </c>
      <c r="B1355" s="19">
        <v>69690</v>
      </c>
      <c r="C1355" s="16" t="str">
        <f t="shared" si="110"/>
        <v>0000000</v>
      </c>
      <c r="D1355" s="17" t="s">
        <v>3663</v>
      </c>
      <c r="E1355" s="16" t="s">
        <v>3612</v>
      </c>
      <c r="F1355" s="16" t="s">
        <v>3590</v>
      </c>
      <c r="G1355" s="35" t="s">
        <v>2841</v>
      </c>
      <c r="H1355" s="39">
        <v>5491.02</v>
      </c>
      <c r="I1355" s="39">
        <v>5330.88</v>
      </c>
      <c r="J1355" s="39">
        <v>5158.74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  <c r="AE1355" s="39">
        <v>0</v>
      </c>
      <c r="AF1355" s="39">
        <v>0</v>
      </c>
      <c r="AG1355" s="39">
        <v>0</v>
      </c>
      <c r="AH1355" s="39">
        <v>0</v>
      </c>
      <c r="AI1355" s="39">
        <v>5491.02</v>
      </c>
      <c r="AJ1355" s="39">
        <v>5330.88</v>
      </c>
      <c r="AK1355" s="39">
        <v>5158.74</v>
      </c>
      <c r="AL1355" s="39">
        <v>0</v>
      </c>
      <c r="AM1355" s="39">
        <v>0</v>
      </c>
      <c r="AN1355" s="39">
        <v>0</v>
      </c>
      <c r="AO1355" s="39">
        <v>5491.02</v>
      </c>
      <c r="AP1355" s="39">
        <v>5330.88</v>
      </c>
      <c r="AQ1355" s="39">
        <v>5158.74</v>
      </c>
      <c r="AR1355" s="39">
        <v>5491.02</v>
      </c>
    </row>
    <row r="1356" spans="1:44" x14ac:dyDescent="0.35">
      <c r="A1356" s="16" t="str">
        <f t="shared" si="109"/>
        <v>43</v>
      </c>
      <c r="B1356" s="19">
        <v>69708</v>
      </c>
      <c r="C1356" s="16" t="str">
        <f t="shared" si="110"/>
        <v>0000000</v>
      </c>
      <c r="D1356" s="17" t="s">
        <v>3663</v>
      </c>
      <c r="E1356" s="16" t="s">
        <v>3613</v>
      </c>
      <c r="F1356" s="16" t="s">
        <v>3590</v>
      </c>
      <c r="G1356" s="35" t="s">
        <v>2843</v>
      </c>
      <c r="H1356" s="39">
        <v>5193.07</v>
      </c>
      <c r="I1356" s="39">
        <v>5178</v>
      </c>
      <c r="J1356" s="39">
        <v>5129.33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  <c r="W1356" s="39">
        <v>0</v>
      </c>
      <c r="X1356" s="39">
        <v>0</v>
      </c>
      <c r="Y1356" s="39">
        <v>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  <c r="AE1356" s="39">
        <v>0</v>
      </c>
      <c r="AF1356" s="39">
        <v>0</v>
      </c>
      <c r="AG1356" s="39">
        <v>0</v>
      </c>
      <c r="AH1356" s="39">
        <v>0</v>
      </c>
      <c r="AI1356" s="39">
        <v>5193.07</v>
      </c>
      <c r="AJ1356" s="39">
        <v>5178</v>
      </c>
      <c r="AK1356" s="39">
        <v>5129.33</v>
      </c>
      <c r="AL1356" s="39">
        <v>0</v>
      </c>
      <c r="AM1356" s="39">
        <v>0</v>
      </c>
      <c r="AN1356" s="39">
        <v>0</v>
      </c>
      <c r="AO1356" s="39">
        <v>5193.07</v>
      </c>
      <c r="AP1356" s="39">
        <v>5178</v>
      </c>
      <c r="AQ1356" s="39">
        <v>5129.33</v>
      </c>
      <c r="AR1356" s="39">
        <v>5193.07</v>
      </c>
    </row>
    <row r="1357" spans="1:44" x14ac:dyDescent="0.35">
      <c r="A1357" s="16" t="str">
        <f t="shared" ref="A1357:A1371" si="111">TEXT(29,"00")</f>
        <v>29</v>
      </c>
      <c r="B1357" s="19">
        <v>10298</v>
      </c>
      <c r="C1357" s="16" t="str">
        <f t="shared" si="110"/>
        <v>0000000</v>
      </c>
      <c r="D1357" s="17" t="s">
        <v>3663</v>
      </c>
      <c r="E1357" s="16" t="s">
        <v>1457</v>
      </c>
      <c r="F1357" s="16" t="s">
        <v>1458</v>
      </c>
      <c r="G1357" s="35" t="s">
        <v>1458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2.52</v>
      </c>
      <c r="U1357" s="39">
        <v>5.79</v>
      </c>
      <c r="V1357" s="39">
        <v>7.38</v>
      </c>
      <c r="W1357" s="39">
        <v>50.83</v>
      </c>
      <c r="X1357" s="39">
        <v>60.23</v>
      </c>
      <c r="Y1357" s="39">
        <v>55.41</v>
      </c>
      <c r="Z1357" s="39">
        <v>403.99</v>
      </c>
      <c r="AA1357" s="39">
        <v>455.24</v>
      </c>
      <c r="AB1357" s="39">
        <v>328.16</v>
      </c>
      <c r="AC1357" s="39">
        <v>0</v>
      </c>
      <c r="AD1357" s="39">
        <v>0</v>
      </c>
      <c r="AE1357" s="39">
        <v>0</v>
      </c>
      <c r="AF1357" s="39">
        <v>0</v>
      </c>
      <c r="AG1357" s="39">
        <v>0</v>
      </c>
      <c r="AH1357" s="39">
        <v>0</v>
      </c>
      <c r="AI1357" s="39">
        <v>457.34</v>
      </c>
      <c r="AJ1357" s="39">
        <v>521.26</v>
      </c>
      <c r="AK1357" s="39">
        <v>390.95</v>
      </c>
      <c r="AL1357" s="39">
        <v>0</v>
      </c>
      <c r="AM1357" s="39">
        <v>0</v>
      </c>
      <c r="AN1357" s="39">
        <v>0</v>
      </c>
      <c r="AO1357" s="39">
        <v>457.34</v>
      </c>
      <c r="AP1357" s="39">
        <v>521.26</v>
      </c>
      <c r="AQ1357" s="39">
        <v>390.95</v>
      </c>
      <c r="AR1357" s="39">
        <v>521.26</v>
      </c>
    </row>
    <row r="1358" spans="1:44" x14ac:dyDescent="0.35">
      <c r="A1358" s="16" t="str">
        <f t="shared" si="111"/>
        <v>29</v>
      </c>
      <c r="B1358" s="19">
        <v>66332</v>
      </c>
      <c r="C1358" s="16" t="str">
        <f t="shared" si="110"/>
        <v>0000000</v>
      </c>
      <c r="D1358" s="17" t="s">
        <v>3663</v>
      </c>
      <c r="E1358" s="16" t="s">
        <v>1476</v>
      </c>
      <c r="F1358" s="16" t="s">
        <v>1458</v>
      </c>
      <c r="G1358" s="35" t="s">
        <v>1477</v>
      </c>
      <c r="H1358" s="39">
        <v>975.13</v>
      </c>
      <c r="I1358" s="39">
        <v>947.56</v>
      </c>
      <c r="J1358" s="39">
        <v>955.56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518.53</v>
      </c>
      <c r="AD1358" s="39">
        <v>493.41</v>
      </c>
      <c r="AE1358" s="39">
        <v>486.56</v>
      </c>
      <c r="AF1358" s="39">
        <v>0</v>
      </c>
      <c r="AG1358" s="39">
        <v>0</v>
      </c>
      <c r="AH1358" s="39">
        <v>0</v>
      </c>
      <c r="AI1358" s="39">
        <v>1493.66</v>
      </c>
      <c r="AJ1358" s="39">
        <v>1440.97</v>
      </c>
      <c r="AK1358" s="39">
        <v>1442.12</v>
      </c>
      <c r="AL1358" s="39">
        <v>0</v>
      </c>
      <c r="AM1358" s="39">
        <v>0</v>
      </c>
      <c r="AN1358" s="39">
        <v>0</v>
      </c>
      <c r="AO1358" s="39">
        <v>1493.66</v>
      </c>
      <c r="AP1358" s="39">
        <v>1440.97</v>
      </c>
      <c r="AQ1358" s="39">
        <v>1442.12</v>
      </c>
      <c r="AR1358" s="39">
        <v>1493.66</v>
      </c>
    </row>
    <row r="1359" spans="1:44" x14ac:dyDescent="0.35">
      <c r="A1359" s="16" t="str">
        <f t="shared" si="111"/>
        <v>29</v>
      </c>
      <c r="B1359" s="19">
        <v>66340</v>
      </c>
      <c r="C1359" s="16" t="str">
        <f t="shared" si="110"/>
        <v>0000000</v>
      </c>
      <c r="D1359" s="17" t="s">
        <v>3663</v>
      </c>
      <c r="E1359" s="16" t="s">
        <v>1478</v>
      </c>
      <c r="F1359" s="16" t="s">
        <v>1458</v>
      </c>
      <c r="G1359" s="35" t="s">
        <v>1479</v>
      </c>
      <c r="H1359" s="39">
        <v>617.29</v>
      </c>
      <c r="I1359" s="39">
        <v>626.13</v>
      </c>
      <c r="J1359" s="39">
        <v>592.12</v>
      </c>
      <c r="K1359" s="39">
        <v>0</v>
      </c>
      <c r="L1359" s="39">
        <v>0</v>
      </c>
      <c r="M1359" s="39">
        <v>0</v>
      </c>
      <c r="N1359" s="39">
        <v>34.44</v>
      </c>
      <c r="O1359" s="39">
        <v>32.83</v>
      </c>
      <c r="P1359" s="39">
        <v>38.520000000000003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0</v>
      </c>
      <c r="AC1359" s="39">
        <v>0</v>
      </c>
      <c r="AD1359" s="39">
        <v>0</v>
      </c>
      <c r="AE1359" s="39">
        <v>0</v>
      </c>
      <c r="AF1359" s="39">
        <v>0</v>
      </c>
      <c r="AG1359" s="39">
        <v>0</v>
      </c>
      <c r="AH1359" s="39">
        <v>0</v>
      </c>
      <c r="AI1359" s="39">
        <v>651.73</v>
      </c>
      <c r="AJ1359" s="39">
        <v>658.96</v>
      </c>
      <c r="AK1359" s="39">
        <v>630.64</v>
      </c>
      <c r="AL1359" s="39">
        <v>0</v>
      </c>
      <c r="AM1359" s="39">
        <v>0</v>
      </c>
      <c r="AN1359" s="39">
        <v>0</v>
      </c>
      <c r="AO1359" s="39">
        <v>651.73</v>
      </c>
      <c r="AP1359" s="39">
        <v>658.96</v>
      </c>
      <c r="AQ1359" s="39">
        <v>630.64</v>
      </c>
      <c r="AR1359" s="39">
        <v>658.96</v>
      </c>
    </row>
    <row r="1360" spans="1:44" x14ac:dyDescent="0.35">
      <c r="A1360" s="16" t="str">
        <f t="shared" si="111"/>
        <v>29</v>
      </c>
      <c r="B1360" s="19">
        <v>66373</v>
      </c>
      <c r="C1360" s="16" t="str">
        <f t="shared" si="110"/>
        <v>0000000</v>
      </c>
      <c r="D1360" s="17" t="s">
        <v>3663</v>
      </c>
      <c r="E1360" s="16" t="s">
        <v>1484</v>
      </c>
      <c r="F1360" s="16" t="s">
        <v>1458</v>
      </c>
      <c r="G1360" s="35" t="s">
        <v>1485</v>
      </c>
      <c r="H1360" s="39">
        <v>1156.5999999999999</v>
      </c>
      <c r="I1360" s="39">
        <v>1114.8</v>
      </c>
      <c r="J1360" s="39">
        <v>1053.04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212.92</v>
      </c>
      <c r="AD1360" s="39">
        <v>244.39</v>
      </c>
      <c r="AE1360" s="39">
        <v>245.66</v>
      </c>
      <c r="AF1360" s="39">
        <v>0</v>
      </c>
      <c r="AG1360" s="39">
        <v>0</v>
      </c>
      <c r="AH1360" s="39">
        <v>0</v>
      </c>
      <c r="AI1360" s="39">
        <v>1369.52</v>
      </c>
      <c r="AJ1360" s="39">
        <v>1359.19</v>
      </c>
      <c r="AK1360" s="39">
        <v>1298.7</v>
      </c>
      <c r="AL1360" s="39">
        <v>0</v>
      </c>
      <c r="AM1360" s="39">
        <v>0</v>
      </c>
      <c r="AN1360" s="39">
        <v>0</v>
      </c>
      <c r="AO1360" s="39">
        <v>1369.52</v>
      </c>
      <c r="AP1360" s="39">
        <v>1359.19</v>
      </c>
      <c r="AQ1360" s="39">
        <v>1298.7</v>
      </c>
      <c r="AR1360" s="39">
        <v>1369.52</v>
      </c>
    </row>
    <row r="1361" spans="1:44" x14ac:dyDescent="0.35">
      <c r="A1361" s="16" t="str">
        <f t="shared" si="111"/>
        <v>29</v>
      </c>
      <c r="B1361" s="19">
        <v>66407</v>
      </c>
      <c r="C1361" s="16" t="str">
        <f t="shared" si="110"/>
        <v>0000000</v>
      </c>
      <c r="D1361" s="17" t="s">
        <v>3663</v>
      </c>
      <c r="E1361" s="16" t="s">
        <v>1486</v>
      </c>
      <c r="F1361" s="16" t="s">
        <v>1458</v>
      </c>
      <c r="G1361" s="35" t="s">
        <v>1487</v>
      </c>
      <c r="H1361" s="39">
        <v>137.11000000000001</v>
      </c>
      <c r="I1361" s="39">
        <v>135.33000000000001</v>
      </c>
      <c r="J1361" s="39">
        <v>127.15</v>
      </c>
      <c r="K1361" s="39">
        <v>0</v>
      </c>
      <c r="L1361" s="39">
        <v>0</v>
      </c>
      <c r="M1361" s="39">
        <v>0</v>
      </c>
      <c r="N1361" s="39">
        <v>0</v>
      </c>
      <c r="O1361" s="39">
        <v>0</v>
      </c>
      <c r="P1361" s="39">
        <v>0</v>
      </c>
      <c r="Q1361" s="39">
        <v>0</v>
      </c>
      <c r="R1361" s="39">
        <v>0</v>
      </c>
      <c r="S1361" s="39">
        <v>0</v>
      </c>
      <c r="T1361" s="39">
        <v>0</v>
      </c>
      <c r="U1361" s="39">
        <v>0</v>
      </c>
      <c r="V1361" s="39">
        <v>0</v>
      </c>
      <c r="W1361" s="39">
        <v>0</v>
      </c>
      <c r="X1361" s="39">
        <v>0</v>
      </c>
      <c r="Y1361" s="39">
        <v>0</v>
      </c>
      <c r="Z1361" s="39">
        <v>0</v>
      </c>
      <c r="AA1361" s="39">
        <v>0</v>
      </c>
      <c r="AB1361" s="39">
        <v>0</v>
      </c>
      <c r="AC1361" s="39">
        <v>510.21</v>
      </c>
      <c r="AD1361" s="39">
        <v>507.16</v>
      </c>
      <c r="AE1361" s="39">
        <v>490.97</v>
      </c>
      <c r="AF1361" s="39">
        <v>0</v>
      </c>
      <c r="AG1361" s="39">
        <v>0</v>
      </c>
      <c r="AH1361" s="39">
        <v>0</v>
      </c>
      <c r="AI1361" s="39">
        <v>647.32000000000005</v>
      </c>
      <c r="AJ1361" s="39">
        <v>642.49</v>
      </c>
      <c r="AK1361" s="39">
        <v>618.12</v>
      </c>
      <c r="AL1361" s="39">
        <v>0</v>
      </c>
      <c r="AM1361" s="39">
        <v>0</v>
      </c>
      <c r="AN1361" s="39">
        <v>0</v>
      </c>
      <c r="AO1361" s="39">
        <v>647.32000000000005</v>
      </c>
      <c r="AP1361" s="39">
        <v>642.49</v>
      </c>
      <c r="AQ1361" s="39">
        <v>618.12</v>
      </c>
      <c r="AR1361" s="39">
        <v>647.32000000000005</v>
      </c>
    </row>
    <row r="1362" spans="1:44" x14ac:dyDescent="0.35">
      <c r="A1362" s="16" t="str">
        <f t="shared" si="111"/>
        <v>29</v>
      </c>
      <c r="B1362" s="19">
        <v>66357</v>
      </c>
      <c r="C1362" s="16" t="str">
        <f t="shared" si="110"/>
        <v>0000000</v>
      </c>
      <c r="D1362" s="17" t="s">
        <v>3663</v>
      </c>
      <c r="E1362" s="16" t="s">
        <v>1480</v>
      </c>
      <c r="F1362" s="16" t="s">
        <v>1458</v>
      </c>
      <c r="G1362" s="35" t="s">
        <v>1481</v>
      </c>
      <c r="H1362" s="39">
        <v>2359.2199999999998</v>
      </c>
      <c r="I1362" s="39">
        <v>2284.5100000000002</v>
      </c>
      <c r="J1362" s="39">
        <v>2202.31</v>
      </c>
      <c r="K1362" s="39">
        <v>0</v>
      </c>
      <c r="L1362" s="39">
        <v>0</v>
      </c>
      <c r="M1362" s="39">
        <v>0</v>
      </c>
      <c r="N1362" s="39">
        <v>0</v>
      </c>
      <c r="O1362" s="39">
        <v>0</v>
      </c>
      <c r="P1362" s="39">
        <v>0</v>
      </c>
      <c r="Q1362" s="39">
        <v>0</v>
      </c>
      <c r="R1362" s="39">
        <v>0</v>
      </c>
      <c r="S1362" s="39">
        <v>0</v>
      </c>
      <c r="T1362" s="39">
        <v>0</v>
      </c>
      <c r="U1362" s="39">
        <v>0</v>
      </c>
      <c r="V1362" s="39">
        <v>0</v>
      </c>
      <c r="W1362" s="39">
        <v>0</v>
      </c>
      <c r="X1362" s="39">
        <v>0</v>
      </c>
      <c r="Y1362" s="39">
        <v>0</v>
      </c>
      <c r="Z1362" s="39">
        <v>0</v>
      </c>
      <c r="AA1362" s="39">
        <v>0</v>
      </c>
      <c r="AB1362" s="39">
        <v>0</v>
      </c>
      <c r="AC1362" s="39">
        <v>450.14</v>
      </c>
      <c r="AD1362" s="39">
        <v>455.02</v>
      </c>
      <c r="AE1362" s="39">
        <v>396.24</v>
      </c>
      <c r="AF1362" s="39">
        <v>0</v>
      </c>
      <c r="AG1362" s="39">
        <v>0</v>
      </c>
      <c r="AH1362" s="39">
        <v>0</v>
      </c>
      <c r="AI1362" s="39">
        <v>2809.36</v>
      </c>
      <c r="AJ1362" s="39">
        <v>2739.53</v>
      </c>
      <c r="AK1362" s="39">
        <v>2598.5500000000002</v>
      </c>
      <c r="AL1362" s="39">
        <v>0</v>
      </c>
      <c r="AM1362" s="39">
        <v>0</v>
      </c>
      <c r="AN1362" s="39">
        <v>0</v>
      </c>
      <c r="AO1362" s="39">
        <v>2809.36</v>
      </c>
      <c r="AP1362" s="39">
        <v>2739.53</v>
      </c>
      <c r="AQ1362" s="39">
        <v>2598.5500000000002</v>
      </c>
      <c r="AR1362" s="39">
        <v>2809.36</v>
      </c>
    </row>
    <row r="1363" spans="1:44" x14ac:dyDescent="0.35">
      <c r="A1363" s="16" t="str">
        <f t="shared" si="111"/>
        <v>29</v>
      </c>
      <c r="B1363" s="19">
        <v>66324</v>
      </c>
      <c r="C1363" s="16" t="str">
        <f t="shared" si="110"/>
        <v>0000000</v>
      </c>
      <c r="D1363" s="17" t="s">
        <v>3663</v>
      </c>
      <c r="E1363" s="16" t="s">
        <v>1474</v>
      </c>
      <c r="F1363" s="16" t="s">
        <v>1458</v>
      </c>
      <c r="G1363" s="35" t="s">
        <v>1475</v>
      </c>
      <c r="H1363" s="39">
        <v>159.44</v>
      </c>
      <c r="I1363" s="39">
        <v>154.33000000000001</v>
      </c>
      <c r="J1363" s="39">
        <v>141.11000000000001</v>
      </c>
      <c r="K1363" s="39">
        <v>0</v>
      </c>
      <c r="L1363" s="39">
        <v>0</v>
      </c>
      <c r="M1363" s="39">
        <v>0</v>
      </c>
      <c r="N1363" s="39">
        <v>0</v>
      </c>
      <c r="O1363" s="39">
        <v>0</v>
      </c>
      <c r="P1363" s="39">
        <v>0</v>
      </c>
      <c r="Q1363" s="39">
        <v>0</v>
      </c>
      <c r="R1363" s="39">
        <v>0</v>
      </c>
      <c r="S1363" s="39">
        <v>0</v>
      </c>
      <c r="T1363" s="39">
        <v>0</v>
      </c>
      <c r="U1363" s="39">
        <v>0</v>
      </c>
      <c r="V1363" s="39">
        <v>0</v>
      </c>
      <c r="W1363" s="39">
        <v>0</v>
      </c>
      <c r="X1363" s="39">
        <v>0</v>
      </c>
      <c r="Y1363" s="39">
        <v>0</v>
      </c>
      <c r="Z1363" s="39">
        <v>0</v>
      </c>
      <c r="AA1363" s="39">
        <v>0</v>
      </c>
      <c r="AB1363" s="39">
        <v>0</v>
      </c>
      <c r="AC1363" s="39">
        <v>0</v>
      </c>
      <c r="AD1363" s="39">
        <v>0</v>
      </c>
      <c r="AE1363" s="39">
        <v>0</v>
      </c>
      <c r="AF1363" s="39">
        <v>0</v>
      </c>
      <c r="AG1363" s="39">
        <v>0</v>
      </c>
      <c r="AH1363" s="39">
        <v>0</v>
      </c>
      <c r="AI1363" s="39">
        <v>159.44</v>
      </c>
      <c r="AJ1363" s="39">
        <v>154.33000000000001</v>
      </c>
      <c r="AK1363" s="39">
        <v>141.11000000000001</v>
      </c>
      <c r="AL1363" s="39">
        <v>0</v>
      </c>
      <c r="AM1363" s="39">
        <v>0</v>
      </c>
      <c r="AN1363" s="39">
        <v>0</v>
      </c>
      <c r="AO1363" s="39">
        <v>159.44</v>
      </c>
      <c r="AP1363" s="39">
        <v>154.33000000000001</v>
      </c>
      <c r="AQ1363" s="39">
        <v>141.11000000000001</v>
      </c>
      <c r="AR1363" s="39">
        <v>159.44</v>
      </c>
    </row>
    <row r="1364" spans="1:44" x14ac:dyDescent="0.35">
      <c r="A1364" s="16" t="str">
        <f t="shared" si="111"/>
        <v>29</v>
      </c>
      <c r="B1364" s="19">
        <v>66316</v>
      </c>
      <c r="C1364" s="16" t="str">
        <f t="shared" si="110"/>
        <v>0000000</v>
      </c>
      <c r="D1364" s="17" t="s">
        <v>3663</v>
      </c>
      <c r="E1364" s="16" t="s">
        <v>1472</v>
      </c>
      <c r="F1364" s="16" t="s">
        <v>1458</v>
      </c>
      <c r="G1364" s="35" t="s">
        <v>1473</v>
      </c>
      <c r="H1364" s="39">
        <v>113.34</v>
      </c>
      <c r="I1364" s="39">
        <v>108.31</v>
      </c>
      <c r="J1364" s="39">
        <v>109.6</v>
      </c>
      <c r="K1364" s="39">
        <v>0</v>
      </c>
      <c r="L1364" s="39">
        <v>0</v>
      </c>
      <c r="M1364" s="39">
        <v>0</v>
      </c>
      <c r="N1364" s="39">
        <v>0</v>
      </c>
      <c r="O1364" s="39">
        <v>0</v>
      </c>
      <c r="P1364" s="39">
        <v>0</v>
      </c>
      <c r="Q1364" s="39">
        <v>0</v>
      </c>
      <c r="R1364" s="39">
        <v>0</v>
      </c>
      <c r="S1364" s="39">
        <v>0</v>
      </c>
      <c r="T1364" s="39">
        <v>0</v>
      </c>
      <c r="U1364" s="39">
        <v>0</v>
      </c>
      <c r="V1364" s="39">
        <v>0</v>
      </c>
      <c r="W1364" s="39">
        <v>0</v>
      </c>
      <c r="X1364" s="39">
        <v>0</v>
      </c>
      <c r="Y1364" s="39">
        <v>0</v>
      </c>
      <c r="Z1364" s="39">
        <v>0</v>
      </c>
      <c r="AA1364" s="39">
        <v>0</v>
      </c>
      <c r="AB1364" s="39">
        <v>0</v>
      </c>
      <c r="AC1364" s="39">
        <v>39.32</v>
      </c>
      <c r="AD1364" s="39">
        <v>33.53</v>
      </c>
      <c r="AE1364" s="39">
        <v>31.74</v>
      </c>
      <c r="AF1364" s="39">
        <v>0</v>
      </c>
      <c r="AG1364" s="39">
        <v>0</v>
      </c>
      <c r="AH1364" s="39">
        <v>0</v>
      </c>
      <c r="AI1364" s="39">
        <v>152.66</v>
      </c>
      <c r="AJ1364" s="39">
        <v>141.84</v>
      </c>
      <c r="AK1364" s="39">
        <v>141.34</v>
      </c>
      <c r="AL1364" s="39">
        <v>0</v>
      </c>
      <c r="AM1364" s="39">
        <v>0</v>
      </c>
      <c r="AN1364" s="39">
        <v>0</v>
      </c>
      <c r="AO1364" s="39">
        <v>152.66</v>
      </c>
      <c r="AP1364" s="39">
        <v>141.84</v>
      </c>
      <c r="AQ1364" s="39">
        <v>141.34</v>
      </c>
      <c r="AR1364" s="39">
        <v>152.66</v>
      </c>
    </row>
    <row r="1365" spans="1:44" x14ac:dyDescent="0.35">
      <c r="A1365" s="16" t="str">
        <f t="shared" si="111"/>
        <v>29</v>
      </c>
      <c r="B1365" s="19">
        <v>66415</v>
      </c>
      <c r="C1365" s="16" t="str">
        <f t="shared" si="110"/>
        <v>0000000</v>
      </c>
      <c r="D1365" s="17" t="s">
        <v>3663</v>
      </c>
      <c r="E1365" s="16" t="s">
        <v>1488</v>
      </c>
      <c r="F1365" s="16" t="s">
        <v>1458</v>
      </c>
      <c r="G1365" s="35" t="s">
        <v>1489</v>
      </c>
      <c r="H1365" s="39">
        <v>89.88</v>
      </c>
      <c r="I1365" s="39">
        <v>87.89</v>
      </c>
      <c r="J1365" s="39">
        <v>81.040000000000006</v>
      </c>
      <c r="K1365" s="39">
        <v>0</v>
      </c>
      <c r="L1365" s="39">
        <v>0</v>
      </c>
      <c r="M1365" s="39">
        <v>0</v>
      </c>
      <c r="N1365" s="39">
        <v>0</v>
      </c>
      <c r="O1365" s="39">
        <v>0</v>
      </c>
      <c r="P1365" s="39">
        <v>0</v>
      </c>
      <c r="Q1365" s="39">
        <v>0</v>
      </c>
      <c r="R1365" s="39">
        <v>0</v>
      </c>
      <c r="S1365" s="39">
        <v>0</v>
      </c>
      <c r="T1365" s="39">
        <v>0</v>
      </c>
      <c r="U1365" s="39">
        <v>0</v>
      </c>
      <c r="V1365" s="39">
        <v>0</v>
      </c>
      <c r="W1365" s="39">
        <v>0</v>
      </c>
      <c r="X1365" s="39">
        <v>0</v>
      </c>
      <c r="Y1365" s="39">
        <v>0</v>
      </c>
      <c r="Z1365" s="39">
        <v>0</v>
      </c>
      <c r="AA1365" s="39">
        <v>0</v>
      </c>
      <c r="AB1365" s="39">
        <v>0</v>
      </c>
      <c r="AC1365" s="39">
        <v>0</v>
      </c>
      <c r="AD1365" s="39">
        <v>0</v>
      </c>
      <c r="AE1365" s="39">
        <v>0</v>
      </c>
      <c r="AF1365" s="39">
        <v>0</v>
      </c>
      <c r="AG1365" s="39">
        <v>0</v>
      </c>
      <c r="AH1365" s="39">
        <v>0</v>
      </c>
      <c r="AI1365" s="39">
        <v>89.88</v>
      </c>
      <c r="AJ1365" s="39">
        <v>87.89</v>
      </c>
      <c r="AK1365" s="39">
        <v>81.040000000000006</v>
      </c>
      <c r="AL1365" s="39">
        <v>0</v>
      </c>
      <c r="AM1365" s="39">
        <v>0</v>
      </c>
      <c r="AN1365" s="39">
        <v>0</v>
      </c>
      <c r="AO1365" s="39">
        <v>89.88</v>
      </c>
      <c r="AP1365" s="39">
        <v>87.89</v>
      </c>
      <c r="AQ1365" s="39">
        <v>81.040000000000006</v>
      </c>
      <c r="AR1365" s="39">
        <v>89.88</v>
      </c>
    </row>
    <row r="1366" spans="1:44" x14ac:dyDescent="0.35">
      <c r="A1366" s="16" t="str">
        <f t="shared" si="111"/>
        <v>29</v>
      </c>
      <c r="B1366" s="19">
        <v>10298</v>
      </c>
      <c r="C1366" s="16" t="str">
        <f>TEXT(114314,"0000000")</f>
        <v>0114314</v>
      </c>
      <c r="D1366" s="17" t="s">
        <v>1461</v>
      </c>
      <c r="E1366" s="16" t="s">
        <v>1459</v>
      </c>
      <c r="F1366" s="16" t="s">
        <v>1458</v>
      </c>
      <c r="G1366" s="35" t="s">
        <v>1460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79.959999999999994</v>
      </c>
      <c r="AA1366" s="39">
        <v>81.98</v>
      </c>
      <c r="AB1366" s="39">
        <v>78.349999999999994</v>
      </c>
      <c r="AC1366" s="39">
        <v>0</v>
      </c>
      <c r="AD1366" s="39">
        <v>0</v>
      </c>
      <c r="AE1366" s="39">
        <v>0</v>
      </c>
      <c r="AF1366" s="39">
        <v>0</v>
      </c>
      <c r="AG1366" s="39">
        <v>0</v>
      </c>
      <c r="AH1366" s="39">
        <v>0</v>
      </c>
      <c r="AI1366" s="39">
        <v>79.959999999999994</v>
      </c>
      <c r="AJ1366" s="39">
        <v>81.98</v>
      </c>
      <c r="AK1366" s="39">
        <v>78.349999999999994</v>
      </c>
      <c r="AL1366" s="39">
        <v>0</v>
      </c>
      <c r="AM1366" s="39">
        <v>0</v>
      </c>
      <c r="AN1366" s="39">
        <v>0</v>
      </c>
      <c r="AO1366" s="39">
        <v>79.959999999999994</v>
      </c>
      <c r="AP1366" s="39">
        <v>81.98</v>
      </c>
      <c r="AQ1366" s="39">
        <v>78.349999999999994</v>
      </c>
      <c r="AR1366" s="39">
        <v>81.98</v>
      </c>
    </row>
    <row r="1367" spans="1:44" x14ac:dyDescent="0.35">
      <c r="A1367" s="16" t="str">
        <f t="shared" si="111"/>
        <v>29</v>
      </c>
      <c r="B1367" s="19">
        <v>10298</v>
      </c>
      <c r="C1367" s="16" t="str">
        <f>TEXT(114330,"0000000")</f>
        <v>0114330</v>
      </c>
      <c r="D1367" s="17" t="s">
        <v>1467</v>
      </c>
      <c r="E1367" s="16" t="s">
        <v>1465</v>
      </c>
      <c r="F1367" s="16" t="s">
        <v>1458</v>
      </c>
      <c r="G1367" s="35" t="s">
        <v>1466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449.26</v>
      </c>
      <c r="AA1367" s="39">
        <v>432.41</v>
      </c>
      <c r="AB1367" s="39">
        <v>389.66</v>
      </c>
      <c r="AC1367" s="39">
        <v>0</v>
      </c>
      <c r="AD1367" s="39">
        <v>0</v>
      </c>
      <c r="AE1367" s="39">
        <v>0</v>
      </c>
      <c r="AF1367" s="39">
        <v>0</v>
      </c>
      <c r="AG1367" s="39">
        <v>0</v>
      </c>
      <c r="AH1367" s="39">
        <v>0</v>
      </c>
      <c r="AI1367" s="39">
        <v>449.26</v>
      </c>
      <c r="AJ1367" s="39">
        <v>432.41</v>
      </c>
      <c r="AK1367" s="39">
        <v>389.66</v>
      </c>
      <c r="AL1367" s="39">
        <v>0</v>
      </c>
      <c r="AM1367" s="39">
        <v>0</v>
      </c>
      <c r="AN1367" s="39">
        <v>0</v>
      </c>
      <c r="AO1367" s="39">
        <v>449.26</v>
      </c>
      <c r="AP1367" s="39">
        <v>432.41</v>
      </c>
      <c r="AQ1367" s="39">
        <v>389.66</v>
      </c>
      <c r="AR1367" s="39">
        <v>449.26</v>
      </c>
    </row>
    <row r="1368" spans="1:44" x14ac:dyDescent="0.35">
      <c r="A1368" s="16" t="str">
        <f t="shared" si="111"/>
        <v>29</v>
      </c>
      <c r="B1368" s="19">
        <v>10298</v>
      </c>
      <c r="C1368" s="16" t="str">
        <f>TEXT(114322,"0000000")</f>
        <v>0114322</v>
      </c>
      <c r="D1368" s="17" t="s">
        <v>1464</v>
      </c>
      <c r="E1368" s="16" t="s">
        <v>1462</v>
      </c>
      <c r="F1368" s="16" t="s">
        <v>1458</v>
      </c>
      <c r="G1368" s="35" t="s">
        <v>1463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302.29000000000002</v>
      </c>
      <c r="AA1368" s="39">
        <v>298.48</v>
      </c>
      <c r="AB1368" s="39">
        <v>300.24</v>
      </c>
      <c r="AC1368" s="39">
        <v>0</v>
      </c>
      <c r="AD1368" s="39">
        <v>0</v>
      </c>
      <c r="AE1368" s="39">
        <v>0</v>
      </c>
      <c r="AF1368" s="39">
        <v>0</v>
      </c>
      <c r="AG1368" s="39">
        <v>0</v>
      </c>
      <c r="AH1368" s="39">
        <v>0</v>
      </c>
      <c r="AI1368" s="39">
        <v>302.29000000000002</v>
      </c>
      <c r="AJ1368" s="39">
        <v>298.48</v>
      </c>
      <c r="AK1368" s="39">
        <v>300.24</v>
      </c>
      <c r="AL1368" s="39">
        <v>0</v>
      </c>
      <c r="AM1368" s="39">
        <v>0</v>
      </c>
      <c r="AN1368" s="39">
        <v>0</v>
      </c>
      <c r="AO1368" s="39">
        <v>302.29000000000002</v>
      </c>
      <c r="AP1368" s="39">
        <v>298.48</v>
      </c>
      <c r="AQ1368" s="39">
        <v>300.24</v>
      </c>
      <c r="AR1368" s="39">
        <v>302.29000000000002</v>
      </c>
    </row>
    <row r="1369" spans="1:44" x14ac:dyDescent="0.35">
      <c r="A1369" s="16" t="str">
        <f t="shared" si="111"/>
        <v>29</v>
      </c>
      <c r="B1369" s="19">
        <v>76877</v>
      </c>
      <c r="C1369" s="16" t="str">
        <f>TEXT(,"0000000")</f>
        <v>0000000</v>
      </c>
      <c r="D1369" s="17" t="s">
        <v>3663</v>
      </c>
      <c r="E1369" s="16" t="s">
        <v>1490</v>
      </c>
      <c r="F1369" s="16" t="s">
        <v>1458</v>
      </c>
      <c r="G1369" s="35" t="s">
        <v>1491</v>
      </c>
      <c r="H1369" s="39">
        <v>451.87</v>
      </c>
      <c r="I1369" s="39">
        <v>478.86</v>
      </c>
      <c r="J1369" s="39">
        <v>497.92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0</v>
      </c>
      <c r="AC1369" s="39">
        <v>35.950000000000003</v>
      </c>
      <c r="AD1369" s="39">
        <v>38.299999999999997</v>
      </c>
      <c r="AE1369" s="39">
        <v>40.17</v>
      </c>
      <c r="AF1369" s="39">
        <v>0</v>
      </c>
      <c r="AG1369" s="39">
        <v>0</v>
      </c>
      <c r="AH1369" s="39">
        <v>0</v>
      </c>
      <c r="AI1369" s="39">
        <v>487.82</v>
      </c>
      <c r="AJ1369" s="39">
        <v>517.16</v>
      </c>
      <c r="AK1369" s="39">
        <v>538.09</v>
      </c>
      <c r="AL1369" s="39">
        <v>0</v>
      </c>
      <c r="AM1369" s="39">
        <v>0</v>
      </c>
      <c r="AN1369" s="39">
        <v>0</v>
      </c>
      <c r="AO1369" s="39">
        <v>487.82</v>
      </c>
      <c r="AP1369" s="39">
        <v>517.16</v>
      </c>
      <c r="AQ1369" s="39">
        <v>538.09</v>
      </c>
      <c r="AR1369" s="39">
        <v>538.09</v>
      </c>
    </row>
    <row r="1370" spans="1:44" x14ac:dyDescent="0.35">
      <c r="A1370" s="16" t="str">
        <f t="shared" si="111"/>
        <v>29</v>
      </c>
      <c r="B1370" s="19">
        <v>10298</v>
      </c>
      <c r="C1370" s="16" t="str">
        <f>TEXT(126219,"0000000")</f>
        <v>0126219</v>
      </c>
      <c r="D1370" s="19">
        <v>1427</v>
      </c>
      <c r="E1370" s="16" t="s">
        <v>1468</v>
      </c>
      <c r="F1370" s="16" t="s">
        <v>1458</v>
      </c>
      <c r="G1370" s="35" t="s">
        <v>1469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v>0</v>
      </c>
      <c r="AB1370" s="39">
        <v>0</v>
      </c>
      <c r="AC1370" s="39">
        <v>821.11</v>
      </c>
      <c r="AD1370" s="39">
        <v>782.76</v>
      </c>
      <c r="AE1370" s="39">
        <v>753.81</v>
      </c>
      <c r="AF1370" s="39">
        <v>0</v>
      </c>
      <c r="AG1370" s="39">
        <v>0</v>
      </c>
      <c r="AH1370" s="39">
        <v>0</v>
      </c>
      <c r="AI1370" s="39">
        <v>821.11</v>
      </c>
      <c r="AJ1370" s="39">
        <v>782.76</v>
      </c>
      <c r="AK1370" s="39">
        <v>753.81</v>
      </c>
      <c r="AL1370" s="39">
        <v>0</v>
      </c>
      <c r="AM1370" s="39">
        <v>0</v>
      </c>
      <c r="AN1370" s="39">
        <v>0</v>
      </c>
      <c r="AO1370" s="39">
        <v>821.11</v>
      </c>
      <c r="AP1370" s="39">
        <v>782.76</v>
      </c>
      <c r="AQ1370" s="39">
        <v>753.81</v>
      </c>
      <c r="AR1370" s="39">
        <v>821.11</v>
      </c>
    </row>
    <row r="1371" spans="1:44" x14ac:dyDescent="0.35">
      <c r="A1371" s="16" t="str">
        <f t="shared" si="111"/>
        <v>29</v>
      </c>
      <c r="B1371" s="19">
        <v>10298</v>
      </c>
      <c r="C1371" s="16" t="str">
        <f>TEXT(126227,"0000000")</f>
        <v>0126227</v>
      </c>
      <c r="D1371" s="19">
        <v>1428</v>
      </c>
      <c r="E1371" s="16" t="s">
        <v>1470</v>
      </c>
      <c r="F1371" s="16" t="s">
        <v>1458</v>
      </c>
      <c r="G1371" s="35" t="s">
        <v>1471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212.69</v>
      </c>
      <c r="AD1371" s="39">
        <v>224.65</v>
      </c>
      <c r="AE1371" s="39">
        <v>204.84</v>
      </c>
      <c r="AF1371" s="39">
        <v>0</v>
      </c>
      <c r="AG1371" s="39">
        <v>0</v>
      </c>
      <c r="AH1371" s="39">
        <v>0</v>
      </c>
      <c r="AI1371" s="39">
        <v>212.69</v>
      </c>
      <c r="AJ1371" s="39">
        <v>224.65</v>
      </c>
      <c r="AK1371" s="39">
        <v>204.84</v>
      </c>
      <c r="AL1371" s="39">
        <v>0</v>
      </c>
      <c r="AM1371" s="39">
        <v>0</v>
      </c>
      <c r="AN1371" s="39">
        <v>0</v>
      </c>
      <c r="AO1371" s="39">
        <v>212.69</v>
      </c>
      <c r="AP1371" s="39">
        <v>224.65</v>
      </c>
      <c r="AQ1371" s="39">
        <v>204.84</v>
      </c>
      <c r="AR1371" s="39">
        <v>224.65</v>
      </c>
    </row>
    <row r="1372" spans="1:44" x14ac:dyDescent="0.35">
      <c r="A1372" s="16" t="str">
        <f t="shared" ref="A1372:A1401" si="112">TEXT(37,"00")</f>
        <v>37</v>
      </c>
      <c r="B1372" s="19">
        <v>10371</v>
      </c>
      <c r="C1372" s="16" t="str">
        <f t="shared" ref="C1372:C1400" si="113">TEXT(,"0000000")</f>
        <v>0000000</v>
      </c>
      <c r="D1372" s="17" t="s">
        <v>3663</v>
      </c>
      <c r="E1372" s="16" t="s">
        <v>2046</v>
      </c>
      <c r="F1372" s="16" t="s">
        <v>2047</v>
      </c>
      <c r="G1372" s="35" t="s">
        <v>2047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  <c r="Q1372" s="39">
        <v>0</v>
      </c>
      <c r="R1372" s="39">
        <v>0</v>
      </c>
      <c r="S1372" s="39">
        <v>0</v>
      </c>
      <c r="T1372" s="39">
        <v>907.75</v>
      </c>
      <c r="U1372" s="39">
        <v>903.38</v>
      </c>
      <c r="V1372" s="39">
        <v>828.37</v>
      </c>
      <c r="W1372" s="39">
        <v>277</v>
      </c>
      <c r="X1372" s="39">
        <v>280.08999999999997</v>
      </c>
      <c r="Y1372" s="39">
        <v>292.42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  <c r="AF1372" s="39">
        <v>0</v>
      </c>
      <c r="AG1372" s="39">
        <v>0</v>
      </c>
      <c r="AH1372" s="39">
        <v>0</v>
      </c>
      <c r="AI1372" s="39">
        <v>1184.75</v>
      </c>
      <c r="AJ1372" s="39">
        <v>1183.47</v>
      </c>
      <c r="AK1372" s="39">
        <v>1120.79</v>
      </c>
      <c r="AL1372" s="39">
        <v>0</v>
      </c>
      <c r="AM1372" s="39">
        <v>0</v>
      </c>
      <c r="AN1372" s="39">
        <v>0</v>
      </c>
      <c r="AO1372" s="39">
        <v>1184.75</v>
      </c>
      <c r="AP1372" s="39">
        <v>1183.47</v>
      </c>
      <c r="AQ1372" s="39">
        <v>1120.79</v>
      </c>
      <c r="AR1372" s="39">
        <v>1184.75</v>
      </c>
    </row>
    <row r="1373" spans="1:44" x14ac:dyDescent="0.35">
      <c r="A1373" s="16" t="str">
        <f t="shared" si="112"/>
        <v>37</v>
      </c>
      <c r="B1373" s="19">
        <v>68023</v>
      </c>
      <c r="C1373" s="16" t="str">
        <f t="shared" si="113"/>
        <v>0000000</v>
      </c>
      <c r="D1373" s="17" t="s">
        <v>3663</v>
      </c>
      <c r="E1373" s="16" t="s">
        <v>2088</v>
      </c>
      <c r="F1373" s="16" t="s">
        <v>2047</v>
      </c>
      <c r="G1373" s="35" t="s">
        <v>2089</v>
      </c>
      <c r="H1373" s="39">
        <v>21152.16</v>
      </c>
      <c r="I1373" s="39">
        <v>21143.82</v>
      </c>
      <c r="J1373" s="39">
        <v>20787.95</v>
      </c>
      <c r="K1373" s="39">
        <v>0</v>
      </c>
      <c r="L1373" s="39">
        <v>0</v>
      </c>
      <c r="M1373" s="39">
        <v>0</v>
      </c>
      <c r="N1373" s="39">
        <v>0</v>
      </c>
      <c r="O1373" s="39">
        <v>0</v>
      </c>
      <c r="P1373" s="39">
        <v>0</v>
      </c>
      <c r="Q1373" s="39">
        <v>0</v>
      </c>
      <c r="R1373" s="39">
        <v>0</v>
      </c>
      <c r="S1373" s="39">
        <v>0</v>
      </c>
      <c r="T1373" s="39">
        <v>0</v>
      </c>
      <c r="U1373" s="39">
        <v>0</v>
      </c>
      <c r="V1373" s="39">
        <v>0</v>
      </c>
      <c r="W1373" s="39">
        <v>0</v>
      </c>
      <c r="X1373" s="39">
        <v>0</v>
      </c>
      <c r="Y1373" s="39">
        <v>0</v>
      </c>
      <c r="Z1373" s="39">
        <v>0</v>
      </c>
      <c r="AA1373" s="39">
        <v>0</v>
      </c>
      <c r="AB1373" s="39">
        <v>0</v>
      </c>
      <c r="AC1373" s="39">
        <v>5637.9</v>
      </c>
      <c r="AD1373" s="39">
        <v>5710.26</v>
      </c>
      <c r="AE1373" s="39">
        <v>5729.55</v>
      </c>
      <c r="AF1373" s="39">
        <v>0</v>
      </c>
      <c r="AG1373" s="39">
        <v>0</v>
      </c>
      <c r="AH1373" s="39">
        <v>0</v>
      </c>
      <c r="AI1373" s="39">
        <v>26790.06</v>
      </c>
      <c r="AJ1373" s="39">
        <v>26854.080000000002</v>
      </c>
      <c r="AK1373" s="39">
        <v>26517.5</v>
      </c>
      <c r="AL1373" s="39">
        <v>0</v>
      </c>
      <c r="AM1373" s="39">
        <v>0</v>
      </c>
      <c r="AN1373" s="39">
        <v>0</v>
      </c>
      <c r="AO1373" s="39">
        <v>26790.06</v>
      </c>
      <c r="AP1373" s="39">
        <v>26854.080000000002</v>
      </c>
      <c r="AQ1373" s="39">
        <v>26517.5</v>
      </c>
      <c r="AR1373" s="39">
        <v>26854.080000000002</v>
      </c>
    </row>
    <row r="1374" spans="1:44" x14ac:dyDescent="0.35">
      <c r="A1374" s="16" t="str">
        <f t="shared" si="112"/>
        <v>37</v>
      </c>
      <c r="B1374" s="19">
        <v>68031</v>
      </c>
      <c r="C1374" s="16" t="str">
        <f t="shared" si="113"/>
        <v>0000000</v>
      </c>
      <c r="D1374" s="17" t="s">
        <v>3663</v>
      </c>
      <c r="E1374" s="16" t="s">
        <v>2094</v>
      </c>
      <c r="F1374" s="16" t="s">
        <v>2047</v>
      </c>
      <c r="G1374" s="35" t="s">
        <v>2095</v>
      </c>
      <c r="H1374" s="39">
        <v>2628.93</v>
      </c>
      <c r="I1374" s="39">
        <v>2609.71</v>
      </c>
      <c r="J1374" s="39">
        <v>2644.39</v>
      </c>
      <c r="K1374" s="39">
        <v>0</v>
      </c>
      <c r="L1374" s="39">
        <v>0</v>
      </c>
      <c r="M1374" s="39">
        <v>0</v>
      </c>
      <c r="N1374" s="39">
        <v>0</v>
      </c>
      <c r="O1374" s="39">
        <v>0</v>
      </c>
      <c r="P1374" s="39">
        <v>0</v>
      </c>
      <c r="Q1374" s="39">
        <v>0</v>
      </c>
      <c r="R1374" s="39">
        <v>0</v>
      </c>
      <c r="S1374" s="39">
        <v>0</v>
      </c>
      <c r="T1374" s="39">
        <v>0</v>
      </c>
      <c r="U1374" s="39">
        <v>0</v>
      </c>
      <c r="V1374" s="39">
        <v>0</v>
      </c>
      <c r="W1374" s="39">
        <v>0</v>
      </c>
      <c r="X1374" s="39">
        <v>0</v>
      </c>
      <c r="Y1374" s="39">
        <v>0</v>
      </c>
      <c r="Z1374" s="39">
        <v>0</v>
      </c>
      <c r="AA1374" s="39">
        <v>0</v>
      </c>
      <c r="AB1374" s="39">
        <v>0</v>
      </c>
      <c r="AC1374" s="39">
        <v>0</v>
      </c>
      <c r="AD1374" s="39">
        <v>0</v>
      </c>
      <c r="AE1374" s="39">
        <v>0</v>
      </c>
      <c r="AF1374" s="39">
        <v>0</v>
      </c>
      <c r="AG1374" s="39">
        <v>0</v>
      </c>
      <c r="AH1374" s="39">
        <v>0</v>
      </c>
      <c r="AI1374" s="39">
        <v>2628.93</v>
      </c>
      <c r="AJ1374" s="39">
        <v>2609.71</v>
      </c>
      <c r="AK1374" s="39">
        <v>2644.39</v>
      </c>
      <c r="AL1374" s="39">
        <v>0</v>
      </c>
      <c r="AM1374" s="39">
        <v>0</v>
      </c>
      <c r="AN1374" s="39">
        <v>0</v>
      </c>
      <c r="AO1374" s="39">
        <v>2628.93</v>
      </c>
      <c r="AP1374" s="39">
        <v>2609.71</v>
      </c>
      <c r="AQ1374" s="39">
        <v>2644.39</v>
      </c>
      <c r="AR1374" s="39">
        <v>2644.39</v>
      </c>
    </row>
    <row r="1375" spans="1:44" x14ac:dyDescent="0.35">
      <c r="A1375" s="16" t="str">
        <f t="shared" si="112"/>
        <v>37</v>
      </c>
      <c r="B1375" s="19">
        <v>68221</v>
      </c>
      <c r="C1375" s="16" t="str">
        <f t="shared" si="113"/>
        <v>0000000</v>
      </c>
      <c r="D1375" s="17" t="s">
        <v>3663</v>
      </c>
      <c r="E1375" s="16" t="s">
        <v>2167</v>
      </c>
      <c r="F1375" s="16" t="s">
        <v>2047</v>
      </c>
      <c r="G1375" s="35" t="s">
        <v>2168</v>
      </c>
      <c r="H1375" s="39">
        <v>3691.75</v>
      </c>
      <c r="I1375" s="39">
        <v>3782.14</v>
      </c>
      <c r="J1375" s="39">
        <v>3750.07</v>
      </c>
      <c r="K1375" s="39">
        <v>0</v>
      </c>
      <c r="L1375" s="39">
        <v>0</v>
      </c>
      <c r="M1375" s="39">
        <v>0</v>
      </c>
      <c r="N1375" s="39">
        <v>0</v>
      </c>
      <c r="O1375" s="39">
        <v>0</v>
      </c>
      <c r="P1375" s="39">
        <v>0</v>
      </c>
      <c r="Q1375" s="39">
        <v>0</v>
      </c>
      <c r="R1375" s="39">
        <v>0</v>
      </c>
      <c r="S1375" s="39">
        <v>0</v>
      </c>
      <c r="T1375" s="39">
        <v>0</v>
      </c>
      <c r="U1375" s="39">
        <v>0</v>
      </c>
      <c r="V1375" s="39">
        <v>0</v>
      </c>
      <c r="W1375" s="39">
        <v>0</v>
      </c>
      <c r="X1375" s="39">
        <v>0</v>
      </c>
      <c r="Y1375" s="39">
        <v>0</v>
      </c>
      <c r="Z1375" s="39">
        <v>0</v>
      </c>
      <c r="AA1375" s="39">
        <v>0</v>
      </c>
      <c r="AB1375" s="39">
        <v>0</v>
      </c>
      <c r="AC1375" s="39">
        <v>361.6</v>
      </c>
      <c r="AD1375" s="39">
        <v>339.29</v>
      </c>
      <c r="AE1375" s="39">
        <v>340.46</v>
      </c>
      <c r="AF1375" s="39">
        <v>0</v>
      </c>
      <c r="AG1375" s="39">
        <v>0</v>
      </c>
      <c r="AH1375" s="39">
        <v>0</v>
      </c>
      <c r="AI1375" s="39">
        <v>4053.35</v>
      </c>
      <c r="AJ1375" s="39">
        <v>4121.43</v>
      </c>
      <c r="AK1375" s="39">
        <v>4090.53</v>
      </c>
      <c r="AL1375" s="39">
        <v>0</v>
      </c>
      <c r="AM1375" s="39">
        <v>0</v>
      </c>
      <c r="AN1375" s="39">
        <v>0</v>
      </c>
      <c r="AO1375" s="39">
        <v>4053.35</v>
      </c>
      <c r="AP1375" s="39">
        <v>4121.43</v>
      </c>
      <c r="AQ1375" s="39">
        <v>4090.53</v>
      </c>
      <c r="AR1375" s="39">
        <v>4121.43</v>
      </c>
    </row>
    <row r="1376" spans="1:44" x14ac:dyDescent="0.35">
      <c r="A1376" s="16" t="str">
        <f t="shared" si="112"/>
        <v>37</v>
      </c>
      <c r="B1376" s="19">
        <v>68379</v>
      </c>
      <c r="C1376" s="16" t="str">
        <f t="shared" si="113"/>
        <v>0000000</v>
      </c>
      <c r="D1376" s="17" t="s">
        <v>3663</v>
      </c>
      <c r="E1376" s="16" t="s">
        <v>2291</v>
      </c>
      <c r="F1376" s="16" t="s">
        <v>2047</v>
      </c>
      <c r="G1376" s="35" t="s">
        <v>2292</v>
      </c>
      <c r="H1376" s="39">
        <v>3856.2</v>
      </c>
      <c r="I1376" s="39">
        <v>3874.95</v>
      </c>
      <c r="J1376" s="39">
        <v>3868.84</v>
      </c>
      <c r="K1376" s="39">
        <v>0</v>
      </c>
      <c r="L1376" s="39">
        <v>0</v>
      </c>
      <c r="M1376" s="39">
        <v>0</v>
      </c>
      <c r="N1376" s="39">
        <v>0</v>
      </c>
      <c r="O1376" s="39">
        <v>0</v>
      </c>
      <c r="P1376" s="39">
        <v>0</v>
      </c>
      <c r="Q1376" s="39">
        <v>0</v>
      </c>
      <c r="R1376" s="39">
        <v>0</v>
      </c>
      <c r="S1376" s="39">
        <v>0</v>
      </c>
      <c r="T1376" s="39">
        <v>0</v>
      </c>
      <c r="U1376" s="39">
        <v>0</v>
      </c>
      <c r="V1376" s="39">
        <v>0</v>
      </c>
      <c r="W1376" s="39">
        <v>0</v>
      </c>
      <c r="X1376" s="39">
        <v>0</v>
      </c>
      <c r="Y1376" s="39">
        <v>0</v>
      </c>
      <c r="Z1376" s="39">
        <v>0</v>
      </c>
      <c r="AA1376" s="39">
        <v>0</v>
      </c>
      <c r="AB1376" s="39">
        <v>0</v>
      </c>
      <c r="AC1376" s="39">
        <v>0</v>
      </c>
      <c r="AD1376" s="39">
        <v>0</v>
      </c>
      <c r="AE1376" s="39">
        <v>0</v>
      </c>
      <c r="AF1376" s="39">
        <v>0</v>
      </c>
      <c r="AG1376" s="39">
        <v>0</v>
      </c>
      <c r="AH1376" s="39">
        <v>0</v>
      </c>
      <c r="AI1376" s="39">
        <v>3856.2</v>
      </c>
      <c r="AJ1376" s="39">
        <v>3874.95</v>
      </c>
      <c r="AK1376" s="39">
        <v>3868.84</v>
      </c>
      <c r="AL1376" s="39">
        <v>0</v>
      </c>
      <c r="AM1376" s="39">
        <v>0</v>
      </c>
      <c r="AN1376" s="39">
        <v>0</v>
      </c>
      <c r="AO1376" s="39">
        <v>3856.2</v>
      </c>
      <c r="AP1376" s="39">
        <v>3874.95</v>
      </c>
      <c r="AQ1376" s="39">
        <v>3868.84</v>
      </c>
      <c r="AR1376" s="39">
        <v>3874.95</v>
      </c>
    </row>
    <row r="1377" spans="1:44" x14ac:dyDescent="0.35">
      <c r="A1377" s="16" t="str">
        <f t="shared" si="112"/>
        <v>37</v>
      </c>
      <c r="B1377" s="19">
        <v>68395</v>
      </c>
      <c r="C1377" s="16" t="str">
        <f t="shared" si="113"/>
        <v>0000000</v>
      </c>
      <c r="D1377" s="17" t="s">
        <v>3663</v>
      </c>
      <c r="E1377" s="16" t="s">
        <v>2295</v>
      </c>
      <c r="F1377" s="16" t="s">
        <v>2047</v>
      </c>
      <c r="G1377" s="35" t="s">
        <v>2296</v>
      </c>
      <c r="H1377" s="39">
        <v>3339.5</v>
      </c>
      <c r="I1377" s="39">
        <v>3463.02</v>
      </c>
      <c r="J1377" s="39">
        <v>3642.74</v>
      </c>
      <c r="K1377" s="39">
        <v>0</v>
      </c>
      <c r="L1377" s="39">
        <v>0</v>
      </c>
      <c r="M1377" s="39">
        <v>0</v>
      </c>
      <c r="N1377" s="39">
        <v>0</v>
      </c>
      <c r="O1377" s="39">
        <v>0</v>
      </c>
      <c r="P1377" s="39">
        <v>0</v>
      </c>
      <c r="Q1377" s="39">
        <v>0</v>
      </c>
      <c r="R1377" s="39">
        <v>0</v>
      </c>
      <c r="S1377" s="39">
        <v>0</v>
      </c>
      <c r="T1377" s="39">
        <v>0</v>
      </c>
      <c r="U1377" s="39">
        <v>0</v>
      </c>
      <c r="V1377" s="39">
        <v>0</v>
      </c>
      <c r="W1377" s="39">
        <v>0</v>
      </c>
      <c r="X1377" s="39">
        <v>0</v>
      </c>
      <c r="Y1377" s="39">
        <v>0</v>
      </c>
      <c r="Z1377" s="39">
        <v>0</v>
      </c>
      <c r="AA1377" s="39">
        <v>0</v>
      </c>
      <c r="AB1377" s="39">
        <v>0</v>
      </c>
      <c r="AC1377" s="39">
        <v>1680.9</v>
      </c>
      <c r="AD1377" s="39">
        <v>1717.28</v>
      </c>
      <c r="AE1377" s="39">
        <v>1683.07</v>
      </c>
      <c r="AF1377" s="39">
        <v>0</v>
      </c>
      <c r="AG1377" s="39">
        <v>0</v>
      </c>
      <c r="AH1377" s="39">
        <v>0</v>
      </c>
      <c r="AI1377" s="39">
        <v>5020.3999999999996</v>
      </c>
      <c r="AJ1377" s="39">
        <v>5180.3</v>
      </c>
      <c r="AK1377" s="39">
        <v>5325.81</v>
      </c>
      <c r="AL1377" s="39">
        <v>0</v>
      </c>
      <c r="AM1377" s="39">
        <v>0</v>
      </c>
      <c r="AN1377" s="39">
        <v>0</v>
      </c>
      <c r="AO1377" s="39">
        <v>5020.3999999999996</v>
      </c>
      <c r="AP1377" s="39">
        <v>5180.3</v>
      </c>
      <c r="AQ1377" s="39">
        <v>5325.81</v>
      </c>
      <c r="AR1377" s="39">
        <v>5325.81</v>
      </c>
    </row>
    <row r="1378" spans="1:44" x14ac:dyDescent="0.35">
      <c r="A1378" s="16" t="str">
        <f t="shared" si="112"/>
        <v>37</v>
      </c>
      <c r="B1378" s="19">
        <v>68411</v>
      </c>
      <c r="C1378" s="16" t="str">
        <f t="shared" si="113"/>
        <v>0000000</v>
      </c>
      <c r="D1378" s="17" t="s">
        <v>3663</v>
      </c>
      <c r="E1378" s="16" t="s">
        <v>2299</v>
      </c>
      <c r="F1378" s="16" t="s">
        <v>2047</v>
      </c>
      <c r="G1378" s="35" t="s">
        <v>2300</v>
      </c>
      <c r="H1378" s="39">
        <v>31336</v>
      </c>
      <c r="I1378" s="39">
        <v>32079.61</v>
      </c>
      <c r="J1378" s="39">
        <v>32664.76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  <c r="AE1378" s="39">
        <v>0</v>
      </c>
      <c r="AF1378" s="39">
        <v>0</v>
      </c>
      <c r="AG1378" s="39">
        <v>0</v>
      </c>
      <c r="AH1378" s="39">
        <v>0</v>
      </c>
      <c r="AI1378" s="39">
        <v>31336</v>
      </c>
      <c r="AJ1378" s="39">
        <v>32079.61</v>
      </c>
      <c r="AK1378" s="39">
        <v>32664.76</v>
      </c>
      <c r="AL1378" s="39">
        <v>0</v>
      </c>
      <c r="AM1378" s="39">
        <v>0</v>
      </c>
      <c r="AN1378" s="39">
        <v>0</v>
      </c>
      <c r="AO1378" s="39">
        <v>31336</v>
      </c>
      <c r="AP1378" s="39">
        <v>32079.61</v>
      </c>
      <c r="AQ1378" s="39">
        <v>32664.76</v>
      </c>
      <c r="AR1378" s="39">
        <v>32664.76</v>
      </c>
    </row>
    <row r="1379" spans="1:44" x14ac:dyDescent="0.35">
      <c r="A1379" s="16" t="str">
        <f t="shared" si="112"/>
        <v>37</v>
      </c>
      <c r="B1379" s="19">
        <v>10371</v>
      </c>
      <c r="C1379" s="16" t="str">
        <f t="shared" si="113"/>
        <v>0000000</v>
      </c>
      <c r="D1379" s="17" t="s">
        <v>3663</v>
      </c>
      <c r="E1379" s="16" t="s">
        <v>2048</v>
      </c>
      <c r="F1379" s="16" t="s">
        <v>2049</v>
      </c>
      <c r="G1379" s="35" t="s">
        <v>2049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0</v>
      </c>
      <c r="AF1379" s="39">
        <v>0</v>
      </c>
      <c r="AG1379" s="39">
        <v>0</v>
      </c>
      <c r="AH1379" s="39">
        <v>0</v>
      </c>
      <c r="AI1379" s="39">
        <v>0</v>
      </c>
      <c r="AJ1379" s="39">
        <v>0</v>
      </c>
      <c r="AK1379" s="39">
        <v>0</v>
      </c>
      <c r="AL1379" s="39">
        <v>0</v>
      </c>
      <c r="AM1379" s="39">
        <v>0</v>
      </c>
      <c r="AN1379" s="39">
        <v>0</v>
      </c>
      <c r="AO1379" s="39">
        <v>0</v>
      </c>
      <c r="AP1379" s="39">
        <v>0</v>
      </c>
      <c r="AQ1379" s="39">
        <v>0</v>
      </c>
      <c r="AR1379" s="39">
        <v>0</v>
      </c>
    </row>
    <row r="1380" spans="1:44" x14ac:dyDescent="0.35">
      <c r="A1380" s="16" t="str">
        <f t="shared" si="112"/>
        <v>37</v>
      </c>
      <c r="B1380" s="19">
        <v>67983</v>
      </c>
      <c r="C1380" s="16" t="str">
        <f t="shared" si="113"/>
        <v>0000000</v>
      </c>
      <c r="D1380" s="17" t="s">
        <v>3663</v>
      </c>
      <c r="E1380" s="16" t="s">
        <v>2080</v>
      </c>
      <c r="F1380" s="16" t="s">
        <v>2049</v>
      </c>
      <c r="G1380" s="35" t="s">
        <v>2081</v>
      </c>
      <c r="H1380" s="39">
        <v>326.81</v>
      </c>
      <c r="I1380" s="39">
        <v>324.73</v>
      </c>
      <c r="J1380" s="39">
        <v>329.17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  <c r="AE1380" s="39">
        <v>0</v>
      </c>
      <c r="AF1380" s="39">
        <v>0</v>
      </c>
      <c r="AG1380" s="39">
        <v>0</v>
      </c>
      <c r="AH1380" s="39">
        <v>0</v>
      </c>
      <c r="AI1380" s="39">
        <v>326.81</v>
      </c>
      <c r="AJ1380" s="39">
        <v>324.73</v>
      </c>
      <c r="AK1380" s="39">
        <v>329.17</v>
      </c>
      <c r="AL1380" s="39">
        <v>0</v>
      </c>
      <c r="AM1380" s="39">
        <v>0</v>
      </c>
      <c r="AN1380" s="39">
        <v>0</v>
      </c>
      <c r="AO1380" s="39">
        <v>326.81</v>
      </c>
      <c r="AP1380" s="39">
        <v>324.73</v>
      </c>
      <c r="AQ1380" s="39">
        <v>329.17</v>
      </c>
      <c r="AR1380" s="39">
        <v>329.17</v>
      </c>
    </row>
    <row r="1381" spans="1:44" x14ac:dyDescent="0.35">
      <c r="A1381" s="16" t="str">
        <f t="shared" si="112"/>
        <v>37</v>
      </c>
      <c r="B1381" s="19">
        <v>68098</v>
      </c>
      <c r="C1381" s="16" t="str">
        <f t="shared" si="113"/>
        <v>0000000</v>
      </c>
      <c r="D1381" s="17" t="s">
        <v>3663</v>
      </c>
      <c r="E1381" s="16" t="s">
        <v>2112</v>
      </c>
      <c r="F1381" s="16" t="s">
        <v>2049</v>
      </c>
      <c r="G1381" s="35" t="s">
        <v>2113</v>
      </c>
      <c r="H1381" s="39">
        <v>12735.07</v>
      </c>
      <c r="I1381" s="39">
        <v>12957.76</v>
      </c>
      <c r="J1381" s="39">
        <v>12813.04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  <c r="W1381" s="39">
        <v>0</v>
      </c>
      <c r="X1381" s="39">
        <v>0</v>
      </c>
      <c r="Y1381" s="39">
        <v>0</v>
      </c>
      <c r="Z1381" s="39">
        <v>0</v>
      </c>
      <c r="AA1381" s="39">
        <v>0</v>
      </c>
      <c r="AB1381" s="39">
        <v>0</v>
      </c>
      <c r="AC1381" s="39">
        <v>1303.5899999999999</v>
      </c>
      <c r="AD1381" s="39">
        <v>1275.3599999999999</v>
      </c>
      <c r="AE1381" s="39">
        <v>1278.96</v>
      </c>
      <c r="AF1381" s="39">
        <v>0</v>
      </c>
      <c r="AG1381" s="39">
        <v>0</v>
      </c>
      <c r="AH1381" s="39">
        <v>0</v>
      </c>
      <c r="AI1381" s="39">
        <v>14038.66</v>
      </c>
      <c r="AJ1381" s="39">
        <v>14233.12</v>
      </c>
      <c r="AK1381" s="39">
        <v>14092</v>
      </c>
      <c r="AL1381" s="39">
        <v>0</v>
      </c>
      <c r="AM1381" s="39">
        <v>0</v>
      </c>
      <c r="AN1381" s="39">
        <v>0</v>
      </c>
      <c r="AO1381" s="39">
        <v>14038.66</v>
      </c>
      <c r="AP1381" s="39">
        <v>14233.12</v>
      </c>
      <c r="AQ1381" s="39">
        <v>14092</v>
      </c>
      <c r="AR1381" s="39">
        <v>14233.12</v>
      </c>
    </row>
    <row r="1382" spans="1:44" x14ac:dyDescent="0.35">
      <c r="A1382" s="16" t="str">
        <f t="shared" si="112"/>
        <v>37</v>
      </c>
      <c r="B1382" s="19">
        <v>68106</v>
      </c>
      <c r="C1382" s="16" t="str">
        <f t="shared" si="113"/>
        <v>0000000</v>
      </c>
      <c r="D1382" s="17" t="s">
        <v>3663</v>
      </c>
      <c r="E1382" s="16" t="s">
        <v>2117</v>
      </c>
      <c r="F1382" s="16" t="s">
        <v>2049</v>
      </c>
      <c r="G1382" s="35" t="s">
        <v>2118</v>
      </c>
      <c r="H1382" s="39">
        <v>5791.31</v>
      </c>
      <c r="I1382" s="39">
        <v>5990.35</v>
      </c>
      <c r="J1382" s="39">
        <v>6196.06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905.82</v>
      </c>
      <c r="AD1382" s="39">
        <v>907.64</v>
      </c>
      <c r="AE1382" s="39">
        <v>901.71</v>
      </c>
      <c r="AF1382" s="39">
        <v>0</v>
      </c>
      <c r="AG1382" s="39">
        <v>0</v>
      </c>
      <c r="AH1382" s="39">
        <v>0</v>
      </c>
      <c r="AI1382" s="39">
        <v>6697.13</v>
      </c>
      <c r="AJ1382" s="39">
        <v>6897.99</v>
      </c>
      <c r="AK1382" s="39">
        <v>7097.77</v>
      </c>
      <c r="AL1382" s="39">
        <v>0</v>
      </c>
      <c r="AM1382" s="39">
        <v>0</v>
      </c>
      <c r="AN1382" s="39">
        <v>0</v>
      </c>
      <c r="AO1382" s="39">
        <v>6697.13</v>
      </c>
      <c r="AP1382" s="39">
        <v>6897.99</v>
      </c>
      <c r="AQ1382" s="39">
        <v>7097.77</v>
      </c>
      <c r="AR1382" s="39">
        <v>7097.77</v>
      </c>
    </row>
    <row r="1383" spans="1:44" x14ac:dyDescent="0.35">
      <c r="A1383" s="16" t="str">
        <f t="shared" si="112"/>
        <v>37</v>
      </c>
      <c r="B1383" s="19">
        <v>68163</v>
      </c>
      <c r="C1383" s="16" t="str">
        <f t="shared" si="113"/>
        <v>0000000</v>
      </c>
      <c r="D1383" s="17" t="s">
        <v>3663</v>
      </c>
      <c r="E1383" s="16" t="s">
        <v>2134</v>
      </c>
      <c r="F1383" s="16" t="s">
        <v>2049</v>
      </c>
      <c r="G1383" s="35" t="s">
        <v>2135</v>
      </c>
      <c r="H1383" s="39">
        <v>285.60000000000002</v>
      </c>
      <c r="I1383" s="39">
        <v>247.32</v>
      </c>
      <c r="J1383" s="39">
        <v>254.48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v>0</v>
      </c>
      <c r="AB1383" s="39">
        <v>0</v>
      </c>
      <c r="AC1383" s="39">
        <v>763.52</v>
      </c>
      <c r="AD1383" s="39">
        <v>515.04</v>
      </c>
      <c r="AE1383" s="39">
        <v>380.73</v>
      </c>
      <c r="AF1383" s="39">
        <v>0</v>
      </c>
      <c r="AG1383" s="39">
        <v>0</v>
      </c>
      <c r="AH1383" s="39">
        <v>0</v>
      </c>
      <c r="AI1383" s="39">
        <v>1049.1199999999999</v>
      </c>
      <c r="AJ1383" s="39">
        <v>762.36</v>
      </c>
      <c r="AK1383" s="39">
        <v>635.21</v>
      </c>
      <c r="AL1383" s="39">
        <v>0</v>
      </c>
      <c r="AM1383" s="39">
        <v>0</v>
      </c>
      <c r="AN1383" s="39">
        <v>0</v>
      </c>
      <c r="AO1383" s="39">
        <v>1049.1199999999999</v>
      </c>
      <c r="AP1383" s="39">
        <v>762.36</v>
      </c>
      <c r="AQ1383" s="39">
        <v>635.21</v>
      </c>
      <c r="AR1383" s="39">
        <v>1049.1199999999999</v>
      </c>
    </row>
    <row r="1384" spans="1:44" x14ac:dyDescent="0.35">
      <c r="A1384" s="16" t="str">
        <f t="shared" si="112"/>
        <v>37</v>
      </c>
      <c r="B1384" s="19">
        <v>68304</v>
      </c>
      <c r="C1384" s="16" t="str">
        <f t="shared" si="113"/>
        <v>0000000</v>
      </c>
      <c r="D1384" s="17" t="s">
        <v>3663</v>
      </c>
      <c r="E1384" s="16" t="s">
        <v>2171</v>
      </c>
      <c r="F1384" s="16" t="s">
        <v>2049</v>
      </c>
      <c r="G1384" s="35" t="s">
        <v>2172</v>
      </c>
      <c r="H1384" s="39">
        <v>4572.9399999999996</v>
      </c>
      <c r="I1384" s="39">
        <v>4699.8500000000004</v>
      </c>
      <c r="J1384" s="39">
        <v>4636.6099999999997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  <c r="W1384" s="39">
        <v>0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  <c r="AE1384" s="39">
        <v>0</v>
      </c>
      <c r="AF1384" s="39">
        <v>0</v>
      </c>
      <c r="AG1384" s="39">
        <v>0</v>
      </c>
      <c r="AH1384" s="39">
        <v>0</v>
      </c>
      <c r="AI1384" s="39">
        <v>4572.9399999999996</v>
      </c>
      <c r="AJ1384" s="39">
        <v>4699.8500000000004</v>
      </c>
      <c r="AK1384" s="39">
        <v>4636.6099999999997</v>
      </c>
      <c r="AL1384" s="39">
        <v>0</v>
      </c>
      <c r="AM1384" s="39">
        <v>0</v>
      </c>
      <c r="AN1384" s="39">
        <v>0</v>
      </c>
      <c r="AO1384" s="39">
        <v>4572.9399999999996</v>
      </c>
      <c r="AP1384" s="39">
        <v>4699.8500000000004</v>
      </c>
      <c r="AQ1384" s="39">
        <v>4636.6099999999997</v>
      </c>
      <c r="AR1384" s="39">
        <v>4699.8500000000004</v>
      </c>
    </row>
    <row r="1385" spans="1:44" x14ac:dyDescent="0.35">
      <c r="A1385" s="16" t="str">
        <f t="shared" si="112"/>
        <v>37</v>
      </c>
      <c r="B1385" s="19">
        <v>75614</v>
      </c>
      <c r="C1385" s="16" t="str">
        <f t="shared" si="113"/>
        <v>0000000</v>
      </c>
      <c r="D1385" s="17" t="s">
        <v>3663</v>
      </c>
      <c r="E1385" s="16" t="s">
        <v>2346</v>
      </c>
      <c r="F1385" s="16" t="s">
        <v>2049</v>
      </c>
      <c r="G1385" s="35" t="s">
        <v>2347</v>
      </c>
      <c r="H1385" s="39">
        <v>3296.42</v>
      </c>
      <c r="I1385" s="39">
        <v>3366.42</v>
      </c>
      <c r="J1385" s="39">
        <v>3369.14</v>
      </c>
      <c r="K1385" s="39">
        <v>0</v>
      </c>
      <c r="L1385" s="39">
        <v>0</v>
      </c>
      <c r="M1385" s="39">
        <v>0</v>
      </c>
      <c r="N1385" s="39">
        <v>0</v>
      </c>
      <c r="O1385" s="39">
        <v>0</v>
      </c>
      <c r="P1385" s="39">
        <v>0</v>
      </c>
      <c r="Q1385" s="39">
        <v>0</v>
      </c>
      <c r="R1385" s="39">
        <v>0</v>
      </c>
      <c r="S1385" s="39">
        <v>0</v>
      </c>
      <c r="T1385" s="39">
        <v>0</v>
      </c>
      <c r="U1385" s="39">
        <v>0</v>
      </c>
      <c r="V1385" s="39">
        <v>0</v>
      </c>
      <c r="W1385" s="39">
        <v>0</v>
      </c>
      <c r="X1385" s="39">
        <v>0</v>
      </c>
      <c r="Y1385" s="39">
        <v>0</v>
      </c>
      <c r="Z1385" s="39">
        <v>0</v>
      </c>
      <c r="AA1385" s="39">
        <v>0</v>
      </c>
      <c r="AB1385" s="39">
        <v>0</v>
      </c>
      <c r="AC1385" s="39">
        <v>0</v>
      </c>
      <c r="AD1385" s="39">
        <v>0</v>
      </c>
      <c r="AE1385" s="39">
        <v>0</v>
      </c>
      <c r="AF1385" s="39">
        <v>0</v>
      </c>
      <c r="AG1385" s="39">
        <v>0</v>
      </c>
      <c r="AH1385" s="39">
        <v>0</v>
      </c>
      <c r="AI1385" s="39">
        <v>3296.42</v>
      </c>
      <c r="AJ1385" s="39">
        <v>3366.42</v>
      </c>
      <c r="AK1385" s="39">
        <v>3369.14</v>
      </c>
      <c r="AL1385" s="39">
        <v>0</v>
      </c>
      <c r="AM1385" s="39">
        <v>0</v>
      </c>
      <c r="AN1385" s="39">
        <v>0</v>
      </c>
      <c r="AO1385" s="39">
        <v>3296.42</v>
      </c>
      <c r="AP1385" s="39">
        <v>3366.42</v>
      </c>
      <c r="AQ1385" s="39">
        <v>3369.14</v>
      </c>
      <c r="AR1385" s="39">
        <v>3369.14</v>
      </c>
    </row>
    <row r="1386" spans="1:44" x14ac:dyDescent="0.35">
      <c r="A1386" s="16" t="str">
        <f t="shared" si="112"/>
        <v>37</v>
      </c>
      <c r="B1386" s="19">
        <v>68353</v>
      </c>
      <c r="C1386" s="16" t="str">
        <f t="shared" si="113"/>
        <v>0000000</v>
      </c>
      <c r="D1386" s="17" t="s">
        <v>3663</v>
      </c>
      <c r="E1386" s="16" t="s">
        <v>2287</v>
      </c>
      <c r="F1386" s="16" t="s">
        <v>2049</v>
      </c>
      <c r="G1386" s="35" t="s">
        <v>2288</v>
      </c>
      <c r="H1386" s="39">
        <v>527.38</v>
      </c>
      <c r="I1386" s="39">
        <v>505.41</v>
      </c>
      <c r="J1386" s="39">
        <v>462.8</v>
      </c>
      <c r="K1386" s="39">
        <v>0</v>
      </c>
      <c r="L1386" s="39">
        <v>0</v>
      </c>
      <c r="M1386" s="39">
        <v>0</v>
      </c>
      <c r="N1386" s="39">
        <v>0</v>
      </c>
      <c r="O1386" s="39">
        <v>0</v>
      </c>
      <c r="P1386" s="39">
        <v>0</v>
      </c>
      <c r="Q1386" s="39">
        <v>0</v>
      </c>
      <c r="R1386" s="39">
        <v>0</v>
      </c>
      <c r="S1386" s="39">
        <v>0</v>
      </c>
      <c r="T1386" s="39">
        <v>0</v>
      </c>
      <c r="U1386" s="39">
        <v>0</v>
      </c>
      <c r="V1386" s="39">
        <v>0</v>
      </c>
      <c r="W1386" s="39">
        <v>0</v>
      </c>
      <c r="X1386" s="39">
        <v>0</v>
      </c>
      <c r="Y1386" s="39">
        <v>0</v>
      </c>
      <c r="Z1386" s="39">
        <v>0</v>
      </c>
      <c r="AA1386" s="39">
        <v>0</v>
      </c>
      <c r="AB1386" s="39">
        <v>0</v>
      </c>
      <c r="AC1386" s="39">
        <v>0</v>
      </c>
      <c r="AD1386" s="39">
        <v>0</v>
      </c>
      <c r="AE1386" s="39">
        <v>0</v>
      </c>
      <c r="AF1386" s="39">
        <v>0</v>
      </c>
      <c r="AG1386" s="39">
        <v>0</v>
      </c>
      <c r="AH1386" s="39">
        <v>0</v>
      </c>
      <c r="AI1386" s="39">
        <v>527.38</v>
      </c>
      <c r="AJ1386" s="39">
        <v>505.41</v>
      </c>
      <c r="AK1386" s="39">
        <v>462.8</v>
      </c>
      <c r="AL1386" s="39">
        <v>0</v>
      </c>
      <c r="AM1386" s="39">
        <v>0</v>
      </c>
      <c r="AN1386" s="39">
        <v>0</v>
      </c>
      <c r="AO1386" s="39">
        <v>527.38</v>
      </c>
      <c r="AP1386" s="39">
        <v>505.41</v>
      </c>
      <c r="AQ1386" s="39">
        <v>462.8</v>
      </c>
      <c r="AR1386" s="39">
        <v>527.38</v>
      </c>
    </row>
    <row r="1387" spans="1:44" x14ac:dyDescent="0.35">
      <c r="A1387" s="16" t="str">
        <f t="shared" si="112"/>
        <v>37</v>
      </c>
      <c r="B1387" s="19">
        <v>75416</v>
      </c>
      <c r="C1387" s="16" t="str">
        <f t="shared" si="113"/>
        <v>0000000</v>
      </c>
      <c r="D1387" s="17" t="s">
        <v>3663</v>
      </c>
      <c r="E1387" s="16" t="s">
        <v>2331</v>
      </c>
      <c r="F1387" s="16" t="s">
        <v>2049</v>
      </c>
      <c r="G1387" s="35" t="s">
        <v>2332</v>
      </c>
      <c r="H1387" s="39">
        <v>184.01</v>
      </c>
      <c r="I1387" s="39">
        <v>178.43</v>
      </c>
      <c r="J1387" s="39">
        <v>173.83</v>
      </c>
      <c r="K1387" s="39">
        <v>0</v>
      </c>
      <c r="L1387" s="39">
        <v>0</v>
      </c>
      <c r="M1387" s="39">
        <v>0</v>
      </c>
      <c r="N1387" s="39">
        <v>0</v>
      </c>
      <c r="O1387" s="39">
        <v>0</v>
      </c>
      <c r="P1387" s="39">
        <v>0</v>
      </c>
      <c r="Q1387" s="39">
        <v>0</v>
      </c>
      <c r="R1387" s="39">
        <v>0</v>
      </c>
      <c r="S1387" s="39">
        <v>0</v>
      </c>
      <c r="T1387" s="39">
        <v>0</v>
      </c>
      <c r="U1387" s="39">
        <v>0</v>
      </c>
      <c r="V1387" s="39">
        <v>0</v>
      </c>
      <c r="W1387" s="39">
        <v>0</v>
      </c>
      <c r="X1387" s="39">
        <v>0</v>
      </c>
      <c r="Y1387" s="39">
        <v>0</v>
      </c>
      <c r="Z1387" s="39">
        <v>0</v>
      </c>
      <c r="AA1387" s="39">
        <v>0</v>
      </c>
      <c r="AB1387" s="39">
        <v>0</v>
      </c>
      <c r="AC1387" s="39">
        <v>0</v>
      </c>
      <c r="AD1387" s="39">
        <v>0</v>
      </c>
      <c r="AE1387" s="39">
        <v>0</v>
      </c>
      <c r="AF1387" s="39">
        <v>0</v>
      </c>
      <c r="AG1387" s="39">
        <v>0</v>
      </c>
      <c r="AH1387" s="39">
        <v>0</v>
      </c>
      <c r="AI1387" s="39">
        <v>184.01</v>
      </c>
      <c r="AJ1387" s="39">
        <v>178.43</v>
      </c>
      <c r="AK1387" s="39">
        <v>173.83</v>
      </c>
      <c r="AL1387" s="39">
        <v>0</v>
      </c>
      <c r="AM1387" s="39">
        <v>0</v>
      </c>
      <c r="AN1387" s="39">
        <v>0</v>
      </c>
      <c r="AO1387" s="39">
        <v>184.01</v>
      </c>
      <c r="AP1387" s="39">
        <v>178.43</v>
      </c>
      <c r="AQ1387" s="39">
        <v>173.83</v>
      </c>
      <c r="AR1387" s="39">
        <v>184.01</v>
      </c>
    </row>
    <row r="1388" spans="1:44" x14ac:dyDescent="0.35">
      <c r="A1388" s="16" t="str">
        <f t="shared" si="112"/>
        <v>37</v>
      </c>
      <c r="B1388" s="19">
        <v>68171</v>
      </c>
      <c r="C1388" s="16" t="str">
        <f t="shared" si="113"/>
        <v>0000000</v>
      </c>
      <c r="D1388" s="17" t="s">
        <v>3663</v>
      </c>
      <c r="E1388" s="16" t="s">
        <v>2147</v>
      </c>
      <c r="F1388" s="16" t="s">
        <v>2049</v>
      </c>
      <c r="G1388" s="35" t="s">
        <v>2148</v>
      </c>
      <c r="H1388" s="39">
        <v>102.24</v>
      </c>
      <c r="I1388" s="39">
        <v>108.94</v>
      </c>
      <c r="J1388" s="39">
        <v>92.54</v>
      </c>
      <c r="K1388" s="39">
        <v>0</v>
      </c>
      <c r="L1388" s="39">
        <v>0</v>
      </c>
      <c r="M1388" s="39">
        <v>0</v>
      </c>
      <c r="N1388" s="39">
        <v>0</v>
      </c>
      <c r="O1388" s="39">
        <v>0</v>
      </c>
      <c r="P1388" s="39">
        <v>0</v>
      </c>
      <c r="Q1388" s="39">
        <v>0</v>
      </c>
      <c r="R1388" s="39">
        <v>0</v>
      </c>
      <c r="S1388" s="39">
        <v>0</v>
      </c>
      <c r="T1388" s="39">
        <v>0</v>
      </c>
      <c r="U1388" s="39">
        <v>0</v>
      </c>
      <c r="V1388" s="39">
        <v>0</v>
      </c>
      <c r="W1388" s="39">
        <v>0</v>
      </c>
      <c r="X1388" s="39">
        <v>0</v>
      </c>
      <c r="Y1388" s="39">
        <v>0</v>
      </c>
      <c r="Z1388" s="39">
        <v>0</v>
      </c>
      <c r="AA1388" s="39">
        <v>0</v>
      </c>
      <c r="AB1388" s="39">
        <v>0</v>
      </c>
      <c r="AC1388" s="39">
        <v>0</v>
      </c>
      <c r="AD1388" s="39">
        <v>0</v>
      </c>
      <c r="AE1388" s="39">
        <v>0</v>
      </c>
      <c r="AF1388" s="39">
        <v>0</v>
      </c>
      <c r="AG1388" s="39">
        <v>0</v>
      </c>
      <c r="AH1388" s="39">
        <v>0</v>
      </c>
      <c r="AI1388" s="39">
        <v>102.24</v>
      </c>
      <c r="AJ1388" s="39">
        <v>108.94</v>
      </c>
      <c r="AK1388" s="39">
        <v>92.54</v>
      </c>
      <c r="AL1388" s="39">
        <v>0</v>
      </c>
      <c r="AM1388" s="39">
        <v>0</v>
      </c>
      <c r="AN1388" s="39">
        <v>0</v>
      </c>
      <c r="AO1388" s="39">
        <v>102.24</v>
      </c>
      <c r="AP1388" s="39">
        <v>108.94</v>
      </c>
      <c r="AQ1388" s="39">
        <v>92.54</v>
      </c>
      <c r="AR1388" s="39">
        <v>108.94</v>
      </c>
    </row>
    <row r="1389" spans="1:44" x14ac:dyDescent="0.35">
      <c r="A1389" s="16" t="str">
        <f t="shared" si="112"/>
        <v>37</v>
      </c>
      <c r="B1389" s="19">
        <v>68403</v>
      </c>
      <c r="C1389" s="16" t="str">
        <f t="shared" si="113"/>
        <v>0000000</v>
      </c>
      <c r="D1389" s="17" t="s">
        <v>3663</v>
      </c>
      <c r="E1389" s="16" t="s">
        <v>2297</v>
      </c>
      <c r="F1389" s="16" t="s">
        <v>2049</v>
      </c>
      <c r="G1389" s="35" t="s">
        <v>2298</v>
      </c>
      <c r="H1389" s="39">
        <v>39.74</v>
      </c>
      <c r="I1389" s="39">
        <v>45.22</v>
      </c>
      <c r="J1389" s="39">
        <v>40.36</v>
      </c>
      <c r="K1389" s="39">
        <v>0</v>
      </c>
      <c r="L1389" s="39">
        <v>0</v>
      </c>
      <c r="M1389" s="39">
        <v>0</v>
      </c>
      <c r="N1389" s="39">
        <v>0</v>
      </c>
      <c r="O1389" s="39">
        <v>0</v>
      </c>
      <c r="P1389" s="39">
        <v>0</v>
      </c>
      <c r="Q1389" s="39">
        <v>0</v>
      </c>
      <c r="R1389" s="39">
        <v>0</v>
      </c>
      <c r="S1389" s="39">
        <v>0</v>
      </c>
      <c r="T1389" s="39">
        <v>0</v>
      </c>
      <c r="U1389" s="39">
        <v>0</v>
      </c>
      <c r="V1389" s="39">
        <v>0</v>
      </c>
      <c r="W1389" s="39">
        <v>0</v>
      </c>
      <c r="X1389" s="39">
        <v>0</v>
      </c>
      <c r="Y1389" s="39">
        <v>0</v>
      </c>
      <c r="Z1389" s="39">
        <v>0</v>
      </c>
      <c r="AA1389" s="39">
        <v>0</v>
      </c>
      <c r="AB1389" s="39">
        <v>0</v>
      </c>
      <c r="AC1389" s="39">
        <v>0</v>
      </c>
      <c r="AD1389" s="39">
        <v>0</v>
      </c>
      <c r="AE1389" s="39">
        <v>3387.76</v>
      </c>
      <c r="AF1389" s="39">
        <v>0</v>
      </c>
      <c r="AG1389" s="39">
        <v>0</v>
      </c>
      <c r="AH1389" s="39">
        <v>0</v>
      </c>
      <c r="AI1389" s="39">
        <v>39.74</v>
      </c>
      <c r="AJ1389" s="39">
        <v>45.22</v>
      </c>
      <c r="AK1389" s="39">
        <v>3428.12</v>
      </c>
      <c r="AL1389" s="39">
        <v>0</v>
      </c>
      <c r="AM1389" s="39">
        <v>0</v>
      </c>
      <c r="AN1389" s="39">
        <v>-3387.76</v>
      </c>
      <c r="AO1389" s="39">
        <v>39.74</v>
      </c>
      <c r="AP1389" s="39">
        <v>45.22</v>
      </c>
      <c r="AQ1389" s="39">
        <v>40.36</v>
      </c>
      <c r="AR1389" s="39">
        <v>45.22</v>
      </c>
    </row>
    <row r="1390" spans="1:44" x14ac:dyDescent="0.35">
      <c r="A1390" s="16" t="str">
        <f t="shared" si="112"/>
        <v>37</v>
      </c>
      <c r="B1390" s="19">
        <v>10371</v>
      </c>
      <c r="C1390" s="16" t="str">
        <f t="shared" si="113"/>
        <v>0000000</v>
      </c>
      <c r="D1390" s="17" t="s">
        <v>3663</v>
      </c>
      <c r="E1390" s="16" t="s">
        <v>2050</v>
      </c>
      <c r="F1390" s="16" t="s">
        <v>2051</v>
      </c>
      <c r="G1390" s="35" t="s">
        <v>2051</v>
      </c>
      <c r="H1390" s="39">
        <v>0</v>
      </c>
      <c r="I1390" s="39">
        <v>0</v>
      </c>
      <c r="J1390" s="39">
        <v>0</v>
      </c>
      <c r="K1390" s="39">
        <v>0</v>
      </c>
      <c r="L1390" s="39">
        <v>0</v>
      </c>
      <c r="M1390" s="39">
        <v>0</v>
      </c>
      <c r="N1390" s="39">
        <v>0</v>
      </c>
      <c r="O1390" s="39">
        <v>0</v>
      </c>
      <c r="P1390" s="39">
        <v>0</v>
      </c>
      <c r="Q1390" s="39">
        <v>0</v>
      </c>
      <c r="R1390" s="39">
        <v>0</v>
      </c>
      <c r="S1390" s="39">
        <v>0</v>
      </c>
      <c r="T1390" s="39">
        <v>0</v>
      </c>
      <c r="U1390" s="39">
        <v>0</v>
      </c>
      <c r="V1390" s="39">
        <v>0</v>
      </c>
      <c r="W1390" s="39">
        <v>0</v>
      </c>
      <c r="X1390" s="39">
        <v>0</v>
      </c>
      <c r="Y1390" s="39">
        <v>0</v>
      </c>
      <c r="Z1390" s="39">
        <v>0</v>
      </c>
      <c r="AA1390" s="39">
        <v>0</v>
      </c>
      <c r="AB1390" s="39">
        <v>0</v>
      </c>
      <c r="AC1390" s="39">
        <v>0</v>
      </c>
      <c r="AD1390" s="39">
        <v>0</v>
      </c>
      <c r="AE1390" s="39">
        <v>0</v>
      </c>
      <c r="AF1390" s="39">
        <v>0</v>
      </c>
      <c r="AG1390" s="39">
        <v>0</v>
      </c>
      <c r="AH1390" s="39">
        <v>0</v>
      </c>
      <c r="AI1390" s="39">
        <v>0</v>
      </c>
      <c r="AJ1390" s="39">
        <v>0</v>
      </c>
      <c r="AK1390" s="39">
        <v>0</v>
      </c>
      <c r="AL1390" s="39">
        <v>0</v>
      </c>
      <c r="AM1390" s="39">
        <v>0</v>
      </c>
      <c r="AN1390" s="39">
        <v>0</v>
      </c>
      <c r="AO1390" s="39">
        <v>0</v>
      </c>
      <c r="AP1390" s="39">
        <v>0</v>
      </c>
      <c r="AQ1390" s="39">
        <v>0</v>
      </c>
      <c r="AR1390" s="39">
        <v>0</v>
      </c>
    </row>
    <row r="1391" spans="1:44" x14ac:dyDescent="0.35">
      <c r="A1391" s="16" t="str">
        <f t="shared" si="112"/>
        <v>37</v>
      </c>
      <c r="B1391" s="19">
        <v>67967</v>
      </c>
      <c r="C1391" s="16" t="str">
        <f t="shared" si="113"/>
        <v>0000000</v>
      </c>
      <c r="D1391" s="17" t="s">
        <v>3663</v>
      </c>
      <c r="E1391" s="16" t="s">
        <v>2078</v>
      </c>
      <c r="F1391" s="16" t="s">
        <v>2051</v>
      </c>
      <c r="G1391" s="35" t="s">
        <v>2079</v>
      </c>
      <c r="H1391" s="39">
        <v>1331.97</v>
      </c>
      <c r="I1391" s="39">
        <v>1382.77</v>
      </c>
      <c r="J1391" s="39">
        <v>1380.21</v>
      </c>
      <c r="K1391" s="39">
        <v>0</v>
      </c>
      <c r="L1391" s="39">
        <v>0</v>
      </c>
      <c r="M1391" s="39">
        <v>0</v>
      </c>
      <c r="N1391" s="39">
        <v>0</v>
      </c>
      <c r="O1391" s="39">
        <v>0</v>
      </c>
      <c r="P1391" s="39">
        <v>0</v>
      </c>
      <c r="Q1391" s="39">
        <v>0</v>
      </c>
      <c r="R1391" s="39">
        <v>0</v>
      </c>
      <c r="S1391" s="39">
        <v>0</v>
      </c>
      <c r="T1391" s="39">
        <v>0</v>
      </c>
      <c r="U1391" s="39">
        <v>0</v>
      </c>
      <c r="V1391" s="39">
        <v>0</v>
      </c>
      <c r="W1391" s="39">
        <v>0</v>
      </c>
      <c r="X1391" s="39">
        <v>0</v>
      </c>
      <c r="Y1391" s="39">
        <v>0</v>
      </c>
      <c r="Z1391" s="39">
        <v>0</v>
      </c>
      <c r="AA1391" s="39">
        <v>0</v>
      </c>
      <c r="AB1391" s="39">
        <v>0</v>
      </c>
      <c r="AC1391" s="39">
        <v>0</v>
      </c>
      <c r="AD1391" s="39">
        <v>0</v>
      </c>
      <c r="AE1391" s="39">
        <v>0</v>
      </c>
      <c r="AF1391" s="39">
        <v>0</v>
      </c>
      <c r="AG1391" s="39">
        <v>0</v>
      </c>
      <c r="AH1391" s="39">
        <v>0</v>
      </c>
      <c r="AI1391" s="39">
        <v>1331.97</v>
      </c>
      <c r="AJ1391" s="39">
        <v>1382.77</v>
      </c>
      <c r="AK1391" s="39">
        <v>1380.21</v>
      </c>
      <c r="AL1391" s="39">
        <v>0</v>
      </c>
      <c r="AM1391" s="39">
        <v>0</v>
      </c>
      <c r="AN1391" s="39">
        <v>0</v>
      </c>
      <c r="AO1391" s="39">
        <v>1331.97</v>
      </c>
      <c r="AP1391" s="39">
        <v>1382.77</v>
      </c>
      <c r="AQ1391" s="39">
        <v>1380.21</v>
      </c>
      <c r="AR1391" s="39">
        <v>1382.77</v>
      </c>
    </row>
    <row r="1392" spans="1:44" x14ac:dyDescent="0.35">
      <c r="A1392" s="16" t="str">
        <f t="shared" si="112"/>
        <v>37</v>
      </c>
      <c r="B1392" s="19">
        <v>67991</v>
      </c>
      <c r="C1392" s="16" t="str">
        <f t="shared" si="113"/>
        <v>0000000</v>
      </c>
      <c r="D1392" s="17" t="s">
        <v>3663</v>
      </c>
      <c r="E1392" s="16" t="s">
        <v>2084</v>
      </c>
      <c r="F1392" s="16" t="s">
        <v>2051</v>
      </c>
      <c r="G1392" s="35" t="s">
        <v>2085</v>
      </c>
      <c r="H1392" s="39">
        <v>14936.85</v>
      </c>
      <c r="I1392" s="39">
        <v>14473.62</v>
      </c>
      <c r="J1392" s="39">
        <v>14037.65</v>
      </c>
      <c r="K1392" s="39">
        <v>0</v>
      </c>
      <c r="L1392" s="39">
        <v>0</v>
      </c>
      <c r="M1392" s="39">
        <v>0</v>
      </c>
      <c r="N1392" s="39">
        <v>0</v>
      </c>
      <c r="O1392" s="39">
        <v>0</v>
      </c>
      <c r="P1392" s="39">
        <v>0</v>
      </c>
      <c r="Q1392" s="39">
        <v>0</v>
      </c>
      <c r="R1392" s="39">
        <v>0</v>
      </c>
      <c r="S1392" s="39">
        <v>0</v>
      </c>
      <c r="T1392" s="39">
        <v>0</v>
      </c>
      <c r="U1392" s="39">
        <v>0</v>
      </c>
      <c r="V1392" s="39">
        <v>0</v>
      </c>
      <c r="W1392" s="39">
        <v>0</v>
      </c>
      <c r="X1392" s="39">
        <v>0</v>
      </c>
      <c r="Y1392" s="39">
        <v>0</v>
      </c>
      <c r="Z1392" s="39">
        <v>0</v>
      </c>
      <c r="AA1392" s="39">
        <v>0</v>
      </c>
      <c r="AB1392" s="39">
        <v>0</v>
      </c>
      <c r="AC1392" s="39">
        <v>2375.8000000000002</v>
      </c>
      <c r="AD1392" s="39">
        <v>2218.1799999999998</v>
      </c>
      <c r="AE1392" s="39">
        <v>2034.69</v>
      </c>
      <c r="AF1392" s="39">
        <v>0</v>
      </c>
      <c r="AG1392" s="39">
        <v>0</v>
      </c>
      <c r="AH1392" s="39">
        <v>0</v>
      </c>
      <c r="AI1392" s="39">
        <v>17312.650000000001</v>
      </c>
      <c r="AJ1392" s="39">
        <v>16691.8</v>
      </c>
      <c r="AK1392" s="39">
        <v>16072.34</v>
      </c>
      <c r="AL1392" s="39">
        <v>0</v>
      </c>
      <c r="AM1392" s="39">
        <v>0</v>
      </c>
      <c r="AN1392" s="39">
        <v>0</v>
      </c>
      <c r="AO1392" s="39">
        <v>17312.650000000001</v>
      </c>
      <c r="AP1392" s="39">
        <v>16691.8</v>
      </c>
      <c r="AQ1392" s="39">
        <v>16072.34</v>
      </c>
      <c r="AR1392" s="39">
        <v>17312.650000000001</v>
      </c>
    </row>
    <row r="1393" spans="1:44" x14ac:dyDescent="0.35">
      <c r="A1393" s="16" t="str">
        <f t="shared" si="112"/>
        <v>37</v>
      </c>
      <c r="B1393" s="19">
        <v>68049</v>
      </c>
      <c r="C1393" s="16" t="str">
        <f t="shared" si="113"/>
        <v>0000000</v>
      </c>
      <c r="D1393" s="17" t="s">
        <v>3663</v>
      </c>
      <c r="E1393" s="16" t="s">
        <v>2096</v>
      </c>
      <c r="F1393" s="16" t="s">
        <v>2051</v>
      </c>
      <c r="G1393" s="35" t="s">
        <v>2097</v>
      </c>
      <c r="H1393" s="39">
        <v>378.16</v>
      </c>
      <c r="I1393" s="39">
        <v>209.87</v>
      </c>
      <c r="J1393" s="39">
        <v>80.72</v>
      </c>
      <c r="K1393" s="39">
        <v>0</v>
      </c>
      <c r="L1393" s="39">
        <v>0</v>
      </c>
      <c r="M1393" s="39">
        <v>0</v>
      </c>
      <c r="N1393" s="39">
        <v>0</v>
      </c>
      <c r="O1393" s="39">
        <v>0</v>
      </c>
      <c r="P1393" s="39">
        <v>0</v>
      </c>
      <c r="Q1393" s="39">
        <v>0</v>
      </c>
      <c r="R1393" s="39">
        <v>0</v>
      </c>
      <c r="S1393" s="39">
        <v>0</v>
      </c>
      <c r="T1393" s="39">
        <v>0</v>
      </c>
      <c r="U1393" s="39">
        <v>0</v>
      </c>
      <c r="V1393" s="39">
        <v>0</v>
      </c>
      <c r="W1393" s="39">
        <v>0</v>
      </c>
      <c r="X1393" s="39">
        <v>0</v>
      </c>
      <c r="Y1393" s="39">
        <v>0</v>
      </c>
      <c r="Z1393" s="39">
        <v>0</v>
      </c>
      <c r="AA1393" s="39">
        <v>0</v>
      </c>
      <c r="AB1393" s="39">
        <v>0</v>
      </c>
      <c r="AC1393" s="39">
        <v>0</v>
      </c>
      <c r="AD1393" s="39">
        <v>0</v>
      </c>
      <c r="AE1393" s="39">
        <v>0</v>
      </c>
      <c r="AF1393" s="39">
        <v>0</v>
      </c>
      <c r="AG1393" s="39">
        <v>0</v>
      </c>
      <c r="AH1393" s="39">
        <v>0</v>
      </c>
      <c r="AI1393" s="39">
        <v>378.16</v>
      </c>
      <c r="AJ1393" s="39">
        <v>209.87</v>
      </c>
      <c r="AK1393" s="39">
        <v>80.72</v>
      </c>
      <c r="AL1393" s="39">
        <v>0</v>
      </c>
      <c r="AM1393" s="39">
        <v>0</v>
      </c>
      <c r="AN1393" s="39">
        <v>0</v>
      </c>
      <c r="AO1393" s="39">
        <v>378.16</v>
      </c>
      <c r="AP1393" s="39">
        <v>209.87</v>
      </c>
      <c r="AQ1393" s="39">
        <v>80.72</v>
      </c>
      <c r="AR1393" s="39">
        <v>378.16</v>
      </c>
    </row>
    <row r="1394" spans="1:44" x14ac:dyDescent="0.35">
      <c r="A1394" s="16" t="str">
        <f t="shared" si="112"/>
        <v>37</v>
      </c>
      <c r="B1394" s="19">
        <v>68130</v>
      </c>
      <c r="C1394" s="16" t="str">
        <f t="shared" si="113"/>
        <v>0000000</v>
      </c>
      <c r="D1394" s="17" t="s">
        <v>3663</v>
      </c>
      <c r="E1394" s="16" t="s">
        <v>2128</v>
      </c>
      <c r="F1394" s="16" t="s">
        <v>2051</v>
      </c>
      <c r="G1394" s="35" t="s">
        <v>2129</v>
      </c>
      <c r="H1394" s="39">
        <v>14934.27</v>
      </c>
      <c r="I1394" s="39">
        <v>14951.03</v>
      </c>
      <c r="J1394" s="39">
        <v>15080.05</v>
      </c>
      <c r="K1394" s="39">
        <v>0</v>
      </c>
      <c r="L1394" s="39">
        <v>0</v>
      </c>
      <c r="M1394" s="39">
        <v>0</v>
      </c>
      <c r="N1394" s="39">
        <v>0</v>
      </c>
      <c r="O1394" s="39">
        <v>0</v>
      </c>
      <c r="P1394" s="39">
        <v>0</v>
      </c>
      <c r="Q1394" s="39">
        <v>0</v>
      </c>
      <c r="R1394" s="39">
        <v>0</v>
      </c>
      <c r="S1394" s="39">
        <v>0</v>
      </c>
      <c r="T1394" s="39">
        <v>0</v>
      </c>
      <c r="U1394" s="39">
        <v>0</v>
      </c>
      <c r="V1394" s="39">
        <v>0</v>
      </c>
      <c r="W1394" s="39">
        <v>0</v>
      </c>
      <c r="X1394" s="39">
        <v>0</v>
      </c>
      <c r="Y1394" s="39">
        <v>0</v>
      </c>
      <c r="Z1394" s="39">
        <v>0</v>
      </c>
      <c r="AA1394" s="39">
        <v>0</v>
      </c>
      <c r="AB1394" s="39">
        <v>0</v>
      </c>
      <c r="AC1394" s="39">
        <v>4485.2700000000004</v>
      </c>
      <c r="AD1394" s="39">
        <v>4425.67</v>
      </c>
      <c r="AE1394" s="39">
        <v>4378.71</v>
      </c>
      <c r="AF1394" s="39">
        <v>0</v>
      </c>
      <c r="AG1394" s="39">
        <v>0</v>
      </c>
      <c r="AH1394" s="39">
        <v>0</v>
      </c>
      <c r="AI1394" s="39">
        <v>19419.54</v>
      </c>
      <c r="AJ1394" s="39">
        <v>19376.7</v>
      </c>
      <c r="AK1394" s="39">
        <v>19458.759999999998</v>
      </c>
      <c r="AL1394" s="39">
        <v>0</v>
      </c>
      <c r="AM1394" s="39">
        <v>0</v>
      </c>
      <c r="AN1394" s="39">
        <v>0</v>
      </c>
      <c r="AO1394" s="39">
        <v>19419.54</v>
      </c>
      <c r="AP1394" s="39">
        <v>19376.7</v>
      </c>
      <c r="AQ1394" s="39">
        <v>19458.759999999998</v>
      </c>
      <c r="AR1394" s="39">
        <v>19458.759999999998</v>
      </c>
    </row>
    <row r="1395" spans="1:44" x14ac:dyDescent="0.35">
      <c r="A1395" s="16" t="str">
        <f t="shared" si="112"/>
        <v>37</v>
      </c>
      <c r="B1395" s="19">
        <v>68155</v>
      </c>
      <c r="C1395" s="16" t="str">
        <f t="shared" si="113"/>
        <v>0000000</v>
      </c>
      <c r="D1395" s="17" t="s">
        <v>3663</v>
      </c>
      <c r="E1395" s="16" t="s">
        <v>2132</v>
      </c>
      <c r="F1395" s="16" t="s">
        <v>2051</v>
      </c>
      <c r="G1395" s="35" t="s">
        <v>2133</v>
      </c>
      <c r="H1395" s="39">
        <v>555.99</v>
      </c>
      <c r="I1395" s="39">
        <v>561.27</v>
      </c>
      <c r="J1395" s="39">
        <v>462.91</v>
      </c>
      <c r="K1395" s="39">
        <v>0</v>
      </c>
      <c r="L1395" s="39">
        <v>0</v>
      </c>
      <c r="M1395" s="39">
        <v>0</v>
      </c>
      <c r="N1395" s="39">
        <v>0</v>
      </c>
      <c r="O1395" s="39">
        <v>0</v>
      </c>
      <c r="P1395" s="39">
        <v>0</v>
      </c>
      <c r="Q1395" s="39">
        <v>0</v>
      </c>
      <c r="R1395" s="39">
        <v>0</v>
      </c>
      <c r="S1395" s="39">
        <v>0</v>
      </c>
      <c r="T1395" s="39">
        <v>0</v>
      </c>
      <c r="U1395" s="39">
        <v>0</v>
      </c>
      <c r="V1395" s="39">
        <v>0</v>
      </c>
      <c r="W1395" s="39">
        <v>0</v>
      </c>
      <c r="X1395" s="39">
        <v>0</v>
      </c>
      <c r="Y1395" s="39">
        <v>0</v>
      </c>
      <c r="Z1395" s="39">
        <v>0</v>
      </c>
      <c r="AA1395" s="39">
        <v>0</v>
      </c>
      <c r="AB1395" s="39">
        <v>0</v>
      </c>
      <c r="AC1395" s="39">
        <v>199.34</v>
      </c>
      <c r="AD1395" s="39">
        <v>180.98</v>
      </c>
      <c r="AE1395" s="39">
        <v>172.61</v>
      </c>
      <c r="AF1395" s="39">
        <v>0</v>
      </c>
      <c r="AG1395" s="39">
        <v>0</v>
      </c>
      <c r="AH1395" s="39">
        <v>0</v>
      </c>
      <c r="AI1395" s="39">
        <v>755.33</v>
      </c>
      <c r="AJ1395" s="39">
        <v>742.25</v>
      </c>
      <c r="AK1395" s="39">
        <v>635.52</v>
      </c>
      <c r="AL1395" s="39">
        <v>0</v>
      </c>
      <c r="AM1395" s="39">
        <v>0</v>
      </c>
      <c r="AN1395" s="39">
        <v>0</v>
      </c>
      <c r="AO1395" s="39">
        <v>755.33</v>
      </c>
      <c r="AP1395" s="39">
        <v>742.25</v>
      </c>
      <c r="AQ1395" s="39">
        <v>635.52</v>
      </c>
      <c r="AR1395" s="39">
        <v>755.33</v>
      </c>
    </row>
    <row r="1396" spans="1:44" x14ac:dyDescent="0.35">
      <c r="A1396" s="16" t="str">
        <f t="shared" si="112"/>
        <v>37</v>
      </c>
      <c r="B1396" s="19">
        <v>68197</v>
      </c>
      <c r="C1396" s="16" t="str">
        <f t="shared" si="113"/>
        <v>0000000</v>
      </c>
      <c r="D1396" s="17" t="s">
        <v>3663</v>
      </c>
      <c r="E1396" s="16" t="s">
        <v>2153</v>
      </c>
      <c r="F1396" s="16" t="s">
        <v>2051</v>
      </c>
      <c r="G1396" s="35" t="s">
        <v>2154</v>
      </c>
      <c r="H1396" s="39">
        <v>9765.36</v>
      </c>
      <c r="I1396" s="39">
        <v>9923.4500000000007</v>
      </c>
      <c r="J1396" s="39">
        <v>9967.68</v>
      </c>
      <c r="K1396" s="39">
        <v>0</v>
      </c>
      <c r="L1396" s="39">
        <v>0</v>
      </c>
      <c r="M1396" s="39">
        <v>0</v>
      </c>
      <c r="N1396" s="39">
        <v>0</v>
      </c>
      <c r="O1396" s="39">
        <v>0</v>
      </c>
      <c r="P1396" s="39">
        <v>0</v>
      </c>
      <c r="Q1396" s="39">
        <v>0</v>
      </c>
      <c r="R1396" s="39">
        <v>0</v>
      </c>
      <c r="S1396" s="39">
        <v>0</v>
      </c>
      <c r="T1396" s="39">
        <v>0</v>
      </c>
      <c r="U1396" s="39">
        <v>0</v>
      </c>
      <c r="V1396" s="39">
        <v>0</v>
      </c>
      <c r="W1396" s="39">
        <v>0</v>
      </c>
      <c r="X1396" s="39">
        <v>0</v>
      </c>
      <c r="Y1396" s="39">
        <v>0</v>
      </c>
      <c r="Z1396" s="39">
        <v>0</v>
      </c>
      <c r="AA1396" s="39">
        <v>0</v>
      </c>
      <c r="AB1396" s="39">
        <v>0</v>
      </c>
      <c r="AC1396" s="39">
        <v>157.35</v>
      </c>
      <c r="AD1396" s="39">
        <v>319.45</v>
      </c>
      <c r="AE1396" s="39">
        <v>367.73</v>
      </c>
      <c r="AF1396" s="39">
        <v>0</v>
      </c>
      <c r="AG1396" s="39">
        <v>0</v>
      </c>
      <c r="AH1396" s="39">
        <v>0</v>
      </c>
      <c r="AI1396" s="39">
        <v>9922.7099999999991</v>
      </c>
      <c r="AJ1396" s="39">
        <v>10242.9</v>
      </c>
      <c r="AK1396" s="39">
        <v>10335.41</v>
      </c>
      <c r="AL1396" s="39">
        <v>0</v>
      </c>
      <c r="AM1396" s="39">
        <v>0</v>
      </c>
      <c r="AN1396" s="39">
        <v>0</v>
      </c>
      <c r="AO1396" s="39">
        <v>9922.7099999999991</v>
      </c>
      <c r="AP1396" s="39">
        <v>10242.9</v>
      </c>
      <c r="AQ1396" s="39">
        <v>10335.41</v>
      </c>
      <c r="AR1396" s="39">
        <v>10335.41</v>
      </c>
    </row>
    <row r="1397" spans="1:44" x14ac:dyDescent="0.35">
      <c r="A1397" s="16" t="str">
        <f t="shared" si="112"/>
        <v>37</v>
      </c>
      <c r="B1397" s="19">
        <v>68189</v>
      </c>
      <c r="C1397" s="16" t="str">
        <f t="shared" si="113"/>
        <v>0000000</v>
      </c>
      <c r="D1397" s="17" t="s">
        <v>3663</v>
      </c>
      <c r="E1397" s="16" t="s">
        <v>2149</v>
      </c>
      <c r="F1397" s="16" t="s">
        <v>2051</v>
      </c>
      <c r="G1397" s="35" t="s">
        <v>777</v>
      </c>
      <c r="H1397" s="39">
        <v>4217.6499999999996</v>
      </c>
      <c r="I1397" s="39">
        <v>4251.09</v>
      </c>
      <c r="J1397" s="39">
        <v>4189.68</v>
      </c>
      <c r="K1397" s="39">
        <v>0</v>
      </c>
      <c r="L1397" s="39">
        <v>0</v>
      </c>
      <c r="M1397" s="39">
        <v>0</v>
      </c>
      <c r="N1397" s="39">
        <v>0</v>
      </c>
      <c r="O1397" s="39">
        <v>0</v>
      </c>
      <c r="P1397" s="39">
        <v>0</v>
      </c>
      <c r="Q1397" s="39">
        <v>0</v>
      </c>
      <c r="R1397" s="39">
        <v>0</v>
      </c>
      <c r="S1397" s="39">
        <v>0</v>
      </c>
      <c r="T1397" s="39">
        <v>0</v>
      </c>
      <c r="U1397" s="39">
        <v>0</v>
      </c>
      <c r="V1397" s="39">
        <v>0</v>
      </c>
      <c r="W1397" s="39">
        <v>0</v>
      </c>
      <c r="X1397" s="39">
        <v>0</v>
      </c>
      <c r="Y1397" s="39">
        <v>0</v>
      </c>
      <c r="Z1397" s="39">
        <v>0</v>
      </c>
      <c r="AA1397" s="39">
        <v>0</v>
      </c>
      <c r="AB1397" s="39">
        <v>0</v>
      </c>
      <c r="AC1397" s="39">
        <v>228.71</v>
      </c>
      <c r="AD1397" s="39">
        <v>220.67</v>
      </c>
      <c r="AE1397" s="39">
        <v>225.28</v>
      </c>
      <c r="AF1397" s="39">
        <v>0</v>
      </c>
      <c r="AG1397" s="39">
        <v>0</v>
      </c>
      <c r="AH1397" s="39">
        <v>0</v>
      </c>
      <c r="AI1397" s="39">
        <v>4446.3599999999997</v>
      </c>
      <c r="AJ1397" s="39">
        <v>4471.76</v>
      </c>
      <c r="AK1397" s="39">
        <v>4414.96</v>
      </c>
      <c r="AL1397" s="39">
        <v>0</v>
      </c>
      <c r="AM1397" s="39">
        <v>0</v>
      </c>
      <c r="AN1397" s="39">
        <v>0</v>
      </c>
      <c r="AO1397" s="39">
        <v>4446.3599999999997</v>
      </c>
      <c r="AP1397" s="39">
        <v>4471.76</v>
      </c>
      <c r="AQ1397" s="39">
        <v>4414.96</v>
      </c>
      <c r="AR1397" s="39">
        <v>4471.76</v>
      </c>
    </row>
    <row r="1398" spans="1:44" x14ac:dyDescent="0.35">
      <c r="A1398" s="16" t="str">
        <f t="shared" si="112"/>
        <v>37</v>
      </c>
      <c r="B1398" s="19">
        <v>68205</v>
      </c>
      <c r="C1398" s="16" t="str">
        <f t="shared" si="113"/>
        <v>0000000</v>
      </c>
      <c r="D1398" s="17" t="s">
        <v>3663</v>
      </c>
      <c r="E1398" s="16" t="s">
        <v>2155</v>
      </c>
      <c r="F1398" s="16" t="s">
        <v>2051</v>
      </c>
      <c r="G1398" s="35" t="s">
        <v>2156</v>
      </c>
      <c r="H1398" s="39">
        <v>2821.02</v>
      </c>
      <c r="I1398" s="39">
        <v>2851.03</v>
      </c>
      <c r="J1398" s="39">
        <v>2905.88</v>
      </c>
      <c r="K1398" s="39">
        <v>0</v>
      </c>
      <c r="L1398" s="39">
        <v>0</v>
      </c>
      <c r="M1398" s="39">
        <v>0</v>
      </c>
      <c r="N1398" s="39">
        <v>0</v>
      </c>
      <c r="O1398" s="39">
        <v>0</v>
      </c>
      <c r="P1398" s="39">
        <v>0</v>
      </c>
      <c r="Q1398" s="39">
        <v>0</v>
      </c>
      <c r="R1398" s="39">
        <v>0</v>
      </c>
      <c r="S1398" s="39">
        <v>0</v>
      </c>
      <c r="T1398" s="39">
        <v>0</v>
      </c>
      <c r="U1398" s="39">
        <v>0</v>
      </c>
      <c r="V1398" s="39">
        <v>0</v>
      </c>
      <c r="W1398" s="39">
        <v>0</v>
      </c>
      <c r="X1398" s="39">
        <v>0</v>
      </c>
      <c r="Y1398" s="39">
        <v>0</v>
      </c>
      <c r="Z1398" s="39">
        <v>0</v>
      </c>
      <c r="AA1398" s="39">
        <v>0</v>
      </c>
      <c r="AB1398" s="39">
        <v>0</v>
      </c>
      <c r="AC1398" s="39">
        <v>0</v>
      </c>
      <c r="AD1398" s="39">
        <v>0</v>
      </c>
      <c r="AE1398" s="39">
        <v>0</v>
      </c>
      <c r="AF1398" s="39">
        <v>0</v>
      </c>
      <c r="AG1398" s="39">
        <v>0</v>
      </c>
      <c r="AH1398" s="39">
        <v>0</v>
      </c>
      <c r="AI1398" s="39">
        <v>2821.02</v>
      </c>
      <c r="AJ1398" s="39">
        <v>2851.03</v>
      </c>
      <c r="AK1398" s="39">
        <v>2905.88</v>
      </c>
      <c r="AL1398" s="39">
        <v>0</v>
      </c>
      <c r="AM1398" s="39">
        <v>0</v>
      </c>
      <c r="AN1398" s="39">
        <v>0</v>
      </c>
      <c r="AO1398" s="39">
        <v>2821.02</v>
      </c>
      <c r="AP1398" s="39">
        <v>2851.03</v>
      </c>
      <c r="AQ1398" s="39">
        <v>2905.88</v>
      </c>
      <c r="AR1398" s="39">
        <v>2905.88</v>
      </c>
    </row>
    <row r="1399" spans="1:44" x14ac:dyDescent="0.35">
      <c r="A1399" s="16" t="str">
        <f t="shared" si="112"/>
        <v>37</v>
      </c>
      <c r="B1399" s="19">
        <v>68213</v>
      </c>
      <c r="C1399" s="16" t="str">
        <f t="shared" si="113"/>
        <v>0000000</v>
      </c>
      <c r="D1399" s="17" t="s">
        <v>3663</v>
      </c>
      <c r="E1399" s="16" t="s">
        <v>2157</v>
      </c>
      <c r="F1399" s="16" t="s">
        <v>2051</v>
      </c>
      <c r="G1399" s="35" t="s">
        <v>2158</v>
      </c>
      <c r="H1399" s="39">
        <v>1565.98</v>
      </c>
      <c r="I1399" s="39">
        <v>1681.25</v>
      </c>
      <c r="J1399" s="39">
        <v>1633.57</v>
      </c>
      <c r="K1399" s="39">
        <v>0</v>
      </c>
      <c r="L1399" s="39">
        <v>0</v>
      </c>
      <c r="M1399" s="39">
        <v>0</v>
      </c>
      <c r="N1399" s="39">
        <v>0</v>
      </c>
      <c r="O1399" s="39">
        <v>0</v>
      </c>
      <c r="P1399" s="39">
        <v>0</v>
      </c>
      <c r="Q1399" s="39">
        <v>0</v>
      </c>
      <c r="R1399" s="39">
        <v>0</v>
      </c>
      <c r="S1399" s="39">
        <v>0</v>
      </c>
      <c r="T1399" s="39">
        <v>0</v>
      </c>
      <c r="U1399" s="39">
        <v>0</v>
      </c>
      <c r="V1399" s="39">
        <v>0</v>
      </c>
      <c r="W1399" s="39">
        <v>0</v>
      </c>
      <c r="X1399" s="39">
        <v>0</v>
      </c>
      <c r="Y1399" s="39">
        <v>0</v>
      </c>
      <c r="Z1399" s="39">
        <v>0</v>
      </c>
      <c r="AA1399" s="39">
        <v>0</v>
      </c>
      <c r="AB1399" s="39">
        <v>0</v>
      </c>
      <c r="AC1399" s="39">
        <v>396.77</v>
      </c>
      <c r="AD1399" s="39">
        <v>412.18</v>
      </c>
      <c r="AE1399" s="39">
        <v>398.33</v>
      </c>
      <c r="AF1399" s="39">
        <v>0</v>
      </c>
      <c r="AG1399" s="39">
        <v>0</v>
      </c>
      <c r="AH1399" s="39">
        <v>0</v>
      </c>
      <c r="AI1399" s="39">
        <v>1962.75</v>
      </c>
      <c r="AJ1399" s="39">
        <v>2093.4299999999998</v>
      </c>
      <c r="AK1399" s="39">
        <v>2031.9</v>
      </c>
      <c r="AL1399" s="39">
        <v>0</v>
      </c>
      <c r="AM1399" s="39">
        <v>0</v>
      </c>
      <c r="AN1399" s="39">
        <v>0</v>
      </c>
      <c r="AO1399" s="39">
        <v>1962.75</v>
      </c>
      <c r="AP1399" s="39">
        <v>2093.4299999999998</v>
      </c>
      <c r="AQ1399" s="39">
        <v>2031.9</v>
      </c>
      <c r="AR1399" s="39">
        <v>2093.4299999999998</v>
      </c>
    </row>
    <row r="1400" spans="1:44" x14ac:dyDescent="0.35">
      <c r="A1400" s="16" t="str">
        <f t="shared" si="112"/>
        <v>37</v>
      </c>
      <c r="B1400" s="19">
        <v>68361</v>
      </c>
      <c r="C1400" s="16" t="str">
        <f t="shared" si="113"/>
        <v>0000000</v>
      </c>
      <c r="D1400" s="17" t="s">
        <v>3663</v>
      </c>
      <c r="E1400" s="16" t="s">
        <v>2289</v>
      </c>
      <c r="F1400" s="16" t="s">
        <v>2051</v>
      </c>
      <c r="G1400" s="35" t="s">
        <v>2290</v>
      </c>
      <c r="H1400" s="39">
        <v>5700.23</v>
      </c>
      <c r="I1400" s="39">
        <v>5748.83</v>
      </c>
      <c r="J1400" s="39">
        <v>5721.54</v>
      </c>
      <c r="K1400" s="39">
        <v>0</v>
      </c>
      <c r="L1400" s="39">
        <v>0</v>
      </c>
      <c r="M1400" s="39">
        <v>0</v>
      </c>
      <c r="N1400" s="39">
        <v>0</v>
      </c>
      <c r="O1400" s="39">
        <v>0</v>
      </c>
      <c r="P1400" s="39">
        <v>0</v>
      </c>
      <c r="Q1400" s="39">
        <v>0</v>
      </c>
      <c r="R1400" s="39">
        <v>0</v>
      </c>
      <c r="S1400" s="39">
        <v>0</v>
      </c>
      <c r="T1400" s="39">
        <v>0</v>
      </c>
      <c r="U1400" s="39">
        <v>0</v>
      </c>
      <c r="V1400" s="39">
        <v>0</v>
      </c>
      <c r="W1400" s="39">
        <v>0</v>
      </c>
      <c r="X1400" s="39">
        <v>0</v>
      </c>
      <c r="Y1400" s="39">
        <v>0</v>
      </c>
      <c r="Z1400" s="39">
        <v>0</v>
      </c>
      <c r="AA1400" s="39">
        <v>0</v>
      </c>
      <c r="AB1400" s="39">
        <v>0</v>
      </c>
      <c r="AC1400" s="39">
        <v>0</v>
      </c>
      <c r="AD1400" s="39">
        <v>0</v>
      </c>
      <c r="AE1400" s="39">
        <v>0</v>
      </c>
      <c r="AF1400" s="39">
        <v>0</v>
      </c>
      <c r="AG1400" s="39">
        <v>0</v>
      </c>
      <c r="AH1400" s="39">
        <v>0</v>
      </c>
      <c r="AI1400" s="39">
        <v>5700.23</v>
      </c>
      <c r="AJ1400" s="39">
        <v>5748.83</v>
      </c>
      <c r="AK1400" s="39">
        <v>5721.54</v>
      </c>
      <c r="AL1400" s="39">
        <v>0</v>
      </c>
      <c r="AM1400" s="39">
        <v>0</v>
      </c>
      <c r="AN1400" s="39">
        <v>0</v>
      </c>
      <c r="AO1400" s="39">
        <v>5700.23</v>
      </c>
      <c r="AP1400" s="39">
        <v>5748.83</v>
      </c>
      <c r="AQ1400" s="39">
        <v>5721.54</v>
      </c>
      <c r="AR1400" s="39">
        <v>5748.83</v>
      </c>
    </row>
    <row r="1401" spans="1:44" x14ac:dyDescent="0.35">
      <c r="A1401" s="16" t="str">
        <f t="shared" si="112"/>
        <v>37</v>
      </c>
      <c r="B1401" s="19">
        <v>68189</v>
      </c>
      <c r="C1401" s="16" t="str">
        <f>TEXT(6120901,"0000000")</f>
        <v>6120901</v>
      </c>
      <c r="D1401" s="17" t="s">
        <v>2152</v>
      </c>
      <c r="E1401" s="16" t="s">
        <v>2150</v>
      </c>
      <c r="F1401" s="16" t="s">
        <v>2051</v>
      </c>
      <c r="G1401" s="35" t="s">
        <v>2151</v>
      </c>
      <c r="H1401" s="39">
        <v>0</v>
      </c>
      <c r="I1401" s="39">
        <v>0</v>
      </c>
      <c r="J1401" s="39">
        <v>0</v>
      </c>
      <c r="K1401" s="39">
        <v>0</v>
      </c>
      <c r="L1401" s="39">
        <v>0</v>
      </c>
      <c r="M1401" s="39">
        <v>0</v>
      </c>
      <c r="N1401" s="39">
        <v>0</v>
      </c>
      <c r="O1401" s="39">
        <v>0</v>
      </c>
      <c r="P1401" s="39">
        <v>0</v>
      </c>
      <c r="Q1401" s="39">
        <v>0</v>
      </c>
      <c r="R1401" s="39">
        <v>0</v>
      </c>
      <c r="S1401" s="39">
        <v>0</v>
      </c>
      <c r="T1401" s="39">
        <v>0</v>
      </c>
      <c r="U1401" s="39">
        <v>0</v>
      </c>
      <c r="V1401" s="39">
        <v>0</v>
      </c>
      <c r="W1401" s="39">
        <v>0</v>
      </c>
      <c r="X1401" s="39">
        <v>0</v>
      </c>
      <c r="Y1401" s="39">
        <v>0</v>
      </c>
      <c r="Z1401" s="39">
        <v>0</v>
      </c>
      <c r="AA1401" s="39">
        <v>0</v>
      </c>
      <c r="AB1401" s="39">
        <v>0</v>
      </c>
      <c r="AC1401" s="39">
        <v>79.31</v>
      </c>
      <c r="AD1401" s="39">
        <v>76.5</v>
      </c>
      <c r="AE1401" s="39">
        <v>72.790000000000006</v>
      </c>
      <c r="AF1401" s="39">
        <v>0</v>
      </c>
      <c r="AG1401" s="39">
        <v>0</v>
      </c>
      <c r="AH1401" s="39">
        <v>0</v>
      </c>
      <c r="AI1401" s="39">
        <v>79.31</v>
      </c>
      <c r="AJ1401" s="39">
        <v>76.5</v>
      </c>
      <c r="AK1401" s="39">
        <v>72.790000000000006</v>
      </c>
      <c r="AL1401" s="39">
        <v>0</v>
      </c>
      <c r="AM1401" s="39">
        <v>0</v>
      </c>
      <c r="AN1401" s="39">
        <v>0</v>
      </c>
      <c r="AO1401" s="39">
        <v>79.31</v>
      </c>
      <c r="AP1401" s="39">
        <v>76.5</v>
      </c>
      <c r="AQ1401" s="39">
        <v>72.790000000000006</v>
      </c>
      <c r="AR1401" s="39">
        <v>79.31</v>
      </c>
    </row>
    <row r="1402" spans="1:44" x14ac:dyDescent="0.35">
      <c r="A1402" s="16" t="str">
        <f t="shared" ref="A1402:A1419" si="114">TEXT(31,"00")</f>
        <v>31</v>
      </c>
      <c r="B1402" s="19">
        <v>10314</v>
      </c>
      <c r="C1402" s="16" t="str">
        <f t="shared" ref="C1402:C1418" si="115">TEXT(,"0000000")</f>
        <v>0000000</v>
      </c>
      <c r="D1402" s="17" t="s">
        <v>3663</v>
      </c>
      <c r="E1402" s="16" t="s">
        <v>1625</v>
      </c>
      <c r="F1402" s="16" t="s">
        <v>1626</v>
      </c>
      <c r="G1402" s="35" t="s">
        <v>1626</v>
      </c>
      <c r="H1402" s="39">
        <v>0</v>
      </c>
      <c r="I1402" s="39">
        <v>0</v>
      </c>
      <c r="J1402" s="39">
        <v>0</v>
      </c>
      <c r="K1402" s="39">
        <v>0</v>
      </c>
      <c r="L1402" s="39">
        <v>0</v>
      </c>
      <c r="M1402" s="39">
        <v>0</v>
      </c>
      <c r="N1402" s="39">
        <v>0</v>
      </c>
      <c r="O1402" s="39">
        <v>0</v>
      </c>
      <c r="P1402" s="39">
        <v>0</v>
      </c>
      <c r="Q1402" s="39">
        <v>0</v>
      </c>
      <c r="R1402" s="39">
        <v>0</v>
      </c>
      <c r="S1402" s="39">
        <v>0</v>
      </c>
      <c r="T1402" s="39">
        <v>53.08</v>
      </c>
      <c r="U1402" s="39">
        <v>56.15</v>
      </c>
      <c r="V1402" s="39">
        <v>73.38</v>
      </c>
      <c r="W1402" s="39">
        <v>362.35</v>
      </c>
      <c r="X1402" s="39">
        <v>367.41</v>
      </c>
      <c r="Y1402" s="39">
        <v>346.48</v>
      </c>
      <c r="Z1402" s="39">
        <v>0</v>
      </c>
      <c r="AA1402" s="39">
        <v>0</v>
      </c>
      <c r="AB1402" s="39">
        <v>0</v>
      </c>
      <c r="AC1402" s="39">
        <v>0</v>
      </c>
      <c r="AD1402" s="39">
        <v>0</v>
      </c>
      <c r="AE1402" s="39">
        <v>0</v>
      </c>
      <c r="AF1402" s="39">
        <v>0</v>
      </c>
      <c r="AG1402" s="39">
        <v>0</v>
      </c>
      <c r="AH1402" s="39">
        <v>0</v>
      </c>
      <c r="AI1402" s="39">
        <v>415.43</v>
      </c>
      <c r="AJ1402" s="39">
        <v>423.56</v>
      </c>
      <c r="AK1402" s="39">
        <v>419.86</v>
      </c>
      <c r="AL1402" s="39">
        <v>0</v>
      </c>
      <c r="AM1402" s="39">
        <v>0</v>
      </c>
      <c r="AN1402" s="39">
        <v>0</v>
      </c>
      <c r="AO1402" s="39">
        <v>415.43</v>
      </c>
      <c r="AP1402" s="39">
        <v>423.56</v>
      </c>
      <c r="AQ1402" s="39">
        <v>419.86</v>
      </c>
      <c r="AR1402" s="39">
        <v>423.56</v>
      </c>
    </row>
    <row r="1403" spans="1:44" x14ac:dyDescent="0.35">
      <c r="A1403" s="16" t="str">
        <f t="shared" si="114"/>
        <v>31</v>
      </c>
      <c r="B1403" s="19">
        <v>66761</v>
      </c>
      <c r="C1403" s="16" t="str">
        <f t="shared" si="115"/>
        <v>0000000</v>
      </c>
      <c r="D1403" s="17" t="s">
        <v>3663</v>
      </c>
      <c r="E1403" s="16" t="s">
        <v>1627</v>
      </c>
      <c r="F1403" s="16" t="s">
        <v>1626</v>
      </c>
      <c r="G1403" s="35" t="s">
        <v>1628</v>
      </c>
      <c r="H1403" s="39">
        <v>0</v>
      </c>
      <c r="I1403" s="39">
        <v>0</v>
      </c>
      <c r="J1403" s="39">
        <v>0</v>
      </c>
      <c r="K1403" s="39">
        <v>0</v>
      </c>
      <c r="L1403" s="39">
        <v>0</v>
      </c>
      <c r="M1403" s="39">
        <v>0</v>
      </c>
      <c r="N1403" s="39">
        <v>0</v>
      </c>
      <c r="O1403" s="39">
        <v>0</v>
      </c>
      <c r="P1403" s="39">
        <v>0</v>
      </c>
      <c r="Q1403" s="39">
        <v>0</v>
      </c>
      <c r="R1403" s="39">
        <v>0</v>
      </c>
      <c r="S1403" s="39">
        <v>0</v>
      </c>
      <c r="T1403" s="39">
        <v>0</v>
      </c>
      <c r="U1403" s="39">
        <v>0</v>
      </c>
      <c r="V1403" s="39">
        <v>0</v>
      </c>
      <c r="W1403" s="39">
        <v>0</v>
      </c>
      <c r="X1403" s="39">
        <v>0</v>
      </c>
      <c r="Y1403" s="39">
        <v>0</v>
      </c>
      <c r="Z1403" s="39">
        <v>0</v>
      </c>
      <c r="AA1403" s="39">
        <v>0</v>
      </c>
      <c r="AB1403" s="39">
        <v>0</v>
      </c>
      <c r="AC1403" s="39">
        <v>575.12</v>
      </c>
      <c r="AD1403" s="39">
        <v>571.67999999999995</v>
      </c>
      <c r="AE1403" s="39">
        <v>559.59</v>
      </c>
      <c r="AF1403" s="39">
        <v>0</v>
      </c>
      <c r="AG1403" s="39">
        <v>0</v>
      </c>
      <c r="AH1403" s="39">
        <v>0</v>
      </c>
      <c r="AI1403" s="39">
        <v>575.12</v>
      </c>
      <c r="AJ1403" s="39">
        <v>571.67999999999995</v>
      </c>
      <c r="AK1403" s="39">
        <v>559.59</v>
      </c>
      <c r="AL1403" s="39">
        <v>0</v>
      </c>
      <c r="AM1403" s="39">
        <v>0</v>
      </c>
      <c r="AN1403" s="39">
        <v>0</v>
      </c>
      <c r="AO1403" s="39">
        <v>575.12</v>
      </c>
      <c r="AP1403" s="39">
        <v>571.67999999999995</v>
      </c>
      <c r="AQ1403" s="39">
        <v>559.59</v>
      </c>
      <c r="AR1403" s="39">
        <v>575.12</v>
      </c>
    </row>
    <row r="1404" spans="1:44" x14ac:dyDescent="0.35">
      <c r="A1404" s="16" t="str">
        <f t="shared" si="114"/>
        <v>31</v>
      </c>
      <c r="B1404" s="19">
        <v>66779</v>
      </c>
      <c r="C1404" s="16" t="str">
        <f t="shared" si="115"/>
        <v>0000000</v>
      </c>
      <c r="D1404" s="17" t="s">
        <v>3663</v>
      </c>
      <c r="E1404" s="16" t="s">
        <v>1629</v>
      </c>
      <c r="F1404" s="16" t="s">
        <v>1626</v>
      </c>
      <c r="G1404" s="35" t="s">
        <v>1630</v>
      </c>
      <c r="H1404" s="39">
        <v>92.72</v>
      </c>
      <c r="I1404" s="39">
        <v>84.7</v>
      </c>
      <c r="J1404" s="39">
        <v>82.63</v>
      </c>
      <c r="K1404" s="39">
        <v>0</v>
      </c>
      <c r="L1404" s="39">
        <v>0</v>
      </c>
      <c r="M1404" s="39">
        <v>0</v>
      </c>
      <c r="N1404" s="39">
        <v>0</v>
      </c>
      <c r="O1404" s="39">
        <v>0</v>
      </c>
      <c r="P1404" s="39">
        <v>0</v>
      </c>
      <c r="Q1404" s="39">
        <v>0</v>
      </c>
      <c r="R1404" s="39">
        <v>0</v>
      </c>
      <c r="S1404" s="39">
        <v>0</v>
      </c>
      <c r="T1404" s="39">
        <v>0</v>
      </c>
      <c r="U1404" s="39">
        <v>0</v>
      </c>
      <c r="V1404" s="39">
        <v>0</v>
      </c>
      <c r="W1404" s="39">
        <v>0</v>
      </c>
      <c r="X1404" s="39">
        <v>0</v>
      </c>
      <c r="Y1404" s="39">
        <v>0</v>
      </c>
      <c r="Z1404" s="39">
        <v>0</v>
      </c>
      <c r="AA1404" s="39">
        <v>0</v>
      </c>
      <c r="AB1404" s="39">
        <v>0</v>
      </c>
      <c r="AC1404" s="39">
        <v>0</v>
      </c>
      <c r="AD1404" s="39">
        <v>0</v>
      </c>
      <c r="AE1404" s="39">
        <v>0</v>
      </c>
      <c r="AF1404" s="39">
        <v>0</v>
      </c>
      <c r="AG1404" s="39">
        <v>0</v>
      </c>
      <c r="AH1404" s="39">
        <v>0</v>
      </c>
      <c r="AI1404" s="39">
        <v>92.72</v>
      </c>
      <c r="AJ1404" s="39">
        <v>84.7</v>
      </c>
      <c r="AK1404" s="39">
        <v>82.63</v>
      </c>
      <c r="AL1404" s="39">
        <v>0</v>
      </c>
      <c r="AM1404" s="39">
        <v>0</v>
      </c>
      <c r="AN1404" s="39">
        <v>0</v>
      </c>
      <c r="AO1404" s="39">
        <v>92.72</v>
      </c>
      <c r="AP1404" s="39">
        <v>84.7</v>
      </c>
      <c r="AQ1404" s="39">
        <v>82.63</v>
      </c>
      <c r="AR1404" s="39">
        <v>92.72</v>
      </c>
    </row>
    <row r="1405" spans="1:44" x14ac:dyDescent="0.35">
      <c r="A1405" s="16" t="str">
        <f t="shared" si="114"/>
        <v>31</v>
      </c>
      <c r="B1405" s="19">
        <v>66787</v>
      </c>
      <c r="C1405" s="16" t="str">
        <f t="shared" si="115"/>
        <v>0000000</v>
      </c>
      <c r="D1405" s="17" t="s">
        <v>3663</v>
      </c>
      <c r="E1405" s="16" t="s">
        <v>1631</v>
      </c>
      <c r="F1405" s="16" t="s">
        <v>1626</v>
      </c>
      <c r="G1405" s="35" t="s">
        <v>1632</v>
      </c>
      <c r="H1405" s="39">
        <v>1259.8800000000001</v>
      </c>
      <c r="I1405" s="39">
        <v>1332.77</v>
      </c>
      <c r="J1405" s="39">
        <v>1312.1</v>
      </c>
      <c r="K1405" s="39">
        <v>0</v>
      </c>
      <c r="L1405" s="39">
        <v>0</v>
      </c>
      <c r="M1405" s="39">
        <v>0</v>
      </c>
      <c r="N1405" s="39">
        <v>0</v>
      </c>
      <c r="O1405" s="39">
        <v>0</v>
      </c>
      <c r="P1405" s="39">
        <v>0</v>
      </c>
      <c r="Q1405" s="39">
        <v>0</v>
      </c>
      <c r="R1405" s="39">
        <v>0</v>
      </c>
      <c r="S1405" s="39">
        <v>0</v>
      </c>
      <c r="T1405" s="39">
        <v>0</v>
      </c>
      <c r="U1405" s="39">
        <v>0</v>
      </c>
      <c r="V1405" s="39">
        <v>0</v>
      </c>
      <c r="W1405" s="39">
        <v>0</v>
      </c>
      <c r="X1405" s="39">
        <v>0</v>
      </c>
      <c r="Y1405" s="39">
        <v>0</v>
      </c>
      <c r="Z1405" s="39">
        <v>0</v>
      </c>
      <c r="AA1405" s="39">
        <v>0</v>
      </c>
      <c r="AB1405" s="39">
        <v>0</v>
      </c>
      <c r="AC1405" s="39">
        <v>0</v>
      </c>
      <c r="AD1405" s="39">
        <v>0</v>
      </c>
      <c r="AE1405" s="39">
        <v>97.55</v>
      </c>
      <c r="AF1405" s="39">
        <v>0</v>
      </c>
      <c r="AG1405" s="39">
        <v>0</v>
      </c>
      <c r="AH1405" s="39">
        <v>0</v>
      </c>
      <c r="AI1405" s="39">
        <v>1259.8800000000001</v>
      </c>
      <c r="AJ1405" s="39">
        <v>1332.77</v>
      </c>
      <c r="AK1405" s="39">
        <v>1409.65</v>
      </c>
      <c r="AL1405" s="39">
        <v>0</v>
      </c>
      <c r="AM1405" s="39">
        <v>0</v>
      </c>
      <c r="AN1405" s="39">
        <v>0</v>
      </c>
      <c r="AO1405" s="39">
        <v>1259.8800000000001</v>
      </c>
      <c r="AP1405" s="39">
        <v>1332.77</v>
      </c>
      <c r="AQ1405" s="39">
        <v>1409.65</v>
      </c>
      <c r="AR1405" s="39">
        <v>1409.65</v>
      </c>
    </row>
    <row r="1406" spans="1:44" x14ac:dyDescent="0.35">
      <c r="A1406" s="16" t="str">
        <f t="shared" si="114"/>
        <v>31</v>
      </c>
      <c r="B1406" s="19">
        <v>66795</v>
      </c>
      <c r="C1406" s="16" t="str">
        <f t="shared" si="115"/>
        <v>0000000</v>
      </c>
      <c r="D1406" s="17" t="s">
        <v>3663</v>
      </c>
      <c r="E1406" s="16" t="s">
        <v>1633</v>
      </c>
      <c r="F1406" s="16" t="s">
        <v>1626</v>
      </c>
      <c r="G1406" s="35" t="s">
        <v>1634</v>
      </c>
      <c r="H1406" s="39">
        <v>316.95</v>
      </c>
      <c r="I1406" s="39">
        <v>319.44</v>
      </c>
      <c r="J1406" s="39">
        <v>311.27</v>
      </c>
      <c r="K1406" s="39">
        <v>0</v>
      </c>
      <c r="L1406" s="39">
        <v>0</v>
      </c>
      <c r="M1406" s="39">
        <v>0</v>
      </c>
      <c r="N1406" s="39">
        <v>0</v>
      </c>
      <c r="O1406" s="39">
        <v>0</v>
      </c>
      <c r="P1406" s="39">
        <v>0</v>
      </c>
      <c r="Q1406" s="39">
        <v>0</v>
      </c>
      <c r="R1406" s="39">
        <v>0</v>
      </c>
      <c r="S1406" s="39">
        <v>0</v>
      </c>
      <c r="T1406" s="39">
        <v>0</v>
      </c>
      <c r="U1406" s="39">
        <v>0</v>
      </c>
      <c r="V1406" s="39">
        <v>0</v>
      </c>
      <c r="W1406" s="39">
        <v>0</v>
      </c>
      <c r="X1406" s="39">
        <v>0</v>
      </c>
      <c r="Y1406" s="39">
        <v>0</v>
      </c>
      <c r="Z1406" s="39">
        <v>0</v>
      </c>
      <c r="AA1406" s="39">
        <v>0</v>
      </c>
      <c r="AB1406" s="39">
        <v>0</v>
      </c>
      <c r="AC1406" s="39">
        <v>0</v>
      </c>
      <c r="AD1406" s="39">
        <v>0</v>
      </c>
      <c r="AE1406" s="39">
        <v>0</v>
      </c>
      <c r="AF1406" s="39">
        <v>0</v>
      </c>
      <c r="AG1406" s="39">
        <v>0</v>
      </c>
      <c r="AH1406" s="39">
        <v>0</v>
      </c>
      <c r="AI1406" s="39">
        <v>316.95</v>
      </c>
      <c r="AJ1406" s="39">
        <v>319.44</v>
      </c>
      <c r="AK1406" s="39">
        <v>311.27</v>
      </c>
      <c r="AL1406" s="39">
        <v>0</v>
      </c>
      <c r="AM1406" s="39">
        <v>0</v>
      </c>
      <c r="AN1406" s="39">
        <v>0</v>
      </c>
      <c r="AO1406" s="39">
        <v>316.95</v>
      </c>
      <c r="AP1406" s="39">
        <v>319.44</v>
      </c>
      <c r="AQ1406" s="39">
        <v>311.27</v>
      </c>
      <c r="AR1406" s="39">
        <v>319.44</v>
      </c>
    </row>
    <row r="1407" spans="1:44" x14ac:dyDescent="0.35">
      <c r="A1407" s="16" t="str">
        <f t="shared" si="114"/>
        <v>31</v>
      </c>
      <c r="B1407" s="19">
        <v>66803</v>
      </c>
      <c r="C1407" s="16" t="str">
        <f t="shared" si="115"/>
        <v>0000000</v>
      </c>
      <c r="D1407" s="17" t="s">
        <v>3663</v>
      </c>
      <c r="E1407" s="16" t="s">
        <v>1635</v>
      </c>
      <c r="F1407" s="16" t="s">
        <v>1626</v>
      </c>
      <c r="G1407" s="35" t="s">
        <v>1636</v>
      </c>
      <c r="H1407" s="39">
        <v>6445.72</v>
      </c>
      <c r="I1407" s="39">
        <v>6401.93</v>
      </c>
      <c r="J1407" s="39">
        <v>6194.74</v>
      </c>
      <c r="K1407" s="39">
        <v>0</v>
      </c>
      <c r="L1407" s="39">
        <v>0</v>
      </c>
      <c r="M1407" s="39">
        <v>0</v>
      </c>
      <c r="N1407" s="39">
        <v>0</v>
      </c>
      <c r="O1407" s="39">
        <v>0</v>
      </c>
      <c r="P1407" s="39">
        <v>0</v>
      </c>
      <c r="Q1407" s="39">
        <v>0</v>
      </c>
      <c r="R1407" s="39">
        <v>0</v>
      </c>
      <c r="S1407" s="39">
        <v>0</v>
      </c>
      <c r="T1407" s="39">
        <v>0</v>
      </c>
      <c r="U1407" s="39">
        <v>0</v>
      </c>
      <c r="V1407" s="39">
        <v>0</v>
      </c>
      <c r="W1407" s="39">
        <v>0</v>
      </c>
      <c r="X1407" s="39">
        <v>0</v>
      </c>
      <c r="Y1407" s="39">
        <v>0</v>
      </c>
      <c r="Z1407" s="39">
        <v>0</v>
      </c>
      <c r="AA1407" s="39">
        <v>0</v>
      </c>
      <c r="AB1407" s="39">
        <v>0</v>
      </c>
      <c r="AC1407" s="39">
        <v>0</v>
      </c>
      <c r="AD1407" s="39">
        <v>0</v>
      </c>
      <c r="AE1407" s="39">
        <v>0</v>
      </c>
      <c r="AF1407" s="39">
        <v>0</v>
      </c>
      <c r="AG1407" s="39">
        <v>0</v>
      </c>
      <c r="AH1407" s="39">
        <v>0</v>
      </c>
      <c r="AI1407" s="39">
        <v>6445.72</v>
      </c>
      <c r="AJ1407" s="39">
        <v>6401.93</v>
      </c>
      <c r="AK1407" s="39">
        <v>6194.74</v>
      </c>
      <c r="AL1407" s="39">
        <v>0</v>
      </c>
      <c r="AM1407" s="39">
        <v>0</v>
      </c>
      <c r="AN1407" s="39">
        <v>0</v>
      </c>
      <c r="AO1407" s="39">
        <v>6445.72</v>
      </c>
      <c r="AP1407" s="39">
        <v>6401.93</v>
      </c>
      <c r="AQ1407" s="39">
        <v>6194.74</v>
      </c>
      <c r="AR1407" s="39">
        <v>6445.72</v>
      </c>
    </row>
    <row r="1408" spans="1:44" x14ac:dyDescent="0.35">
      <c r="A1408" s="16" t="str">
        <f t="shared" si="114"/>
        <v>31</v>
      </c>
      <c r="B1408" s="19">
        <v>66829</v>
      </c>
      <c r="C1408" s="16" t="str">
        <f t="shared" si="115"/>
        <v>0000000</v>
      </c>
      <c r="D1408" s="17" t="s">
        <v>3663</v>
      </c>
      <c r="E1408" s="16" t="s">
        <v>1637</v>
      </c>
      <c r="F1408" s="16" t="s">
        <v>1626</v>
      </c>
      <c r="G1408" s="35" t="s">
        <v>1638</v>
      </c>
      <c r="H1408" s="39">
        <v>3326.99</v>
      </c>
      <c r="I1408" s="39">
        <v>3177.48</v>
      </c>
      <c r="J1408" s="39">
        <v>3009.91</v>
      </c>
      <c r="K1408" s="39">
        <v>0</v>
      </c>
      <c r="L1408" s="39">
        <v>0</v>
      </c>
      <c r="M1408" s="39">
        <v>0</v>
      </c>
      <c r="N1408" s="39">
        <v>0</v>
      </c>
      <c r="O1408" s="39">
        <v>0</v>
      </c>
      <c r="P1408" s="39">
        <v>0</v>
      </c>
      <c r="Q1408" s="39">
        <v>0</v>
      </c>
      <c r="R1408" s="39">
        <v>0</v>
      </c>
      <c r="S1408" s="39">
        <v>0</v>
      </c>
      <c r="T1408" s="39">
        <v>0</v>
      </c>
      <c r="U1408" s="39">
        <v>0</v>
      </c>
      <c r="V1408" s="39">
        <v>0</v>
      </c>
      <c r="W1408" s="39">
        <v>0</v>
      </c>
      <c r="X1408" s="39">
        <v>0</v>
      </c>
      <c r="Y1408" s="39">
        <v>0</v>
      </c>
      <c r="Z1408" s="39">
        <v>0</v>
      </c>
      <c r="AA1408" s="39">
        <v>0</v>
      </c>
      <c r="AB1408" s="39">
        <v>0</v>
      </c>
      <c r="AC1408" s="39">
        <v>0</v>
      </c>
      <c r="AD1408" s="39">
        <v>0</v>
      </c>
      <c r="AE1408" s="39">
        <v>0</v>
      </c>
      <c r="AF1408" s="39">
        <v>0</v>
      </c>
      <c r="AG1408" s="39">
        <v>0</v>
      </c>
      <c r="AH1408" s="39">
        <v>0</v>
      </c>
      <c r="AI1408" s="39">
        <v>3326.99</v>
      </c>
      <c r="AJ1408" s="39">
        <v>3177.48</v>
      </c>
      <c r="AK1408" s="39">
        <v>3009.91</v>
      </c>
      <c r="AL1408" s="39">
        <v>0</v>
      </c>
      <c r="AM1408" s="39">
        <v>0</v>
      </c>
      <c r="AN1408" s="39">
        <v>0</v>
      </c>
      <c r="AO1408" s="39">
        <v>3326.99</v>
      </c>
      <c r="AP1408" s="39">
        <v>3177.48</v>
      </c>
      <c r="AQ1408" s="39">
        <v>3009.91</v>
      </c>
      <c r="AR1408" s="39">
        <v>3326.99</v>
      </c>
    </row>
    <row r="1409" spans="1:44" x14ac:dyDescent="0.35">
      <c r="A1409" s="16" t="str">
        <f t="shared" si="114"/>
        <v>31</v>
      </c>
      <c r="B1409" s="19">
        <v>66837</v>
      </c>
      <c r="C1409" s="16" t="str">
        <f t="shared" si="115"/>
        <v>0000000</v>
      </c>
      <c r="D1409" s="17" t="s">
        <v>3663</v>
      </c>
      <c r="E1409" s="16" t="s">
        <v>1639</v>
      </c>
      <c r="F1409" s="16" t="s">
        <v>1626</v>
      </c>
      <c r="G1409" s="35" t="s">
        <v>1640</v>
      </c>
      <c r="H1409" s="39">
        <v>442.57</v>
      </c>
      <c r="I1409" s="39">
        <v>440.8</v>
      </c>
      <c r="J1409" s="39">
        <v>406.01</v>
      </c>
      <c r="K1409" s="39">
        <v>0</v>
      </c>
      <c r="L1409" s="39">
        <v>0</v>
      </c>
      <c r="M1409" s="39">
        <v>0</v>
      </c>
      <c r="N1409" s="39">
        <v>0</v>
      </c>
      <c r="O1409" s="39">
        <v>0</v>
      </c>
      <c r="P1409" s="39">
        <v>0</v>
      </c>
      <c r="Q1409" s="39">
        <v>0</v>
      </c>
      <c r="R1409" s="39">
        <v>0</v>
      </c>
      <c r="S1409" s="39">
        <v>0</v>
      </c>
      <c r="T1409" s="39">
        <v>0</v>
      </c>
      <c r="U1409" s="39">
        <v>0</v>
      </c>
      <c r="V1409" s="39">
        <v>0</v>
      </c>
      <c r="W1409" s="39">
        <v>0</v>
      </c>
      <c r="X1409" s="39">
        <v>0</v>
      </c>
      <c r="Y1409" s="39">
        <v>0</v>
      </c>
      <c r="Z1409" s="39">
        <v>0</v>
      </c>
      <c r="AA1409" s="39">
        <v>0</v>
      </c>
      <c r="AB1409" s="39">
        <v>0</v>
      </c>
      <c r="AC1409" s="39">
        <v>0</v>
      </c>
      <c r="AD1409" s="39">
        <v>0</v>
      </c>
      <c r="AE1409" s="39">
        <v>0</v>
      </c>
      <c r="AF1409" s="39">
        <v>0</v>
      </c>
      <c r="AG1409" s="39">
        <v>0</v>
      </c>
      <c r="AH1409" s="39">
        <v>0</v>
      </c>
      <c r="AI1409" s="39">
        <v>442.57</v>
      </c>
      <c r="AJ1409" s="39">
        <v>440.8</v>
      </c>
      <c r="AK1409" s="39">
        <v>406.01</v>
      </c>
      <c r="AL1409" s="39">
        <v>0</v>
      </c>
      <c r="AM1409" s="39">
        <v>0</v>
      </c>
      <c r="AN1409" s="39">
        <v>0</v>
      </c>
      <c r="AO1409" s="39">
        <v>442.57</v>
      </c>
      <c r="AP1409" s="39">
        <v>440.8</v>
      </c>
      <c r="AQ1409" s="39">
        <v>406.01</v>
      </c>
      <c r="AR1409" s="39">
        <v>442.57</v>
      </c>
    </row>
    <row r="1410" spans="1:44" x14ac:dyDescent="0.35">
      <c r="A1410" s="16" t="str">
        <f t="shared" si="114"/>
        <v>31</v>
      </c>
      <c r="B1410" s="19">
        <v>66845</v>
      </c>
      <c r="C1410" s="16" t="str">
        <f t="shared" si="115"/>
        <v>0000000</v>
      </c>
      <c r="D1410" s="17" t="s">
        <v>3663</v>
      </c>
      <c r="E1410" s="16" t="s">
        <v>1641</v>
      </c>
      <c r="F1410" s="16" t="s">
        <v>1626</v>
      </c>
      <c r="G1410" s="35" t="s">
        <v>1642</v>
      </c>
      <c r="H1410" s="39">
        <v>2227.5700000000002</v>
      </c>
      <c r="I1410" s="39">
        <v>2303.2600000000002</v>
      </c>
      <c r="J1410" s="39">
        <v>2267.39</v>
      </c>
      <c r="K1410" s="39">
        <v>0</v>
      </c>
      <c r="L1410" s="39">
        <v>0</v>
      </c>
      <c r="M1410" s="39">
        <v>0</v>
      </c>
      <c r="N1410" s="39">
        <v>0</v>
      </c>
      <c r="O1410" s="39">
        <v>0</v>
      </c>
      <c r="P1410" s="39">
        <v>0</v>
      </c>
      <c r="Q1410" s="39">
        <v>0</v>
      </c>
      <c r="R1410" s="39">
        <v>0</v>
      </c>
      <c r="S1410" s="39">
        <v>0</v>
      </c>
      <c r="T1410" s="39">
        <v>0</v>
      </c>
      <c r="U1410" s="39">
        <v>0</v>
      </c>
      <c r="V1410" s="39">
        <v>0</v>
      </c>
      <c r="W1410" s="39">
        <v>0</v>
      </c>
      <c r="X1410" s="39">
        <v>0</v>
      </c>
      <c r="Y1410" s="39">
        <v>0</v>
      </c>
      <c r="Z1410" s="39">
        <v>0</v>
      </c>
      <c r="AA1410" s="39">
        <v>0</v>
      </c>
      <c r="AB1410" s="39">
        <v>0</v>
      </c>
      <c r="AC1410" s="39">
        <v>487.04</v>
      </c>
      <c r="AD1410" s="39">
        <v>479.58</v>
      </c>
      <c r="AE1410" s="39">
        <v>474.65</v>
      </c>
      <c r="AF1410" s="39">
        <v>0</v>
      </c>
      <c r="AG1410" s="39">
        <v>0</v>
      </c>
      <c r="AH1410" s="39">
        <v>0</v>
      </c>
      <c r="AI1410" s="39">
        <v>2714.61</v>
      </c>
      <c r="AJ1410" s="39">
        <v>2782.84</v>
      </c>
      <c r="AK1410" s="39">
        <v>2742.04</v>
      </c>
      <c r="AL1410" s="39">
        <v>0</v>
      </c>
      <c r="AM1410" s="39">
        <v>0</v>
      </c>
      <c r="AN1410" s="39">
        <v>0</v>
      </c>
      <c r="AO1410" s="39">
        <v>2714.61</v>
      </c>
      <c r="AP1410" s="39">
        <v>2782.84</v>
      </c>
      <c r="AQ1410" s="39">
        <v>2742.04</v>
      </c>
      <c r="AR1410" s="39">
        <v>2782.84</v>
      </c>
    </row>
    <row r="1411" spans="1:44" x14ac:dyDescent="0.35">
      <c r="A1411" s="16" t="str">
        <f t="shared" si="114"/>
        <v>31</v>
      </c>
      <c r="B1411" s="19">
        <v>66852</v>
      </c>
      <c r="C1411" s="16" t="str">
        <f t="shared" si="115"/>
        <v>0000000</v>
      </c>
      <c r="D1411" s="17" t="s">
        <v>3663</v>
      </c>
      <c r="E1411" s="16" t="s">
        <v>1643</v>
      </c>
      <c r="F1411" s="16" t="s">
        <v>1626</v>
      </c>
      <c r="G1411" s="35" t="s">
        <v>1644</v>
      </c>
      <c r="H1411" s="39">
        <v>162.34</v>
      </c>
      <c r="I1411" s="39">
        <v>153.44999999999999</v>
      </c>
      <c r="J1411" s="39">
        <v>141.34</v>
      </c>
      <c r="K1411" s="39">
        <v>0</v>
      </c>
      <c r="L1411" s="39">
        <v>0</v>
      </c>
      <c r="M1411" s="39">
        <v>0</v>
      </c>
      <c r="N1411" s="39">
        <v>0</v>
      </c>
      <c r="O1411" s="39">
        <v>0</v>
      </c>
      <c r="P1411" s="39">
        <v>0</v>
      </c>
      <c r="Q1411" s="39">
        <v>0</v>
      </c>
      <c r="R1411" s="39">
        <v>0</v>
      </c>
      <c r="S1411" s="39">
        <v>0</v>
      </c>
      <c r="T1411" s="39">
        <v>0</v>
      </c>
      <c r="U1411" s="39">
        <v>0</v>
      </c>
      <c r="V1411" s="39">
        <v>0</v>
      </c>
      <c r="W1411" s="39">
        <v>0</v>
      </c>
      <c r="X1411" s="39">
        <v>0</v>
      </c>
      <c r="Y1411" s="39">
        <v>0</v>
      </c>
      <c r="Z1411" s="39">
        <v>0</v>
      </c>
      <c r="AA1411" s="39">
        <v>0</v>
      </c>
      <c r="AB1411" s="39">
        <v>0</v>
      </c>
      <c r="AC1411" s="39">
        <v>900.67</v>
      </c>
      <c r="AD1411" s="39">
        <v>866.22</v>
      </c>
      <c r="AE1411" s="39">
        <v>821.1</v>
      </c>
      <c r="AF1411" s="39">
        <v>0</v>
      </c>
      <c r="AG1411" s="39">
        <v>0</v>
      </c>
      <c r="AH1411" s="39">
        <v>0</v>
      </c>
      <c r="AI1411" s="39">
        <v>1063.01</v>
      </c>
      <c r="AJ1411" s="39">
        <v>1019.67</v>
      </c>
      <c r="AK1411" s="39">
        <v>962.44</v>
      </c>
      <c r="AL1411" s="39">
        <v>0</v>
      </c>
      <c r="AM1411" s="39">
        <v>0</v>
      </c>
      <c r="AN1411" s="39">
        <v>0</v>
      </c>
      <c r="AO1411" s="39">
        <v>1063.01</v>
      </c>
      <c r="AP1411" s="39">
        <v>1019.67</v>
      </c>
      <c r="AQ1411" s="39">
        <v>962.44</v>
      </c>
      <c r="AR1411" s="39">
        <v>1063.01</v>
      </c>
    </row>
    <row r="1412" spans="1:44" x14ac:dyDescent="0.35">
      <c r="A1412" s="16" t="str">
        <f t="shared" si="114"/>
        <v>31</v>
      </c>
      <c r="B1412" s="19">
        <v>66886</v>
      </c>
      <c r="C1412" s="16" t="str">
        <f t="shared" si="115"/>
        <v>0000000</v>
      </c>
      <c r="D1412" s="17" t="s">
        <v>3663</v>
      </c>
      <c r="E1412" s="16" t="s">
        <v>1647</v>
      </c>
      <c r="F1412" s="16" t="s">
        <v>1626</v>
      </c>
      <c r="G1412" s="35" t="s">
        <v>1648</v>
      </c>
      <c r="H1412" s="39">
        <v>708.15</v>
      </c>
      <c r="I1412" s="39">
        <v>708.78</v>
      </c>
      <c r="J1412" s="39">
        <v>699.67</v>
      </c>
      <c r="K1412" s="39">
        <v>0</v>
      </c>
      <c r="L1412" s="39">
        <v>0</v>
      </c>
      <c r="M1412" s="39">
        <v>0</v>
      </c>
      <c r="N1412" s="39">
        <v>0</v>
      </c>
      <c r="O1412" s="39">
        <v>0</v>
      </c>
      <c r="P1412" s="39">
        <v>0</v>
      </c>
      <c r="Q1412" s="39">
        <v>0</v>
      </c>
      <c r="R1412" s="39">
        <v>0</v>
      </c>
      <c r="S1412" s="39">
        <v>0</v>
      </c>
      <c r="T1412" s="39">
        <v>0</v>
      </c>
      <c r="U1412" s="39">
        <v>0</v>
      </c>
      <c r="V1412" s="39">
        <v>0</v>
      </c>
      <c r="W1412" s="39">
        <v>0</v>
      </c>
      <c r="X1412" s="39">
        <v>0</v>
      </c>
      <c r="Y1412" s="39">
        <v>0</v>
      </c>
      <c r="Z1412" s="39">
        <v>0</v>
      </c>
      <c r="AA1412" s="39">
        <v>0</v>
      </c>
      <c r="AB1412" s="39">
        <v>0</v>
      </c>
      <c r="AC1412" s="39">
        <v>0</v>
      </c>
      <c r="AD1412" s="39">
        <v>0</v>
      </c>
      <c r="AE1412" s="39">
        <v>0</v>
      </c>
      <c r="AF1412" s="39">
        <v>0</v>
      </c>
      <c r="AG1412" s="39">
        <v>0</v>
      </c>
      <c r="AH1412" s="39">
        <v>0</v>
      </c>
      <c r="AI1412" s="39">
        <v>708.15</v>
      </c>
      <c r="AJ1412" s="39">
        <v>708.78</v>
      </c>
      <c r="AK1412" s="39">
        <v>699.67</v>
      </c>
      <c r="AL1412" s="39">
        <v>0</v>
      </c>
      <c r="AM1412" s="39">
        <v>0</v>
      </c>
      <c r="AN1412" s="39">
        <v>0</v>
      </c>
      <c r="AO1412" s="39">
        <v>708.15</v>
      </c>
      <c r="AP1412" s="39">
        <v>708.78</v>
      </c>
      <c r="AQ1412" s="39">
        <v>699.67</v>
      </c>
      <c r="AR1412" s="39">
        <v>708.78</v>
      </c>
    </row>
    <row r="1413" spans="1:44" x14ac:dyDescent="0.35">
      <c r="A1413" s="16" t="str">
        <f t="shared" si="114"/>
        <v>31</v>
      </c>
      <c r="B1413" s="19">
        <v>75085</v>
      </c>
      <c r="C1413" s="16" t="str">
        <f t="shared" si="115"/>
        <v>0000000</v>
      </c>
      <c r="D1413" s="17" t="s">
        <v>3663</v>
      </c>
      <c r="E1413" s="16" t="s">
        <v>1668</v>
      </c>
      <c r="F1413" s="16" t="s">
        <v>1626</v>
      </c>
      <c r="G1413" s="35" t="s">
        <v>1669</v>
      </c>
      <c r="H1413" s="39">
        <v>11089.6</v>
      </c>
      <c r="I1413" s="39">
        <v>11101.17</v>
      </c>
      <c r="J1413" s="39">
        <v>11049.22</v>
      </c>
      <c r="K1413" s="39">
        <v>0</v>
      </c>
      <c r="L1413" s="39">
        <v>0</v>
      </c>
      <c r="M1413" s="39">
        <v>0</v>
      </c>
      <c r="N1413" s="39">
        <v>0</v>
      </c>
      <c r="O1413" s="39">
        <v>0</v>
      </c>
      <c r="P1413" s="39">
        <v>0</v>
      </c>
      <c r="Q1413" s="39">
        <v>0</v>
      </c>
      <c r="R1413" s="39">
        <v>0</v>
      </c>
      <c r="S1413" s="39">
        <v>0</v>
      </c>
      <c r="T1413" s="39">
        <v>0</v>
      </c>
      <c r="U1413" s="39">
        <v>0</v>
      </c>
      <c r="V1413" s="39">
        <v>0</v>
      </c>
      <c r="W1413" s="39">
        <v>0</v>
      </c>
      <c r="X1413" s="39">
        <v>0</v>
      </c>
      <c r="Y1413" s="39">
        <v>0</v>
      </c>
      <c r="Z1413" s="39">
        <v>0</v>
      </c>
      <c r="AA1413" s="39">
        <v>0</v>
      </c>
      <c r="AB1413" s="39">
        <v>0</v>
      </c>
      <c r="AC1413" s="39">
        <v>0</v>
      </c>
      <c r="AD1413" s="39">
        <v>0</v>
      </c>
      <c r="AE1413" s="39">
        <v>0</v>
      </c>
      <c r="AF1413" s="39">
        <v>0</v>
      </c>
      <c r="AG1413" s="39">
        <v>0</v>
      </c>
      <c r="AH1413" s="39">
        <v>0</v>
      </c>
      <c r="AI1413" s="39">
        <v>11089.6</v>
      </c>
      <c r="AJ1413" s="39">
        <v>11101.17</v>
      </c>
      <c r="AK1413" s="39">
        <v>11049.22</v>
      </c>
      <c r="AL1413" s="39">
        <v>0</v>
      </c>
      <c r="AM1413" s="39">
        <v>0</v>
      </c>
      <c r="AN1413" s="39">
        <v>0</v>
      </c>
      <c r="AO1413" s="39">
        <v>11089.6</v>
      </c>
      <c r="AP1413" s="39">
        <v>11101.17</v>
      </c>
      <c r="AQ1413" s="39">
        <v>11049.22</v>
      </c>
      <c r="AR1413" s="39">
        <v>11101.17</v>
      </c>
    </row>
    <row r="1414" spans="1:44" x14ac:dyDescent="0.35">
      <c r="A1414" s="16" t="str">
        <f t="shared" si="114"/>
        <v>31</v>
      </c>
      <c r="B1414" s="19">
        <v>66910</v>
      </c>
      <c r="C1414" s="16" t="str">
        <f t="shared" si="115"/>
        <v>0000000</v>
      </c>
      <c r="D1414" s="17" t="s">
        <v>3663</v>
      </c>
      <c r="E1414" s="16" t="s">
        <v>1651</v>
      </c>
      <c r="F1414" s="16" t="s">
        <v>1626</v>
      </c>
      <c r="G1414" s="35" t="s">
        <v>1652</v>
      </c>
      <c r="H1414" s="39">
        <v>11806.38</v>
      </c>
      <c r="I1414" s="39">
        <v>11446.21</v>
      </c>
      <c r="J1414" s="39">
        <v>10742.3</v>
      </c>
      <c r="K1414" s="39">
        <v>0</v>
      </c>
      <c r="L1414" s="39">
        <v>0</v>
      </c>
      <c r="M1414" s="39">
        <v>0</v>
      </c>
      <c r="N1414" s="39">
        <v>0</v>
      </c>
      <c r="O1414" s="39">
        <v>0</v>
      </c>
      <c r="P1414" s="39">
        <v>0</v>
      </c>
      <c r="Q1414" s="39">
        <v>0</v>
      </c>
      <c r="R1414" s="39">
        <v>0</v>
      </c>
      <c r="S1414" s="39">
        <v>0</v>
      </c>
      <c r="T1414" s="39">
        <v>0</v>
      </c>
      <c r="U1414" s="39">
        <v>0</v>
      </c>
      <c r="V1414" s="39">
        <v>0</v>
      </c>
      <c r="W1414" s="39">
        <v>0</v>
      </c>
      <c r="X1414" s="39">
        <v>0</v>
      </c>
      <c r="Y1414" s="39">
        <v>0</v>
      </c>
      <c r="Z1414" s="39">
        <v>0</v>
      </c>
      <c r="AA1414" s="39">
        <v>0</v>
      </c>
      <c r="AB1414" s="39">
        <v>0</v>
      </c>
      <c r="AC1414" s="39">
        <v>0</v>
      </c>
      <c r="AD1414" s="39">
        <v>0</v>
      </c>
      <c r="AE1414" s="39">
        <v>0</v>
      </c>
      <c r="AF1414" s="39">
        <v>0</v>
      </c>
      <c r="AG1414" s="39">
        <v>0</v>
      </c>
      <c r="AH1414" s="39">
        <v>0</v>
      </c>
      <c r="AI1414" s="39">
        <v>11806.38</v>
      </c>
      <c r="AJ1414" s="39">
        <v>11446.21</v>
      </c>
      <c r="AK1414" s="39">
        <v>10742.3</v>
      </c>
      <c r="AL1414" s="39">
        <v>0</v>
      </c>
      <c r="AM1414" s="39">
        <v>0</v>
      </c>
      <c r="AN1414" s="39">
        <v>0</v>
      </c>
      <c r="AO1414" s="39">
        <v>11806.38</v>
      </c>
      <c r="AP1414" s="39">
        <v>11446.21</v>
      </c>
      <c r="AQ1414" s="39">
        <v>10742.3</v>
      </c>
      <c r="AR1414" s="39">
        <v>11806.38</v>
      </c>
    </row>
    <row r="1415" spans="1:44" x14ac:dyDescent="0.35">
      <c r="A1415" s="16" t="str">
        <f t="shared" si="114"/>
        <v>31</v>
      </c>
      <c r="B1415" s="19">
        <v>66894</v>
      </c>
      <c r="C1415" s="16" t="str">
        <f t="shared" si="115"/>
        <v>0000000</v>
      </c>
      <c r="D1415" s="17" t="s">
        <v>3663</v>
      </c>
      <c r="E1415" s="16" t="s">
        <v>1649</v>
      </c>
      <c r="F1415" s="16" t="s">
        <v>1626</v>
      </c>
      <c r="G1415" s="35" t="s">
        <v>1650</v>
      </c>
      <c r="H1415" s="39">
        <v>3563.01</v>
      </c>
      <c r="I1415" s="39">
        <v>3586.63</v>
      </c>
      <c r="J1415" s="39">
        <v>3587.95</v>
      </c>
      <c r="K1415" s="39">
        <v>0</v>
      </c>
      <c r="L1415" s="39">
        <v>0</v>
      </c>
      <c r="M1415" s="39">
        <v>0</v>
      </c>
      <c r="N1415" s="39">
        <v>0</v>
      </c>
      <c r="O1415" s="39">
        <v>0</v>
      </c>
      <c r="P1415" s="39">
        <v>0</v>
      </c>
      <c r="Q1415" s="39">
        <v>0</v>
      </c>
      <c r="R1415" s="39">
        <v>0</v>
      </c>
      <c r="S1415" s="39">
        <v>0</v>
      </c>
      <c r="T1415" s="39">
        <v>0</v>
      </c>
      <c r="U1415" s="39">
        <v>0</v>
      </c>
      <c r="V1415" s="39">
        <v>0</v>
      </c>
      <c r="W1415" s="39">
        <v>0</v>
      </c>
      <c r="X1415" s="39">
        <v>0</v>
      </c>
      <c r="Y1415" s="39">
        <v>0</v>
      </c>
      <c r="Z1415" s="39">
        <v>0</v>
      </c>
      <c r="AA1415" s="39">
        <v>0</v>
      </c>
      <c r="AB1415" s="39">
        <v>0</v>
      </c>
      <c r="AC1415" s="39">
        <v>112.27</v>
      </c>
      <c r="AD1415" s="39">
        <v>116.78</v>
      </c>
      <c r="AE1415" s="39">
        <v>94.65</v>
      </c>
      <c r="AF1415" s="39">
        <v>0</v>
      </c>
      <c r="AG1415" s="39">
        <v>0</v>
      </c>
      <c r="AH1415" s="39">
        <v>0</v>
      </c>
      <c r="AI1415" s="39">
        <v>3675.28</v>
      </c>
      <c r="AJ1415" s="39">
        <v>3703.41</v>
      </c>
      <c r="AK1415" s="39">
        <v>3682.6</v>
      </c>
      <c r="AL1415" s="39">
        <v>0</v>
      </c>
      <c r="AM1415" s="39">
        <v>0</v>
      </c>
      <c r="AN1415" s="39">
        <v>0</v>
      </c>
      <c r="AO1415" s="39">
        <v>3675.28</v>
      </c>
      <c r="AP1415" s="39">
        <v>3703.41</v>
      </c>
      <c r="AQ1415" s="39">
        <v>3682.6</v>
      </c>
      <c r="AR1415" s="39">
        <v>3703.41</v>
      </c>
    </row>
    <row r="1416" spans="1:44" x14ac:dyDescent="0.35">
      <c r="A1416" s="16" t="str">
        <f t="shared" si="114"/>
        <v>31</v>
      </c>
      <c r="B1416" s="19">
        <v>66928</v>
      </c>
      <c r="C1416" s="16" t="str">
        <f t="shared" si="115"/>
        <v>0000000</v>
      </c>
      <c r="D1416" s="17" t="s">
        <v>3663</v>
      </c>
      <c r="E1416" s="16" t="s">
        <v>1653</v>
      </c>
      <c r="F1416" s="16" t="s">
        <v>1626</v>
      </c>
      <c r="G1416" s="35" t="s">
        <v>1654</v>
      </c>
      <c r="H1416" s="39">
        <v>10369.959999999999</v>
      </c>
      <c r="I1416" s="39">
        <v>10141.43</v>
      </c>
      <c r="J1416" s="39">
        <v>9856.58</v>
      </c>
      <c r="K1416" s="39">
        <v>0</v>
      </c>
      <c r="L1416" s="39">
        <v>0</v>
      </c>
      <c r="M1416" s="39">
        <v>0</v>
      </c>
      <c r="N1416" s="39">
        <v>0</v>
      </c>
      <c r="O1416" s="39">
        <v>0</v>
      </c>
      <c r="P1416" s="39">
        <v>0</v>
      </c>
      <c r="Q1416" s="39">
        <v>0</v>
      </c>
      <c r="R1416" s="39">
        <v>0</v>
      </c>
      <c r="S1416" s="39">
        <v>0</v>
      </c>
      <c r="T1416" s="39">
        <v>0</v>
      </c>
      <c r="U1416" s="39">
        <v>0</v>
      </c>
      <c r="V1416" s="39">
        <v>0</v>
      </c>
      <c r="W1416" s="39">
        <v>0</v>
      </c>
      <c r="X1416" s="39">
        <v>0</v>
      </c>
      <c r="Y1416" s="39">
        <v>0</v>
      </c>
      <c r="Z1416" s="39">
        <v>0</v>
      </c>
      <c r="AA1416" s="39">
        <v>0</v>
      </c>
      <c r="AB1416" s="39">
        <v>0</v>
      </c>
      <c r="AC1416" s="39">
        <v>0</v>
      </c>
      <c r="AD1416" s="39">
        <v>0</v>
      </c>
      <c r="AE1416" s="39">
        <v>0</v>
      </c>
      <c r="AF1416" s="39">
        <v>0</v>
      </c>
      <c r="AG1416" s="39">
        <v>0</v>
      </c>
      <c r="AH1416" s="39">
        <v>0</v>
      </c>
      <c r="AI1416" s="39">
        <v>10369.959999999999</v>
      </c>
      <c r="AJ1416" s="39">
        <v>10141.43</v>
      </c>
      <c r="AK1416" s="39">
        <v>9856.58</v>
      </c>
      <c r="AL1416" s="39">
        <v>0</v>
      </c>
      <c r="AM1416" s="39">
        <v>0</v>
      </c>
      <c r="AN1416" s="39">
        <v>0</v>
      </c>
      <c r="AO1416" s="39">
        <v>10369.959999999999</v>
      </c>
      <c r="AP1416" s="39">
        <v>10141.43</v>
      </c>
      <c r="AQ1416" s="39">
        <v>9856.58</v>
      </c>
      <c r="AR1416" s="39">
        <v>10369.959999999999</v>
      </c>
    </row>
    <row r="1417" spans="1:44" x14ac:dyDescent="0.35">
      <c r="A1417" s="16" t="str">
        <f t="shared" si="114"/>
        <v>31</v>
      </c>
      <c r="B1417" s="19">
        <v>66944</v>
      </c>
      <c r="C1417" s="16" t="str">
        <f t="shared" si="115"/>
        <v>0000000</v>
      </c>
      <c r="D1417" s="17" t="s">
        <v>3663</v>
      </c>
      <c r="E1417" s="16" t="s">
        <v>1659</v>
      </c>
      <c r="F1417" s="16" t="s">
        <v>1626</v>
      </c>
      <c r="G1417" s="35" t="s">
        <v>1660</v>
      </c>
      <c r="H1417" s="39">
        <v>3599.94</v>
      </c>
      <c r="I1417" s="39">
        <v>3599.06</v>
      </c>
      <c r="J1417" s="39">
        <v>3555.67</v>
      </c>
      <c r="K1417" s="39">
        <v>0</v>
      </c>
      <c r="L1417" s="39">
        <v>0</v>
      </c>
      <c r="M1417" s="39">
        <v>0</v>
      </c>
      <c r="N1417" s="39">
        <v>0</v>
      </c>
      <c r="O1417" s="39">
        <v>0</v>
      </c>
      <c r="P1417" s="39">
        <v>0</v>
      </c>
      <c r="Q1417" s="39">
        <v>0</v>
      </c>
      <c r="R1417" s="39">
        <v>0</v>
      </c>
      <c r="S1417" s="39">
        <v>0</v>
      </c>
      <c r="T1417" s="39">
        <v>0</v>
      </c>
      <c r="U1417" s="39">
        <v>0</v>
      </c>
      <c r="V1417" s="39">
        <v>0</v>
      </c>
      <c r="W1417" s="39">
        <v>0</v>
      </c>
      <c r="X1417" s="39">
        <v>0</v>
      </c>
      <c r="Y1417" s="39">
        <v>0</v>
      </c>
      <c r="Z1417" s="39">
        <v>0</v>
      </c>
      <c r="AA1417" s="39">
        <v>0</v>
      </c>
      <c r="AB1417" s="39">
        <v>0</v>
      </c>
      <c r="AC1417" s="39">
        <v>213.51</v>
      </c>
      <c r="AD1417" s="39">
        <v>212.78</v>
      </c>
      <c r="AE1417" s="39">
        <v>207.37</v>
      </c>
      <c r="AF1417" s="39">
        <v>0</v>
      </c>
      <c r="AG1417" s="39">
        <v>0</v>
      </c>
      <c r="AH1417" s="39">
        <v>0</v>
      </c>
      <c r="AI1417" s="39">
        <v>3813.45</v>
      </c>
      <c r="AJ1417" s="39">
        <v>3811.84</v>
      </c>
      <c r="AK1417" s="39">
        <v>3763.04</v>
      </c>
      <c r="AL1417" s="39">
        <v>0</v>
      </c>
      <c r="AM1417" s="39">
        <v>0</v>
      </c>
      <c r="AN1417" s="39">
        <v>0</v>
      </c>
      <c r="AO1417" s="39">
        <v>3813.45</v>
      </c>
      <c r="AP1417" s="39">
        <v>3811.84</v>
      </c>
      <c r="AQ1417" s="39">
        <v>3763.04</v>
      </c>
      <c r="AR1417" s="39">
        <v>3813.45</v>
      </c>
    </row>
    <row r="1418" spans="1:44" x14ac:dyDescent="0.35">
      <c r="A1418" s="16" t="str">
        <f t="shared" si="114"/>
        <v>31</v>
      </c>
      <c r="B1418" s="19">
        <v>66951</v>
      </c>
      <c r="C1418" s="16" t="str">
        <f t="shared" si="115"/>
        <v>0000000</v>
      </c>
      <c r="D1418" s="17" t="s">
        <v>3663</v>
      </c>
      <c r="E1418" s="16" t="s">
        <v>1661</v>
      </c>
      <c r="F1418" s="16" t="s">
        <v>1626</v>
      </c>
      <c r="G1418" s="35" t="s">
        <v>1662</v>
      </c>
      <c r="H1418" s="39">
        <v>7532.22</v>
      </c>
      <c r="I1418" s="39">
        <v>7444.8</v>
      </c>
      <c r="J1418" s="39">
        <v>7076.33</v>
      </c>
      <c r="K1418" s="39">
        <v>0</v>
      </c>
      <c r="L1418" s="39">
        <v>0</v>
      </c>
      <c r="M1418" s="39">
        <v>0</v>
      </c>
      <c r="N1418" s="39">
        <v>0</v>
      </c>
      <c r="O1418" s="39">
        <v>0</v>
      </c>
      <c r="P1418" s="39">
        <v>0</v>
      </c>
      <c r="Q1418" s="39">
        <v>0</v>
      </c>
      <c r="R1418" s="39">
        <v>0</v>
      </c>
      <c r="S1418" s="39">
        <v>0</v>
      </c>
      <c r="T1418" s="39">
        <v>0</v>
      </c>
      <c r="U1418" s="39">
        <v>0</v>
      </c>
      <c r="V1418" s="39">
        <v>0</v>
      </c>
      <c r="W1418" s="39">
        <v>0</v>
      </c>
      <c r="X1418" s="39">
        <v>0</v>
      </c>
      <c r="Y1418" s="39">
        <v>0</v>
      </c>
      <c r="Z1418" s="39">
        <v>0</v>
      </c>
      <c r="AA1418" s="39">
        <v>0</v>
      </c>
      <c r="AB1418" s="39">
        <v>0</v>
      </c>
      <c r="AC1418" s="39">
        <v>0</v>
      </c>
      <c r="AD1418" s="39">
        <v>0</v>
      </c>
      <c r="AE1418" s="39">
        <v>0</v>
      </c>
      <c r="AF1418" s="39">
        <v>0</v>
      </c>
      <c r="AG1418" s="39">
        <v>0</v>
      </c>
      <c r="AH1418" s="39">
        <v>0</v>
      </c>
      <c r="AI1418" s="39">
        <v>7532.22</v>
      </c>
      <c r="AJ1418" s="39">
        <v>7444.8</v>
      </c>
      <c r="AK1418" s="39">
        <v>7076.33</v>
      </c>
      <c r="AL1418" s="39">
        <v>0</v>
      </c>
      <c r="AM1418" s="39">
        <v>0</v>
      </c>
      <c r="AN1418" s="39">
        <v>0</v>
      </c>
      <c r="AO1418" s="39">
        <v>7532.22</v>
      </c>
      <c r="AP1418" s="39">
        <v>7444.8</v>
      </c>
      <c r="AQ1418" s="39">
        <v>7076.33</v>
      </c>
      <c r="AR1418" s="39">
        <v>7532.22</v>
      </c>
    </row>
    <row r="1419" spans="1:44" x14ac:dyDescent="0.35">
      <c r="A1419" s="16" t="str">
        <f t="shared" si="114"/>
        <v>31</v>
      </c>
      <c r="B1419" s="19">
        <v>75085</v>
      </c>
      <c r="C1419" s="16" t="str">
        <f>TEXT(117879,"0000000")</f>
        <v>0117879</v>
      </c>
      <c r="D1419" s="19">
        <v>1042</v>
      </c>
      <c r="E1419" s="16" t="s">
        <v>1673</v>
      </c>
      <c r="F1419" s="16" t="s">
        <v>1626</v>
      </c>
      <c r="G1419" s="35" t="s">
        <v>1674</v>
      </c>
      <c r="H1419" s="39">
        <v>0</v>
      </c>
      <c r="I1419" s="39">
        <v>0</v>
      </c>
      <c r="J1419" s="39">
        <v>0</v>
      </c>
      <c r="K1419" s="39">
        <v>0</v>
      </c>
      <c r="L1419" s="39">
        <v>0</v>
      </c>
      <c r="M1419" s="39">
        <v>0</v>
      </c>
      <c r="N1419" s="39">
        <v>0</v>
      </c>
      <c r="O1419" s="39">
        <v>0</v>
      </c>
      <c r="P1419" s="39">
        <v>0</v>
      </c>
      <c r="Q1419" s="39">
        <v>0</v>
      </c>
      <c r="R1419" s="39">
        <v>0</v>
      </c>
      <c r="S1419" s="39">
        <v>0</v>
      </c>
      <c r="T1419" s="39">
        <v>0</v>
      </c>
      <c r="U1419" s="39">
        <v>0</v>
      </c>
      <c r="V1419" s="39">
        <v>0</v>
      </c>
      <c r="W1419" s="39">
        <v>0</v>
      </c>
      <c r="X1419" s="39">
        <v>0</v>
      </c>
      <c r="Y1419" s="39">
        <v>0</v>
      </c>
      <c r="Z1419" s="39">
        <v>0</v>
      </c>
      <c r="AA1419" s="39">
        <v>0</v>
      </c>
      <c r="AB1419" s="39">
        <v>0</v>
      </c>
      <c r="AC1419" s="39">
        <v>268.72000000000003</v>
      </c>
      <c r="AD1419" s="39">
        <v>258.14999999999998</v>
      </c>
      <c r="AE1419" s="39">
        <v>249.44</v>
      </c>
      <c r="AF1419" s="39">
        <v>0</v>
      </c>
      <c r="AG1419" s="39">
        <v>0</v>
      </c>
      <c r="AH1419" s="39">
        <v>0</v>
      </c>
      <c r="AI1419" s="39">
        <v>268.72000000000003</v>
      </c>
      <c r="AJ1419" s="39">
        <v>258.14999999999998</v>
      </c>
      <c r="AK1419" s="39">
        <v>249.44</v>
      </c>
      <c r="AL1419" s="39">
        <v>0</v>
      </c>
      <c r="AM1419" s="39">
        <v>0</v>
      </c>
      <c r="AN1419" s="39">
        <v>0</v>
      </c>
      <c r="AO1419" s="39">
        <v>268.72000000000003</v>
      </c>
      <c r="AP1419" s="39">
        <v>258.14999999999998</v>
      </c>
      <c r="AQ1419" s="39">
        <v>249.44</v>
      </c>
      <c r="AR1419" s="39">
        <v>268.72000000000003</v>
      </c>
    </row>
    <row r="1420" spans="1:44" x14ac:dyDescent="0.35">
      <c r="A1420" s="16" t="str">
        <f t="shared" ref="A1420:A1434" si="116">TEXT(37,"00")</f>
        <v>37</v>
      </c>
      <c r="B1420" s="19">
        <v>10371</v>
      </c>
      <c r="C1420" s="16" t="str">
        <f t="shared" ref="C1420:C1453" si="117">TEXT(,"0000000")</f>
        <v>0000000</v>
      </c>
      <c r="D1420" s="17" t="s">
        <v>3663</v>
      </c>
      <c r="E1420" s="16" t="s">
        <v>2052</v>
      </c>
      <c r="F1420" s="16" t="s">
        <v>2053</v>
      </c>
      <c r="G1420" s="35" t="s">
        <v>2053</v>
      </c>
      <c r="H1420" s="39">
        <v>0</v>
      </c>
      <c r="I1420" s="39">
        <v>0</v>
      </c>
      <c r="J1420" s="39">
        <v>0</v>
      </c>
      <c r="K1420" s="39">
        <v>0</v>
      </c>
      <c r="L1420" s="39">
        <v>0</v>
      </c>
      <c r="M1420" s="39">
        <v>0</v>
      </c>
      <c r="N1420" s="39">
        <v>0</v>
      </c>
      <c r="O1420" s="39">
        <v>0</v>
      </c>
      <c r="P1420" s="39">
        <v>0</v>
      </c>
      <c r="Q1420" s="39">
        <v>0</v>
      </c>
      <c r="R1420" s="39">
        <v>0</v>
      </c>
      <c r="S1420" s="39">
        <v>0</v>
      </c>
      <c r="T1420" s="39">
        <v>0</v>
      </c>
      <c r="U1420" s="39">
        <v>0</v>
      </c>
      <c r="V1420" s="39">
        <v>0</v>
      </c>
      <c r="W1420" s="39">
        <v>36.92</v>
      </c>
      <c r="X1420" s="39">
        <v>44.53</v>
      </c>
      <c r="Y1420" s="39">
        <v>48.54</v>
      </c>
      <c r="Z1420" s="39">
        <v>0</v>
      </c>
      <c r="AA1420" s="39">
        <v>0</v>
      </c>
      <c r="AB1420" s="39">
        <v>0</v>
      </c>
      <c r="AC1420" s="39">
        <v>0</v>
      </c>
      <c r="AD1420" s="39">
        <v>0</v>
      </c>
      <c r="AE1420" s="39">
        <v>0</v>
      </c>
      <c r="AF1420" s="39">
        <v>0</v>
      </c>
      <c r="AG1420" s="39">
        <v>0</v>
      </c>
      <c r="AH1420" s="39">
        <v>0</v>
      </c>
      <c r="AI1420" s="39">
        <v>36.92</v>
      </c>
      <c r="AJ1420" s="39">
        <v>44.53</v>
      </c>
      <c r="AK1420" s="39">
        <v>48.54</v>
      </c>
      <c r="AL1420" s="39">
        <v>0</v>
      </c>
      <c r="AM1420" s="39">
        <v>0</v>
      </c>
      <c r="AN1420" s="39">
        <v>0</v>
      </c>
      <c r="AO1420" s="39">
        <v>36.92</v>
      </c>
      <c r="AP1420" s="39">
        <v>44.53</v>
      </c>
      <c r="AQ1420" s="39">
        <v>48.54</v>
      </c>
      <c r="AR1420" s="39">
        <v>48.54</v>
      </c>
    </row>
    <row r="1421" spans="1:44" x14ac:dyDescent="0.35">
      <c r="A1421" s="16" t="str">
        <f t="shared" si="116"/>
        <v>37</v>
      </c>
      <c r="B1421" s="19">
        <v>68007</v>
      </c>
      <c r="C1421" s="16" t="str">
        <f t="shared" si="117"/>
        <v>0000000</v>
      </c>
      <c r="D1421" s="17" t="s">
        <v>3663</v>
      </c>
      <c r="E1421" s="16" t="s">
        <v>2086</v>
      </c>
      <c r="F1421" s="16" t="s">
        <v>2053</v>
      </c>
      <c r="G1421" s="35" t="s">
        <v>2087</v>
      </c>
      <c r="H1421" s="39">
        <v>596.82000000000005</v>
      </c>
      <c r="I1421" s="39">
        <v>611.29999999999995</v>
      </c>
      <c r="J1421" s="39">
        <v>600.16</v>
      </c>
      <c r="K1421" s="39">
        <v>0</v>
      </c>
      <c r="L1421" s="39">
        <v>0</v>
      </c>
      <c r="M1421" s="39">
        <v>0</v>
      </c>
      <c r="N1421" s="39">
        <v>0</v>
      </c>
      <c r="O1421" s="39">
        <v>0</v>
      </c>
      <c r="P1421" s="39">
        <v>0</v>
      </c>
      <c r="Q1421" s="39">
        <v>0</v>
      </c>
      <c r="R1421" s="39">
        <v>0</v>
      </c>
      <c r="S1421" s="39">
        <v>0</v>
      </c>
      <c r="T1421" s="39">
        <v>0</v>
      </c>
      <c r="U1421" s="39">
        <v>0</v>
      </c>
      <c r="V1421" s="39">
        <v>0</v>
      </c>
      <c r="W1421" s="39">
        <v>0</v>
      </c>
      <c r="X1421" s="39">
        <v>0</v>
      </c>
      <c r="Y1421" s="39">
        <v>0</v>
      </c>
      <c r="Z1421" s="39">
        <v>0</v>
      </c>
      <c r="AA1421" s="39">
        <v>0</v>
      </c>
      <c r="AB1421" s="39">
        <v>0</v>
      </c>
      <c r="AC1421" s="39">
        <v>0</v>
      </c>
      <c r="AD1421" s="39">
        <v>0</v>
      </c>
      <c r="AE1421" s="39">
        <v>0</v>
      </c>
      <c r="AF1421" s="39">
        <v>0</v>
      </c>
      <c r="AG1421" s="39">
        <v>0</v>
      </c>
      <c r="AH1421" s="39">
        <v>0</v>
      </c>
      <c r="AI1421" s="39">
        <v>596.82000000000005</v>
      </c>
      <c r="AJ1421" s="39">
        <v>611.29999999999995</v>
      </c>
      <c r="AK1421" s="39">
        <v>600.16</v>
      </c>
      <c r="AL1421" s="39">
        <v>0</v>
      </c>
      <c r="AM1421" s="39">
        <v>0</v>
      </c>
      <c r="AN1421" s="39">
        <v>0</v>
      </c>
      <c r="AO1421" s="39">
        <v>596.82000000000005</v>
      </c>
      <c r="AP1421" s="39">
        <v>611.29999999999995</v>
      </c>
      <c r="AQ1421" s="39">
        <v>600.16</v>
      </c>
      <c r="AR1421" s="39">
        <v>611.29999999999995</v>
      </c>
    </row>
    <row r="1422" spans="1:44" x14ac:dyDescent="0.35">
      <c r="A1422" s="16" t="str">
        <f t="shared" si="116"/>
        <v>37</v>
      </c>
      <c r="B1422" s="19">
        <v>73551</v>
      </c>
      <c r="C1422" s="16" t="str">
        <f t="shared" si="117"/>
        <v>0000000</v>
      </c>
      <c r="D1422" s="17" t="s">
        <v>3663</v>
      </c>
      <c r="E1422" s="16" t="s">
        <v>2317</v>
      </c>
      <c r="F1422" s="16" t="s">
        <v>2053</v>
      </c>
      <c r="G1422" s="35" t="s">
        <v>2318</v>
      </c>
      <c r="H1422" s="39">
        <v>10085.64</v>
      </c>
      <c r="I1422" s="39">
        <v>10229.61</v>
      </c>
      <c r="J1422" s="39">
        <v>10290.81</v>
      </c>
      <c r="K1422" s="39">
        <v>0</v>
      </c>
      <c r="L1422" s="39">
        <v>0</v>
      </c>
      <c r="M1422" s="39">
        <v>0</v>
      </c>
      <c r="N1422" s="39">
        <v>0</v>
      </c>
      <c r="O1422" s="39">
        <v>0</v>
      </c>
      <c r="P1422" s="39">
        <v>0</v>
      </c>
      <c r="Q1422" s="39">
        <v>0</v>
      </c>
      <c r="R1422" s="39">
        <v>0</v>
      </c>
      <c r="S1422" s="39">
        <v>0</v>
      </c>
      <c r="T1422" s="39">
        <v>0</v>
      </c>
      <c r="U1422" s="39">
        <v>0</v>
      </c>
      <c r="V1422" s="39">
        <v>0</v>
      </c>
      <c r="W1422" s="39">
        <v>0</v>
      </c>
      <c r="X1422" s="39">
        <v>0</v>
      </c>
      <c r="Y1422" s="39">
        <v>0</v>
      </c>
      <c r="Z1422" s="39">
        <v>0</v>
      </c>
      <c r="AA1422" s="39">
        <v>0</v>
      </c>
      <c r="AB1422" s="39">
        <v>0</v>
      </c>
      <c r="AC1422" s="39">
        <v>0</v>
      </c>
      <c r="AD1422" s="39">
        <v>0</v>
      </c>
      <c r="AE1422" s="39">
        <v>0</v>
      </c>
      <c r="AF1422" s="39">
        <v>0</v>
      </c>
      <c r="AG1422" s="39">
        <v>0</v>
      </c>
      <c r="AH1422" s="39">
        <v>0</v>
      </c>
      <c r="AI1422" s="39">
        <v>10085.64</v>
      </c>
      <c r="AJ1422" s="39">
        <v>10229.61</v>
      </c>
      <c r="AK1422" s="39">
        <v>10290.81</v>
      </c>
      <c r="AL1422" s="39">
        <v>0</v>
      </c>
      <c r="AM1422" s="39">
        <v>0</v>
      </c>
      <c r="AN1422" s="39">
        <v>0</v>
      </c>
      <c r="AO1422" s="39">
        <v>10085.64</v>
      </c>
      <c r="AP1422" s="39">
        <v>10229.61</v>
      </c>
      <c r="AQ1422" s="39">
        <v>10290.81</v>
      </c>
      <c r="AR1422" s="39">
        <v>10290.81</v>
      </c>
    </row>
    <row r="1423" spans="1:44" x14ac:dyDescent="0.35">
      <c r="A1423" s="16" t="str">
        <f t="shared" si="116"/>
        <v>37</v>
      </c>
      <c r="B1423" s="19">
        <v>68056</v>
      </c>
      <c r="C1423" s="16" t="str">
        <f t="shared" si="117"/>
        <v>0000000</v>
      </c>
      <c r="D1423" s="17" t="s">
        <v>3663</v>
      </c>
      <c r="E1423" s="16" t="s">
        <v>2108</v>
      </c>
      <c r="F1423" s="16" t="s">
        <v>2053</v>
      </c>
      <c r="G1423" s="35" t="s">
        <v>2109</v>
      </c>
      <c r="H1423" s="39">
        <v>3360.55</v>
      </c>
      <c r="I1423" s="39">
        <v>3501.61</v>
      </c>
      <c r="J1423" s="39">
        <v>3580.57</v>
      </c>
      <c r="K1423" s="39">
        <v>0</v>
      </c>
      <c r="L1423" s="39">
        <v>0</v>
      </c>
      <c r="M1423" s="39">
        <v>0</v>
      </c>
      <c r="N1423" s="39">
        <v>0</v>
      </c>
      <c r="O1423" s="39">
        <v>0</v>
      </c>
      <c r="P1423" s="39">
        <v>0</v>
      </c>
      <c r="Q1423" s="39">
        <v>0</v>
      </c>
      <c r="R1423" s="39">
        <v>0</v>
      </c>
      <c r="S1423" s="39">
        <v>0</v>
      </c>
      <c r="T1423" s="39">
        <v>0</v>
      </c>
      <c r="U1423" s="39">
        <v>0</v>
      </c>
      <c r="V1423" s="39">
        <v>0</v>
      </c>
      <c r="W1423" s="39">
        <v>0</v>
      </c>
      <c r="X1423" s="39">
        <v>0</v>
      </c>
      <c r="Y1423" s="39">
        <v>0</v>
      </c>
      <c r="Z1423" s="39">
        <v>0</v>
      </c>
      <c r="AA1423" s="39">
        <v>0</v>
      </c>
      <c r="AB1423" s="39">
        <v>0</v>
      </c>
      <c r="AC1423" s="39">
        <v>0</v>
      </c>
      <c r="AD1423" s="39">
        <v>0</v>
      </c>
      <c r="AE1423" s="39">
        <v>0</v>
      </c>
      <c r="AF1423" s="39">
        <v>0</v>
      </c>
      <c r="AG1423" s="39">
        <v>0</v>
      </c>
      <c r="AH1423" s="39">
        <v>0</v>
      </c>
      <c r="AI1423" s="39">
        <v>3360.55</v>
      </c>
      <c r="AJ1423" s="39">
        <v>3501.61</v>
      </c>
      <c r="AK1423" s="39">
        <v>3580.57</v>
      </c>
      <c r="AL1423" s="39">
        <v>0</v>
      </c>
      <c r="AM1423" s="39">
        <v>0</v>
      </c>
      <c r="AN1423" s="39">
        <v>0</v>
      </c>
      <c r="AO1423" s="39">
        <v>3360.55</v>
      </c>
      <c r="AP1423" s="39">
        <v>3501.61</v>
      </c>
      <c r="AQ1423" s="39">
        <v>3580.57</v>
      </c>
      <c r="AR1423" s="39">
        <v>3580.57</v>
      </c>
    </row>
    <row r="1424" spans="1:44" x14ac:dyDescent="0.35">
      <c r="A1424" s="16" t="str">
        <f t="shared" si="116"/>
        <v>37</v>
      </c>
      <c r="B1424" s="19">
        <v>68080</v>
      </c>
      <c r="C1424" s="16" t="str">
        <f t="shared" si="117"/>
        <v>0000000</v>
      </c>
      <c r="D1424" s="17" t="s">
        <v>3663</v>
      </c>
      <c r="E1424" s="16" t="s">
        <v>2110</v>
      </c>
      <c r="F1424" s="16" t="s">
        <v>2053</v>
      </c>
      <c r="G1424" s="35" t="s">
        <v>2111</v>
      </c>
      <c r="H1424" s="39">
        <v>4070.62</v>
      </c>
      <c r="I1424" s="39">
        <v>4201.78</v>
      </c>
      <c r="J1424" s="39">
        <v>4349.3999999999996</v>
      </c>
      <c r="K1424" s="39">
        <v>0</v>
      </c>
      <c r="L1424" s="39">
        <v>0</v>
      </c>
      <c r="M1424" s="39">
        <v>0</v>
      </c>
      <c r="N1424" s="39">
        <v>43.74</v>
      </c>
      <c r="O1424" s="39">
        <v>39.409999999999997</v>
      </c>
      <c r="P1424" s="39">
        <v>51.73</v>
      </c>
      <c r="Q1424" s="39">
        <v>0</v>
      </c>
      <c r="R1424" s="39">
        <v>0</v>
      </c>
      <c r="S1424" s="39">
        <v>0</v>
      </c>
      <c r="T1424" s="39">
        <v>0</v>
      </c>
      <c r="U1424" s="39">
        <v>0</v>
      </c>
      <c r="V1424" s="39">
        <v>0</v>
      </c>
      <c r="W1424" s="39">
        <v>0</v>
      </c>
      <c r="X1424" s="39">
        <v>0</v>
      </c>
      <c r="Y1424" s="39">
        <v>0</v>
      </c>
      <c r="Z1424" s="39">
        <v>0</v>
      </c>
      <c r="AA1424" s="39">
        <v>0</v>
      </c>
      <c r="AB1424" s="39">
        <v>0</v>
      </c>
      <c r="AC1424" s="39">
        <v>0</v>
      </c>
      <c r="AD1424" s="39">
        <v>0</v>
      </c>
      <c r="AE1424" s="39">
        <v>0</v>
      </c>
      <c r="AF1424" s="39">
        <v>0</v>
      </c>
      <c r="AG1424" s="39">
        <v>0</v>
      </c>
      <c r="AH1424" s="39">
        <v>0</v>
      </c>
      <c r="AI1424" s="39">
        <v>4114.3599999999997</v>
      </c>
      <c r="AJ1424" s="39">
        <v>4241.1899999999996</v>
      </c>
      <c r="AK1424" s="39">
        <v>4401.13</v>
      </c>
      <c r="AL1424" s="39">
        <v>0</v>
      </c>
      <c r="AM1424" s="39">
        <v>0</v>
      </c>
      <c r="AN1424" s="39">
        <v>0</v>
      </c>
      <c r="AO1424" s="39">
        <v>4114.3599999999997</v>
      </c>
      <c r="AP1424" s="39">
        <v>4241.1899999999996</v>
      </c>
      <c r="AQ1424" s="39">
        <v>4401.13</v>
      </c>
      <c r="AR1424" s="39">
        <v>4401.13</v>
      </c>
    </row>
    <row r="1425" spans="1:44" x14ac:dyDescent="0.35">
      <c r="A1425" s="16" t="str">
        <f t="shared" si="116"/>
        <v>37</v>
      </c>
      <c r="B1425" s="19">
        <v>68114</v>
      </c>
      <c r="C1425" s="16" t="str">
        <f t="shared" si="117"/>
        <v>0000000</v>
      </c>
      <c r="D1425" s="17" t="s">
        <v>3663</v>
      </c>
      <c r="E1425" s="16" t="s">
        <v>2124</v>
      </c>
      <c r="F1425" s="16" t="s">
        <v>2053</v>
      </c>
      <c r="G1425" s="35" t="s">
        <v>2125</v>
      </c>
      <c r="H1425" s="39">
        <v>4729.58</v>
      </c>
      <c r="I1425" s="39">
        <v>4807.22</v>
      </c>
      <c r="J1425" s="39">
        <v>4595.6400000000003</v>
      </c>
      <c r="K1425" s="39">
        <v>0</v>
      </c>
      <c r="L1425" s="39">
        <v>0</v>
      </c>
      <c r="M1425" s="39">
        <v>0</v>
      </c>
      <c r="N1425" s="39">
        <v>0</v>
      </c>
      <c r="O1425" s="39">
        <v>0</v>
      </c>
      <c r="P1425" s="39">
        <v>0</v>
      </c>
      <c r="Q1425" s="39">
        <v>0</v>
      </c>
      <c r="R1425" s="39">
        <v>0</v>
      </c>
      <c r="S1425" s="39">
        <v>0</v>
      </c>
      <c r="T1425" s="39">
        <v>0</v>
      </c>
      <c r="U1425" s="39">
        <v>0</v>
      </c>
      <c r="V1425" s="39">
        <v>0</v>
      </c>
      <c r="W1425" s="39">
        <v>0</v>
      </c>
      <c r="X1425" s="39">
        <v>0</v>
      </c>
      <c r="Y1425" s="39">
        <v>0</v>
      </c>
      <c r="Z1425" s="39">
        <v>0</v>
      </c>
      <c r="AA1425" s="39">
        <v>0</v>
      </c>
      <c r="AB1425" s="39">
        <v>0</v>
      </c>
      <c r="AC1425" s="39">
        <v>0</v>
      </c>
      <c r="AD1425" s="39">
        <v>0</v>
      </c>
      <c r="AE1425" s="39">
        <v>0</v>
      </c>
      <c r="AF1425" s="39">
        <v>0</v>
      </c>
      <c r="AG1425" s="39">
        <v>0</v>
      </c>
      <c r="AH1425" s="39">
        <v>0</v>
      </c>
      <c r="AI1425" s="39">
        <v>4729.58</v>
      </c>
      <c r="AJ1425" s="39">
        <v>4807.22</v>
      </c>
      <c r="AK1425" s="39">
        <v>4595.6400000000003</v>
      </c>
      <c r="AL1425" s="39">
        <v>0</v>
      </c>
      <c r="AM1425" s="39">
        <v>0</v>
      </c>
      <c r="AN1425" s="39">
        <v>0</v>
      </c>
      <c r="AO1425" s="39">
        <v>4729.58</v>
      </c>
      <c r="AP1425" s="39">
        <v>4807.22</v>
      </c>
      <c r="AQ1425" s="39">
        <v>4595.6400000000003</v>
      </c>
      <c r="AR1425" s="39">
        <v>4807.22</v>
      </c>
    </row>
    <row r="1426" spans="1:44" x14ac:dyDescent="0.35">
      <c r="A1426" s="16" t="str">
        <f t="shared" si="116"/>
        <v>37</v>
      </c>
      <c r="B1426" s="19">
        <v>68122</v>
      </c>
      <c r="C1426" s="16" t="str">
        <f t="shared" si="117"/>
        <v>0000000</v>
      </c>
      <c r="D1426" s="17" t="s">
        <v>3663</v>
      </c>
      <c r="E1426" s="16" t="s">
        <v>2126</v>
      </c>
      <c r="F1426" s="16" t="s">
        <v>2053</v>
      </c>
      <c r="G1426" s="35" t="s">
        <v>2127</v>
      </c>
      <c r="H1426" s="39">
        <v>1838.07</v>
      </c>
      <c r="I1426" s="39">
        <v>1895.21</v>
      </c>
      <c r="J1426" s="39">
        <v>1902.4</v>
      </c>
      <c r="K1426" s="39">
        <v>0</v>
      </c>
      <c r="L1426" s="39">
        <v>0</v>
      </c>
      <c r="M1426" s="39">
        <v>0</v>
      </c>
      <c r="N1426" s="39">
        <v>0</v>
      </c>
      <c r="O1426" s="39">
        <v>0</v>
      </c>
      <c r="P1426" s="39">
        <v>0</v>
      </c>
      <c r="Q1426" s="39">
        <v>0</v>
      </c>
      <c r="R1426" s="39">
        <v>0</v>
      </c>
      <c r="S1426" s="39">
        <v>0</v>
      </c>
      <c r="T1426" s="39">
        <v>0</v>
      </c>
      <c r="U1426" s="39">
        <v>0</v>
      </c>
      <c r="V1426" s="39">
        <v>0</v>
      </c>
      <c r="W1426" s="39">
        <v>0</v>
      </c>
      <c r="X1426" s="39">
        <v>0</v>
      </c>
      <c r="Y1426" s="39">
        <v>0</v>
      </c>
      <c r="Z1426" s="39">
        <v>0</v>
      </c>
      <c r="AA1426" s="39">
        <v>0</v>
      </c>
      <c r="AB1426" s="39">
        <v>0</v>
      </c>
      <c r="AC1426" s="39">
        <v>0</v>
      </c>
      <c r="AD1426" s="39">
        <v>0</v>
      </c>
      <c r="AE1426" s="39">
        <v>0</v>
      </c>
      <c r="AF1426" s="39">
        <v>0</v>
      </c>
      <c r="AG1426" s="39">
        <v>0</v>
      </c>
      <c r="AH1426" s="39">
        <v>0</v>
      </c>
      <c r="AI1426" s="39">
        <v>1838.07</v>
      </c>
      <c r="AJ1426" s="39">
        <v>1895.21</v>
      </c>
      <c r="AK1426" s="39">
        <v>1902.4</v>
      </c>
      <c r="AL1426" s="39">
        <v>0</v>
      </c>
      <c r="AM1426" s="39">
        <v>0</v>
      </c>
      <c r="AN1426" s="39">
        <v>0</v>
      </c>
      <c r="AO1426" s="39">
        <v>1838.07</v>
      </c>
      <c r="AP1426" s="39">
        <v>1895.21</v>
      </c>
      <c r="AQ1426" s="39">
        <v>1902.4</v>
      </c>
      <c r="AR1426" s="39">
        <v>1902.4</v>
      </c>
    </row>
    <row r="1427" spans="1:44" x14ac:dyDescent="0.35">
      <c r="A1427" s="16" t="str">
        <f t="shared" si="116"/>
        <v>37</v>
      </c>
      <c r="B1427" s="19">
        <v>73569</v>
      </c>
      <c r="C1427" s="16" t="str">
        <f t="shared" si="117"/>
        <v>0000000</v>
      </c>
      <c r="D1427" s="17" t="s">
        <v>3663</v>
      </c>
      <c r="E1427" s="16" t="s">
        <v>2319</v>
      </c>
      <c r="F1427" s="16" t="s">
        <v>2053</v>
      </c>
      <c r="G1427" s="35" t="s">
        <v>2320</v>
      </c>
      <c r="H1427" s="39">
        <v>13619.41</v>
      </c>
      <c r="I1427" s="39">
        <v>14020.21</v>
      </c>
      <c r="J1427" s="39">
        <v>13918.09</v>
      </c>
      <c r="K1427" s="39">
        <v>0</v>
      </c>
      <c r="L1427" s="39">
        <v>0</v>
      </c>
      <c r="M1427" s="39">
        <v>0</v>
      </c>
      <c r="N1427" s="39">
        <v>0</v>
      </c>
      <c r="O1427" s="39">
        <v>0</v>
      </c>
      <c r="P1427" s="39">
        <v>0</v>
      </c>
      <c r="Q1427" s="39">
        <v>0</v>
      </c>
      <c r="R1427" s="39">
        <v>0</v>
      </c>
      <c r="S1427" s="39">
        <v>0</v>
      </c>
      <c r="T1427" s="39">
        <v>0</v>
      </c>
      <c r="U1427" s="39">
        <v>0</v>
      </c>
      <c r="V1427" s="39">
        <v>0</v>
      </c>
      <c r="W1427" s="39">
        <v>0</v>
      </c>
      <c r="X1427" s="39">
        <v>0</v>
      </c>
      <c r="Y1427" s="39">
        <v>0</v>
      </c>
      <c r="Z1427" s="39">
        <v>0</v>
      </c>
      <c r="AA1427" s="39">
        <v>0</v>
      </c>
      <c r="AB1427" s="39">
        <v>0</v>
      </c>
      <c r="AC1427" s="39">
        <v>0</v>
      </c>
      <c r="AD1427" s="39">
        <v>0</v>
      </c>
      <c r="AE1427" s="39">
        <v>0</v>
      </c>
      <c r="AF1427" s="39">
        <v>0</v>
      </c>
      <c r="AG1427" s="39">
        <v>0</v>
      </c>
      <c r="AH1427" s="39">
        <v>0</v>
      </c>
      <c r="AI1427" s="39">
        <v>13619.41</v>
      </c>
      <c r="AJ1427" s="39">
        <v>14020.21</v>
      </c>
      <c r="AK1427" s="39">
        <v>13918.09</v>
      </c>
      <c r="AL1427" s="39">
        <v>0</v>
      </c>
      <c r="AM1427" s="39">
        <v>0</v>
      </c>
      <c r="AN1427" s="39">
        <v>0</v>
      </c>
      <c r="AO1427" s="39">
        <v>13619.41</v>
      </c>
      <c r="AP1427" s="39">
        <v>14020.21</v>
      </c>
      <c r="AQ1427" s="39">
        <v>13918.09</v>
      </c>
      <c r="AR1427" s="39">
        <v>14020.21</v>
      </c>
    </row>
    <row r="1428" spans="1:44" x14ac:dyDescent="0.35">
      <c r="A1428" s="16" t="str">
        <f t="shared" si="116"/>
        <v>37</v>
      </c>
      <c r="B1428" s="19">
        <v>68312</v>
      </c>
      <c r="C1428" s="16" t="str">
        <f t="shared" si="117"/>
        <v>0000000</v>
      </c>
      <c r="D1428" s="17" t="s">
        <v>3663</v>
      </c>
      <c r="E1428" s="16" t="s">
        <v>2173</v>
      </c>
      <c r="F1428" s="16" t="s">
        <v>2053</v>
      </c>
      <c r="G1428" s="35" t="s">
        <v>2174</v>
      </c>
      <c r="H1428" s="39">
        <v>478.32</v>
      </c>
      <c r="I1428" s="39">
        <v>509.57</v>
      </c>
      <c r="J1428" s="39">
        <v>539</v>
      </c>
      <c r="K1428" s="39">
        <v>0</v>
      </c>
      <c r="L1428" s="39">
        <v>0</v>
      </c>
      <c r="M1428" s="39">
        <v>0</v>
      </c>
      <c r="N1428" s="39">
        <v>0</v>
      </c>
      <c r="O1428" s="39">
        <v>0</v>
      </c>
      <c r="P1428" s="39">
        <v>0</v>
      </c>
      <c r="Q1428" s="39">
        <v>0</v>
      </c>
      <c r="R1428" s="39">
        <v>0</v>
      </c>
      <c r="S1428" s="39">
        <v>0</v>
      </c>
      <c r="T1428" s="39">
        <v>0</v>
      </c>
      <c r="U1428" s="39">
        <v>0</v>
      </c>
      <c r="V1428" s="39">
        <v>0</v>
      </c>
      <c r="W1428" s="39">
        <v>0</v>
      </c>
      <c r="X1428" s="39">
        <v>0</v>
      </c>
      <c r="Y1428" s="39">
        <v>0</v>
      </c>
      <c r="Z1428" s="39">
        <v>0</v>
      </c>
      <c r="AA1428" s="39">
        <v>0</v>
      </c>
      <c r="AB1428" s="39">
        <v>0</v>
      </c>
      <c r="AC1428" s="39">
        <v>0</v>
      </c>
      <c r="AD1428" s="39">
        <v>0</v>
      </c>
      <c r="AE1428" s="39">
        <v>0</v>
      </c>
      <c r="AF1428" s="39">
        <v>0</v>
      </c>
      <c r="AG1428" s="39">
        <v>0</v>
      </c>
      <c r="AH1428" s="39">
        <v>0</v>
      </c>
      <c r="AI1428" s="39">
        <v>478.32</v>
      </c>
      <c r="AJ1428" s="39">
        <v>509.57</v>
      </c>
      <c r="AK1428" s="39">
        <v>539</v>
      </c>
      <c r="AL1428" s="39">
        <v>0</v>
      </c>
      <c r="AM1428" s="39">
        <v>0</v>
      </c>
      <c r="AN1428" s="39">
        <v>0</v>
      </c>
      <c r="AO1428" s="39">
        <v>478.32</v>
      </c>
      <c r="AP1428" s="39">
        <v>509.57</v>
      </c>
      <c r="AQ1428" s="39">
        <v>539</v>
      </c>
      <c r="AR1428" s="39">
        <v>539</v>
      </c>
    </row>
    <row r="1429" spans="1:44" x14ac:dyDescent="0.35">
      <c r="A1429" s="16" t="str">
        <f t="shared" si="116"/>
        <v>37</v>
      </c>
      <c r="B1429" s="19">
        <v>68346</v>
      </c>
      <c r="C1429" s="16" t="str">
        <f t="shared" si="117"/>
        <v>0000000</v>
      </c>
      <c r="D1429" s="17" t="s">
        <v>3663</v>
      </c>
      <c r="E1429" s="16" t="s">
        <v>2285</v>
      </c>
      <c r="F1429" s="16" t="s">
        <v>2053</v>
      </c>
      <c r="G1429" s="35" t="s">
        <v>2286</v>
      </c>
      <c r="H1429" s="39">
        <v>11487.17</v>
      </c>
      <c r="I1429" s="39">
        <v>11940.65</v>
      </c>
      <c r="J1429" s="39">
        <v>11949.6</v>
      </c>
      <c r="K1429" s="39">
        <v>0</v>
      </c>
      <c r="L1429" s="39">
        <v>0</v>
      </c>
      <c r="M1429" s="39">
        <v>0</v>
      </c>
      <c r="N1429" s="39">
        <v>0</v>
      </c>
      <c r="O1429" s="39">
        <v>0</v>
      </c>
      <c r="P1429" s="39">
        <v>0</v>
      </c>
      <c r="Q1429" s="39">
        <v>0</v>
      </c>
      <c r="R1429" s="39">
        <v>0</v>
      </c>
      <c r="S1429" s="39">
        <v>0</v>
      </c>
      <c r="T1429" s="39">
        <v>0</v>
      </c>
      <c r="U1429" s="39">
        <v>0</v>
      </c>
      <c r="V1429" s="39">
        <v>0</v>
      </c>
      <c r="W1429" s="39">
        <v>0</v>
      </c>
      <c r="X1429" s="39">
        <v>0</v>
      </c>
      <c r="Y1429" s="39">
        <v>0</v>
      </c>
      <c r="Z1429" s="39">
        <v>0</v>
      </c>
      <c r="AA1429" s="39">
        <v>0</v>
      </c>
      <c r="AB1429" s="39">
        <v>0</v>
      </c>
      <c r="AC1429" s="39">
        <v>0</v>
      </c>
      <c r="AD1429" s="39">
        <v>0</v>
      </c>
      <c r="AE1429" s="39">
        <v>0</v>
      </c>
      <c r="AF1429" s="39">
        <v>0</v>
      </c>
      <c r="AG1429" s="39">
        <v>0</v>
      </c>
      <c r="AH1429" s="39">
        <v>0</v>
      </c>
      <c r="AI1429" s="39">
        <v>11487.17</v>
      </c>
      <c r="AJ1429" s="39">
        <v>11940.65</v>
      </c>
      <c r="AK1429" s="39">
        <v>11949.6</v>
      </c>
      <c r="AL1429" s="39">
        <v>0</v>
      </c>
      <c r="AM1429" s="39">
        <v>0</v>
      </c>
      <c r="AN1429" s="39">
        <v>0</v>
      </c>
      <c r="AO1429" s="39">
        <v>11487.17</v>
      </c>
      <c r="AP1429" s="39">
        <v>11940.65</v>
      </c>
      <c r="AQ1429" s="39">
        <v>11949.6</v>
      </c>
      <c r="AR1429" s="39">
        <v>11949.6</v>
      </c>
    </row>
    <row r="1430" spans="1:44" x14ac:dyDescent="0.35">
      <c r="A1430" s="16" t="str">
        <f t="shared" si="116"/>
        <v>37</v>
      </c>
      <c r="B1430" s="19">
        <v>73791</v>
      </c>
      <c r="C1430" s="16" t="str">
        <f t="shared" si="117"/>
        <v>0000000</v>
      </c>
      <c r="D1430" s="17" t="s">
        <v>3663</v>
      </c>
      <c r="E1430" s="16" t="s">
        <v>2327</v>
      </c>
      <c r="F1430" s="16" t="s">
        <v>2053</v>
      </c>
      <c r="G1430" s="35" t="s">
        <v>2328</v>
      </c>
      <c r="H1430" s="39">
        <v>17764.43</v>
      </c>
      <c r="I1430" s="39">
        <v>18170.39</v>
      </c>
      <c r="J1430" s="39">
        <v>18127.97</v>
      </c>
      <c r="K1430" s="39">
        <v>0</v>
      </c>
      <c r="L1430" s="39">
        <v>0</v>
      </c>
      <c r="M1430" s="39">
        <v>0</v>
      </c>
      <c r="N1430" s="39">
        <v>0</v>
      </c>
      <c r="O1430" s="39">
        <v>0</v>
      </c>
      <c r="P1430" s="39">
        <v>0</v>
      </c>
      <c r="Q1430" s="39">
        <v>0</v>
      </c>
      <c r="R1430" s="39">
        <v>0</v>
      </c>
      <c r="S1430" s="39">
        <v>0</v>
      </c>
      <c r="T1430" s="39">
        <v>0</v>
      </c>
      <c r="U1430" s="39">
        <v>0</v>
      </c>
      <c r="V1430" s="39">
        <v>0</v>
      </c>
      <c r="W1430" s="39">
        <v>0</v>
      </c>
      <c r="X1430" s="39">
        <v>0</v>
      </c>
      <c r="Y1430" s="39">
        <v>0</v>
      </c>
      <c r="Z1430" s="39">
        <v>0</v>
      </c>
      <c r="AA1430" s="39">
        <v>0</v>
      </c>
      <c r="AB1430" s="39">
        <v>0</v>
      </c>
      <c r="AC1430" s="39">
        <v>0</v>
      </c>
      <c r="AD1430" s="39">
        <v>0</v>
      </c>
      <c r="AE1430" s="39">
        <v>0</v>
      </c>
      <c r="AF1430" s="39">
        <v>0</v>
      </c>
      <c r="AG1430" s="39">
        <v>0</v>
      </c>
      <c r="AH1430" s="39">
        <v>0</v>
      </c>
      <c r="AI1430" s="39">
        <v>17764.43</v>
      </c>
      <c r="AJ1430" s="39">
        <v>18170.39</v>
      </c>
      <c r="AK1430" s="39">
        <v>18127.97</v>
      </c>
      <c r="AL1430" s="39">
        <v>0</v>
      </c>
      <c r="AM1430" s="39">
        <v>0</v>
      </c>
      <c r="AN1430" s="39">
        <v>0</v>
      </c>
      <c r="AO1430" s="39">
        <v>17764.43</v>
      </c>
      <c r="AP1430" s="39">
        <v>18170.39</v>
      </c>
      <c r="AQ1430" s="39">
        <v>18127.97</v>
      </c>
      <c r="AR1430" s="39">
        <v>18170.39</v>
      </c>
    </row>
    <row r="1431" spans="1:44" x14ac:dyDescent="0.35">
      <c r="A1431" s="16" t="str">
        <f t="shared" si="116"/>
        <v>37</v>
      </c>
      <c r="B1431" s="19">
        <v>68387</v>
      </c>
      <c r="C1431" s="16" t="str">
        <f t="shared" si="117"/>
        <v>0000000</v>
      </c>
      <c r="D1431" s="17" t="s">
        <v>3663</v>
      </c>
      <c r="E1431" s="16" t="s">
        <v>2293</v>
      </c>
      <c r="F1431" s="16" t="s">
        <v>2053</v>
      </c>
      <c r="G1431" s="35" t="s">
        <v>2294</v>
      </c>
      <c r="H1431" s="39">
        <v>2511.33</v>
      </c>
      <c r="I1431" s="39">
        <v>2620.04</v>
      </c>
      <c r="J1431" s="39">
        <v>2592.5</v>
      </c>
      <c r="K1431" s="39">
        <v>0</v>
      </c>
      <c r="L1431" s="39">
        <v>0</v>
      </c>
      <c r="M1431" s="39">
        <v>0</v>
      </c>
      <c r="N1431" s="39">
        <v>0</v>
      </c>
      <c r="O1431" s="39">
        <v>0</v>
      </c>
      <c r="P1431" s="39">
        <v>0</v>
      </c>
      <c r="Q1431" s="39">
        <v>0</v>
      </c>
      <c r="R1431" s="39">
        <v>0</v>
      </c>
      <c r="S1431" s="39">
        <v>0</v>
      </c>
      <c r="T1431" s="39">
        <v>0</v>
      </c>
      <c r="U1431" s="39">
        <v>0</v>
      </c>
      <c r="V1431" s="39">
        <v>0</v>
      </c>
      <c r="W1431" s="39">
        <v>0</v>
      </c>
      <c r="X1431" s="39">
        <v>0</v>
      </c>
      <c r="Y1431" s="39">
        <v>0</v>
      </c>
      <c r="Z1431" s="39">
        <v>0</v>
      </c>
      <c r="AA1431" s="39">
        <v>0</v>
      </c>
      <c r="AB1431" s="39">
        <v>0</v>
      </c>
      <c r="AC1431" s="39">
        <v>0</v>
      </c>
      <c r="AD1431" s="39">
        <v>0</v>
      </c>
      <c r="AE1431" s="39">
        <v>0</v>
      </c>
      <c r="AF1431" s="39">
        <v>0</v>
      </c>
      <c r="AG1431" s="39">
        <v>0</v>
      </c>
      <c r="AH1431" s="39">
        <v>0</v>
      </c>
      <c r="AI1431" s="39">
        <v>2511.33</v>
      </c>
      <c r="AJ1431" s="39">
        <v>2620.04</v>
      </c>
      <c r="AK1431" s="39">
        <v>2592.5</v>
      </c>
      <c r="AL1431" s="39">
        <v>0</v>
      </c>
      <c r="AM1431" s="39">
        <v>0</v>
      </c>
      <c r="AN1431" s="39">
        <v>0</v>
      </c>
      <c r="AO1431" s="39">
        <v>2511.33</v>
      </c>
      <c r="AP1431" s="39">
        <v>2620.04</v>
      </c>
      <c r="AQ1431" s="39">
        <v>2592.5</v>
      </c>
      <c r="AR1431" s="39">
        <v>2620.04</v>
      </c>
    </row>
    <row r="1432" spans="1:44" x14ac:dyDescent="0.35">
      <c r="A1432" s="16" t="str">
        <f t="shared" si="116"/>
        <v>37</v>
      </c>
      <c r="B1432" s="19">
        <v>68452</v>
      </c>
      <c r="C1432" s="16" t="str">
        <f t="shared" si="117"/>
        <v>0000000</v>
      </c>
      <c r="D1432" s="17" t="s">
        <v>3663</v>
      </c>
      <c r="E1432" s="16" t="s">
        <v>2308</v>
      </c>
      <c r="F1432" s="16" t="s">
        <v>2053</v>
      </c>
      <c r="G1432" s="35" t="s">
        <v>2309</v>
      </c>
      <c r="H1432" s="39">
        <v>16870.599999999999</v>
      </c>
      <c r="I1432" s="39">
        <v>17287.169999999998</v>
      </c>
      <c r="J1432" s="39">
        <v>17283.72</v>
      </c>
      <c r="K1432" s="39">
        <v>0</v>
      </c>
      <c r="L1432" s="39">
        <v>0</v>
      </c>
      <c r="M1432" s="39">
        <v>0</v>
      </c>
      <c r="N1432" s="39">
        <v>0</v>
      </c>
      <c r="O1432" s="39">
        <v>0</v>
      </c>
      <c r="P1432" s="39">
        <v>0</v>
      </c>
      <c r="Q1432" s="39">
        <v>0</v>
      </c>
      <c r="R1432" s="39">
        <v>0</v>
      </c>
      <c r="S1432" s="39">
        <v>0</v>
      </c>
      <c r="T1432" s="39">
        <v>0</v>
      </c>
      <c r="U1432" s="39">
        <v>0</v>
      </c>
      <c r="V1432" s="39">
        <v>0</v>
      </c>
      <c r="W1432" s="39">
        <v>0</v>
      </c>
      <c r="X1432" s="39">
        <v>0</v>
      </c>
      <c r="Y1432" s="39">
        <v>0</v>
      </c>
      <c r="Z1432" s="39">
        <v>0</v>
      </c>
      <c r="AA1432" s="39">
        <v>0</v>
      </c>
      <c r="AB1432" s="39">
        <v>0</v>
      </c>
      <c r="AC1432" s="39">
        <v>1120.95</v>
      </c>
      <c r="AD1432" s="39">
        <v>1101.19</v>
      </c>
      <c r="AE1432" s="39">
        <v>870.44</v>
      </c>
      <c r="AF1432" s="39">
        <v>0</v>
      </c>
      <c r="AG1432" s="39">
        <v>0</v>
      </c>
      <c r="AH1432" s="39">
        <v>0</v>
      </c>
      <c r="AI1432" s="39">
        <v>17991.55</v>
      </c>
      <c r="AJ1432" s="39">
        <v>18388.36</v>
      </c>
      <c r="AK1432" s="39">
        <v>18154.16</v>
      </c>
      <c r="AL1432" s="39">
        <v>0</v>
      </c>
      <c r="AM1432" s="39">
        <v>0</v>
      </c>
      <c r="AN1432" s="39">
        <v>0</v>
      </c>
      <c r="AO1432" s="39">
        <v>17991.55</v>
      </c>
      <c r="AP1432" s="39">
        <v>18388.36</v>
      </c>
      <c r="AQ1432" s="39">
        <v>18154.16</v>
      </c>
      <c r="AR1432" s="39">
        <v>18388.36</v>
      </c>
    </row>
    <row r="1433" spans="1:44" x14ac:dyDescent="0.35">
      <c r="A1433" s="16" t="str">
        <f t="shared" si="116"/>
        <v>37</v>
      </c>
      <c r="B1433" s="19">
        <v>68437</v>
      </c>
      <c r="C1433" s="16" t="str">
        <f t="shared" si="117"/>
        <v>0000000</v>
      </c>
      <c r="D1433" s="17" t="s">
        <v>3663</v>
      </c>
      <c r="E1433" s="16" t="s">
        <v>2306</v>
      </c>
      <c r="F1433" s="16" t="s">
        <v>2053</v>
      </c>
      <c r="G1433" s="35" t="s">
        <v>2307</v>
      </c>
      <c r="H1433" s="39">
        <v>185.27</v>
      </c>
      <c r="I1433" s="39">
        <v>172.5</v>
      </c>
      <c r="J1433" s="39">
        <v>174.61</v>
      </c>
      <c r="K1433" s="39">
        <v>0</v>
      </c>
      <c r="L1433" s="39">
        <v>0</v>
      </c>
      <c r="M1433" s="39">
        <v>0</v>
      </c>
      <c r="N1433" s="39">
        <v>0</v>
      </c>
      <c r="O1433" s="39">
        <v>0</v>
      </c>
      <c r="P1433" s="39">
        <v>0</v>
      </c>
      <c r="Q1433" s="39">
        <v>0</v>
      </c>
      <c r="R1433" s="39">
        <v>0</v>
      </c>
      <c r="S1433" s="39">
        <v>0</v>
      </c>
      <c r="T1433" s="39">
        <v>0</v>
      </c>
      <c r="U1433" s="39">
        <v>0</v>
      </c>
      <c r="V1433" s="39">
        <v>0</v>
      </c>
      <c r="W1433" s="39">
        <v>0</v>
      </c>
      <c r="X1433" s="39">
        <v>0</v>
      </c>
      <c r="Y1433" s="39">
        <v>0</v>
      </c>
      <c r="Z1433" s="39">
        <v>0</v>
      </c>
      <c r="AA1433" s="39">
        <v>0</v>
      </c>
      <c r="AB1433" s="39">
        <v>0</v>
      </c>
      <c r="AC1433" s="39">
        <v>0</v>
      </c>
      <c r="AD1433" s="39">
        <v>0</v>
      </c>
      <c r="AE1433" s="39">
        <v>0</v>
      </c>
      <c r="AF1433" s="39">
        <v>0</v>
      </c>
      <c r="AG1433" s="39">
        <v>0</v>
      </c>
      <c r="AH1433" s="39">
        <v>0</v>
      </c>
      <c r="AI1433" s="39">
        <v>185.27</v>
      </c>
      <c r="AJ1433" s="39">
        <v>172.5</v>
      </c>
      <c r="AK1433" s="39">
        <v>174.61</v>
      </c>
      <c r="AL1433" s="39">
        <v>0</v>
      </c>
      <c r="AM1433" s="39">
        <v>0</v>
      </c>
      <c r="AN1433" s="39">
        <v>0</v>
      </c>
      <c r="AO1433" s="39">
        <v>185.27</v>
      </c>
      <c r="AP1433" s="39">
        <v>172.5</v>
      </c>
      <c r="AQ1433" s="39">
        <v>174.61</v>
      </c>
      <c r="AR1433" s="39">
        <v>185.27</v>
      </c>
    </row>
    <row r="1434" spans="1:44" x14ac:dyDescent="0.35">
      <c r="A1434" s="16" t="str">
        <f t="shared" si="116"/>
        <v>37</v>
      </c>
      <c r="B1434" s="19">
        <v>76851</v>
      </c>
      <c r="C1434" s="16" t="str">
        <f t="shared" si="117"/>
        <v>0000000</v>
      </c>
      <c r="D1434" s="17" t="s">
        <v>3663</v>
      </c>
      <c r="E1434" s="16" t="s">
        <v>2367</v>
      </c>
      <c r="F1434" s="16" t="s">
        <v>2053</v>
      </c>
      <c r="G1434" s="35" t="s">
        <v>2368</v>
      </c>
      <c r="H1434" s="39">
        <v>2095.0500000000002</v>
      </c>
      <c r="I1434" s="39">
        <v>2061.91</v>
      </c>
      <c r="J1434" s="39">
        <v>1937.16</v>
      </c>
      <c r="K1434" s="39">
        <v>0</v>
      </c>
      <c r="L1434" s="39">
        <v>0</v>
      </c>
      <c r="M1434" s="39">
        <v>0</v>
      </c>
      <c r="N1434" s="39">
        <v>0</v>
      </c>
      <c r="O1434" s="39">
        <v>0</v>
      </c>
      <c r="P1434" s="39">
        <v>0</v>
      </c>
      <c r="Q1434" s="39">
        <v>0</v>
      </c>
      <c r="R1434" s="39">
        <v>0</v>
      </c>
      <c r="S1434" s="39">
        <v>0</v>
      </c>
      <c r="T1434" s="39">
        <v>0</v>
      </c>
      <c r="U1434" s="39">
        <v>0</v>
      </c>
      <c r="V1434" s="39">
        <v>0</v>
      </c>
      <c r="W1434" s="39">
        <v>0</v>
      </c>
      <c r="X1434" s="39">
        <v>0</v>
      </c>
      <c r="Y1434" s="39">
        <v>0</v>
      </c>
      <c r="Z1434" s="39">
        <v>0</v>
      </c>
      <c r="AA1434" s="39">
        <v>0</v>
      </c>
      <c r="AB1434" s="39">
        <v>0</v>
      </c>
      <c r="AC1434" s="39">
        <v>67.430000000000007</v>
      </c>
      <c r="AD1434" s="39">
        <v>78.81</v>
      </c>
      <c r="AE1434" s="39">
        <v>77.91</v>
      </c>
      <c r="AF1434" s="39">
        <v>0</v>
      </c>
      <c r="AG1434" s="39">
        <v>0</v>
      </c>
      <c r="AH1434" s="39">
        <v>0</v>
      </c>
      <c r="AI1434" s="39">
        <v>2162.48</v>
      </c>
      <c r="AJ1434" s="39">
        <v>2140.7199999999998</v>
      </c>
      <c r="AK1434" s="39">
        <v>2015.07</v>
      </c>
      <c r="AL1434" s="39">
        <v>0</v>
      </c>
      <c r="AM1434" s="39">
        <v>0</v>
      </c>
      <c r="AN1434" s="39">
        <v>0</v>
      </c>
      <c r="AO1434" s="39">
        <v>2162.48</v>
      </c>
      <c r="AP1434" s="39">
        <v>2140.7199999999998</v>
      </c>
      <c r="AQ1434" s="39">
        <v>2015.07</v>
      </c>
      <c r="AR1434" s="39">
        <v>2162.48</v>
      </c>
    </row>
    <row r="1435" spans="1:44" x14ac:dyDescent="0.35">
      <c r="A1435" s="16" t="str">
        <f>TEXT(44,"00")</f>
        <v>44</v>
      </c>
      <c r="B1435" s="19">
        <v>69799</v>
      </c>
      <c r="C1435" s="16" t="str">
        <f t="shared" si="117"/>
        <v>0000000</v>
      </c>
      <c r="D1435" s="17" t="s">
        <v>3663</v>
      </c>
      <c r="E1435" s="16" t="s">
        <v>2865</v>
      </c>
      <c r="F1435" s="16" t="s">
        <v>2866</v>
      </c>
      <c r="G1435" s="35" t="s">
        <v>2866</v>
      </c>
      <c r="H1435" s="39">
        <v>13696.73</v>
      </c>
      <c r="I1435" s="39">
        <v>13915.08</v>
      </c>
      <c r="J1435" s="39">
        <v>14159.39</v>
      </c>
      <c r="K1435" s="39">
        <v>0</v>
      </c>
      <c r="L1435" s="39">
        <v>0</v>
      </c>
      <c r="M1435" s="39">
        <v>0</v>
      </c>
      <c r="N1435" s="39">
        <v>0</v>
      </c>
      <c r="O1435" s="39">
        <v>0</v>
      </c>
      <c r="P1435" s="39">
        <v>0</v>
      </c>
      <c r="Q1435" s="39">
        <v>0</v>
      </c>
      <c r="R1435" s="39">
        <v>0</v>
      </c>
      <c r="S1435" s="39">
        <v>0</v>
      </c>
      <c r="T1435" s="39">
        <v>0</v>
      </c>
      <c r="U1435" s="39">
        <v>0</v>
      </c>
      <c r="V1435" s="39">
        <v>0</v>
      </c>
      <c r="W1435" s="39">
        <v>0</v>
      </c>
      <c r="X1435" s="39">
        <v>0</v>
      </c>
      <c r="Y1435" s="39">
        <v>0</v>
      </c>
      <c r="Z1435" s="39">
        <v>0</v>
      </c>
      <c r="AA1435" s="39">
        <v>0</v>
      </c>
      <c r="AB1435" s="39">
        <v>0</v>
      </c>
      <c r="AC1435" s="39">
        <v>1414.46</v>
      </c>
      <c r="AD1435" s="39">
        <v>1493.77</v>
      </c>
      <c r="AE1435" s="39">
        <v>1419.71</v>
      </c>
      <c r="AF1435" s="39">
        <v>0</v>
      </c>
      <c r="AG1435" s="39">
        <v>0</v>
      </c>
      <c r="AH1435" s="39">
        <v>0</v>
      </c>
      <c r="AI1435" s="39">
        <v>15111.19</v>
      </c>
      <c r="AJ1435" s="39">
        <v>15408.85</v>
      </c>
      <c r="AK1435" s="39">
        <v>15579.1</v>
      </c>
      <c r="AL1435" s="39">
        <v>0</v>
      </c>
      <c r="AM1435" s="39">
        <v>0</v>
      </c>
      <c r="AN1435" s="39">
        <v>0</v>
      </c>
      <c r="AO1435" s="39">
        <v>15111.19</v>
      </c>
      <c r="AP1435" s="39">
        <v>15408.85</v>
      </c>
      <c r="AQ1435" s="39">
        <v>15579.1</v>
      </c>
      <c r="AR1435" s="39">
        <v>15579.1</v>
      </c>
    </row>
    <row r="1436" spans="1:44" x14ac:dyDescent="0.35">
      <c r="A1436" s="16" t="str">
        <f>TEXT(37,"00")</f>
        <v>37</v>
      </c>
      <c r="B1436" s="19">
        <v>68296</v>
      </c>
      <c r="C1436" s="16" t="str">
        <f t="shared" si="117"/>
        <v>0000000</v>
      </c>
      <c r="D1436" s="17" t="s">
        <v>3663</v>
      </c>
      <c r="E1436" s="16" t="s">
        <v>2169</v>
      </c>
      <c r="F1436" s="16" t="s">
        <v>2170</v>
      </c>
      <c r="G1436" s="35" t="s">
        <v>2170</v>
      </c>
      <c r="H1436" s="39">
        <v>32781.449999999997</v>
      </c>
      <c r="I1436" s="39">
        <v>33215.68</v>
      </c>
      <c r="J1436" s="39">
        <v>32978.050000000003</v>
      </c>
      <c r="K1436" s="39">
        <v>0</v>
      </c>
      <c r="L1436" s="39">
        <v>0</v>
      </c>
      <c r="M1436" s="39">
        <v>0</v>
      </c>
      <c r="N1436" s="39">
        <v>0</v>
      </c>
      <c r="O1436" s="39">
        <v>0</v>
      </c>
      <c r="P1436" s="39">
        <v>0</v>
      </c>
      <c r="Q1436" s="39">
        <v>0</v>
      </c>
      <c r="R1436" s="39">
        <v>0</v>
      </c>
      <c r="S1436" s="39">
        <v>0</v>
      </c>
      <c r="T1436" s="39">
        <v>0</v>
      </c>
      <c r="U1436" s="39">
        <v>0</v>
      </c>
      <c r="V1436" s="39">
        <v>0</v>
      </c>
      <c r="W1436" s="39">
        <v>0</v>
      </c>
      <c r="X1436" s="39">
        <v>0</v>
      </c>
      <c r="Y1436" s="39">
        <v>0</v>
      </c>
      <c r="Z1436" s="39">
        <v>0</v>
      </c>
      <c r="AA1436" s="39">
        <v>0</v>
      </c>
      <c r="AB1436" s="39">
        <v>0</v>
      </c>
      <c r="AC1436" s="39">
        <v>0</v>
      </c>
      <c r="AD1436" s="39">
        <v>0</v>
      </c>
      <c r="AE1436" s="39">
        <v>0</v>
      </c>
      <c r="AF1436" s="39">
        <v>0</v>
      </c>
      <c r="AG1436" s="39">
        <v>0</v>
      </c>
      <c r="AH1436" s="39">
        <v>0</v>
      </c>
      <c r="AI1436" s="39">
        <v>32781.449999999997</v>
      </c>
      <c r="AJ1436" s="39">
        <v>33215.68</v>
      </c>
      <c r="AK1436" s="39">
        <v>32978.050000000003</v>
      </c>
      <c r="AL1436" s="39">
        <v>0</v>
      </c>
      <c r="AM1436" s="39">
        <v>0</v>
      </c>
      <c r="AN1436" s="39">
        <v>0</v>
      </c>
      <c r="AO1436" s="39">
        <v>32781.449999999997</v>
      </c>
      <c r="AP1436" s="39">
        <v>33215.68</v>
      </c>
      <c r="AQ1436" s="39">
        <v>32978.050000000003</v>
      </c>
      <c r="AR1436" s="39">
        <v>33215.68</v>
      </c>
    </row>
    <row r="1437" spans="1:44" x14ac:dyDescent="0.35">
      <c r="A1437" s="16" t="str">
        <f t="shared" ref="A1437:A1453" si="118">TEXT(36,"00")</f>
        <v>36</v>
      </c>
      <c r="B1437" s="19">
        <v>67777</v>
      </c>
      <c r="C1437" s="16" t="str">
        <f t="shared" si="117"/>
        <v>0000000</v>
      </c>
      <c r="D1437" s="17" t="s">
        <v>3663</v>
      </c>
      <c r="E1437" s="16" t="s">
        <v>1959</v>
      </c>
      <c r="F1437" s="16" t="s">
        <v>1960</v>
      </c>
      <c r="G1437" s="35" t="s">
        <v>1960</v>
      </c>
      <c r="H1437" s="39">
        <v>6564.95</v>
      </c>
      <c r="I1437" s="39">
        <v>6637.73</v>
      </c>
      <c r="J1437" s="39">
        <v>6702.42</v>
      </c>
      <c r="K1437" s="39">
        <v>0</v>
      </c>
      <c r="L1437" s="39">
        <v>0</v>
      </c>
      <c r="M1437" s="39">
        <v>0</v>
      </c>
      <c r="N1437" s="39">
        <v>0</v>
      </c>
      <c r="O1437" s="39">
        <v>0</v>
      </c>
      <c r="P1437" s="39">
        <v>0</v>
      </c>
      <c r="Q1437" s="39">
        <v>0</v>
      </c>
      <c r="R1437" s="39">
        <v>0</v>
      </c>
      <c r="S1437" s="39">
        <v>0</v>
      </c>
      <c r="T1437" s="39">
        <v>0</v>
      </c>
      <c r="U1437" s="39">
        <v>0</v>
      </c>
      <c r="V1437" s="39">
        <v>0</v>
      </c>
      <c r="W1437" s="39">
        <v>0</v>
      </c>
      <c r="X1437" s="39">
        <v>0</v>
      </c>
      <c r="Y1437" s="39">
        <v>0</v>
      </c>
      <c r="Z1437" s="39">
        <v>0</v>
      </c>
      <c r="AA1437" s="39">
        <v>0</v>
      </c>
      <c r="AB1437" s="39">
        <v>0</v>
      </c>
      <c r="AC1437" s="39">
        <v>0</v>
      </c>
      <c r="AD1437" s="39">
        <v>0</v>
      </c>
      <c r="AE1437" s="39">
        <v>0</v>
      </c>
      <c r="AF1437" s="39">
        <v>0</v>
      </c>
      <c r="AG1437" s="39">
        <v>0</v>
      </c>
      <c r="AH1437" s="39">
        <v>0</v>
      </c>
      <c r="AI1437" s="39">
        <v>6564.95</v>
      </c>
      <c r="AJ1437" s="39">
        <v>6637.73</v>
      </c>
      <c r="AK1437" s="39">
        <v>6702.42</v>
      </c>
      <c r="AL1437" s="39">
        <v>0</v>
      </c>
      <c r="AM1437" s="39">
        <v>0</v>
      </c>
      <c r="AN1437" s="39">
        <v>0</v>
      </c>
      <c r="AO1437" s="39">
        <v>6564.95</v>
      </c>
      <c r="AP1437" s="39">
        <v>6637.73</v>
      </c>
      <c r="AQ1437" s="39">
        <v>6702.42</v>
      </c>
      <c r="AR1437" s="39">
        <v>6702.42</v>
      </c>
    </row>
    <row r="1438" spans="1:44" x14ac:dyDescent="0.35">
      <c r="A1438" s="16" t="str">
        <f t="shared" si="118"/>
        <v>36</v>
      </c>
      <c r="B1438" s="19">
        <v>10363</v>
      </c>
      <c r="C1438" s="16" t="str">
        <f t="shared" si="117"/>
        <v>0000000</v>
      </c>
      <c r="D1438" s="17" t="s">
        <v>3663</v>
      </c>
      <c r="E1438" s="16" t="s">
        <v>1708</v>
      </c>
      <c r="F1438" s="16" t="s">
        <v>1709</v>
      </c>
      <c r="G1438" s="35" t="s">
        <v>1709</v>
      </c>
      <c r="H1438" s="39">
        <v>0</v>
      </c>
      <c r="I1438" s="39">
        <v>0</v>
      </c>
      <c r="J1438" s="39">
        <v>0</v>
      </c>
      <c r="K1438" s="39">
        <v>0</v>
      </c>
      <c r="L1438" s="39">
        <v>0</v>
      </c>
      <c r="M1438" s="39">
        <v>0</v>
      </c>
      <c r="N1438" s="39">
        <v>0</v>
      </c>
      <c r="O1438" s="39">
        <v>0</v>
      </c>
      <c r="P1438" s="39">
        <v>0</v>
      </c>
      <c r="Q1438" s="39">
        <v>0</v>
      </c>
      <c r="R1438" s="39">
        <v>0</v>
      </c>
      <c r="S1438" s="39">
        <v>0</v>
      </c>
      <c r="T1438" s="39">
        <v>113.32</v>
      </c>
      <c r="U1438" s="39">
        <v>122.28</v>
      </c>
      <c r="V1438" s="39">
        <v>111.23</v>
      </c>
      <c r="W1438" s="39">
        <v>1181.07</v>
      </c>
      <c r="X1438" s="39">
        <v>1052.5899999999999</v>
      </c>
      <c r="Y1438" s="39">
        <v>858.19</v>
      </c>
      <c r="Z1438" s="39">
        <v>0</v>
      </c>
      <c r="AA1438" s="39">
        <v>0</v>
      </c>
      <c r="AB1438" s="39">
        <v>0</v>
      </c>
      <c r="AC1438" s="39">
        <v>0</v>
      </c>
      <c r="AD1438" s="39">
        <v>0</v>
      </c>
      <c r="AE1438" s="39">
        <v>0</v>
      </c>
      <c r="AF1438" s="39">
        <v>0</v>
      </c>
      <c r="AG1438" s="39">
        <v>0</v>
      </c>
      <c r="AH1438" s="39">
        <v>0</v>
      </c>
      <c r="AI1438" s="39">
        <v>1294.3900000000001</v>
      </c>
      <c r="AJ1438" s="39">
        <v>1174.8699999999999</v>
      </c>
      <c r="AK1438" s="39">
        <v>969.42</v>
      </c>
      <c r="AL1438" s="39">
        <v>0</v>
      </c>
      <c r="AM1438" s="39">
        <v>0</v>
      </c>
      <c r="AN1438" s="39">
        <v>0</v>
      </c>
      <c r="AO1438" s="39">
        <v>1294.3900000000001</v>
      </c>
      <c r="AP1438" s="39">
        <v>1174.8699999999999</v>
      </c>
      <c r="AQ1438" s="39">
        <v>969.42</v>
      </c>
      <c r="AR1438" s="39">
        <v>1294.3900000000001</v>
      </c>
    </row>
    <row r="1439" spans="1:44" x14ac:dyDescent="0.35">
      <c r="A1439" s="16" t="str">
        <f t="shared" si="118"/>
        <v>36</v>
      </c>
      <c r="B1439" s="19">
        <v>67587</v>
      </c>
      <c r="C1439" s="16" t="str">
        <f t="shared" si="117"/>
        <v>0000000</v>
      </c>
      <c r="D1439" s="17" t="s">
        <v>3663</v>
      </c>
      <c r="E1439" s="16" t="s">
        <v>1923</v>
      </c>
      <c r="F1439" s="16" t="s">
        <v>1709</v>
      </c>
      <c r="G1439" s="35" t="s">
        <v>1924</v>
      </c>
      <c r="H1439" s="39">
        <v>6939.33</v>
      </c>
      <c r="I1439" s="39">
        <v>6920.47</v>
      </c>
      <c r="J1439" s="39">
        <v>6897.27</v>
      </c>
      <c r="K1439" s="39">
        <v>0</v>
      </c>
      <c r="L1439" s="39">
        <v>0</v>
      </c>
      <c r="M1439" s="39">
        <v>0</v>
      </c>
      <c r="N1439" s="39">
        <v>0</v>
      </c>
      <c r="O1439" s="39">
        <v>0</v>
      </c>
      <c r="P1439" s="39">
        <v>0</v>
      </c>
      <c r="Q1439" s="39">
        <v>0</v>
      </c>
      <c r="R1439" s="39">
        <v>0</v>
      </c>
      <c r="S1439" s="39">
        <v>0</v>
      </c>
      <c r="T1439" s="39">
        <v>0</v>
      </c>
      <c r="U1439" s="39">
        <v>0</v>
      </c>
      <c r="V1439" s="39">
        <v>0</v>
      </c>
      <c r="W1439" s="39">
        <v>0</v>
      </c>
      <c r="X1439" s="39">
        <v>0</v>
      </c>
      <c r="Y1439" s="39">
        <v>0</v>
      </c>
      <c r="Z1439" s="39">
        <v>0</v>
      </c>
      <c r="AA1439" s="39">
        <v>0</v>
      </c>
      <c r="AB1439" s="39">
        <v>0</v>
      </c>
      <c r="AC1439" s="39">
        <v>0</v>
      </c>
      <c r="AD1439" s="39">
        <v>0</v>
      </c>
      <c r="AE1439" s="39">
        <v>0</v>
      </c>
      <c r="AF1439" s="39">
        <v>0</v>
      </c>
      <c r="AG1439" s="39">
        <v>0</v>
      </c>
      <c r="AH1439" s="39">
        <v>0</v>
      </c>
      <c r="AI1439" s="39">
        <v>6939.33</v>
      </c>
      <c r="AJ1439" s="39">
        <v>6920.47</v>
      </c>
      <c r="AK1439" s="39">
        <v>6897.27</v>
      </c>
      <c r="AL1439" s="39">
        <v>0</v>
      </c>
      <c r="AM1439" s="39">
        <v>0</v>
      </c>
      <c r="AN1439" s="39">
        <v>0</v>
      </c>
      <c r="AO1439" s="39">
        <v>6939.33</v>
      </c>
      <c r="AP1439" s="39">
        <v>6920.47</v>
      </c>
      <c r="AQ1439" s="39">
        <v>6897.27</v>
      </c>
      <c r="AR1439" s="39">
        <v>6939.33</v>
      </c>
    </row>
    <row r="1440" spans="1:44" x14ac:dyDescent="0.35">
      <c r="A1440" s="16" t="str">
        <f t="shared" si="118"/>
        <v>36</v>
      </c>
      <c r="B1440" s="19">
        <v>75077</v>
      </c>
      <c r="C1440" s="16" t="str">
        <f t="shared" si="117"/>
        <v>0000000</v>
      </c>
      <c r="D1440" s="17" t="s">
        <v>3663</v>
      </c>
      <c r="E1440" s="16" t="s">
        <v>2041</v>
      </c>
      <c r="F1440" s="16" t="s">
        <v>1709</v>
      </c>
      <c r="G1440" s="35" t="s">
        <v>2042</v>
      </c>
      <c r="H1440" s="39">
        <v>12413.37</v>
      </c>
      <c r="I1440" s="39">
        <v>12482.09</v>
      </c>
      <c r="J1440" s="39">
        <v>12173.78</v>
      </c>
      <c r="K1440" s="39">
        <v>0</v>
      </c>
      <c r="L1440" s="39">
        <v>0</v>
      </c>
      <c r="M1440" s="39">
        <v>0</v>
      </c>
      <c r="N1440" s="39">
        <v>0</v>
      </c>
      <c r="O1440" s="39">
        <v>0</v>
      </c>
      <c r="P1440" s="39">
        <v>0</v>
      </c>
      <c r="Q1440" s="39">
        <v>0</v>
      </c>
      <c r="R1440" s="39">
        <v>0</v>
      </c>
      <c r="S1440" s="39">
        <v>0</v>
      </c>
      <c r="T1440" s="39">
        <v>0</v>
      </c>
      <c r="U1440" s="39">
        <v>0</v>
      </c>
      <c r="V1440" s="39">
        <v>0</v>
      </c>
      <c r="W1440" s="39">
        <v>0</v>
      </c>
      <c r="X1440" s="39">
        <v>0</v>
      </c>
      <c r="Y1440" s="39">
        <v>0</v>
      </c>
      <c r="Z1440" s="39">
        <v>0</v>
      </c>
      <c r="AA1440" s="39">
        <v>0</v>
      </c>
      <c r="AB1440" s="39">
        <v>0</v>
      </c>
      <c r="AC1440" s="39">
        <v>0</v>
      </c>
      <c r="AD1440" s="39">
        <v>0</v>
      </c>
      <c r="AE1440" s="39">
        <v>0</v>
      </c>
      <c r="AF1440" s="39">
        <v>0</v>
      </c>
      <c r="AG1440" s="39">
        <v>0</v>
      </c>
      <c r="AH1440" s="39">
        <v>0</v>
      </c>
      <c r="AI1440" s="39">
        <v>12413.37</v>
      </c>
      <c r="AJ1440" s="39">
        <v>12482.09</v>
      </c>
      <c r="AK1440" s="39">
        <v>12173.78</v>
      </c>
      <c r="AL1440" s="39">
        <v>0</v>
      </c>
      <c r="AM1440" s="39">
        <v>0</v>
      </c>
      <c r="AN1440" s="39">
        <v>0</v>
      </c>
      <c r="AO1440" s="39">
        <v>12413.37</v>
      </c>
      <c r="AP1440" s="39">
        <v>12482.09</v>
      </c>
      <c r="AQ1440" s="39">
        <v>12173.78</v>
      </c>
      <c r="AR1440" s="39">
        <v>12482.09</v>
      </c>
    </row>
    <row r="1441" spans="1:44" x14ac:dyDescent="0.35">
      <c r="A1441" s="16" t="str">
        <f t="shared" si="118"/>
        <v>36</v>
      </c>
      <c r="B1441" s="19">
        <v>73858</v>
      </c>
      <c r="C1441" s="16" t="str">
        <f t="shared" si="117"/>
        <v>0000000</v>
      </c>
      <c r="D1441" s="17" t="s">
        <v>3663</v>
      </c>
      <c r="E1441" s="16" t="s">
        <v>2002</v>
      </c>
      <c r="F1441" s="16" t="s">
        <v>1709</v>
      </c>
      <c r="G1441" s="35" t="s">
        <v>2003</v>
      </c>
      <c r="H1441" s="39">
        <v>114.52</v>
      </c>
      <c r="I1441" s="39">
        <v>120.71</v>
      </c>
      <c r="J1441" s="39">
        <v>116.46</v>
      </c>
      <c r="K1441" s="39">
        <v>0</v>
      </c>
      <c r="L1441" s="39">
        <v>0</v>
      </c>
      <c r="M1441" s="39">
        <v>0</v>
      </c>
      <c r="N1441" s="39">
        <v>0</v>
      </c>
      <c r="O1441" s="39">
        <v>0</v>
      </c>
      <c r="P1441" s="39">
        <v>0</v>
      </c>
      <c r="Q1441" s="39">
        <v>0</v>
      </c>
      <c r="R1441" s="39">
        <v>0</v>
      </c>
      <c r="S1441" s="39">
        <v>0</v>
      </c>
      <c r="T1441" s="39">
        <v>0</v>
      </c>
      <c r="U1441" s="39">
        <v>0</v>
      </c>
      <c r="V1441" s="39">
        <v>0</v>
      </c>
      <c r="W1441" s="39">
        <v>0</v>
      </c>
      <c r="X1441" s="39">
        <v>0</v>
      </c>
      <c r="Y1441" s="39">
        <v>0</v>
      </c>
      <c r="Z1441" s="39">
        <v>0</v>
      </c>
      <c r="AA1441" s="39">
        <v>0</v>
      </c>
      <c r="AB1441" s="39">
        <v>0</v>
      </c>
      <c r="AC1441" s="39">
        <v>0</v>
      </c>
      <c r="AD1441" s="39">
        <v>0</v>
      </c>
      <c r="AE1441" s="39">
        <v>0</v>
      </c>
      <c r="AF1441" s="39">
        <v>0</v>
      </c>
      <c r="AG1441" s="39">
        <v>0</v>
      </c>
      <c r="AH1441" s="39">
        <v>0</v>
      </c>
      <c r="AI1441" s="39">
        <v>114.52</v>
      </c>
      <c r="AJ1441" s="39">
        <v>120.71</v>
      </c>
      <c r="AK1441" s="39">
        <v>116.46</v>
      </c>
      <c r="AL1441" s="39">
        <v>0</v>
      </c>
      <c r="AM1441" s="39">
        <v>0</v>
      </c>
      <c r="AN1441" s="39">
        <v>0</v>
      </c>
      <c r="AO1441" s="39">
        <v>114.52</v>
      </c>
      <c r="AP1441" s="39">
        <v>120.71</v>
      </c>
      <c r="AQ1441" s="39">
        <v>116.46</v>
      </c>
      <c r="AR1441" s="39">
        <v>120.71</v>
      </c>
    </row>
    <row r="1442" spans="1:44" x14ac:dyDescent="0.35">
      <c r="A1442" s="16" t="str">
        <f t="shared" si="118"/>
        <v>36</v>
      </c>
      <c r="B1442" s="19">
        <v>67611</v>
      </c>
      <c r="C1442" s="16" t="str">
        <f t="shared" si="117"/>
        <v>0000000</v>
      </c>
      <c r="D1442" s="17" t="s">
        <v>3663</v>
      </c>
      <c r="E1442" s="16" t="s">
        <v>1929</v>
      </c>
      <c r="F1442" s="16" t="s">
        <v>1709</v>
      </c>
      <c r="G1442" s="35" t="s">
        <v>1930</v>
      </c>
      <c r="H1442" s="39">
        <v>5417.04</v>
      </c>
      <c r="I1442" s="39">
        <v>5724.14</v>
      </c>
      <c r="J1442" s="39">
        <v>5617.54</v>
      </c>
      <c r="K1442" s="39">
        <v>0</v>
      </c>
      <c r="L1442" s="39">
        <v>0</v>
      </c>
      <c r="M1442" s="39">
        <v>0</v>
      </c>
      <c r="N1442" s="39">
        <v>0</v>
      </c>
      <c r="O1442" s="39">
        <v>0</v>
      </c>
      <c r="P1442" s="39">
        <v>0</v>
      </c>
      <c r="Q1442" s="39">
        <v>0</v>
      </c>
      <c r="R1442" s="39">
        <v>0</v>
      </c>
      <c r="S1442" s="39">
        <v>0</v>
      </c>
      <c r="T1442" s="39">
        <v>0</v>
      </c>
      <c r="U1442" s="39">
        <v>0</v>
      </c>
      <c r="V1442" s="39">
        <v>0</v>
      </c>
      <c r="W1442" s="39">
        <v>0</v>
      </c>
      <c r="X1442" s="39">
        <v>0</v>
      </c>
      <c r="Y1442" s="39">
        <v>0</v>
      </c>
      <c r="Z1442" s="39">
        <v>0</v>
      </c>
      <c r="AA1442" s="39">
        <v>0</v>
      </c>
      <c r="AB1442" s="39">
        <v>0</v>
      </c>
      <c r="AC1442" s="39">
        <v>0</v>
      </c>
      <c r="AD1442" s="39">
        <v>0</v>
      </c>
      <c r="AE1442" s="39">
        <v>0</v>
      </c>
      <c r="AF1442" s="39">
        <v>0</v>
      </c>
      <c r="AG1442" s="39">
        <v>0</v>
      </c>
      <c r="AH1442" s="39">
        <v>0</v>
      </c>
      <c r="AI1442" s="39">
        <v>5417.04</v>
      </c>
      <c r="AJ1442" s="39">
        <v>5724.14</v>
      </c>
      <c r="AK1442" s="39">
        <v>5617.54</v>
      </c>
      <c r="AL1442" s="39">
        <v>0</v>
      </c>
      <c r="AM1442" s="39">
        <v>0</v>
      </c>
      <c r="AN1442" s="39">
        <v>0</v>
      </c>
      <c r="AO1442" s="39">
        <v>5417.04</v>
      </c>
      <c r="AP1442" s="39">
        <v>5724.14</v>
      </c>
      <c r="AQ1442" s="39">
        <v>5617.54</v>
      </c>
      <c r="AR1442" s="39">
        <v>5724.14</v>
      </c>
    </row>
    <row r="1443" spans="1:44" x14ac:dyDescent="0.35">
      <c r="A1443" s="16" t="str">
        <f t="shared" si="118"/>
        <v>36</v>
      </c>
      <c r="B1443" s="19">
        <v>67637</v>
      </c>
      <c r="C1443" s="16" t="str">
        <f t="shared" si="117"/>
        <v>0000000</v>
      </c>
      <c r="D1443" s="17" t="s">
        <v>3663</v>
      </c>
      <c r="E1443" s="16" t="s">
        <v>1931</v>
      </c>
      <c r="F1443" s="16" t="s">
        <v>1709</v>
      </c>
      <c r="G1443" s="35" t="s">
        <v>1932</v>
      </c>
      <c r="H1443" s="39">
        <v>1977.25</v>
      </c>
      <c r="I1443" s="39">
        <v>1950.94</v>
      </c>
      <c r="J1443" s="39">
        <v>1921.9</v>
      </c>
      <c r="K1443" s="39">
        <v>0</v>
      </c>
      <c r="L1443" s="39">
        <v>0</v>
      </c>
      <c r="M1443" s="39">
        <v>0</v>
      </c>
      <c r="N1443" s="39">
        <v>0</v>
      </c>
      <c r="O1443" s="39">
        <v>0</v>
      </c>
      <c r="P1443" s="39">
        <v>0</v>
      </c>
      <c r="Q1443" s="39">
        <v>0</v>
      </c>
      <c r="R1443" s="39">
        <v>0</v>
      </c>
      <c r="S1443" s="39">
        <v>0</v>
      </c>
      <c r="T1443" s="39">
        <v>0</v>
      </c>
      <c r="U1443" s="39">
        <v>0</v>
      </c>
      <c r="V1443" s="39">
        <v>0</v>
      </c>
      <c r="W1443" s="39">
        <v>0</v>
      </c>
      <c r="X1443" s="39">
        <v>0</v>
      </c>
      <c r="Y1443" s="39">
        <v>0</v>
      </c>
      <c r="Z1443" s="39">
        <v>0</v>
      </c>
      <c r="AA1443" s="39">
        <v>0</v>
      </c>
      <c r="AB1443" s="39">
        <v>0</v>
      </c>
      <c r="AC1443" s="39">
        <v>0</v>
      </c>
      <c r="AD1443" s="39">
        <v>0</v>
      </c>
      <c r="AE1443" s="39">
        <v>0</v>
      </c>
      <c r="AF1443" s="39">
        <v>0</v>
      </c>
      <c r="AG1443" s="39">
        <v>0</v>
      </c>
      <c r="AH1443" s="39">
        <v>0</v>
      </c>
      <c r="AI1443" s="39">
        <v>1977.25</v>
      </c>
      <c r="AJ1443" s="39">
        <v>1950.94</v>
      </c>
      <c r="AK1443" s="39">
        <v>1921.9</v>
      </c>
      <c r="AL1443" s="39">
        <v>0</v>
      </c>
      <c r="AM1443" s="39">
        <v>0</v>
      </c>
      <c r="AN1443" s="39">
        <v>0</v>
      </c>
      <c r="AO1443" s="39">
        <v>1977.25</v>
      </c>
      <c r="AP1443" s="39">
        <v>1950.94</v>
      </c>
      <c r="AQ1443" s="39">
        <v>1921.9</v>
      </c>
      <c r="AR1443" s="39">
        <v>1977.25</v>
      </c>
    </row>
    <row r="1444" spans="1:44" x14ac:dyDescent="0.35">
      <c r="A1444" s="16" t="str">
        <f t="shared" si="118"/>
        <v>36</v>
      </c>
      <c r="B1444" s="19">
        <v>75044</v>
      </c>
      <c r="C1444" s="16" t="str">
        <f t="shared" si="117"/>
        <v>0000000</v>
      </c>
      <c r="D1444" s="17" t="s">
        <v>3663</v>
      </c>
      <c r="E1444" s="16" t="s">
        <v>2008</v>
      </c>
      <c r="F1444" s="16" t="s">
        <v>1709</v>
      </c>
      <c r="G1444" s="35" t="s">
        <v>2009</v>
      </c>
      <c r="H1444" s="39">
        <v>21087.27</v>
      </c>
      <c r="I1444" s="39">
        <v>21480.37</v>
      </c>
      <c r="J1444" s="39">
        <v>20698.12</v>
      </c>
      <c r="K1444" s="39">
        <v>0</v>
      </c>
      <c r="L1444" s="39">
        <v>0</v>
      </c>
      <c r="M1444" s="39">
        <v>0</v>
      </c>
      <c r="N1444" s="39">
        <v>0</v>
      </c>
      <c r="O1444" s="39">
        <v>0</v>
      </c>
      <c r="P1444" s="39">
        <v>0</v>
      </c>
      <c r="Q1444" s="39">
        <v>0</v>
      </c>
      <c r="R1444" s="39">
        <v>0</v>
      </c>
      <c r="S1444" s="39">
        <v>0</v>
      </c>
      <c r="T1444" s="39">
        <v>0</v>
      </c>
      <c r="U1444" s="39">
        <v>0</v>
      </c>
      <c r="V1444" s="39">
        <v>0</v>
      </c>
      <c r="W1444" s="39">
        <v>0</v>
      </c>
      <c r="X1444" s="39">
        <v>0</v>
      </c>
      <c r="Y1444" s="39">
        <v>0</v>
      </c>
      <c r="Z1444" s="39">
        <v>0</v>
      </c>
      <c r="AA1444" s="39">
        <v>0</v>
      </c>
      <c r="AB1444" s="39">
        <v>0</v>
      </c>
      <c r="AC1444" s="39">
        <v>0</v>
      </c>
      <c r="AD1444" s="39">
        <v>0</v>
      </c>
      <c r="AE1444" s="39">
        <v>0</v>
      </c>
      <c r="AF1444" s="39">
        <v>0</v>
      </c>
      <c r="AG1444" s="39">
        <v>0</v>
      </c>
      <c r="AH1444" s="39">
        <v>0</v>
      </c>
      <c r="AI1444" s="39">
        <v>21087.27</v>
      </c>
      <c r="AJ1444" s="39">
        <v>21480.37</v>
      </c>
      <c r="AK1444" s="39">
        <v>20698.12</v>
      </c>
      <c r="AL1444" s="39">
        <v>0</v>
      </c>
      <c r="AM1444" s="39">
        <v>0</v>
      </c>
      <c r="AN1444" s="39">
        <v>0</v>
      </c>
      <c r="AO1444" s="39">
        <v>21087.27</v>
      </c>
      <c r="AP1444" s="39">
        <v>21480.37</v>
      </c>
      <c r="AQ1444" s="39">
        <v>20698.12</v>
      </c>
      <c r="AR1444" s="39">
        <v>21480.37</v>
      </c>
    </row>
    <row r="1445" spans="1:44" x14ac:dyDescent="0.35">
      <c r="A1445" s="16" t="str">
        <f t="shared" si="118"/>
        <v>36</v>
      </c>
      <c r="B1445" s="19">
        <v>75051</v>
      </c>
      <c r="C1445" s="16" t="str">
        <f t="shared" si="117"/>
        <v>0000000</v>
      </c>
      <c r="D1445" s="17" t="s">
        <v>3663</v>
      </c>
      <c r="E1445" s="16" t="s">
        <v>2024</v>
      </c>
      <c r="F1445" s="16" t="s">
        <v>1709</v>
      </c>
      <c r="G1445" s="35" t="s">
        <v>2025</v>
      </c>
      <c r="H1445" s="39">
        <v>1091.44</v>
      </c>
      <c r="I1445" s="39">
        <v>1004.23</v>
      </c>
      <c r="J1445" s="39">
        <v>927.95</v>
      </c>
      <c r="K1445" s="39">
        <v>0</v>
      </c>
      <c r="L1445" s="39">
        <v>0</v>
      </c>
      <c r="M1445" s="39">
        <v>0</v>
      </c>
      <c r="N1445" s="39">
        <v>0</v>
      </c>
      <c r="O1445" s="39">
        <v>0</v>
      </c>
      <c r="P1445" s="39">
        <v>0</v>
      </c>
      <c r="Q1445" s="39">
        <v>0</v>
      </c>
      <c r="R1445" s="39">
        <v>0</v>
      </c>
      <c r="S1445" s="39">
        <v>0</v>
      </c>
      <c r="T1445" s="39">
        <v>0</v>
      </c>
      <c r="U1445" s="39">
        <v>0</v>
      </c>
      <c r="V1445" s="39">
        <v>0</v>
      </c>
      <c r="W1445" s="39">
        <v>0</v>
      </c>
      <c r="X1445" s="39">
        <v>0</v>
      </c>
      <c r="Y1445" s="39">
        <v>0</v>
      </c>
      <c r="Z1445" s="39">
        <v>0</v>
      </c>
      <c r="AA1445" s="39">
        <v>0</v>
      </c>
      <c r="AB1445" s="39">
        <v>0</v>
      </c>
      <c r="AC1445" s="39">
        <v>0</v>
      </c>
      <c r="AD1445" s="39">
        <v>0</v>
      </c>
      <c r="AE1445" s="39">
        <v>0</v>
      </c>
      <c r="AF1445" s="39">
        <v>0</v>
      </c>
      <c r="AG1445" s="39">
        <v>0</v>
      </c>
      <c r="AH1445" s="39">
        <v>0</v>
      </c>
      <c r="AI1445" s="39">
        <v>1091.44</v>
      </c>
      <c r="AJ1445" s="39">
        <v>1004.23</v>
      </c>
      <c r="AK1445" s="39">
        <v>927.95</v>
      </c>
      <c r="AL1445" s="39">
        <v>0</v>
      </c>
      <c r="AM1445" s="39">
        <v>0</v>
      </c>
      <c r="AN1445" s="39">
        <v>0</v>
      </c>
      <c r="AO1445" s="39">
        <v>1091.44</v>
      </c>
      <c r="AP1445" s="39">
        <v>1004.23</v>
      </c>
      <c r="AQ1445" s="39">
        <v>927.95</v>
      </c>
      <c r="AR1445" s="39">
        <v>1091.44</v>
      </c>
    </row>
    <row r="1446" spans="1:44" x14ac:dyDescent="0.35">
      <c r="A1446" s="16" t="str">
        <f t="shared" si="118"/>
        <v>36</v>
      </c>
      <c r="B1446" s="19">
        <v>67801</v>
      </c>
      <c r="C1446" s="16" t="str">
        <f t="shared" si="117"/>
        <v>0000000</v>
      </c>
      <c r="D1446" s="17" t="s">
        <v>3663</v>
      </c>
      <c r="E1446" s="16" t="s">
        <v>1964</v>
      </c>
      <c r="F1446" s="16" t="s">
        <v>1709</v>
      </c>
      <c r="G1446" s="35" t="s">
        <v>1965</v>
      </c>
      <c r="H1446" s="39">
        <v>831.69</v>
      </c>
      <c r="I1446" s="39">
        <v>845.65</v>
      </c>
      <c r="J1446" s="39">
        <v>825.29</v>
      </c>
      <c r="K1446" s="39">
        <v>0</v>
      </c>
      <c r="L1446" s="39">
        <v>0</v>
      </c>
      <c r="M1446" s="39">
        <v>0</v>
      </c>
      <c r="N1446" s="39">
        <v>0</v>
      </c>
      <c r="O1446" s="39">
        <v>0</v>
      </c>
      <c r="P1446" s="39">
        <v>0</v>
      </c>
      <c r="Q1446" s="39">
        <v>0</v>
      </c>
      <c r="R1446" s="39">
        <v>0</v>
      </c>
      <c r="S1446" s="39">
        <v>0</v>
      </c>
      <c r="T1446" s="39">
        <v>0</v>
      </c>
      <c r="U1446" s="39">
        <v>0</v>
      </c>
      <c r="V1446" s="39">
        <v>0</v>
      </c>
      <c r="W1446" s="39">
        <v>0</v>
      </c>
      <c r="X1446" s="39">
        <v>0</v>
      </c>
      <c r="Y1446" s="39">
        <v>0</v>
      </c>
      <c r="Z1446" s="39">
        <v>0</v>
      </c>
      <c r="AA1446" s="39">
        <v>0</v>
      </c>
      <c r="AB1446" s="39">
        <v>0</v>
      </c>
      <c r="AC1446" s="39">
        <v>0</v>
      </c>
      <c r="AD1446" s="39">
        <v>0</v>
      </c>
      <c r="AE1446" s="39">
        <v>0</v>
      </c>
      <c r="AF1446" s="39">
        <v>0</v>
      </c>
      <c r="AG1446" s="39">
        <v>0</v>
      </c>
      <c r="AH1446" s="39">
        <v>0</v>
      </c>
      <c r="AI1446" s="39">
        <v>831.69</v>
      </c>
      <c r="AJ1446" s="39">
        <v>845.65</v>
      </c>
      <c r="AK1446" s="39">
        <v>825.29</v>
      </c>
      <c r="AL1446" s="39">
        <v>0</v>
      </c>
      <c r="AM1446" s="39">
        <v>0</v>
      </c>
      <c r="AN1446" s="39">
        <v>0</v>
      </c>
      <c r="AO1446" s="39">
        <v>831.69</v>
      </c>
      <c r="AP1446" s="39">
        <v>845.65</v>
      </c>
      <c r="AQ1446" s="39">
        <v>825.29</v>
      </c>
      <c r="AR1446" s="39">
        <v>845.65</v>
      </c>
    </row>
    <row r="1447" spans="1:44" x14ac:dyDescent="0.35">
      <c r="A1447" s="16" t="str">
        <f t="shared" si="118"/>
        <v>36</v>
      </c>
      <c r="B1447" s="19">
        <v>67827</v>
      </c>
      <c r="C1447" s="16" t="str">
        <f t="shared" si="117"/>
        <v>0000000</v>
      </c>
      <c r="D1447" s="17" t="s">
        <v>3663</v>
      </c>
      <c r="E1447" s="16" t="s">
        <v>1968</v>
      </c>
      <c r="F1447" s="16" t="s">
        <v>1709</v>
      </c>
      <c r="G1447" s="35" t="s">
        <v>1969</v>
      </c>
      <c r="H1447" s="39">
        <v>81.11</v>
      </c>
      <c r="I1447" s="39">
        <v>80.55</v>
      </c>
      <c r="J1447" s="39">
        <v>81.33</v>
      </c>
      <c r="K1447" s="39">
        <v>0</v>
      </c>
      <c r="L1447" s="39">
        <v>0</v>
      </c>
      <c r="M1447" s="39">
        <v>0</v>
      </c>
      <c r="N1447" s="39">
        <v>0</v>
      </c>
      <c r="O1447" s="39">
        <v>0</v>
      </c>
      <c r="P1447" s="39">
        <v>0</v>
      </c>
      <c r="Q1447" s="39">
        <v>0</v>
      </c>
      <c r="R1447" s="39">
        <v>0</v>
      </c>
      <c r="S1447" s="39">
        <v>0</v>
      </c>
      <c r="T1447" s="39">
        <v>0</v>
      </c>
      <c r="U1447" s="39">
        <v>0</v>
      </c>
      <c r="V1447" s="39">
        <v>0</v>
      </c>
      <c r="W1447" s="39">
        <v>0</v>
      </c>
      <c r="X1447" s="39">
        <v>0</v>
      </c>
      <c r="Y1447" s="39">
        <v>0</v>
      </c>
      <c r="Z1447" s="39">
        <v>0</v>
      </c>
      <c r="AA1447" s="39">
        <v>0</v>
      </c>
      <c r="AB1447" s="39">
        <v>0</v>
      </c>
      <c r="AC1447" s="39">
        <v>6033.56</v>
      </c>
      <c r="AD1447" s="39">
        <v>5669.87</v>
      </c>
      <c r="AE1447" s="39">
        <v>5355.22</v>
      </c>
      <c r="AF1447" s="39">
        <v>0</v>
      </c>
      <c r="AG1447" s="39">
        <v>0</v>
      </c>
      <c r="AH1447" s="39">
        <v>0</v>
      </c>
      <c r="AI1447" s="39">
        <v>6114.67</v>
      </c>
      <c r="AJ1447" s="39">
        <v>5750.42</v>
      </c>
      <c r="AK1447" s="39">
        <v>5436.55</v>
      </c>
      <c r="AL1447" s="39">
        <v>0</v>
      </c>
      <c r="AM1447" s="39">
        <v>0</v>
      </c>
      <c r="AN1447" s="39">
        <v>0</v>
      </c>
      <c r="AO1447" s="39">
        <v>6114.67</v>
      </c>
      <c r="AP1447" s="39">
        <v>5750.42</v>
      </c>
      <c r="AQ1447" s="39">
        <v>5436.55</v>
      </c>
      <c r="AR1447" s="39">
        <v>6114.67</v>
      </c>
    </row>
    <row r="1448" spans="1:44" x14ac:dyDescent="0.35">
      <c r="A1448" s="16" t="str">
        <f t="shared" si="118"/>
        <v>36</v>
      </c>
      <c r="B1448" s="19">
        <v>73890</v>
      </c>
      <c r="C1448" s="16" t="str">
        <f t="shared" si="117"/>
        <v>0000000</v>
      </c>
      <c r="D1448" s="17" t="s">
        <v>3663</v>
      </c>
      <c r="E1448" s="16" t="s">
        <v>2004</v>
      </c>
      <c r="F1448" s="16" t="s">
        <v>1709</v>
      </c>
      <c r="G1448" s="35" t="s">
        <v>2005</v>
      </c>
      <c r="H1448" s="39">
        <v>2026.6</v>
      </c>
      <c r="I1448" s="39">
        <v>1911.79</v>
      </c>
      <c r="J1448" s="39">
        <v>1806.48</v>
      </c>
      <c r="K1448" s="39">
        <v>0</v>
      </c>
      <c r="L1448" s="39">
        <v>0</v>
      </c>
      <c r="M1448" s="39">
        <v>0</v>
      </c>
      <c r="N1448" s="39">
        <v>0</v>
      </c>
      <c r="O1448" s="39">
        <v>0</v>
      </c>
      <c r="P1448" s="39">
        <v>0</v>
      </c>
      <c r="Q1448" s="39">
        <v>0</v>
      </c>
      <c r="R1448" s="39">
        <v>0</v>
      </c>
      <c r="S1448" s="39">
        <v>0</v>
      </c>
      <c r="T1448" s="39">
        <v>0</v>
      </c>
      <c r="U1448" s="39">
        <v>0</v>
      </c>
      <c r="V1448" s="39">
        <v>0</v>
      </c>
      <c r="W1448" s="39">
        <v>0</v>
      </c>
      <c r="X1448" s="39">
        <v>0</v>
      </c>
      <c r="Y1448" s="39">
        <v>0</v>
      </c>
      <c r="Z1448" s="39">
        <v>0</v>
      </c>
      <c r="AA1448" s="39">
        <v>0</v>
      </c>
      <c r="AB1448" s="39">
        <v>0</v>
      </c>
      <c r="AC1448" s="39">
        <v>0</v>
      </c>
      <c r="AD1448" s="39">
        <v>0</v>
      </c>
      <c r="AE1448" s="39">
        <v>0</v>
      </c>
      <c r="AF1448" s="39">
        <v>0</v>
      </c>
      <c r="AG1448" s="39">
        <v>0</v>
      </c>
      <c r="AH1448" s="39">
        <v>0</v>
      </c>
      <c r="AI1448" s="39">
        <v>2026.6</v>
      </c>
      <c r="AJ1448" s="39">
        <v>1911.79</v>
      </c>
      <c r="AK1448" s="39">
        <v>1806.48</v>
      </c>
      <c r="AL1448" s="39">
        <v>0</v>
      </c>
      <c r="AM1448" s="39">
        <v>0</v>
      </c>
      <c r="AN1448" s="39">
        <v>0</v>
      </c>
      <c r="AO1448" s="39">
        <v>2026.6</v>
      </c>
      <c r="AP1448" s="39">
        <v>1911.79</v>
      </c>
      <c r="AQ1448" s="39">
        <v>1806.48</v>
      </c>
      <c r="AR1448" s="39">
        <v>2026.6</v>
      </c>
    </row>
    <row r="1449" spans="1:44" x14ac:dyDescent="0.35">
      <c r="A1449" s="16" t="str">
        <f t="shared" si="118"/>
        <v>36</v>
      </c>
      <c r="B1449" s="19">
        <v>67892</v>
      </c>
      <c r="C1449" s="16" t="str">
        <f t="shared" si="117"/>
        <v>0000000</v>
      </c>
      <c r="D1449" s="17" t="s">
        <v>3663</v>
      </c>
      <c r="E1449" s="16" t="s">
        <v>1991</v>
      </c>
      <c r="F1449" s="16" t="s">
        <v>1709</v>
      </c>
      <c r="G1449" s="35" t="s">
        <v>1992</v>
      </c>
      <c r="H1449" s="39">
        <v>226.37</v>
      </c>
      <c r="I1449" s="39">
        <v>211.34</v>
      </c>
      <c r="J1449" s="39">
        <v>213.81</v>
      </c>
      <c r="K1449" s="39">
        <v>0</v>
      </c>
      <c r="L1449" s="39">
        <v>0</v>
      </c>
      <c r="M1449" s="39">
        <v>0</v>
      </c>
      <c r="N1449" s="39">
        <v>0</v>
      </c>
      <c r="O1449" s="39">
        <v>0</v>
      </c>
      <c r="P1449" s="39">
        <v>0</v>
      </c>
      <c r="Q1449" s="39">
        <v>0</v>
      </c>
      <c r="R1449" s="39">
        <v>0</v>
      </c>
      <c r="S1449" s="39">
        <v>0</v>
      </c>
      <c r="T1449" s="39">
        <v>0</v>
      </c>
      <c r="U1449" s="39">
        <v>0</v>
      </c>
      <c r="V1449" s="39">
        <v>0</v>
      </c>
      <c r="W1449" s="39">
        <v>0</v>
      </c>
      <c r="X1449" s="39">
        <v>0</v>
      </c>
      <c r="Y1449" s="39">
        <v>0</v>
      </c>
      <c r="Z1449" s="39">
        <v>0</v>
      </c>
      <c r="AA1449" s="39">
        <v>0</v>
      </c>
      <c r="AB1449" s="39">
        <v>0</v>
      </c>
      <c r="AC1449" s="39">
        <v>0</v>
      </c>
      <c r="AD1449" s="39">
        <v>0</v>
      </c>
      <c r="AE1449" s="39">
        <v>0</v>
      </c>
      <c r="AF1449" s="39">
        <v>0</v>
      </c>
      <c r="AG1449" s="39">
        <v>0</v>
      </c>
      <c r="AH1449" s="39">
        <v>0</v>
      </c>
      <c r="AI1449" s="39">
        <v>226.37</v>
      </c>
      <c r="AJ1449" s="39">
        <v>211.34</v>
      </c>
      <c r="AK1449" s="39">
        <v>213.81</v>
      </c>
      <c r="AL1449" s="39">
        <v>0</v>
      </c>
      <c r="AM1449" s="39">
        <v>0</v>
      </c>
      <c r="AN1449" s="39">
        <v>0</v>
      </c>
      <c r="AO1449" s="39">
        <v>226.37</v>
      </c>
      <c r="AP1449" s="39">
        <v>211.34</v>
      </c>
      <c r="AQ1449" s="39">
        <v>213.81</v>
      </c>
      <c r="AR1449" s="39">
        <v>226.37</v>
      </c>
    </row>
    <row r="1450" spans="1:44" x14ac:dyDescent="0.35">
      <c r="A1450" s="16" t="str">
        <f t="shared" si="118"/>
        <v>36</v>
      </c>
      <c r="B1450" s="19">
        <v>67918</v>
      </c>
      <c r="C1450" s="16" t="str">
        <f t="shared" si="117"/>
        <v>0000000</v>
      </c>
      <c r="D1450" s="17" t="s">
        <v>3663</v>
      </c>
      <c r="E1450" s="16" t="s">
        <v>1993</v>
      </c>
      <c r="F1450" s="16" t="s">
        <v>1709</v>
      </c>
      <c r="G1450" s="35" t="s">
        <v>1994</v>
      </c>
      <c r="H1450" s="39">
        <v>10936.05</v>
      </c>
      <c r="I1450" s="39">
        <v>10970.53</v>
      </c>
      <c r="J1450" s="39">
        <v>10856.81</v>
      </c>
      <c r="K1450" s="39">
        <v>0</v>
      </c>
      <c r="L1450" s="39">
        <v>0</v>
      </c>
      <c r="M1450" s="39">
        <v>0</v>
      </c>
      <c r="N1450" s="39">
        <v>0</v>
      </c>
      <c r="O1450" s="39">
        <v>0</v>
      </c>
      <c r="P1450" s="39">
        <v>0</v>
      </c>
      <c r="Q1450" s="39">
        <v>0</v>
      </c>
      <c r="R1450" s="39">
        <v>0</v>
      </c>
      <c r="S1450" s="39">
        <v>0</v>
      </c>
      <c r="T1450" s="39">
        <v>0</v>
      </c>
      <c r="U1450" s="39">
        <v>0</v>
      </c>
      <c r="V1450" s="39">
        <v>0</v>
      </c>
      <c r="W1450" s="39">
        <v>0</v>
      </c>
      <c r="X1450" s="39">
        <v>0</v>
      </c>
      <c r="Y1450" s="39">
        <v>0</v>
      </c>
      <c r="Z1450" s="39">
        <v>0</v>
      </c>
      <c r="AA1450" s="39">
        <v>0</v>
      </c>
      <c r="AB1450" s="39">
        <v>0</v>
      </c>
      <c r="AC1450" s="39">
        <v>438.76</v>
      </c>
      <c r="AD1450" s="39">
        <v>439.58</v>
      </c>
      <c r="AE1450" s="39">
        <v>434.39</v>
      </c>
      <c r="AF1450" s="39">
        <v>0</v>
      </c>
      <c r="AG1450" s="39">
        <v>0</v>
      </c>
      <c r="AH1450" s="39">
        <v>0</v>
      </c>
      <c r="AI1450" s="39">
        <v>11374.81</v>
      </c>
      <c r="AJ1450" s="39">
        <v>11410.11</v>
      </c>
      <c r="AK1450" s="39">
        <v>11291.2</v>
      </c>
      <c r="AL1450" s="39">
        <v>0</v>
      </c>
      <c r="AM1450" s="39">
        <v>0</v>
      </c>
      <c r="AN1450" s="39">
        <v>0</v>
      </c>
      <c r="AO1450" s="39">
        <v>11374.81</v>
      </c>
      <c r="AP1450" s="39">
        <v>11410.11</v>
      </c>
      <c r="AQ1450" s="39">
        <v>11291.2</v>
      </c>
      <c r="AR1450" s="39">
        <v>11410.11</v>
      </c>
    </row>
    <row r="1451" spans="1:44" x14ac:dyDescent="0.35">
      <c r="A1451" s="16" t="str">
        <f t="shared" si="118"/>
        <v>36</v>
      </c>
      <c r="B1451" s="19">
        <v>67934</v>
      </c>
      <c r="C1451" s="16" t="str">
        <f t="shared" si="117"/>
        <v>0000000</v>
      </c>
      <c r="D1451" s="17" t="s">
        <v>3663</v>
      </c>
      <c r="E1451" s="16" t="s">
        <v>1995</v>
      </c>
      <c r="F1451" s="16" t="s">
        <v>1709</v>
      </c>
      <c r="G1451" s="35" t="s">
        <v>1996</v>
      </c>
      <c r="H1451" s="39">
        <v>10702.59</v>
      </c>
      <c r="I1451" s="39">
        <v>10702.92</v>
      </c>
      <c r="J1451" s="39">
        <v>10239.66</v>
      </c>
      <c r="K1451" s="39">
        <v>0</v>
      </c>
      <c r="L1451" s="39">
        <v>0</v>
      </c>
      <c r="M1451" s="39">
        <v>0</v>
      </c>
      <c r="N1451" s="39">
        <v>0</v>
      </c>
      <c r="O1451" s="39">
        <v>0</v>
      </c>
      <c r="P1451" s="39">
        <v>0</v>
      </c>
      <c r="Q1451" s="39">
        <v>0</v>
      </c>
      <c r="R1451" s="39">
        <v>0</v>
      </c>
      <c r="S1451" s="39">
        <v>0</v>
      </c>
      <c r="T1451" s="39">
        <v>0</v>
      </c>
      <c r="U1451" s="39">
        <v>0</v>
      </c>
      <c r="V1451" s="39">
        <v>0</v>
      </c>
      <c r="W1451" s="39">
        <v>0</v>
      </c>
      <c r="X1451" s="39">
        <v>0</v>
      </c>
      <c r="Y1451" s="39">
        <v>0</v>
      </c>
      <c r="Z1451" s="39">
        <v>0</v>
      </c>
      <c r="AA1451" s="39">
        <v>0</v>
      </c>
      <c r="AB1451" s="39">
        <v>0</v>
      </c>
      <c r="AC1451" s="39">
        <v>0</v>
      </c>
      <c r="AD1451" s="39">
        <v>952.37</v>
      </c>
      <c r="AE1451" s="39">
        <v>822.65</v>
      </c>
      <c r="AF1451" s="39">
        <v>0</v>
      </c>
      <c r="AG1451" s="39">
        <v>0</v>
      </c>
      <c r="AH1451" s="39">
        <v>0</v>
      </c>
      <c r="AI1451" s="39">
        <v>10702.59</v>
      </c>
      <c r="AJ1451" s="39">
        <v>11655.29</v>
      </c>
      <c r="AK1451" s="39">
        <v>11062.31</v>
      </c>
      <c r="AL1451" s="39">
        <v>0</v>
      </c>
      <c r="AM1451" s="39">
        <v>-952.37</v>
      </c>
      <c r="AN1451" s="39">
        <v>-822.65</v>
      </c>
      <c r="AO1451" s="39">
        <v>10702.59</v>
      </c>
      <c r="AP1451" s="39">
        <v>10702.92</v>
      </c>
      <c r="AQ1451" s="39">
        <v>10239.66</v>
      </c>
      <c r="AR1451" s="39">
        <v>10702.92</v>
      </c>
    </row>
    <row r="1452" spans="1:44" x14ac:dyDescent="0.35">
      <c r="A1452" s="16" t="str">
        <f t="shared" si="118"/>
        <v>36</v>
      </c>
      <c r="B1452" s="19">
        <v>73957</v>
      </c>
      <c r="C1452" s="16" t="str">
        <f t="shared" si="117"/>
        <v>0000000</v>
      </c>
      <c r="D1452" s="17" t="s">
        <v>3663</v>
      </c>
      <c r="E1452" s="16" t="s">
        <v>2006</v>
      </c>
      <c r="F1452" s="16" t="s">
        <v>1709</v>
      </c>
      <c r="G1452" s="35" t="s">
        <v>2007</v>
      </c>
      <c r="H1452" s="39">
        <v>7396.39</v>
      </c>
      <c r="I1452" s="39">
        <v>7328.02</v>
      </c>
      <c r="J1452" s="39">
        <v>7277.49</v>
      </c>
      <c r="K1452" s="39">
        <v>0</v>
      </c>
      <c r="L1452" s="39">
        <v>0</v>
      </c>
      <c r="M1452" s="39">
        <v>0</v>
      </c>
      <c r="N1452" s="39">
        <v>0</v>
      </c>
      <c r="O1452" s="39">
        <v>0</v>
      </c>
      <c r="P1452" s="39">
        <v>0</v>
      </c>
      <c r="Q1452" s="39">
        <v>0</v>
      </c>
      <c r="R1452" s="39">
        <v>0</v>
      </c>
      <c r="S1452" s="39">
        <v>0</v>
      </c>
      <c r="T1452" s="39">
        <v>0</v>
      </c>
      <c r="U1452" s="39">
        <v>0</v>
      </c>
      <c r="V1452" s="39">
        <v>0</v>
      </c>
      <c r="W1452" s="39">
        <v>0</v>
      </c>
      <c r="X1452" s="39">
        <v>0</v>
      </c>
      <c r="Y1452" s="39">
        <v>0</v>
      </c>
      <c r="Z1452" s="39">
        <v>0</v>
      </c>
      <c r="AA1452" s="39">
        <v>0</v>
      </c>
      <c r="AB1452" s="39">
        <v>0</v>
      </c>
      <c r="AC1452" s="39">
        <v>0</v>
      </c>
      <c r="AD1452" s="39">
        <v>0</v>
      </c>
      <c r="AE1452" s="39">
        <v>0</v>
      </c>
      <c r="AF1452" s="39">
        <v>0</v>
      </c>
      <c r="AG1452" s="39">
        <v>0</v>
      </c>
      <c r="AH1452" s="39">
        <v>0</v>
      </c>
      <c r="AI1452" s="39">
        <v>7396.39</v>
      </c>
      <c r="AJ1452" s="39">
        <v>7328.02</v>
      </c>
      <c r="AK1452" s="39">
        <v>7277.49</v>
      </c>
      <c r="AL1452" s="39">
        <v>0</v>
      </c>
      <c r="AM1452" s="39">
        <v>0</v>
      </c>
      <c r="AN1452" s="39">
        <v>0</v>
      </c>
      <c r="AO1452" s="39">
        <v>7396.39</v>
      </c>
      <c r="AP1452" s="39">
        <v>7328.02</v>
      </c>
      <c r="AQ1452" s="39">
        <v>7277.49</v>
      </c>
      <c r="AR1452" s="39">
        <v>7396.39</v>
      </c>
    </row>
    <row r="1453" spans="1:44" x14ac:dyDescent="0.35">
      <c r="A1453" s="16" t="str">
        <f t="shared" si="118"/>
        <v>36</v>
      </c>
      <c r="B1453" s="19">
        <v>67736</v>
      </c>
      <c r="C1453" s="16" t="str">
        <f t="shared" si="117"/>
        <v>0000000</v>
      </c>
      <c r="D1453" s="17" t="s">
        <v>3663</v>
      </c>
      <c r="E1453" s="16" t="s">
        <v>1949</v>
      </c>
      <c r="F1453" s="16" t="s">
        <v>1709</v>
      </c>
      <c r="G1453" s="35" t="s">
        <v>1950</v>
      </c>
      <c r="H1453" s="39">
        <v>642.59</v>
      </c>
      <c r="I1453" s="39">
        <v>648.21</v>
      </c>
      <c r="J1453" s="39">
        <v>630.08000000000004</v>
      </c>
      <c r="K1453" s="39">
        <v>0</v>
      </c>
      <c r="L1453" s="39">
        <v>0</v>
      </c>
      <c r="M1453" s="39">
        <v>0</v>
      </c>
      <c r="N1453" s="39">
        <v>0</v>
      </c>
      <c r="O1453" s="39">
        <v>0</v>
      </c>
      <c r="P1453" s="39">
        <v>0</v>
      </c>
      <c r="Q1453" s="39">
        <v>0</v>
      </c>
      <c r="R1453" s="39">
        <v>0</v>
      </c>
      <c r="S1453" s="39">
        <v>0</v>
      </c>
      <c r="T1453" s="39">
        <v>0</v>
      </c>
      <c r="U1453" s="39">
        <v>0</v>
      </c>
      <c r="V1453" s="39">
        <v>0</v>
      </c>
      <c r="W1453" s="39">
        <v>0</v>
      </c>
      <c r="X1453" s="39">
        <v>0</v>
      </c>
      <c r="Y1453" s="39">
        <v>0</v>
      </c>
      <c r="Z1453" s="39">
        <v>0</v>
      </c>
      <c r="AA1453" s="39">
        <v>0</v>
      </c>
      <c r="AB1453" s="39">
        <v>0</v>
      </c>
      <c r="AC1453" s="39">
        <v>384.05</v>
      </c>
      <c r="AD1453" s="39">
        <v>401.07</v>
      </c>
      <c r="AE1453" s="39">
        <v>412.67</v>
      </c>
      <c r="AF1453" s="39">
        <v>0</v>
      </c>
      <c r="AG1453" s="39">
        <v>0</v>
      </c>
      <c r="AH1453" s="39">
        <v>0</v>
      </c>
      <c r="AI1453" s="39">
        <v>1026.6400000000001</v>
      </c>
      <c r="AJ1453" s="39">
        <v>1049.28</v>
      </c>
      <c r="AK1453" s="39">
        <v>1042.75</v>
      </c>
      <c r="AL1453" s="39">
        <v>0</v>
      </c>
      <c r="AM1453" s="39">
        <v>0</v>
      </c>
      <c r="AN1453" s="39">
        <v>0</v>
      </c>
      <c r="AO1453" s="39">
        <v>1026.6400000000001</v>
      </c>
      <c r="AP1453" s="39">
        <v>1049.28</v>
      </c>
      <c r="AQ1453" s="39">
        <v>1042.75</v>
      </c>
      <c r="AR1453" s="39">
        <v>1049.28</v>
      </c>
    </row>
    <row r="1454" spans="1:44" x14ac:dyDescent="0.35">
      <c r="A1454" s="16" t="str">
        <f>TEXT(37,"00")</f>
        <v>37</v>
      </c>
      <c r="B1454" s="19">
        <v>68338</v>
      </c>
      <c r="C1454" s="16" t="str">
        <f>TEXT(114462,"0000000")</f>
        <v>0114462</v>
      </c>
      <c r="D1454" s="17" t="s">
        <v>2209</v>
      </c>
      <c r="E1454" s="16" t="s">
        <v>2207</v>
      </c>
      <c r="F1454" s="16" t="s">
        <v>1709</v>
      </c>
      <c r="G1454" s="35" t="s">
        <v>2208</v>
      </c>
      <c r="H1454" s="39">
        <v>0</v>
      </c>
      <c r="I1454" s="39">
        <v>0</v>
      </c>
      <c r="J1454" s="39">
        <v>0</v>
      </c>
      <c r="K1454" s="39">
        <v>0</v>
      </c>
      <c r="L1454" s="39">
        <v>0</v>
      </c>
      <c r="M1454" s="39">
        <v>0</v>
      </c>
      <c r="N1454" s="39">
        <v>0</v>
      </c>
      <c r="O1454" s="39">
        <v>0</v>
      </c>
      <c r="P1454" s="39">
        <v>0</v>
      </c>
      <c r="Q1454" s="39">
        <v>0</v>
      </c>
      <c r="R1454" s="39">
        <v>0</v>
      </c>
      <c r="S1454" s="39">
        <v>0</v>
      </c>
      <c r="T1454" s="39">
        <v>0</v>
      </c>
      <c r="U1454" s="39">
        <v>0</v>
      </c>
      <c r="V1454" s="39">
        <v>0</v>
      </c>
      <c r="W1454" s="39">
        <v>0</v>
      </c>
      <c r="X1454" s="39">
        <v>0</v>
      </c>
      <c r="Y1454" s="39">
        <v>0</v>
      </c>
      <c r="Z1454" s="39">
        <v>0</v>
      </c>
      <c r="AA1454" s="39">
        <v>0</v>
      </c>
      <c r="AB1454" s="39">
        <v>0</v>
      </c>
      <c r="AC1454" s="39">
        <v>475.64</v>
      </c>
      <c r="AD1454" s="39">
        <v>460.45</v>
      </c>
      <c r="AE1454" s="39">
        <v>474.38</v>
      </c>
      <c r="AF1454" s="39">
        <v>0</v>
      </c>
      <c r="AG1454" s="39">
        <v>0</v>
      </c>
      <c r="AH1454" s="39">
        <v>0</v>
      </c>
      <c r="AI1454" s="39">
        <v>475.64</v>
      </c>
      <c r="AJ1454" s="39">
        <v>460.45</v>
      </c>
      <c r="AK1454" s="39">
        <v>474.38</v>
      </c>
      <c r="AL1454" s="39">
        <v>0</v>
      </c>
      <c r="AM1454" s="39">
        <v>0</v>
      </c>
      <c r="AN1454" s="39">
        <v>0</v>
      </c>
      <c r="AO1454" s="39">
        <v>475.64</v>
      </c>
      <c r="AP1454" s="39">
        <v>460.45</v>
      </c>
      <c r="AQ1454" s="39">
        <v>474.38</v>
      </c>
      <c r="AR1454" s="39">
        <v>475.64</v>
      </c>
    </row>
    <row r="1455" spans="1:44" x14ac:dyDescent="0.35">
      <c r="A1455" s="16" t="str">
        <f>TEXT(36,"00")</f>
        <v>36</v>
      </c>
      <c r="B1455" s="19">
        <v>10363</v>
      </c>
      <c r="C1455" s="16" t="str">
        <f>TEXT(115808,"0000000")</f>
        <v>0115808</v>
      </c>
      <c r="D1455" s="17" t="s">
        <v>1914</v>
      </c>
      <c r="E1455" s="16" t="s">
        <v>1912</v>
      </c>
      <c r="F1455" s="16" t="s">
        <v>1709</v>
      </c>
      <c r="G1455" s="35" t="s">
        <v>1913</v>
      </c>
      <c r="H1455" s="39">
        <v>0</v>
      </c>
      <c r="I1455" s="39">
        <v>0</v>
      </c>
      <c r="J1455" s="39">
        <v>0</v>
      </c>
      <c r="K1455" s="39">
        <v>0</v>
      </c>
      <c r="L1455" s="39">
        <v>0</v>
      </c>
      <c r="M1455" s="39">
        <v>0</v>
      </c>
      <c r="N1455" s="39">
        <v>0</v>
      </c>
      <c r="O1455" s="39">
        <v>0</v>
      </c>
      <c r="P1455" s="39">
        <v>0</v>
      </c>
      <c r="Q1455" s="39">
        <v>0</v>
      </c>
      <c r="R1455" s="39">
        <v>0</v>
      </c>
      <c r="S1455" s="39">
        <v>0</v>
      </c>
      <c r="T1455" s="39">
        <v>0</v>
      </c>
      <c r="U1455" s="39">
        <v>0</v>
      </c>
      <c r="V1455" s="39">
        <v>0</v>
      </c>
      <c r="W1455" s="39">
        <v>0</v>
      </c>
      <c r="X1455" s="39">
        <v>0</v>
      </c>
      <c r="Y1455" s="39">
        <v>0</v>
      </c>
      <c r="Z1455" s="39">
        <v>1157.99</v>
      </c>
      <c r="AA1455" s="39">
        <v>1105.49</v>
      </c>
      <c r="AB1455" s="39">
        <v>1042.8800000000001</v>
      </c>
      <c r="AC1455" s="39">
        <v>0</v>
      </c>
      <c r="AD1455" s="39">
        <v>0</v>
      </c>
      <c r="AE1455" s="39">
        <v>0</v>
      </c>
      <c r="AF1455" s="39">
        <v>0</v>
      </c>
      <c r="AG1455" s="39">
        <v>0</v>
      </c>
      <c r="AH1455" s="39">
        <v>0</v>
      </c>
      <c r="AI1455" s="39">
        <v>1157.99</v>
      </c>
      <c r="AJ1455" s="39">
        <v>1105.49</v>
      </c>
      <c r="AK1455" s="39">
        <v>1042.8800000000001</v>
      </c>
      <c r="AL1455" s="39">
        <v>0</v>
      </c>
      <c r="AM1455" s="39">
        <v>0</v>
      </c>
      <c r="AN1455" s="39">
        <v>0</v>
      </c>
      <c r="AO1455" s="39">
        <v>1157.99</v>
      </c>
      <c r="AP1455" s="39">
        <v>1105.49</v>
      </c>
      <c r="AQ1455" s="39">
        <v>1042.8800000000001</v>
      </c>
      <c r="AR1455" s="39">
        <v>1157.99</v>
      </c>
    </row>
    <row r="1456" spans="1:44" x14ac:dyDescent="0.35">
      <c r="A1456" s="16" t="str">
        <f>TEXT(33,"00")</f>
        <v>33</v>
      </c>
      <c r="B1456" s="19">
        <v>10330</v>
      </c>
      <c r="C1456" s="16" t="str">
        <f>TEXT(137869,"0000000")</f>
        <v>0137869</v>
      </c>
      <c r="D1456" s="19">
        <v>1993</v>
      </c>
      <c r="E1456" s="16" t="s">
        <v>1710</v>
      </c>
      <c r="F1456" s="16" t="s">
        <v>1709</v>
      </c>
      <c r="G1456" s="35" t="s">
        <v>1711</v>
      </c>
      <c r="H1456" s="39">
        <v>0</v>
      </c>
      <c r="I1456" s="39">
        <v>0</v>
      </c>
      <c r="J1456" s="39">
        <v>0</v>
      </c>
      <c r="K1456" s="39">
        <v>0</v>
      </c>
      <c r="L1456" s="39">
        <v>0</v>
      </c>
      <c r="M1456" s="39">
        <v>0</v>
      </c>
      <c r="N1456" s="39">
        <v>0</v>
      </c>
      <c r="O1456" s="39">
        <v>0</v>
      </c>
      <c r="P1456" s="39">
        <v>0</v>
      </c>
      <c r="Q1456" s="39">
        <v>0</v>
      </c>
      <c r="R1456" s="39">
        <v>0</v>
      </c>
      <c r="S1456" s="39">
        <v>0</v>
      </c>
      <c r="T1456" s="39">
        <v>0</v>
      </c>
      <c r="U1456" s="39">
        <v>0</v>
      </c>
      <c r="V1456" s="39">
        <v>0</v>
      </c>
      <c r="W1456" s="39">
        <v>0</v>
      </c>
      <c r="X1456" s="39">
        <v>0</v>
      </c>
      <c r="Y1456" s="39">
        <v>0</v>
      </c>
      <c r="Z1456" s="39">
        <v>0</v>
      </c>
      <c r="AA1456" s="39">
        <v>0</v>
      </c>
      <c r="AB1456" s="39">
        <v>0</v>
      </c>
      <c r="AC1456" s="39">
        <v>138.88999999999999</v>
      </c>
      <c r="AD1456" s="39">
        <v>136.9</v>
      </c>
      <c r="AE1456" s="39">
        <v>132.15</v>
      </c>
      <c r="AF1456" s="39">
        <v>0</v>
      </c>
      <c r="AG1456" s="39">
        <v>0</v>
      </c>
      <c r="AH1456" s="39">
        <v>0</v>
      </c>
      <c r="AI1456" s="39">
        <v>138.88999999999999</v>
      </c>
      <c r="AJ1456" s="39">
        <v>136.9</v>
      </c>
      <c r="AK1456" s="39">
        <v>132.15</v>
      </c>
      <c r="AL1456" s="39">
        <v>0</v>
      </c>
      <c r="AM1456" s="39">
        <v>0</v>
      </c>
      <c r="AN1456" s="39">
        <v>0</v>
      </c>
      <c r="AO1456" s="39">
        <v>138.88999999999999</v>
      </c>
      <c r="AP1456" s="39">
        <v>136.9</v>
      </c>
      <c r="AQ1456" s="39">
        <v>132.15</v>
      </c>
      <c r="AR1456" s="39">
        <v>138.88999999999999</v>
      </c>
    </row>
    <row r="1457" spans="1:44" x14ac:dyDescent="0.35">
      <c r="A1457" s="16" t="str">
        <f>TEXT(36,"00")</f>
        <v>36</v>
      </c>
      <c r="B1457" s="19">
        <v>10363</v>
      </c>
      <c r="C1457" s="16" t="str">
        <f>TEXT(3630761,"0000000")</f>
        <v>3630761</v>
      </c>
      <c r="D1457" s="19">
        <v>1910</v>
      </c>
      <c r="E1457" s="16" t="s">
        <v>1919</v>
      </c>
      <c r="F1457" s="16" t="s">
        <v>1709</v>
      </c>
      <c r="G1457" s="35" t="s">
        <v>1920</v>
      </c>
      <c r="H1457" s="39">
        <v>0</v>
      </c>
      <c r="I1457" s="39">
        <v>0</v>
      </c>
      <c r="J1457" s="39">
        <v>0</v>
      </c>
      <c r="K1457" s="39">
        <v>0</v>
      </c>
      <c r="L1457" s="39">
        <v>0</v>
      </c>
      <c r="M1457" s="39">
        <v>0</v>
      </c>
      <c r="N1457" s="39">
        <v>0</v>
      </c>
      <c r="O1457" s="39">
        <v>0</v>
      </c>
      <c r="P1457" s="39">
        <v>0</v>
      </c>
      <c r="Q1457" s="39">
        <v>0</v>
      </c>
      <c r="R1457" s="39">
        <v>0</v>
      </c>
      <c r="S1457" s="39">
        <v>0</v>
      </c>
      <c r="T1457" s="39">
        <v>0</v>
      </c>
      <c r="U1457" s="39">
        <v>0</v>
      </c>
      <c r="V1457" s="39">
        <v>0</v>
      </c>
      <c r="W1457" s="39">
        <v>0</v>
      </c>
      <c r="X1457" s="39">
        <v>0</v>
      </c>
      <c r="Y1457" s="39">
        <v>0</v>
      </c>
      <c r="Z1457" s="39">
        <v>2290.79</v>
      </c>
      <c r="AA1457" s="39">
        <v>2100.67</v>
      </c>
      <c r="AB1457" s="39">
        <v>2256.2199999999998</v>
      </c>
      <c r="AC1457" s="39">
        <v>0</v>
      </c>
      <c r="AD1457" s="39">
        <v>0</v>
      </c>
      <c r="AE1457" s="39">
        <v>0</v>
      </c>
      <c r="AF1457" s="39">
        <v>0</v>
      </c>
      <c r="AG1457" s="39">
        <v>0</v>
      </c>
      <c r="AH1457" s="39">
        <v>0</v>
      </c>
      <c r="AI1457" s="39">
        <v>2290.79</v>
      </c>
      <c r="AJ1457" s="39">
        <v>2100.67</v>
      </c>
      <c r="AK1457" s="39">
        <v>2256.2199999999998</v>
      </c>
      <c r="AL1457" s="39">
        <v>0</v>
      </c>
      <c r="AM1457" s="39">
        <v>0</v>
      </c>
      <c r="AN1457" s="39">
        <v>0</v>
      </c>
      <c r="AO1457" s="39">
        <v>2290.79</v>
      </c>
      <c r="AP1457" s="39">
        <v>2100.67</v>
      </c>
      <c r="AQ1457" s="39">
        <v>2256.2199999999998</v>
      </c>
      <c r="AR1457" s="39">
        <v>2290.79</v>
      </c>
    </row>
    <row r="1458" spans="1:44" x14ac:dyDescent="0.35">
      <c r="A1458" s="16" t="str">
        <f>TEXT(36,"00")</f>
        <v>36</v>
      </c>
      <c r="B1458" s="19">
        <v>75077</v>
      </c>
      <c r="C1458" s="16" t="str">
        <f>TEXT(3631207,"0000000")</f>
        <v>3631207</v>
      </c>
      <c r="D1458" s="17" t="s">
        <v>2045</v>
      </c>
      <c r="E1458" s="16" t="s">
        <v>2043</v>
      </c>
      <c r="F1458" s="16" t="s">
        <v>1709</v>
      </c>
      <c r="G1458" s="35" t="s">
        <v>2044</v>
      </c>
      <c r="H1458" s="39">
        <v>0</v>
      </c>
      <c r="I1458" s="39">
        <v>0</v>
      </c>
      <c r="J1458" s="39">
        <v>0</v>
      </c>
      <c r="K1458" s="39">
        <v>0</v>
      </c>
      <c r="L1458" s="39">
        <v>0</v>
      </c>
      <c r="M1458" s="39">
        <v>0</v>
      </c>
      <c r="N1458" s="39">
        <v>0</v>
      </c>
      <c r="O1458" s="39">
        <v>0</v>
      </c>
      <c r="P1458" s="39">
        <v>0</v>
      </c>
      <c r="Q1458" s="39">
        <v>0</v>
      </c>
      <c r="R1458" s="39">
        <v>0</v>
      </c>
      <c r="S1458" s="39">
        <v>0</v>
      </c>
      <c r="T1458" s="39">
        <v>0</v>
      </c>
      <c r="U1458" s="39">
        <v>0</v>
      </c>
      <c r="V1458" s="39">
        <v>0</v>
      </c>
      <c r="W1458" s="39">
        <v>0</v>
      </c>
      <c r="X1458" s="39">
        <v>0</v>
      </c>
      <c r="Y1458" s="39">
        <v>0</v>
      </c>
      <c r="Z1458" s="39">
        <v>0</v>
      </c>
      <c r="AA1458" s="39">
        <v>0</v>
      </c>
      <c r="AB1458" s="39">
        <v>0</v>
      </c>
      <c r="AC1458" s="39">
        <v>1411.15</v>
      </c>
      <c r="AD1458" s="39">
        <v>1410.72</v>
      </c>
      <c r="AE1458" s="39">
        <v>1378.08</v>
      </c>
      <c r="AF1458" s="39">
        <v>0</v>
      </c>
      <c r="AG1458" s="39">
        <v>0</v>
      </c>
      <c r="AH1458" s="39">
        <v>0</v>
      </c>
      <c r="AI1458" s="39">
        <v>1411.15</v>
      </c>
      <c r="AJ1458" s="39">
        <v>1410.72</v>
      </c>
      <c r="AK1458" s="39">
        <v>1378.08</v>
      </c>
      <c r="AL1458" s="39">
        <v>0</v>
      </c>
      <c r="AM1458" s="39">
        <v>0</v>
      </c>
      <c r="AN1458" s="39">
        <v>0</v>
      </c>
      <c r="AO1458" s="39">
        <v>1411.15</v>
      </c>
      <c r="AP1458" s="39">
        <v>1410.72</v>
      </c>
      <c r="AQ1458" s="39">
        <v>1378.08</v>
      </c>
      <c r="AR1458" s="39">
        <v>1411.15</v>
      </c>
    </row>
    <row r="1459" spans="1:44" x14ac:dyDescent="0.35">
      <c r="A1459" s="16" t="str">
        <f>TEXT(36,"00")</f>
        <v>36</v>
      </c>
      <c r="B1459" s="19">
        <v>10363</v>
      </c>
      <c r="C1459" s="16" t="str">
        <f>TEXT(,"0000000")</f>
        <v>0000000</v>
      </c>
      <c r="D1459" s="17" t="s">
        <v>3663</v>
      </c>
      <c r="E1459" s="16" t="s">
        <v>601</v>
      </c>
      <c r="F1459" s="16" t="s">
        <v>602</v>
      </c>
      <c r="G1459" s="35" t="s">
        <v>602</v>
      </c>
      <c r="H1459" s="39">
        <v>0</v>
      </c>
      <c r="I1459" s="39">
        <v>0</v>
      </c>
      <c r="J1459" s="39">
        <v>0</v>
      </c>
      <c r="K1459" s="39">
        <v>0</v>
      </c>
      <c r="L1459" s="39">
        <v>0</v>
      </c>
      <c r="M1459" s="39">
        <v>0</v>
      </c>
      <c r="N1459" s="39">
        <v>0</v>
      </c>
      <c r="O1459" s="39">
        <v>0</v>
      </c>
      <c r="P1459" s="39">
        <v>0</v>
      </c>
      <c r="Q1459" s="39">
        <v>0</v>
      </c>
      <c r="R1459" s="39">
        <v>0</v>
      </c>
      <c r="S1459" s="39">
        <v>0</v>
      </c>
      <c r="T1459" s="39">
        <v>0</v>
      </c>
      <c r="U1459" s="39">
        <v>0</v>
      </c>
      <c r="V1459" s="39">
        <v>0</v>
      </c>
      <c r="W1459" s="39">
        <v>0</v>
      </c>
      <c r="X1459" s="39">
        <v>0</v>
      </c>
      <c r="Y1459" s="39">
        <v>0</v>
      </c>
      <c r="Z1459" s="39">
        <v>0</v>
      </c>
      <c r="AA1459" s="39">
        <v>0</v>
      </c>
      <c r="AB1459" s="39">
        <v>0</v>
      </c>
      <c r="AC1459" s="39">
        <v>0</v>
      </c>
      <c r="AD1459" s="39">
        <v>0</v>
      </c>
      <c r="AE1459" s="39">
        <v>0</v>
      </c>
      <c r="AF1459" s="39">
        <v>0</v>
      </c>
      <c r="AG1459" s="39">
        <v>0</v>
      </c>
      <c r="AH1459" s="39">
        <v>0</v>
      </c>
      <c r="AI1459" s="39">
        <v>0</v>
      </c>
      <c r="AJ1459" s="39">
        <v>0</v>
      </c>
      <c r="AK1459" s="39">
        <v>0</v>
      </c>
      <c r="AL1459" s="39">
        <v>0</v>
      </c>
      <c r="AM1459" s="39">
        <v>0</v>
      </c>
      <c r="AN1459" s="39">
        <v>0</v>
      </c>
      <c r="AO1459" s="39">
        <v>0</v>
      </c>
      <c r="AP1459" s="39">
        <v>0</v>
      </c>
      <c r="AQ1459" s="39">
        <v>0</v>
      </c>
      <c r="AR1459" s="39">
        <v>0</v>
      </c>
    </row>
    <row r="1460" spans="1:44" x14ac:dyDescent="0.35">
      <c r="A1460" s="16" t="str">
        <f>TEXT(13,"00")</f>
        <v>13</v>
      </c>
      <c r="B1460" s="19">
        <v>63123</v>
      </c>
      <c r="C1460" s="16" t="str">
        <f>TEXT(118455,"0000000")</f>
        <v>0118455</v>
      </c>
      <c r="D1460" s="19">
        <v>1030</v>
      </c>
      <c r="E1460" s="16" t="s">
        <v>603</v>
      </c>
      <c r="F1460" s="16" t="s">
        <v>602</v>
      </c>
      <c r="G1460" s="35" t="s">
        <v>604</v>
      </c>
      <c r="H1460" s="39">
        <v>0</v>
      </c>
      <c r="I1460" s="39">
        <v>0</v>
      </c>
      <c r="J1460" s="39">
        <v>0</v>
      </c>
      <c r="K1460" s="39">
        <v>0</v>
      </c>
      <c r="L1460" s="39">
        <v>0</v>
      </c>
      <c r="M1460" s="39">
        <v>0</v>
      </c>
      <c r="N1460" s="39">
        <v>0</v>
      </c>
      <c r="O1460" s="39">
        <v>0</v>
      </c>
      <c r="P1460" s="39">
        <v>0</v>
      </c>
      <c r="Q1460" s="39">
        <v>0</v>
      </c>
      <c r="R1460" s="39">
        <v>0</v>
      </c>
      <c r="S1460" s="39">
        <v>0</v>
      </c>
      <c r="T1460" s="39">
        <v>0</v>
      </c>
      <c r="U1460" s="39">
        <v>0</v>
      </c>
      <c r="V1460" s="39">
        <v>0</v>
      </c>
      <c r="W1460" s="39">
        <v>0</v>
      </c>
      <c r="X1460" s="39">
        <v>0</v>
      </c>
      <c r="Y1460" s="39">
        <v>0</v>
      </c>
      <c r="Z1460" s="39">
        <v>0</v>
      </c>
      <c r="AA1460" s="39">
        <v>0</v>
      </c>
      <c r="AB1460" s="39">
        <v>0</v>
      </c>
      <c r="AC1460" s="39">
        <v>216.27</v>
      </c>
      <c r="AD1460" s="39">
        <v>238.38</v>
      </c>
      <c r="AE1460" s="39">
        <v>215.26</v>
      </c>
      <c r="AF1460" s="39">
        <v>0</v>
      </c>
      <c r="AG1460" s="39">
        <v>0</v>
      </c>
      <c r="AH1460" s="39">
        <v>0</v>
      </c>
      <c r="AI1460" s="39">
        <v>216.27</v>
      </c>
      <c r="AJ1460" s="39">
        <v>238.38</v>
      </c>
      <c r="AK1460" s="39">
        <v>215.26</v>
      </c>
      <c r="AL1460" s="39">
        <v>0</v>
      </c>
      <c r="AM1460" s="39">
        <v>0</v>
      </c>
      <c r="AN1460" s="39">
        <v>0</v>
      </c>
      <c r="AO1460" s="39">
        <v>216.27</v>
      </c>
      <c r="AP1460" s="39">
        <v>238.38</v>
      </c>
      <c r="AQ1460" s="39">
        <v>215.26</v>
      </c>
      <c r="AR1460" s="39">
        <v>238.38</v>
      </c>
    </row>
    <row r="1461" spans="1:44" x14ac:dyDescent="0.35">
      <c r="A1461" s="16" t="str">
        <f>TEXT(19,"00")</f>
        <v>19</v>
      </c>
      <c r="B1461" s="19">
        <v>10199</v>
      </c>
      <c r="C1461" s="16" t="str">
        <f>TEXT(6116883,"0000000")</f>
        <v>6116883</v>
      </c>
      <c r="D1461" s="17" t="s">
        <v>888</v>
      </c>
      <c r="E1461" s="16" t="s">
        <v>886</v>
      </c>
      <c r="F1461" s="16" t="s">
        <v>602</v>
      </c>
      <c r="G1461" s="35" t="s">
        <v>887</v>
      </c>
      <c r="H1461" s="39">
        <v>0</v>
      </c>
      <c r="I1461" s="39">
        <v>0</v>
      </c>
      <c r="J1461" s="39">
        <v>0</v>
      </c>
      <c r="K1461" s="39">
        <v>0</v>
      </c>
      <c r="L1461" s="39">
        <v>0</v>
      </c>
      <c r="M1461" s="39">
        <v>0</v>
      </c>
      <c r="N1461" s="39">
        <v>0</v>
      </c>
      <c r="O1461" s="39">
        <v>0</v>
      </c>
      <c r="P1461" s="39">
        <v>0</v>
      </c>
      <c r="Q1461" s="39">
        <v>0</v>
      </c>
      <c r="R1461" s="39">
        <v>0</v>
      </c>
      <c r="S1461" s="39">
        <v>0</v>
      </c>
      <c r="T1461" s="39">
        <v>0</v>
      </c>
      <c r="U1461" s="39">
        <v>0</v>
      </c>
      <c r="V1461" s="39">
        <v>0</v>
      </c>
      <c r="W1461" s="39">
        <v>0</v>
      </c>
      <c r="X1461" s="39">
        <v>0</v>
      </c>
      <c r="Y1461" s="39">
        <v>0</v>
      </c>
      <c r="Z1461" s="39">
        <v>0</v>
      </c>
      <c r="AA1461" s="39">
        <v>0</v>
      </c>
      <c r="AB1461" s="39">
        <v>0</v>
      </c>
      <c r="AC1461" s="39">
        <v>449.37</v>
      </c>
      <c r="AD1461" s="39">
        <v>437.99</v>
      </c>
      <c r="AE1461" s="39">
        <v>430</v>
      </c>
      <c r="AF1461" s="39">
        <v>0</v>
      </c>
      <c r="AG1461" s="39">
        <v>0</v>
      </c>
      <c r="AH1461" s="39">
        <v>0</v>
      </c>
      <c r="AI1461" s="39">
        <v>449.37</v>
      </c>
      <c r="AJ1461" s="39">
        <v>437.99</v>
      </c>
      <c r="AK1461" s="39">
        <v>430</v>
      </c>
      <c r="AL1461" s="39">
        <v>0</v>
      </c>
      <c r="AM1461" s="39">
        <v>0</v>
      </c>
      <c r="AN1461" s="39">
        <v>0</v>
      </c>
      <c r="AO1461" s="39">
        <v>449.37</v>
      </c>
      <c r="AP1461" s="39">
        <v>437.99</v>
      </c>
      <c r="AQ1461" s="39">
        <v>430</v>
      </c>
      <c r="AR1461" s="39">
        <v>449.37</v>
      </c>
    </row>
    <row r="1462" spans="1:44" x14ac:dyDescent="0.35">
      <c r="A1462" s="16" t="str">
        <f>TEXT(19,"00")</f>
        <v>19</v>
      </c>
      <c r="B1462" s="19">
        <v>64881</v>
      </c>
      <c r="C1462" s="16" t="str">
        <f>TEXT(113464,"0000000")</f>
        <v>0113464</v>
      </c>
      <c r="D1462" s="17" t="s">
        <v>1084</v>
      </c>
      <c r="E1462" s="16" t="s">
        <v>1082</v>
      </c>
      <c r="F1462" s="16" t="s">
        <v>602</v>
      </c>
      <c r="G1462" s="35" t="s">
        <v>1083</v>
      </c>
      <c r="H1462" s="39">
        <v>0</v>
      </c>
      <c r="I1462" s="39">
        <v>0</v>
      </c>
      <c r="J1462" s="39">
        <v>0</v>
      </c>
      <c r="K1462" s="39">
        <v>0</v>
      </c>
      <c r="L1462" s="39">
        <v>0</v>
      </c>
      <c r="M1462" s="39">
        <v>0</v>
      </c>
      <c r="N1462" s="39">
        <v>0</v>
      </c>
      <c r="O1462" s="39">
        <v>0</v>
      </c>
      <c r="P1462" s="39">
        <v>0</v>
      </c>
      <c r="Q1462" s="39">
        <v>0</v>
      </c>
      <c r="R1462" s="39">
        <v>0</v>
      </c>
      <c r="S1462" s="39">
        <v>0</v>
      </c>
      <c r="T1462" s="39">
        <v>0</v>
      </c>
      <c r="U1462" s="39">
        <v>0</v>
      </c>
      <c r="V1462" s="39">
        <v>0</v>
      </c>
      <c r="W1462" s="39">
        <v>0</v>
      </c>
      <c r="X1462" s="39">
        <v>0</v>
      </c>
      <c r="Y1462" s="39">
        <v>0</v>
      </c>
      <c r="Z1462" s="39">
        <v>0</v>
      </c>
      <c r="AA1462" s="39">
        <v>0</v>
      </c>
      <c r="AB1462" s="39">
        <v>0</v>
      </c>
      <c r="AC1462" s="39">
        <v>179.99</v>
      </c>
      <c r="AD1462" s="39">
        <v>192.88</v>
      </c>
      <c r="AE1462" s="39">
        <v>196.27</v>
      </c>
      <c r="AF1462" s="39">
        <v>0</v>
      </c>
      <c r="AG1462" s="39">
        <v>0</v>
      </c>
      <c r="AH1462" s="39">
        <v>0</v>
      </c>
      <c r="AI1462" s="39">
        <v>179.99</v>
      </c>
      <c r="AJ1462" s="39">
        <v>192.88</v>
      </c>
      <c r="AK1462" s="39">
        <v>196.27</v>
      </c>
      <c r="AL1462" s="39">
        <v>0</v>
      </c>
      <c r="AM1462" s="39">
        <v>0</v>
      </c>
      <c r="AN1462" s="39">
        <v>0</v>
      </c>
      <c r="AO1462" s="39">
        <v>179.99</v>
      </c>
      <c r="AP1462" s="39">
        <v>192.88</v>
      </c>
      <c r="AQ1462" s="39">
        <v>196.27</v>
      </c>
      <c r="AR1462" s="39">
        <v>196.27</v>
      </c>
    </row>
    <row r="1463" spans="1:44" x14ac:dyDescent="0.35">
      <c r="A1463" s="16" t="str">
        <f>TEXT(19,"00")</f>
        <v>19</v>
      </c>
      <c r="B1463" s="19">
        <v>64881</v>
      </c>
      <c r="C1463" s="16" t="str">
        <f>TEXT(113472,"0000000")</f>
        <v>0113472</v>
      </c>
      <c r="D1463" s="17" t="s">
        <v>1087</v>
      </c>
      <c r="E1463" s="16" t="s">
        <v>1085</v>
      </c>
      <c r="F1463" s="16" t="s">
        <v>602</v>
      </c>
      <c r="G1463" s="35" t="s">
        <v>1086</v>
      </c>
      <c r="H1463" s="39">
        <v>0</v>
      </c>
      <c r="I1463" s="39">
        <v>0</v>
      </c>
      <c r="J1463" s="39">
        <v>0</v>
      </c>
      <c r="K1463" s="39">
        <v>0</v>
      </c>
      <c r="L1463" s="39">
        <v>0</v>
      </c>
      <c r="M1463" s="39">
        <v>0</v>
      </c>
      <c r="N1463" s="39">
        <v>0</v>
      </c>
      <c r="O1463" s="39">
        <v>0</v>
      </c>
      <c r="P1463" s="39">
        <v>0</v>
      </c>
      <c r="Q1463" s="39">
        <v>0</v>
      </c>
      <c r="R1463" s="39">
        <v>0</v>
      </c>
      <c r="S1463" s="39">
        <v>0</v>
      </c>
      <c r="T1463" s="39">
        <v>0</v>
      </c>
      <c r="U1463" s="39">
        <v>0</v>
      </c>
      <c r="V1463" s="39">
        <v>0</v>
      </c>
      <c r="W1463" s="39">
        <v>0</v>
      </c>
      <c r="X1463" s="39">
        <v>0</v>
      </c>
      <c r="Y1463" s="39">
        <v>0</v>
      </c>
      <c r="Z1463" s="39">
        <v>0</v>
      </c>
      <c r="AA1463" s="39">
        <v>0</v>
      </c>
      <c r="AB1463" s="39">
        <v>0</v>
      </c>
      <c r="AC1463" s="39">
        <v>230.76</v>
      </c>
      <c r="AD1463" s="39">
        <v>291.79000000000002</v>
      </c>
      <c r="AE1463" s="39">
        <v>315.10000000000002</v>
      </c>
      <c r="AF1463" s="39">
        <v>0</v>
      </c>
      <c r="AG1463" s="39">
        <v>0</v>
      </c>
      <c r="AH1463" s="39">
        <v>0</v>
      </c>
      <c r="AI1463" s="39">
        <v>230.76</v>
      </c>
      <c r="AJ1463" s="39">
        <v>291.79000000000002</v>
      </c>
      <c r="AK1463" s="39">
        <v>315.10000000000002</v>
      </c>
      <c r="AL1463" s="39">
        <v>0</v>
      </c>
      <c r="AM1463" s="39">
        <v>0</v>
      </c>
      <c r="AN1463" s="39">
        <v>0</v>
      </c>
      <c r="AO1463" s="39">
        <v>230.76</v>
      </c>
      <c r="AP1463" s="39">
        <v>291.79000000000002</v>
      </c>
      <c r="AQ1463" s="39">
        <v>315.10000000000002</v>
      </c>
      <c r="AR1463" s="39">
        <v>315.10000000000002</v>
      </c>
    </row>
    <row r="1464" spans="1:44" x14ac:dyDescent="0.35">
      <c r="A1464" s="16" t="str">
        <f>TEXT(19,"00")</f>
        <v>19</v>
      </c>
      <c r="B1464" s="19">
        <v>64881</v>
      </c>
      <c r="C1464" s="16" t="str">
        <f>TEXT(113894,"0000000")</f>
        <v>0113894</v>
      </c>
      <c r="D1464" s="17" t="s">
        <v>1090</v>
      </c>
      <c r="E1464" s="16" t="s">
        <v>1088</v>
      </c>
      <c r="F1464" s="16" t="s">
        <v>602</v>
      </c>
      <c r="G1464" s="35" t="s">
        <v>1089</v>
      </c>
      <c r="H1464" s="39">
        <v>0</v>
      </c>
      <c r="I1464" s="39">
        <v>0</v>
      </c>
      <c r="J1464" s="39">
        <v>0</v>
      </c>
      <c r="K1464" s="39">
        <v>0</v>
      </c>
      <c r="L1464" s="39">
        <v>0</v>
      </c>
      <c r="M1464" s="39">
        <v>0</v>
      </c>
      <c r="N1464" s="39">
        <v>0</v>
      </c>
      <c r="O1464" s="39">
        <v>0</v>
      </c>
      <c r="P1464" s="39">
        <v>0</v>
      </c>
      <c r="Q1464" s="39">
        <v>0</v>
      </c>
      <c r="R1464" s="39">
        <v>0</v>
      </c>
      <c r="S1464" s="39">
        <v>0</v>
      </c>
      <c r="T1464" s="39">
        <v>0</v>
      </c>
      <c r="U1464" s="39">
        <v>0</v>
      </c>
      <c r="V1464" s="39">
        <v>0</v>
      </c>
      <c r="W1464" s="39">
        <v>0</v>
      </c>
      <c r="X1464" s="39">
        <v>0</v>
      </c>
      <c r="Y1464" s="39">
        <v>0</v>
      </c>
      <c r="Z1464" s="39">
        <v>0</v>
      </c>
      <c r="AA1464" s="39">
        <v>0</v>
      </c>
      <c r="AB1464" s="39">
        <v>0</v>
      </c>
      <c r="AC1464" s="39">
        <v>152.11000000000001</v>
      </c>
      <c r="AD1464" s="39">
        <v>130.03</v>
      </c>
      <c r="AE1464" s="39">
        <v>137.5</v>
      </c>
      <c r="AF1464" s="39">
        <v>0</v>
      </c>
      <c r="AG1464" s="39">
        <v>0</v>
      </c>
      <c r="AH1464" s="39">
        <v>0</v>
      </c>
      <c r="AI1464" s="39">
        <v>152.11000000000001</v>
      </c>
      <c r="AJ1464" s="39">
        <v>130.03</v>
      </c>
      <c r="AK1464" s="39">
        <v>137.5</v>
      </c>
      <c r="AL1464" s="39">
        <v>0</v>
      </c>
      <c r="AM1464" s="39">
        <v>0</v>
      </c>
      <c r="AN1464" s="39">
        <v>0</v>
      </c>
      <c r="AO1464" s="39">
        <v>152.11000000000001</v>
      </c>
      <c r="AP1464" s="39">
        <v>130.03</v>
      </c>
      <c r="AQ1464" s="39">
        <v>137.5</v>
      </c>
      <c r="AR1464" s="39">
        <v>152.11000000000001</v>
      </c>
    </row>
    <row r="1465" spans="1:44" x14ac:dyDescent="0.35">
      <c r="A1465" s="16" t="str">
        <f>TEXT(19,"00")</f>
        <v>19</v>
      </c>
      <c r="B1465" s="19">
        <v>64881</v>
      </c>
      <c r="C1465" s="16" t="str">
        <f>TEXT(136945,"0000000")</f>
        <v>0136945</v>
      </c>
      <c r="D1465" s="19">
        <v>1921</v>
      </c>
      <c r="E1465" s="16" t="s">
        <v>1091</v>
      </c>
      <c r="F1465" s="16" t="s">
        <v>602</v>
      </c>
      <c r="G1465" s="35" t="s">
        <v>1092</v>
      </c>
      <c r="H1465" s="39">
        <v>0</v>
      </c>
      <c r="I1465" s="39">
        <v>0</v>
      </c>
      <c r="J1465" s="39">
        <v>0</v>
      </c>
      <c r="K1465" s="39">
        <v>0</v>
      </c>
      <c r="L1465" s="39">
        <v>0</v>
      </c>
      <c r="M1465" s="39">
        <v>0</v>
      </c>
      <c r="N1465" s="39">
        <v>0</v>
      </c>
      <c r="O1465" s="39">
        <v>0</v>
      </c>
      <c r="P1465" s="39">
        <v>0</v>
      </c>
      <c r="Q1465" s="39">
        <v>0</v>
      </c>
      <c r="R1465" s="39">
        <v>0</v>
      </c>
      <c r="S1465" s="39">
        <v>0</v>
      </c>
      <c r="T1465" s="39">
        <v>0</v>
      </c>
      <c r="U1465" s="39">
        <v>0</v>
      </c>
      <c r="V1465" s="39">
        <v>0</v>
      </c>
      <c r="W1465" s="39">
        <v>0</v>
      </c>
      <c r="X1465" s="39">
        <v>0</v>
      </c>
      <c r="Y1465" s="39">
        <v>0</v>
      </c>
      <c r="Z1465" s="39">
        <v>0</v>
      </c>
      <c r="AA1465" s="39">
        <v>0</v>
      </c>
      <c r="AB1465" s="39">
        <v>0</v>
      </c>
      <c r="AC1465" s="39">
        <v>357.75</v>
      </c>
      <c r="AD1465" s="39">
        <v>341.78</v>
      </c>
      <c r="AE1465" s="39">
        <v>308.60000000000002</v>
      </c>
      <c r="AF1465" s="39">
        <v>0</v>
      </c>
      <c r="AG1465" s="39">
        <v>0</v>
      </c>
      <c r="AH1465" s="39">
        <v>0</v>
      </c>
      <c r="AI1465" s="39">
        <v>357.75</v>
      </c>
      <c r="AJ1465" s="39">
        <v>341.78</v>
      </c>
      <c r="AK1465" s="39">
        <v>308.60000000000002</v>
      </c>
      <c r="AL1465" s="39">
        <v>0</v>
      </c>
      <c r="AM1465" s="39">
        <v>0</v>
      </c>
      <c r="AN1465" s="39">
        <v>0</v>
      </c>
      <c r="AO1465" s="39">
        <v>357.75</v>
      </c>
      <c r="AP1465" s="39">
        <v>341.78</v>
      </c>
      <c r="AQ1465" s="39">
        <v>308.60000000000002</v>
      </c>
      <c r="AR1465" s="39">
        <v>357.75</v>
      </c>
    </row>
    <row r="1466" spans="1:44" x14ac:dyDescent="0.35">
      <c r="A1466" s="16" t="str">
        <f>TEXT(33,"00")</f>
        <v>33</v>
      </c>
      <c r="B1466" s="19">
        <v>10330</v>
      </c>
      <c r="C1466" s="16" t="str">
        <f>TEXT(137851,"0000000")</f>
        <v>0137851</v>
      </c>
      <c r="D1466" s="19">
        <v>1988</v>
      </c>
      <c r="E1466" s="16" t="s">
        <v>1706</v>
      </c>
      <c r="F1466" s="16" t="s">
        <v>602</v>
      </c>
      <c r="G1466" s="35" t="s">
        <v>1707</v>
      </c>
      <c r="H1466" s="39">
        <v>0</v>
      </c>
      <c r="I1466" s="39">
        <v>0</v>
      </c>
      <c r="J1466" s="39">
        <v>0</v>
      </c>
      <c r="K1466" s="39">
        <v>0</v>
      </c>
      <c r="L1466" s="39">
        <v>0</v>
      </c>
      <c r="M1466" s="39">
        <v>0</v>
      </c>
      <c r="N1466" s="39">
        <v>0</v>
      </c>
      <c r="O1466" s="39">
        <v>0</v>
      </c>
      <c r="P1466" s="39">
        <v>0</v>
      </c>
      <c r="Q1466" s="39">
        <v>0</v>
      </c>
      <c r="R1466" s="39">
        <v>0</v>
      </c>
      <c r="S1466" s="39">
        <v>0</v>
      </c>
      <c r="T1466" s="39">
        <v>0</v>
      </c>
      <c r="U1466" s="39">
        <v>0</v>
      </c>
      <c r="V1466" s="39">
        <v>0</v>
      </c>
      <c r="W1466" s="39">
        <v>0</v>
      </c>
      <c r="X1466" s="39">
        <v>0</v>
      </c>
      <c r="Y1466" s="39">
        <v>0</v>
      </c>
      <c r="Z1466" s="39">
        <v>0</v>
      </c>
      <c r="AA1466" s="39">
        <v>0</v>
      </c>
      <c r="AB1466" s="39">
        <v>0</v>
      </c>
      <c r="AC1466" s="39">
        <v>412.01</v>
      </c>
      <c r="AD1466" s="39">
        <v>399.34</v>
      </c>
      <c r="AE1466" s="39">
        <v>399.36</v>
      </c>
      <c r="AF1466" s="39">
        <v>0</v>
      </c>
      <c r="AG1466" s="39">
        <v>0</v>
      </c>
      <c r="AH1466" s="39">
        <v>0</v>
      </c>
      <c r="AI1466" s="39">
        <v>412.01</v>
      </c>
      <c r="AJ1466" s="39">
        <v>399.34</v>
      </c>
      <c r="AK1466" s="39">
        <v>399.36</v>
      </c>
      <c r="AL1466" s="39">
        <v>0</v>
      </c>
      <c r="AM1466" s="39">
        <v>0</v>
      </c>
      <c r="AN1466" s="39">
        <v>0</v>
      </c>
      <c r="AO1466" s="39">
        <v>412.01</v>
      </c>
      <c r="AP1466" s="39">
        <v>399.34</v>
      </c>
      <c r="AQ1466" s="39">
        <v>399.36</v>
      </c>
      <c r="AR1466" s="39">
        <v>412.01</v>
      </c>
    </row>
    <row r="1467" spans="1:44" x14ac:dyDescent="0.35">
      <c r="A1467" s="16" t="str">
        <f t="shared" ref="A1467:A1474" si="119">TEXT(36,"00")</f>
        <v>36</v>
      </c>
      <c r="B1467" s="19">
        <v>10363</v>
      </c>
      <c r="C1467" s="16" t="str">
        <f>TEXT(6111918,"0000000")</f>
        <v>6111918</v>
      </c>
      <c r="D1467" s="19">
        <v>1522</v>
      </c>
      <c r="E1467" s="16" t="s">
        <v>1921</v>
      </c>
      <c r="F1467" s="16" t="s">
        <v>602</v>
      </c>
      <c r="G1467" s="35" t="s">
        <v>1922</v>
      </c>
      <c r="H1467" s="39">
        <v>0</v>
      </c>
      <c r="I1467" s="39">
        <v>0</v>
      </c>
      <c r="J1467" s="39">
        <v>0</v>
      </c>
      <c r="K1467" s="39">
        <v>0</v>
      </c>
      <c r="L1467" s="39">
        <v>0</v>
      </c>
      <c r="M1467" s="39">
        <v>0</v>
      </c>
      <c r="N1467" s="39">
        <v>0</v>
      </c>
      <c r="O1467" s="39">
        <v>0</v>
      </c>
      <c r="P1467" s="39">
        <v>0</v>
      </c>
      <c r="Q1467" s="39">
        <v>0</v>
      </c>
      <c r="R1467" s="39">
        <v>0</v>
      </c>
      <c r="S1467" s="39">
        <v>0</v>
      </c>
      <c r="T1467" s="39">
        <v>0</v>
      </c>
      <c r="U1467" s="39">
        <v>0</v>
      </c>
      <c r="V1467" s="39">
        <v>0</v>
      </c>
      <c r="W1467" s="39">
        <v>0</v>
      </c>
      <c r="X1467" s="39">
        <v>0</v>
      </c>
      <c r="Y1467" s="39">
        <v>0</v>
      </c>
      <c r="Z1467" s="39">
        <v>0</v>
      </c>
      <c r="AA1467" s="39">
        <v>0</v>
      </c>
      <c r="AB1467" s="39">
        <v>0</v>
      </c>
      <c r="AC1467" s="39">
        <v>331.67</v>
      </c>
      <c r="AD1467" s="39">
        <v>416.97</v>
      </c>
      <c r="AE1467" s="39">
        <v>485.54</v>
      </c>
      <c r="AF1467" s="39">
        <v>0</v>
      </c>
      <c r="AG1467" s="39">
        <v>0</v>
      </c>
      <c r="AH1467" s="39">
        <v>0</v>
      </c>
      <c r="AI1467" s="39">
        <v>331.67</v>
      </c>
      <c r="AJ1467" s="39">
        <v>416.97</v>
      </c>
      <c r="AK1467" s="39">
        <v>485.54</v>
      </c>
      <c r="AL1467" s="39">
        <v>0</v>
      </c>
      <c r="AM1467" s="39">
        <v>0</v>
      </c>
      <c r="AN1467" s="39">
        <v>0</v>
      </c>
      <c r="AO1467" s="39">
        <v>331.67</v>
      </c>
      <c r="AP1467" s="39">
        <v>416.97</v>
      </c>
      <c r="AQ1467" s="39">
        <v>485.54</v>
      </c>
      <c r="AR1467" s="39">
        <v>485.54</v>
      </c>
    </row>
    <row r="1468" spans="1:44" x14ac:dyDescent="0.35">
      <c r="A1468" s="16" t="str">
        <f t="shared" si="119"/>
        <v>36</v>
      </c>
      <c r="B1468" s="19">
        <v>67587</v>
      </c>
      <c r="C1468" s="16" t="str">
        <f>TEXT(128462,"0000000")</f>
        <v>0128462</v>
      </c>
      <c r="D1468" s="19">
        <v>1520</v>
      </c>
      <c r="E1468" s="16" t="s">
        <v>1925</v>
      </c>
      <c r="F1468" s="16" t="s">
        <v>602</v>
      </c>
      <c r="G1468" s="35" t="s">
        <v>1926</v>
      </c>
      <c r="H1468" s="39">
        <v>0</v>
      </c>
      <c r="I1468" s="39">
        <v>0</v>
      </c>
      <c r="J1468" s="39">
        <v>0</v>
      </c>
      <c r="K1468" s="39">
        <v>0</v>
      </c>
      <c r="L1468" s="39">
        <v>0</v>
      </c>
      <c r="M1468" s="39">
        <v>0</v>
      </c>
      <c r="N1468" s="39">
        <v>0</v>
      </c>
      <c r="O1468" s="39">
        <v>0</v>
      </c>
      <c r="P1468" s="39">
        <v>0</v>
      </c>
      <c r="Q1468" s="39">
        <v>0</v>
      </c>
      <c r="R1468" s="39">
        <v>0</v>
      </c>
      <c r="S1468" s="39">
        <v>0</v>
      </c>
      <c r="T1468" s="39">
        <v>0</v>
      </c>
      <c r="U1468" s="39">
        <v>0</v>
      </c>
      <c r="V1468" s="39">
        <v>0</v>
      </c>
      <c r="W1468" s="39">
        <v>0</v>
      </c>
      <c r="X1468" s="39">
        <v>0</v>
      </c>
      <c r="Y1468" s="39">
        <v>0</v>
      </c>
      <c r="Z1468" s="39">
        <v>0</v>
      </c>
      <c r="AA1468" s="39">
        <v>0</v>
      </c>
      <c r="AB1468" s="39">
        <v>0</v>
      </c>
      <c r="AC1468" s="39">
        <v>941.87</v>
      </c>
      <c r="AD1468" s="39">
        <v>672.18</v>
      </c>
      <c r="AE1468" s="39">
        <v>479.43</v>
      </c>
      <c r="AF1468" s="39">
        <v>0</v>
      </c>
      <c r="AG1468" s="39">
        <v>0</v>
      </c>
      <c r="AH1468" s="39">
        <v>0</v>
      </c>
      <c r="AI1468" s="39">
        <v>941.87</v>
      </c>
      <c r="AJ1468" s="39">
        <v>672.18</v>
      </c>
      <c r="AK1468" s="39">
        <v>479.43</v>
      </c>
      <c r="AL1468" s="39">
        <v>0</v>
      </c>
      <c r="AM1468" s="39">
        <v>0</v>
      </c>
      <c r="AN1468" s="39">
        <v>0</v>
      </c>
      <c r="AO1468" s="39">
        <v>941.87</v>
      </c>
      <c r="AP1468" s="39">
        <v>672.18</v>
      </c>
      <c r="AQ1468" s="39">
        <v>479.43</v>
      </c>
      <c r="AR1468" s="39">
        <v>941.87</v>
      </c>
    </row>
    <row r="1469" spans="1:44" x14ac:dyDescent="0.35">
      <c r="A1469" s="16" t="str">
        <f t="shared" si="119"/>
        <v>36</v>
      </c>
      <c r="B1469" s="19">
        <v>67678</v>
      </c>
      <c r="C1469" s="16" t="str">
        <f>TEXT(137547,"0000000")</f>
        <v>0137547</v>
      </c>
      <c r="D1469" s="19">
        <v>1945</v>
      </c>
      <c r="E1469" s="16" t="s">
        <v>1939</v>
      </c>
      <c r="F1469" s="16" t="s">
        <v>602</v>
      </c>
      <c r="G1469" s="35" t="s">
        <v>1940</v>
      </c>
      <c r="H1469" s="39">
        <v>0</v>
      </c>
      <c r="I1469" s="39">
        <v>0</v>
      </c>
      <c r="J1469" s="39">
        <v>0</v>
      </c>
      <c r="K1469" s="39">
        <v>0</v>
      </c>
      <c r="L1469" s="39">
        <v>0</v>
      </c>
      <c r="M1469" s="39">
        <v>0</v>
      </c>
      <c r="N1469" s="39">
        <v>0</v>
      </c>
      <c r="O1469" s="39">
        <v>0</v>
      </c>
      <c r="P1469" s="39">
        <v>0</v>
      </c>
      <c r="Q1469" s="39">
        <v>0</v>
      </c>
      <c r="R1469" s="39">
        <v>0</v>
      </c>
      <c r="S1469" s="39">
        <v>0</v>
      </c>
      <c r="T1469" s="39">
        <v>0</v>
      </c>
      <c r="U1469" s="39">
        <v>0</v>
      </c>
      <c r="V1469" s="39">
        <v>0</v>
      </c>
      <c r="W1469" s="39">
        <v>0</v>
      </c>
      <c r="X1469" s="39">
        <v>0</v>
      </c>
      <c r="Y1469" s="39">
        <v>0</v>
      </c>
      <c r="Z1469" s="39">
        <v>0</v>
      </c>
      <c r="AA1469" s="39">
        <v>0</v>
      </c>
      <c r="AB1469" s="39">
        <v>0</v>
      </c>
      <c r="AC1469" s="39">
        <v>899.48</v>
      </c>
      <c r="AD1469" s="39">
        <v>904.69</v>
      </c>
      <c r="AE1469" s="39">
        <v>898.44</v>
      </c>
      <c r="AF1469" s="39">
        <v>0</v>
      </c>
      <c r="AG1469" s="39">
        <v>0</v>
      </c>
      <c r="AH1469" s="39">
        <v>0</v>
      </c>
      <c r="AI1469" s="39">
        <v>899.48</v>
      </c>
      <c r="AJ1469" s="39">
        <v>904.69</v>
      </c>
      <c r="AK1469" s="39">
        <v>898.44</v>
      </c>
      <c r="AL1469" s="39">
        <v>0</v>
      </c>
      <c r="AM1469" s="39">
        <v>0</v>
      </c>
      <c r="AN1469" s="39">
        <v>0</v>
      </c>
      <c r="AO1469" s="39">
        <v>899.48</v>
      </c>
      <c r="AP1469" s="39">
        <v>904.69</v>
      </c>
      <c r="AQ1469" s="39">
        <v>898.44</v>
      </c>
      <c r="AR1469" s="39">
        <v>904.69</v>
      </c>
    </row>
    <row r="1470" spans="1:44" x14ac:dyDescent="0.35">
      <c r="A1470" s="16" t="str">
        <f t="shared" si="119"/>
        <v>36</v>
      </c>
      <c r="B1470" s="19">
        <v>67876</v>
      </c>
      <c r="C1470" s="16" t="str">
        <f>TEXT(107730,"0000000")</f>
        <v>0107730</v>
      </c>
      <c r="D1470" s="17" t="s">
        <v>1980</v>
      </c>
      <c r="E1470" s="16" t="s">
        <v>1978</v>
      </c>
      <c r="F1470" s="16" t="s">
        <v>602</v>
      </c>
      <c r="G1470" s="35" t="s">
        <v>1979</v>
      </c>
      <c r="H1470" s="39">
        <v>0</v>
      </c>
      <c r="I1470" s="39">
        <v>0</v>
      </c>
      <c r="J1470" s="39">
        <v>0</v>
      </c>
      <c r="K1470" s="39">
        <v>0</v>
      </c>
      <c r="L1470" s="39">
        <v>0</v>
      </c>
      <c r="M1470" s="39">
        <v>0</v>
      </c>
      <c r="N1470" s="39">
        <v>0</v>
      </c>
      <c r="O1470" s="39">
        <v>0</v>
      </c>
      <c r="P1470" s="39">
        <v>0</v>
      </c>
      <c r="Q1470" s="39">
        <v>0</v>
      </c>
      <c r="R1470" s="39">
        <v>0</v>
      </c>
      <c r="S1470" s="39">
        <v>0</v>
      </c>
      <c r="T1470" s="39">
        <v>0</v>
      </c>
      <c r="U1470" s="39">
        <v>0</v>
      </c>
      <c r="V1470" s="39">
        <v>0</v>
      </c>
      <c r="W1470" s="39">
        <v>0</v>
      </c>
      <c r="X1470" s="39">
        <v>0</v>
      </c>
      <c r="Y1470" s="39">
        <v>0</v>
      </c>
      <c r="Z1470" s="39">
        <v>0</v>
      </c>
      <c r="AA1470" s="39">
        <v>0</v>
      </c>
      <c r="AB1470" s="39">
        <v>0</v>
      </c>
      <c r="AC1470" s="39">
        <v>278.58</v>
      </c>
      <c r="AD1470" s="39">
        <v>284.66000000000003</v>
      </c>
      <c r="AE1470" s="39">
        <v>247.24</v>
      </c>
      <c r="AF1470" s="39">
        <v>0</v>
      </c>
      <c r="AG1470" s="39">
        <v>0</v>
      </c>
      <c r="AH1470" s="39">
        <v>0</v>
      </c>
      <c r="AI1470" s="39">
        <v>278.58</v>
      </c>
      <c r="AJ1470" s="39">
        <v>284.66000000000003</v>
      </c>
      <c r="AK1470" s="39">
        <v>247.24</v>
      </c>
      <c r="AL1470" s="39">
        <v>0</v>
      </c>
      <c r="AM1470" s="39">
        <v>0</v>
      </c>
      <c r="AN1470" s="39">
        <v>0</v>
      </c>
      <c r="AO1470" s="39">
        <v>278.58</v>
      </c>
      <c r="AP1470" s="39">
        <v>284.66000000000003</v>
      </c>
      <c r="AQ1470" s="39">
        <v>247.24</v>
      </c>
      <c r="AR1470" s="39">
        <v>284.66000000000003</v>
      </c>
    </row>
    <row r="1471" spans="1:44" x14ac:dyDescent="0.35">
      <c r="A1471" s="16" t="str">
        <f t="shared" si="119"/>
        <v>36</v>
      </c>
      <c r="B1471" s="19">
        <v>75044</v>
      </c>
      <c r="C1471" s="16" t="str">
        <f>TEXT(112441,"0000000")</f>
        <v>0112441</v>
      </c>
      <c r="D1471" s="17" t="s">
        <v>2015</v>
      </c>
      <c r="E1471" s="16" t="s">
        <v>2013</v>
      </c>
      <c r="F1471" s="16" t="s">
        <v>602</v>
      </c>
      <c r="G1471" s="35" t="s">
        <v>2014</v>
      </c>
      <c r="H1471" s="39">
        <v>0</v>
      </c>
      <c r="I1471" s="39">
        <v>0</v>
      </c>
      <c r="J1471" s="39">
        <v>0</v>
      </c>
      <c r="K1471" s="39">
        <v>0</v>
      </c>
      <c r="L1471" s="39">
        <v>0</v>
      </c>
      <c r="M1471" s="39">
        <v>0</v>
      </c>
      <c r="N1471" s="39">
        <v>0</v>
      </c>
      <c r="O1471" s="39">
        <v>0</v>
      </c>
      <c r="P1471" s="39">
        <v>0</v>
      </c>
      <c r="Q1471" s="39">
        <v>0</v>
      </c>
      <c r="R1471" s="39">
        <v>0</v>
      </c>
      <c r="S1471" s="39">
        <v>0</v>
      </c>
      <c r="T1471" s="39">
        <v>0</v>
      </c>
      <c r="U1471" s="39">
        <v>0</v>
      </c>
      <c r="V1471" s="39">
        <v>0</v>
      </c>
      <c r="W1471" s="39">
        <v>0</v>
      </c>
      <c r="X1471" s="39">
        <v>0</v>
      </c>
      <c r="Y1471" s="39">
        <v>0</v>
      </c>
      <c r="Z1471" s="39">
        <v>0</v>
      </c>
      <c r="AA1471" s="39">
        <v>0</v>
      </c>
      <c r="AB1471" s="39">
        <v>0</v>
      </c>
      <c r="AC1471" s="39">
        <v>395</v>
      </c>
      <c r="AD1471" s="39">
        <v>341.53</v>
      </c>
      <c r="AE1471" s="39">
        <v>333.98</v>
      </c>
      <c r="AF1471" s="39">
        <v>0</v>
      </c>
      <c r="AG1471" s="39">
        <v>0</v>
      </c>
      <c r="AH1471" s="39">
        <v>0</v>
      </c>
      <c r="AI1471" s="39">
        <v>395</v>
      </c>
      <c r="AJ1471" s="39">
        <v>341.53</v>
      </c>
      <c r="AK1471" s="39">
        <v>333.98</v>
      </c>
      <c r="AL1471" s="39">
        <v>0</v>
      </c>
      <c r="AM1471" s="39">
        <v>0</v>
      </c>
      <c r="AN1471" s="39">
        <v>0</v>
      </c>
      <c r="AO1471" s="39">
        <v>395</v>
      </c>
      <c r="AP1471" s="39">
        <v>341.53</v>
      </c>
      <c r="AQ1471" s="39">
        <v>333.98</v>
      </c>
      <c r="AR1471" s="39">
        <v>395</v>
      </c>
    </row>
    <row r="1472" spans="1:44" ht="31" x14ac:dyDescent="0.35">
      <c r="A1472" s="16" t="str">
        <f t="shared" si="119"/>
        <v>36</v>
      </c>
      <c r="B1472" s="19">
        <v>75044</v>
      </c>
      <c r="C1472" s="16" t="str">
        <f>TEXT(116707,"0000000")</f>
        <v>0116707</v>
      </c>
      <c r="D1472" s="17" t="s">
        <v>2021</v>
      </c>
      <c r="E1472" s="16" t="s">
        <v>2019</v>
      </c>
      <c r="F1472" s="16" t="s">
        <v>602</v>
      </c>
      <c r="G1472" s="35" t="s">
        <v>2020</v>
      </c>
      <c r="H1472" s="39">
        <v>0</v>
      </c>
      <c r="I1472" s="39">
        <v>0</v>
      </c>
      <c r="J1472" s="39">
        <v>0</v>
      </c>
      <c r="K1472" s="39">
        <v>0</v>
      </c>
      <c r="L1472" s="39">
        <v>0</v>
      </c>
      <c r="M1472" s="39">
        <v>0</v>
      </c>
      <c r="N1472" s="39">
        <v>0</v>
      </c>
      <c r="O1472" s="39">
        <v>0</v>
      </c>
      <c r="P1472" s="39">
        <v>0</v>
      </c>
      <c r="Q1472" s="39">
        <v>0</v>
      </c>
      <c r="R1472" s="39">
        <v>0</v>
      </c>
      <c r="S1472" s="39">
        <v>0</v>
      </c>
      <c r="T1472" s="39">
        <v>0</v>
      </c>
      <c r="U1472" s="39">
        <v>0</v>
      </c>
      <c r="V1472" s="39">
        <v>0</v>
      </c>
      <c r="W1472" s="39">
        <v>0</v>
      </c>
      <c r="X1472" s="39">
        <v>0</v>
      </c>
      <c r="Y1472" s="39">
        <v>0</v>
      </c>
      <c r="Z1472" s="39">
        <v>0</v>
      </c>
      <c r="AA1472" s="39">
        <v>0</v>
      </c>
      <c r="AB1472" s="39">
        <v>0</v>
      </c>
      <c r="AC1472" s="39">
        <v>208.07</v>
      </c>
      <c r="AD1472" s="39">
        <v>481.66</v>
      </c>
      <c r="AE1472" s="39">
        <v>581.89</v>
      </c>
      <c r="AF1472" s="39">
        <v>0</v>
      </c>
      <c r="AG1472" s="39">
        <v>0</v>
      </c>
      <c r="AH1472" s="39">
        <v>0</v>
      </c>
      <c r="AI1472" s="39">
        <v>208.07</v>
      </c>
      <c r="AJ1472" s="39">
        <v>481.66</v>
      </c>
      <c r="AK1472" s="39">
        <v>581.89</v>
      </c>
      <c r="AL1472" s="39">
        <v>0</v>
      </c>
      <c r="AM1472" s="39">
        <v>0</v>
      </c>
      <c r="AN1472" s="39">
        <v>0</v>
      </c>
      <c r="AO1472" s="39">
        <v>208.07</v>
      </c>
      <c r="AP1472" s="39">
        <v>481.66</v>
      </c>
      <c r="AQ1472" s="39">
        <v>581.89</v>
      </c>
      <c r="AR1472" s="39">
        <v>581.89</v>
      </c>
    </row>
    <row r="1473" spans="1:44" x14ac:dyDescent="0.35">
      <c r="A1473" s="16" t="str">
        <f t="shared" si="119"/>
        <v>36</v>
      </c>
      <c r="B1473" s="19">
        <v>75044</v>
      </c>
      <c r="C1473" s="16" t="str">
        <f>TEXT(118059,"0000000")</f>
        <v>0118059</v>
      </c>
      <c r="D1473" s="19">
        <v>1034</v>
      </c>
      <c r="E1473" s="16" t="s">
        <v>2022</v>
      </c>
      <c r="F1473" s="16" t="s">
        <v>602</v>
      </c>
      <c r="G1473" s="35" t="s">
        <v>2023</v>
      </c>
      <c r="H1473" s="39">
        <v>0</v>
      </c>
      <c r="I1473" s="39">
        <v>0</v>
      </c>
      <c r="J1473" s="39">
        <v>0</v>
      </c>
      <c r="K1473" s="39">
        <v>0</v>
      </c>
      <c r="L1473" s="39">
        <v>0</v>
      </c>
      <c r="M1473" s="39">
        <v>0</v>
      </c>
      <c r="N1473" s="39">
        <v>0</v>
      </c>
      <c r="O1473" s="39">
        <v>0</v>
      </c>
      <c r="P1473" s="39">
        <v>0</v>
      </c>
      <c r="Q1473" s="39">
        <v>0</v>
      </c>
      <c r="R1473" s="39">
        <v>0</v>
      </c>
      <c r="S1473" s="39">
        <v>0</v>
      </c>
      <c r="T1473" s="39">
        <v>0</v>
      </c>
      <c r="U1473" s="39">
        <v>0</v>
      </c>
      <c r="V1473" s="39">
        <v>0</v>
      </c>
      <c r="W1473" s="39">
        <v>0</v>
      </c>
      <c r="X1473" s="39">
        <v>0</v>
      </c>
      <c r="Y1473" s="39">
        <v>0</v>
      </c>
      <c r="Z1473" s="39">
        <v>0</v>
      </c>
      <c r="AA1473" s="39">
        <v>0</v>
      </c>
      <c r="AB1473" s="39">
        <v>0</v>
      </c>
      <c r="AC1473" s="39">
        <v>490.55</v>
      </c>
      <c r="AD1473" s="39">
        <v>520.83000000000004</v>
      </c>
      <c r="AE1473" s="39">
        <v>507.28</v>
      </c>
      <c r="AF1473" s="39">
        <v>0</v>
      </c>
      <c r="AG1473" s="39">
        <v>0</v>
      </c>
      <c r="AH1473" s="39">
        <v>0</v>
      </c>
      <c r="AI1473" s="39">
        <v>490.55</v>
      </c>
      <c r="AJ1473" s="39">
        <v>520.83000000000004</v>
      </c>
      <c r="AK1473" s="39">
        <v>507.28</v>
      </c>
      <c r="AL1473" s="39">
        <v>0</v>
      </c>
      <c r="AM1473" s="39">
        <v>0</v>
      </c>
      <c r="AN1473" s="39">
        <v>0</v>
      </c>
      <c r="AO1473" s="39">
        <v>490.55</v>
      </c>
      <c r="AP1473" s="39">
        <v>520.83000000000004</v>
      </c>
      <c r="AQ1473" s="39">
        <v>507.28</v>
      </c>
      <c r="AR1473" s="39">
        <v>520.83000000000004</v>
      </c>
    </row>
    <row r="1474" spans="1:44" x14ac:dyDescent="0.35">
      <c r="A1474" s="16" t="str">
        <f t="shared" si="119"/>
        <v>36</v>
      </c>
      <c r="B1474" s="19">
        <v>75051</v>
      </c>
      <c r="C1474" s="16" t="str">
        <f>TEXT(138107,"0000000")</f>
        <v>0138107</v>
      </c>
      <c r="D1474" s="19">
        <v>1975</v>
      </c>
      <c r="E1474" s="16" t="s">
        <v>2035</v>
      </c>
      <c r="F1474" s="16" t="s">
        <v>602</v>
      </c>
      <c r="G1474" s="35" t="s">
        <v>2036</v>
      </c>
      <c r="H1474" s="39">
        <v>0</v>
      </c>
      <c r="I1474" s="39">
        <v>0</v>
      </c>
      <c r="J1474" s="39">
        <v>0</v>
      </c>
      <c r="K1474" s="39">
        <v>0</v>
      </c>
      <c r="L1474" s="39">
        <v>0</v>
      </c>
      <c r="M1474" s="39">
        <v>0</v>
      </c>
      <c r="N1474" s="39">
        <v>0</v>
      </c>
      <c r="O1474" s="39">
        <v>0</v>
      </c>
      <c r="P1474" s="39">
        <v>0</v>
      </c>
      <c r="Q1474" s="39">
        <v>0</v>
      </c>
      <c r="R1474" s="39">
        <v>0</v>
      </c>
      <c r="S1474" s="39">
        <v>0</v>
      </c>
      <c r="T1474" s="39">
        <v>0</v>
      </c>
      <c r="U1474" s="39">
        <v>0</v>
      </c>
      <c r="V1474" s="39">
        <v>0</v>
      </c>
      <c r="W1474" s="39">
        <v>0</v>
      </c>
      <c r="X1474" s="39">
        <v>0</v>
      </c>
      <c r="Y1474" s="39">
        <v>0</v>
      </c>
      <c r="Z1474" s="39">
        <v>0</v>
      </c>
      <c r="AA1474" s="39">
        <v>0</v>
      </c>
      <c r="AB1474" s="39">
        <v>0</v>
      </c>
      <c r="AC1474" s="39">
        <v>468.12</v>
      </c>
      <c r="AD1474" s="39">
        <v>544</v>
      </c>
      <c r="AE1474" s="39">
        <v>586.92999999999995</v>
      </c>
      <c r="AF1474" s="39">
        <v>0</v>
      </c>
      <c r="AG1474" s="39">
        <v>0</v>
      </c>
      <c r="AH1474" s="39">
        <v>0</v>
      </c>
      <c r="AI1474" s="39">
        <v>468.12</v>
      </c>
      <c r="AJ1474" s="39">
        <v>544</v>
      </c>
      <c r="AK1474" s="39">
        <v>586.92999999999995</v>
      </c>
      <c r="AL1474" s="39">
        <v>0</v>
      </c>
      <c r="AM1474" s="39">
        <v>0</v>
      </c>
      <c r="AN1474" s="39">
        <v>0</v>
      </c>
      <c r="AO1474" s="39">
        <v>468.12</v>
      </c>
      <c r="AP1474" s="39">
        <v>544</v>
      </c>
      <c r="AQ1474" s="39">
        <v>586.92999999999995</v>
      </c>
      <c r="AR1474" s="39">
        <v>586.92999999999995</v>
      </c>
    </row>
    <row r="1475" spans="1:44" x14ac:dyDescent="0.35">
      <c r="A1475" s="16" t="str">
        <f>TEXT(37,"00")</f>
        <v>37</v>
      </c>
      <c r="B1475" s="19">
        <v>68023</v>
      </c>
      <c r="C1475" s="16" t="str">
        <f>TEXT(119594,"0000000")</f>
        <v>0119594</v>
      </c>
      <c r="D1475" s="19">
        <v>1082</v>
      </c>
      <c r="E1475" s="16" t="s">
        <v>2090</v>
      </c>
      <c r="F1475" s="16" t="s">
        <v>602</v>
      </c>
      <c r="G1475" s="35" t="s">
        <v>2091</v>
      </c>
      <c r="H1475" s="39">
        <v>0</v>
      </c>
      <c r="I1475" s="39">
        <v>0</v>
      </c>
      <c r="J1475" s="39">
        <v>0</v>
      </c>
      <c r="K1475" s="39">
        <v>0</v>
      </c>
      <c r="L1475" s="39">
        <v>0</v>
      </c>
      <c r="M1475" s="39">
        <v>0</v>
      </c>
      <c r="N1475" s="39">
        <v>0</v>
      </c>
      <c r="O1475" s="39">
        <v>0</v>
      </c>
      <c r="P1475" s="39">
        <v>0</v>
      </c>
      <c r="Q1475" s="39">
        <v>0</v>
      </c>
      <c r="R1475" s="39">
        <v>0</v>
      </c>
      <c r="S1475" s="39">
        <v>0</v>
      </c>
      <c r="T1475" s="39">
        <v>0</v>
      </c>
      <c r="U1475" s="39">
        <v>0</v>
      </c>
      <c r="V1475" s="39">
        <v>0</v>
      </c>
      <c r="W1475" s="39">
        <v>0</v>
      </c>
      <c r="X1475" s="39">
        <v>0</v>
      </c>
      <c r="Y1475" s="39">
        <v>0</v>
      </c>
      <c r="Z1475" s="39">
        <v>0</v>
      </c>
      <c r="AA1475" s="39">
        <v>0</v>
      </c>
      <c r="AB1475" s="39">
        <v>0</v>
      </c>
      <c r="AC1475" s="39">
        <v>253.9</v>
      </c>
      <c r="AD1475" s="39">
        <v>242.69</v>
      </c>
      <c r="AE1475" s="39">
        <v>234.62</v>
      </c>
      <c r="AF1475" s="39">
        <v>0</v>
      </c>
      <c r="AG1475" s="39">
        <v>0</v>
      </c>
      <c r="AH1475" s="39">
        <v>0</v>
      </c>
      <c r="AI1475" s="39">
        <v>253.9</v>
      </c>
      <c r="AJ1475" s="39">
        <v>242.69</v>
      </c>
      <c r="AK1475" s="39">
        <v>234.62</v>
      </c>
      <c r="AL1475" s="39">
        <v>0</v>
      </c>
      <c r="AM1475" s="39">
        <v>0</v>
      </c>
      <c r="AN1475" s="39">
        <v>0</v>
      </c>
      <c r="AO1475" s="39">
        <v>253.9</v>
      </c>
      <c r="AP1475" s="39">
        <v>242.69</v>
      </c>
      <c r="AQ1475" s="39">
        <v>234.62</v>
      </c>
      <c r="AR1475" s="39">
        <v>253.9</v>
      </c>
    </row>
    <row r="1476" spans="1:44" x14ac:dyDescent="0.35">
      <c r="A1476" s="16" t="str">
        <f>TEXT(36,"00")</f>
        <v>36</v>
      </c>
      <c r="B1476" s="19">
        <v>67710</v>
      </c>
      <c r="C1476" s="16" t="str">
        <f>TEXT(141952,"0000000")</f>
        <v>0141952</v>
      </c>
      <c r="D1476" s="19">
        <v>2130</v>
      </c>
      <c r="E1476" s="16" t="s">
        <v>3533</v>
      </c>
      <c r="F1476" s="16" t="s">
        <v>602</v>
      </c>
      <c r="G1476" s="35" t="s">
        <v>3534</v>
      </c>
      <c r="H1476" s="39">
        <v>0</v>
      </c>
      <c r="I1476" s="39">
        <v>0</v>
      </c>
      <c r="J1476" s="39">
        <v>0</v>
      </c>
      <c r="K1476" s="39">
        <v>0</v>
      </c>
      <c r="L1476" s="39">
        <v>0</v>
      </c>
      <c r="M1476" s="39">
        <v>0</v>
      </c>
      <c r="N1476" s="39">
        <v>0</v>
      </c>
      <c r="O1476" s="39">
        <v>0</v>
      </c>
      <c r="P1476" s="39">
        <v>0</v>
      </c>
      <c r="Q1476" s="39">
        <v>0</v>
      </c>
      <c r="R1476" s="39">
        <v>0</v>
      </c>
      <c r="S1476" s="39">
        <v>0</v>
      </c>
      <c r="T1476" s="39">
        <v>0</v>
      </c>
      <c r="U1476" s="39">
        <v>0</v>
      </c>
      <c r="V1476" s="39">
        <v>0</v>
      </c>
      <c r="W1476" s="39">
        <v>0</v>
      </c>
      <c r="X1476" s="39">
        <v>0</v>
      </c>
      <c r="Y1476" s="39">
        <v>0</v>
      </c>
      <c r="Z1476" s="39">
        <v>0</v>
      </c>
      <c r="AA1476" s="39">
        <v>0</v>
      </c>
      <c r="AB1476" s="39">
        <v>0</v>
      </c>
      <c r="AC1476" s="39">
        <v>236.84</v>
      </c>
      <c r="AD1476" s="39">
        <v>194.76</v>
      </c>
      <c r="AE1476" s="39">
        <v>0</v>
      </c>
      <c r="AF1476" s="39">
        <v>0</v>
      </c>
      <c r="AG1476" s="39">
        <v>0</v>
      </c>
      <c r="AH1476" s="39">
        <v>0</v>
      </c>
      <c r="AI1476" s="39">
        <v>236.84</v>
      </c>
      <c r="AJ1476" s="39">
        <v>194.76</v>
      </c>
      <c r="AK1476" s="39">
        <v>0</v>
      </c>
      <c r="AL1476" s="39">
        <v>0</v>
      </c>
      <c r="AM1476" s="39">
        <v>0</v>
      </c>
      <c r="AN1476" s="39">
        <v>0</v>
      </c>
      <c r="AO1476" s="39">
        <v>236.84</v>
      </c>
      <c r="AP1476" s="39">
        <v>194.76</v>
      </c>
      <c r="AQ1476" s="39">
        <v>0</v>
      </c>
      <c r="AR1476" s="39">
        <v>236.84</v>
      </c>
    </row>
    <row r="1477" spans="1:44" x14ac:dyDescent="0.35">
      <c r="A1477" s="16" t="str">
        <f>TEXT(36,"00")</f>
        <v>36</v>
      </c>
      <c r="B1477" s="19">
        <v>67934</v>
      </c>
      <c r="C1477" s="16" t="str">
        <f>TEXT(3630670,"0000000")</f>
        <v>3630670</v>
      </c>
      <c r="D1477" s="17" t="s">
        <v>3584</v>
      </c>
      <c r="E1477" s="16" t="s">
        <v>3582</v>
      </c>
      <c r="F1477" s="16" t="s">
        <v>602</v>
      </c>
      <c r="G1477" s="35" t="s">
        <v>3583</v>
      </c>
      <c r="H1477" s="39">
        <v>0</v>
      </c>
      <c r="I1477" s="39">
        <v>0</v>
      </c>
      <c r="J1477" s="39">
        <v>0</v>
      </c>
      <c r="K1477" s="39">
        <v>0</v>
      </c>
      <c r="L1477" s="39">
        <v>0</v>
      </c>
      <c r="M1477" s="39">
        <v>0</v>
      </c>
      <c r="N1477" s="39">
        <v>0</v>
      </c>
      <c r="O1477" s="39">
        <v>0</v>
      </c>
      <c r="P1477" s="39">
        <v>0</v>
      </c>
      <c r="Q1477" s="39">
        <v>0</v>
      </c>
      <c r="R1477" s="39">
        <v>0</v>
      </c>
      <c r="S1477" s="39">
        <v>0</v>
      </c>
      <c r="T1477" s="39">
        <v>0</v>
      </c>
      <c r="U1477" s="39">
        <v>0</v>
      </c>
      <c r="V1477" s="39">
        <v>0</v>
      </c>
      <c r="W1477" s="39">
        <v>0</v>
      </c>
      <c r="X1477" s="39">
        <v>0</v>
      </c>
      <c r="Y1477" s="39">
        <v>0</v>
      </c>
      <c r="Z1477" s="39">
        <v>0</v>
      </c>
      <c r="AA1477" s="39">
        <v>0</v>
      </c>
      <c r="AB1477" s="39">
        <v>0</v>
      </c>
      <c r="AC1477" s="39">
        <v>1076.9000000000001</v>
      </c>
      <c r="AD1477" s="39">
        <v>0</v>
      </c>
      <c r="AE1477" s="39">
        <v>0</v>
      </c>
      <c r="AF1477" s="39">
        <v>0</v>
      </c>
      <c r="AG1477" s="39">
        <v>0</v>
      </c>
      <c r="AH1477" s="39">
        <v>0</v>
      </c>
      <c r="AI1477" s="39">
        <v>1076.9000000000001</v>
      </c>
      <c r="AJ1477" s="39">
        <v>0</v>
      </c>
      <c r="AK1477" s="39">
        <v>0</v>
      </c>
      <c r="AL1477" s="39">
        <v>0</v>
      </c>
      <c r="AM1477" s="39">
        <v>952.37</v>
      </c>
      <c r="AN1477" s="39">
        <v>822.65</v>
      </c>
      <c r="AO1477" s="39">
        <v>1076.9000000000001</v>
      </c>
      <c r="AP1477" s="39">
        <v>952.37</v>
      </c>
      <c r="AQ1477" s="39">
        <v>822.65</v>
      </c>
      <c r="AR1477" s="39">
        <v>1076.9000000000001</v>
      </c>
    </row>
    <row r="1478" spans="1:44" ht="31" x14ac:dyDescent="0.35">
      <c r="A1478" s="16" t="str">
        <f>TEXT(36,"00")</f>
        <v>36</v>
      </c>
      <c r="B1478" s="19">
        <v>67876</v>
      </c>
      <c r="C1478" s="16" t="str">
        <f>TEXT(133892,"0000000")</f>
        <v>0133892</v>
      </c>
      <c r="D1478" s="19">
        <v>1795</v>
      </c>
      <c r="E1478" s="16" t="s">
        <v>3580</v>
      </c>
      <c r="F1478" s="16" t="s">
        <v>602</v>
      </c>
      <c r="G1478" s="35" t="s">
        <v>3581</v>
      </c>
      <c r="H1478" s="39">
        <v>0</v>
      </c>
      <c r="I1478" s="39">
        <v>0</v>
      </c>
      <c r="J1478" s="39">
        <v>0</v>
      </c>
      <c r="K1478" s="39">
        <v>0</v>
      </c>
      <c r="L1478" s="39">
        <v>0</v>
      </c>
      <c r="M1478" s="39">
        <v>0</v>
      </c>
      <c r="N1478" s="39">
        <v>0</v>
      </c>
      <c r="O1478" s="39">
        <v>0</v>
      </c>
      <c r="P1478" s="39">
        <v>0</v>
      </c>
      <c r="Q1478" s="39">
        <v>0</v>
      </c>
      <c r="R1478" s="39">
        <v>0</v>
      </c>
      <c r="S1478" s="39">
        <v>0</v>
      </c>
      <c r="T1478" s="39">
        <v>0</v>
      </c>
      <c r="U1478" s="39">
        <v>0</v>
      </c>
      <c r="V1478" s="39">
        <v>0</v>
      </c>
      <c r="W1478" s="39">
        <v>0</v>
      </c>
      <c r="X1478" s="39">
        <v>0</v>
      </c>
      <c r="Y1478" s="39">
        <v>0</v>
      </c>
      <c r="Z1478" s="39">
        <v>0</v>
      </c>
      <c r="AA1478" s="39">
        <v>0</v>
      </c>
      <c r="AB1478" s="39">
        <v>0</v>
      </c>
      <c r="AC1478" s="39">
        <v>139.16999999999999</v>
      </c>
      <c r="AD1478" s="39">
        <v>0</v>
      </c>
      <c r="AE1478" s="39">
        <v>0</v>
      </c>
      <c r="AF1478" s="39">
        <v>0</v>
      </c>
      <c r="AG1478" s="39">
        <v>0</v>
      </c>
      <c r="AH1478" s="39">
        <v>0</v>
      </c>
      <c r="AI1478" s="39">
        <v>139.16999999999999</v>
      </c>
      <c r="AJ1478" s="39">
        <v>0</v>
      </c>
      <c r="AK1478" s="39">
        <v>0</v>
      </c>
      <c r="AL1478" s="39">
        <v>0</v>
      </c>
      <c r="AM1478" s="39">
        <v>141.46</v>
      </c>
      <c r="AN1478" s="39">
        <v>141.04</v>
      </c>
      <c r="AO1478" s="39">
        <v>139.16999999999999</v>
      </c>
      <c r="AP1478" s="39">
        <v>141.46</v>
      </c>
      <c r="AQ1478" s="39">
        <v>141.04</v>
      </c>
      <c r="AR1478" s="39">
        <v>141.46</v>
      </c>
    </row>
    <row r="1479" spans="1:44" x14ac:dyDescent="0.35">
      <c r="A1479" s="16" t="str">
        <f t="shared" ref="A1479:A1490" si="120">TEXT(35,"00")</f>
        <v>35</v>
      </c>
      <c r="B1479" s="19">
        <v>10355</v>
      </c>
      <c r="C1479" s="16" t="str">
        <f t="shared" ref="C1479:C1501" si="121">TEXT(,"0000000")</f>
        <v>0000000</v>
      </c>
      <c r="D1479" s="17" t="s">
        <v>3663</v>
      </c>
      <c r="E1479" s="16" t="s">
        <v>1882</v>
      </c>
      <c r="F1479" s="16" t="s">
        <v>1883</v>
      </c>
      <c r="G1479" s="35" t="s">
        <v>1883</v>
      </c>
      <c r="H1479" s="39">
        <v>0</v>
      </c>
      <c r="I1479" s="39">
        <v>0</v>
      </c>
      <c r="J1479" s="39">
        <v>0</v>
      </c>
      <c r="K1479" s="39">
        <v>0</v>
      </c>
      <c r="L1479" s="39">
        <v>0</v>
      </c>
      <c r="M1479" s="39">
        <v>0</v>
      </c>
      <c r="N1479" s="39">
        <v>0</v>
      </c>
      <c r="O1479" s="39">
        <v>0</v>
      </c>
      <c r="P1479" s="39">
        <v>0</v>
      </c>
      <c r="Q1479" s="39">
        <v>0</v>
      </c>
      <c r="R1479" s="39">
        <v>0</v>
      </c>
      <c r="S1479" s="39">
        <v>0</v>
      </c>
      <c r="T1479" s="39">
        <v>18.079999999999998</v>
      </c>
      <c r="U1479" s="39">
        <v>19.260000000000002</v>
      </c>
      <c r="V1479" s="39">
        <v>14.6</v>
      </c>
      <c r="W1479" s="39">
        <v>26.69</v>
      </c>
      <c r="X1479" s="39">
        <v>23.56</v>
      </c>
      <c r="Y1479" s="39">
        <v>18.309999999999999</v>
      </c>
      <c r="Z1479" s="39">
        <v>0</v>
      </c>
      <c r="AA1479" s="39">
        <v>0</v>
      </c>
      <c r="AB1479" s="39">
        <v>0</v>
      </c>
      <c r="AC1479" s="39">
        <v>0</v>
      </c>
      <c r="AD1479" s="39">
        <v>0</v>
      </c>
      <c r="AE1479" s="39">
        <v>0</v>
      </c>
      <c r="AF1479" s="39">
        <v>0</v>
      </c>
      <c r="AG1479" s="39">
        <v>0</v>
      </c>
      <c r="AH1479" s="39">
        <v>0</v>
      </c>
      <c r="AI1479" s="39">
        <v>44.77</v>
      </c>
      <c r="AJ1479" s="39">
        <v>42.82</v>
      </c>
      <c r="AK1479" s="39">
        <v>32.909999999999997</v>
      </c>
      <c r="AL1479" s="39">
        <v>0</v>
      </c>
      <c r="AM1479" s="39">
        <v>0</v>
      </c>
      <c r="AN1479" s="39">
        <v>0</v>
      </c>
      <c r="AO1479" s="39">
        <v>44.77</v>
      </c>
      <c r="AP1479" s="39">
        <v>42.82</v>
      </c>
      <c r="AQ1479" s="39">
        <v>32.909999999999997</v>
      </c>
      <c r="AR1479" s="39">
        <v>44.77</v>
      </c>
    </row>
    <row r="1480" spans="1:44" x14ac:dyDescent="0.35">
      <c r="A1480" s="16" t="str">
        <f t="shared" si="120"/>
        <v>35</v>
      </c>
      <c r="B1480" s="19">
        <v>75259</v>
      </c>
      <c r="C1480" s="16" t="str">
        <f t="shared" si="121"/>
        <v>0000000</v>
      </c>
      <c r="D1480" s="17" t="s">
        <v>3663</v>
      </c>
      <c r="E1480" s="16" t="s">
        <v>1906</v>
      </c>
      <c r="F1480" s="16" t="s">
        <v>1883</v>
      </c>
      <c r="G1480" s="35" t="s">
        <v>1907</v>
      </c>
      <c r="H1480" s="39">
        <v>906.14</v>
      </c>
      <c r="I1480" s="39">
        <v>894.62</v>
      </c>
      <c r="J1480" s="39">
        <v>889.38</v>
      </c>
      <c r="K1480" s="39">
        <v>0</v>
      </c>
      <c r="L1480" s="39">
        <v>0</v>
      </c>
      <c r="M1480" s="39">
        <v>0</v>
      </c>
      <c r="N1480" s="39">
        <v>0</v>
      </c>
      <c r="O1480" s="39">
        <v>0</v>
      </c>
      <c r="P1480" s="39">
        <v>0</v>
      </c>
      <c r="Q1480" s="39">
        <v>0</v>
      </c>
      <c r="R1480" s="39">
        <v>0</v>
      </c>
      <c r="S1480" s="39">
        <v>0</v>
      </c>
      <c r="T1480" s="39">
        <v>0</v>
      </c>
      <c r="U1480" s="39">
        <v>0</v>
      </c>
      <c r="V1480" s="39">
        <v>0</v>
      </c>
      <c r="W1480" s="39">
        <v>0</v>
      </c>
      <c r="X1480" s="39">
        <v>0</v>
      </c>
      <c r="Y1480" s="39">
        <v>0</v>
      </c>
      <c r="Z1480" s="39">
        <v>0</v>
      </c>
      <c r="AA1480" s="39">
        <v>0</v>
      </c>
      <c r="AB1480" s="39">
        <v>0</v>
      </c>
      <c r="AC1480" s="39">
        <v>0</v>
      </c>
      <c r="AD1480" s="39">
        <v>0</v>
      </c>
      <c r="AE1480" s="39">
        <v>0</v>
      </c>
      <c r="AF1480" s="39">
        <v>0</v>
      </c>
      <c r="AG1480" s="39">
        <v>0</v>
      </c>
      <c r="AH1480" s="39">
        <v>0</v>
      </c>
      <c r="AI1480" s="39">
        <v>906.14</v>
      </c>
      <c r="AJ1480" s="39">
        <v>894.62</v>
      </c>
      <c r="AK1480" s="39">
        <v>889.38</v>
      </c>
      <c r="AL1480" s="39">
        <v>0</v>
      </c>
      <c r="AM1480" s="39">
        <v>0</v>
      </c>
      <c r="AN1480" s="39">
        <v>0</v>
      </c>
      <c r="AO1480" s="39">
        <v>906.14</v>
      </c>
      <c r="AP1480" s="39">
        <v>894.62</v>
      </c>
      <c r="AQ1480" s="39">
        <v>889.38</v>
      </c>
      <c r="AR1480" s="39">
        <v>906.14</v>
      </c>
    </row>
    <row r="1481" spans="1:44" x14ac:dyDescent="0.35">
      <c r="A1481" s="16" t="str">
        <f t="shared" si="120"/>
        <v>35</v>
      </c>
      <c r="B1481" s="19">
        <v>67470</v>
      </c>
      <c r="C1481" s="16" t="str">
        <f t="shared" si="121"/>
        <v>0000000</v>
      </c>
      <c r="D1481" s="17" t="s">
        <v>3663</v>
      </c>
      <c r="E1481" s="16" t="s">
        <v>1888</v>
      </c>
      <c r="F1481" s="16" t="s">
        <v>1883</v>
      </c>
      <c r="G1481" s="35" t="s">
        <v>1889</v>
      </c>
      <c r="H1481" s="39">
        <v>5547.04</v>
      </c>
      <c r="I1481" s="39">
        <v>5386.85</v>
      </c>
      <c r="J1481" s="39">
        <v>5200.9399999999996</v>
      </c>
      <c r="K1481" s="39">
        <v>0</v>
      </c>
      <c r="L1481" s="39">
        <v>0</v>
      </c>
      <c r="M1481" s="39">
        <v>0</v>
      </c>
      <c r="N1481" s="39">
        <v>0</v>
      </c>
      <c r="O1481" s="39">
        <v>0</v>
      </c>
      <c r="P1481" s="39">
        <v>0</v>
      </c>
      <c r="Q1481" s="39">
        <v>0</v>
      </c>
      <c r="R1481" s="39">
        <v>0</v>
      </c>
      <c r="S1481" s="39">
        <v>0</v>
      </c>
      <c r="T1481" s="39">
        <v>0</v>
      </c>
      <c r="U1481" s="39">
        <v>0</v>
      </c>
      <c r="V1481" s="39">
        <v>0</v>
      </c>
      <c r="W1481" s="39">
        <v>0</v>
      </c>
      <c r="X1481" s="39">
        <v>0</v>
      </c>
      <c r="Y1481" s="39">
        <v>0</v>
      </c>
      <c r="Z1481" s="39">
        <v>0</v>
      </c>
      <c r="AA1481" s="39">
        <v>0</v>
      </c>
      <c r="AB1481" s="39">
        <v>0</v>
      </c>
      <c r="AC1481" s="39">
        <v>0</v>
      </c>
      <c r="AD1481" s="39">
        <v>0</v>
      </c>
      <c r="AE1481" s="39">
        <v>0</v>
      </c>
      <c r="AF1481" s="39">
        <v>0</v>
      </c>
      <c r="AG1481" s="39">
        <v>0</v>
      </c>
      <c r="AH1481" s="39">
        <v>0</v>
      </c>
      <c r="AI1481" s="39">
        <v>5547.04</v>
      </c>
      <c r="AJ1481" s="39">
        <v>5386.85</v>
      </c>
      <c r="AK1481" s="39">
        <v>5200.9399999999996</v>
      </c>
      <c r="AL1481" s="39">
        <v>0</v>
      </c>
      <c r="AM1481" s="39">
        <v>0</v>
      </c>
      <c r="AN1481" s="39">
        <v>0</v>
      </c>
      <c r="AO1481" s="39">
        <v>5547.04</v>
      </c>
      <c r="AP1481" s="39">
        <v>5386.85</v>
      </c>
      <c r="AQ1481" s="39">
        <v>5200.9399999999996</v>
      </c>
      <c r="AR1481" s="39">
        <v>5547.04</v>
      </c>
    </row>
    <row r="1482" spans="1:44" x14ac:dyDescent="0.35">
      <c r="A1482" s="16" t="str">
        <f t="shared" si="120"/>
        <v>35</v>
      </c>
      <c r="B1482" s="19">
        <v>67504</v>
      </c>
      <c r="C1482" s="16" t="str">
        <f t="shared" si="121"/>
        <v>0000000</v>
      </c>
      <c r="D1482" s="17" t="s">
        <v>3663</v>
      </c>
      <c r="E1482" s="16" t="s">
        <v>1894</v>
      </c>
      <c r="F1482" s="16" t="s">
        <v>1883</v>
      </c>
      <c r="G1482" s="35" t="s">
        <v>1895</v>
      </c>
      <c r="H1482" s="39">
        <v>732.74</v>
      </c>
      <c r="I1482" s="39">
        <v>718.81</v>
      </c>
      <c r="J1482" s="39">
        <v>698.15</v>
      </c>
      <c r="K1482" s="39">
        <v>0</v>
      </c>
      <c r="L1482" s="39">
        <v>0</v>
      </c>
      <c r="M1482" s="39">
        <v>0</v>
      </c>
      <c r="N1482" s="39">
        <v>0</v>
      </c>
      <c r="O1482" s="39">
        <v>0</v>
      </c>
      <c r="P1482" s="39">
        <v>0</v>
      </c>
      <c r="Q1482" s="39">
        <v>0</v>
      </c>
      <c r="R1482" s="39">
        <v>0</v>
      </c>
      <c r="S1482" s="39">
        <v>0</v>
      </c>
      <c r="T1482" s="39">
        <v>0</v>
      </c>
      <c r="U1482" s="39">
        <v>0</v>
      </c>
      <c r="V1482" s="39">
        <v>0</v>
      </c>
      <c r="W1482" s="39">
        <v>0</v>
      </c>
      <c r="X1482" s="39">
        <v>0</v>
      </c>
      <c r="Y1482" s="39">
        <v>0</v>
      </c>
      <c r="Z1482" s="39">
        <v>0</v>
      </c>
      <c r="AA1482" s="39">
        <v>0</v>
      </c>
      <c r="AB1482" s="39">
        <v>0</v>
      </c>
      <c r="AC1482" s="39">
        <v>0</v>
      </c>
      <c r="AD1482" s="39">
        <v>0</v>
      </c>
      <c r="AE1482" s="39">
        <v>0</v>
      </c>
      <c r="AF1482" s="39">
        <v>0</v>
      </c>
      <c r="AG1482" s="39">
        <v>0</v>
      </c>
      <c r="AH1482" s="39">
        <v>0</v>
      </c>
      <c r="AI1482" s="39">
        <v>732.74</v>
      </c>
      <c r="AJ1482" s="39">
        <v>718.81</v>
      </c>
      <c r="AK1482" s="39">
        <v>698.15</v>
      </c>
      <c r="AL1482" s="39">
        <v>0</v>
      </c>
      <c r="AM1482" s="39">
        <v>0</v>
      </c>
      <c r="AN1482" s="39">
        <v>0</v>
      </c>
      <c r="AO1482" s="39">
        <v>732.74</v>
      </c>
      <c r="AP1482" s="39">
        <v>718.81</v>
      </c>
      <c r="AQ1482" s="39">
        <v>698.15</v>
      </c>
      <c r="AR1482" s="39">
        <v>732.74</v>
      </c>
    </row>
    <row r="1483" spans="1:44" x14ac:dyDescent="0.35">
      <c r="A1483" s="16" t="str">
        <f t="shared" si="120"/>
        <v>35</v>
      </c>
      <c r="B1483" s="19">
        <v>67538</v>
      </c>
      <c r="C1483" s="16" t="str">
        <f t="shared" si="121"/>
        <v>0000000</v>
      </c>
      <c r="D1483" s="17" t="s">
        <v>3663</v>
      </c>
      <c r="E1483" s="16" t="s">
        <v>1898</v>
      </c>
      <c r="F1483" s="16" t="s">
        <v>1883</v>
      </c>
      <c r="G1483" s="35" t="s">
        <v>1899</v>
      </c>
      <c r="H1483" s="39">
        <v>3163.29</v>
      </c>
      <c r="I1483" s="39">
        <v>3237.83</v>
      </c>
      <c r="J1483" s="39">
        <v>3214.27</v>
      </c>
      <c r="K1483" s="39">
        <v>0</v>
      </c>
      <c r="L1483" s="39">
        <v>0</v>
      </c>
      <c r="M1483" s="39">
        <v>0</v>
      </c>
      <c r="N1483" s="39">
        <v>0</v>
      </c>
      <c r="O1483" s="39">
        <v>0</v>
      </c>
      <c r="P1483" s="39">
        <v>0</v>
      </c>
      <c r="Q1483" s="39">
        <v>0</v>
      </c>
      <c r="R1483" s="39">
        <v>0</v>
      </c>
      <c r="S1483" s="39">
        <v>0</v>
      </c>
      <c r="T1483" s="39">
        <v>0</v>
      </c>
      <c r="U1483" s="39">
        <v>0</v>
      </c>
      <c r="V1483" s="39">
        <v>0</v>
      </c>
      <c r="W1483" s="39">
        <v>0</v>
      </c>
      <c r="X1483" s="39">
        <v>0</v>
      </c>
      <c r="Y1483" s="39">
        <v>0</v>
      </c>
      <c r="Z1483" s="39">
        <v>0</v>
      </c>
      <c r="AA1483" s="39">
        <v>0</v>
      </c>
      <c r="AB1483" s="39">
        <v>0</v>
      </c>
      <c r="AC1483" s="39">
        <v>0</v>
      </c>
      <c r="AD1483" s="39">
        <v>0</v>
      </c>
      <c r="AE1483" s="39">
        <v>0</v>
      </c>
      <c r="AF1483" s="39">
        <v>0</v>
      </c>
      <c r="AG1483" s="39">
        <v>0</v>
      </c>
      <c r="AH1483" s="39">
        <v>0</v>
      </c>
      <c r="AI1483" s="39">
        <v>3163.29</v>
      </c>
      <c r="AJ1483" s="39">
        <v>3237.83</v>
      </c>
      <c r="AK1483" s="39">
        <v>3214.27</v>
      </c>
      <c r="AL1483" s="39">
        <v>0</v>
      </c>
      <c r="AM1483" s="39">
        <v>0</v>
      </c>
      <c r="AN1483" s="39">
        <v>0</v>
      </c>
      <c r="AO1483" s="39">
        <v>3163.29</v>
      </c>
      <c r="AP1483" s="39">
        <v>3237.83</v>
      </c>
      <c r="AQ1483" s="39">
        <v>3214.27</v>
      </c>
      <c r="AR1483" s="39">
        <v>3237.83</v>
      </c>
    </row>
    <row r="1484" spans="1:44" x14ac:dyDescent="0.35">
      <c r="A1484" s="16" t="str">
        <f t="shared" si="120"/>
        <v>35</v>
      </c>
      <c r="B1484" s="19">
        <v>67454</v>
      </c>
      <c r="C1484" s="16" t="str">
        <f t="shared" si="121"/>
        <v>0000000</v>
      </c>
      <c r="D1484" s="17" t="s">
        <v>3663</v>
      </c>
      <c r="E1484" s="16" t="s">
        <v>1884</v>
      </c>
      <c r="F1484" s="16" t="s">
        <v>1883</v>
      </c>
      <c r="G1484" s="35" t="s">
        <v>1885</v>
      </c>
      <c r="H1484" s="39">
        <v>30.51</v>
      </c>
      <c r="I1484" s="39">
        <v>23.97</v>
      </c>
      <c r="J1484" s="39">
        <v>26.39</v>
      </c>
      <c r="K1484" s="39">
        <v>0</v>
      </c>
      <c r="L1484" s="39">
        <v>0</v>
      </c>
      <c r="M1484" s="39">
        <v>0</v>
      </c>
      <c r="N1484" s="39">
        <v>0</v>
      </c>
      <c r="O1484" s="39">
        <v>0</v>
      </c>
      <c r="P1484" s="39">
        <v>0</v>
      </c>
      <c r="Q1484" s="39">
        <v>0</v>
      </c>
      <c r="R1484" s="39">
        <v>0</v>
      </c>
      <c r="S1484" s="39">
        <v>0</v>
      </c>
      <c r="T1484" s="39">
        <v>0</v>
      </c>
      <c r="U1484" s="39">
        <v>0</v>
      </c>
      <c r="V1484" s="39">
        <v>0</v>
      </c>
      <c r="W1484" s="39">
        <v>0</v>
      </c>
      <c r="X1484" s="39">
        <v>0</v>
      </c>
      <c r="Y1484" s="39">
        <v>0</v>
      </c>
      <c r="Z1484" s="39">
        <v>0</v>
      </c>
      <c r="AA1484" s="39">
        <v>0</v>
      </c>
      <c r="AB1484" s="39">
        <v>0</v>
      </c>
      <c r="AC1484" s="39">
        <v>0</v>
      </c>
      <c r="AD1484" s="39">
        <v>0</v>
      </c>
      <c r="AE1484" s="39">
        <v>0</v>
      </c>
      <c r="AF1484" s="39">
        <v>0</v>
      </c>
      <c r="AG1484" s="39">
        <v>0</v>
      </c>
      <c r="AH1484" s="39">
        <v>0</v>
      </c>
      <c r="AI1484" s="39">
        <v>30.51</v>
      </c>
      <c r="AJ1484" s="39">
        <v>23.97</v>
      </c>
      <c r="AK1484" s="39">
        <v>26.39</v>
      </c>
      <c r="AL1484" s="39">
        <v>0</v>
      </c>
      <c r="AM1484" s="39">
        <v>0</v>
      </c>
      <c r="AN1484" s="39">
        <v>0</v>
      </c>
      <c r="AO1484" s="39">
        <v>30.51</v>
      </c>
      <c r="AP1484" s="39">
        <v>23.97</v>
      </c>
      <c r="AQ1484" s="39">
        <v>26.39</v>
      </c>
      <c r="AR1484" s="39">
        <v>30.51</v>
      </c>
    </row>
    <row r="1485" spans="1:44" x14ac:dyDescent="0.35">
      <c r="A1485" s="16" t="str">
        <f t="shared" si="120"/>
        <v>35</v>
      </c>
      <c r="B1485" s="19">
        <v>67462</v>
      </c>
      <c r="C1485" s="16" t="str">
        <f t="shared" si="121"/>
        <v>0000000</v>
      </c>
      <c r="D1485" s="17" t="s">
        <v>3663</v>
      </c>
      <c r="E1485" s="16" t="s">
        <v>1886</v>
      </c>
      <c r="F1485" s="16" t="s">
        <v>1883</v>
      </c>
      <c r="G1485" s="35" t="s">
        <v>1887</v>
      </c>
      <c r="H1485" s="39">
        <v>19.510000000000002</v>
      </c>
      <c r="I1485" s="39">
        <v>17.690000000000001</v>
      </c>
      <c r="J1485" s="39">
        <v>20.64</v>
      </c>
      <c r="K1485" s="39">
        <v>0</v>
      </c>
      <c r="L1485" s="39">
        <v>0</v>
      </c>
      <c r="M1485" s="39">
        <v>0</v>
      </c>
      <c r="N1485" s="39">
        <v>0</v>
      </c>
      <c r="O1485" s="39">
        <v>0</v>
      </c>
      <c r="P1485" s="39">
        <v>0</v>
      </c>
      <c r="Q1485" s="39">
        <v>0</v>
      </c>
      <c r="R1485" s="39">
        <v>0</v>
      </c>
      <c r="S1485" s="39">
        <v>0</v>
      </c>
      <c r="T1485" s="39">
        <v>0</v>
      </c>
      <c r="U1485" s="39">
        <v>0</v>
      </c>
      <c r="V1485" s="39">
        <v>0</v>
      </c>
      <c r="W1485" s="39">
        <v>0</v>
      </c>
      <c r="X1485" s="39">
        <v>0</v>
      </c>
      <c r="Y1485" s="39">
        <v>0</v>
      </c>
      <c r="Z1485" s="39">
        <v>0</v>
      </c>
      <c r="AA1485" s="39">
        <v>0</v>
      </c>
      <c r="AB1485" s="39">
        <v>0</v>
      </c>
      <c r="AC1485" s="39">
        <v>0</v>
      </c>
      <c r="AD1485" s="39">
        <v>0</v>
      </c>
      <c r="AE1485" s="39">
        <v>0</v>
      </c>
      <c r="AF1485" s="39">
        <v>0</v>
      </c>
      <c r="AG1485" s="39">
        <v>0</v>
      </c>
      <c r="AH1485" s="39">
        <v>0</v>
      </c>
      <c r="AI1485" s="39">
        <v>19.510000000000002</v>
      </c>
      <c r="AJ1485" s="39">
        <v>17.690000000000001</v>
      </c>
      <c r="AK1485" s="39">
        <v>20.64</v>
      </c>
      <c r="AL1485" s="39">
        <v>0</v>
      </c>
      <c r="AM1485" s="39">
        <v>0</v>
      </c>
      <c r="AN1485" s="39">
        <v>0</v>
      </c>
      <c r="AO1485" s="39">
        <v>19.510000000000002</v>
      </c>
      <c r="AP1485" s="39">
        <v>17.690000000000001</v>
      </c>
      <c r="AQ1485" s="39">
        <v>20.64</v>
      </c>
      <c r="AR1485" s="39">
        <v>20.64</v>
      </c>
    </row>
    <row r="1486" spans="1:44" x14ac:dyDescent="0.35">
      <c r="A1486" s="16" t="str">
        <f t="shared" si="120"/>
        <v>35</v>
      </c>
      <c r="B1486" s="19">
        <v>67488</v>
      </c>
      <c r="C1486" s="16" t="str">
        <f t="shared" si="121"/>
        <v>0000000</v>
      </c>
      <c r="D1486" s="17" t="s">
        <v>3663</v>
      </c>
      <c r="E1486" s="16" t="s">
        <v>1892</v>
      </c>
      <c r="F1486" s="16" t="s">
        <v>1883</v>
      </c>
      <c r="G1486" s="35" t="s">
        <v>1893</v>
      </c>
      <c r="H1486" s="39">
        <v>3.96</v>
      </c>
      <c r="I1486" s="39">
        <v>3.15</v>
      </c>
      <c r="J1486" s="39">
        <v>2.83</v>
      </c>
      <c r="K1486" s="39">
        <v>0</v>
      </c>
      <c r="L1486" s="39">
        <v>0</v>
      </c>
      <c r="M1486" s="39">
        <v>0</v>
      </c>
      <c r="N1486" s="39">
        <v>0</v>
      </c>
      <c r="O1486" s="39">
        <v>0</v>
      </c>
      <c r="P1486" s="39">
        <v>0</v>
      </c>
      <c r="Q1486" s="39">
        <v>0</v>
      </c>
      <c r="R1486" s="39">
        <v>0</v>
      </c>
      <c r="S1486" s="39">
        <v>0</v>
      </c>
      <c r="T1486" s="39">
        <v>0</v>
      </c>
      <c r="U1486" s="39">
        <v>0</v>
      </c>
      <c r="V1486" s="39">
        <v>0</v>
      </c>
      <c r="W1486" s="39">
        <v>0</v>
      </c>
      <c r="X1486" s="39">
        <v>0</v>
      </c>
      <c r="Y1486" s="39">
        <v>0</v>
      </c>
      <c r="Z1486" s="39">
        <v>0</v>
      </c>
      <c r="AA1486" s="39">
        <v>0</v>
      </c>
      <c r="AB1486" s="39">
        <v>0</v>
      </c>
      <c r="AC1486" s="39">
        <v>0</v>
      </c>
      <c r="AD1486" s="39">
        <v>0</v>
      </c>
      <c r="AE1486" s="39">
        <v>0</v>
      </c>
      <c r="AF1486" s="39">
        <v>0</v>
      </c>
      <c r="AG1486" s="39">
        <v>0</v>
      </c>
      <c r="AH1486" s="39">
        <v>0</v>
      </c>
      <c r="AI1486" s="39">
        <v>3.96</v>
      </c>
      <c r="AJ1486" s="39">
        <v>3.15</v>
      </c>
      <c r="AK1486" s="39">
        <v>2.83</v>
      </c>
      <c r="AL1486" s="39">
        <v>0</v>
      </c>
      <c r="AM1486" s="39">
        <v>0</v>
      </c>
      <c r="AN1486" s="39">
        <v>0</v>
      </c>
      <c r="AO1486" s="39">
        <v>3.96</v>
      </c>
      <c r="AP1486" s="39">
        <v>3.15</v>
      </c>
      <c r="AQ1486" s="39">
        <v>2.83</v>
      </c>
      <c r="AR1486" s="39">
        <v>3.96</v>
      </c>
    </row>
    <row r="1487" spans="1:44" x14ac:dyDescent="0.35">
      <c r="A1487" s="16" t="str">
        <f t="shared" si="120"/>
        <v>35</v>
      </c>
      <c r="B1487" s="19">
        <v>67520</v>
      </c>
      <c r="C1487" s="16" t="str">
        <f t="shared" si="121"/>
        <v>0000000</v>
      </c>
      <c r="D1487" s="17" t="s">
        <v>3663</v>
      </c>
      <c r="E1487" s="16" t="s">
        <v>1896</v>
      </c>
      <c r="F1487" s="16" t="s">
        <v>1883</v>
      </c>
      <c r="G1487" s="35" t="s">
        <v>1897</v>
      </c>
      <c r="H1487" s="39">
        <v>5.85</v>
      </c>
      <c r="I1487" s="39">
        <v>9.08</v>
      </c>
      <c r="J1487" s="39">
        <v>7.48</v>
      </c>
      <c r="K1487" s="39">
        <v>0</v>
      </c>
      <c r="L1487" s="39">
        <v>0</v>
      </c>
      <c r="M1487" s="39">
        <v>0</v>
      </c>
      <c r="N1487" s="39">
        <v>0</v>
      </c>
      <c r="O1487" s="39">
        <v>0</v>
      </c>
      <c r="P1487" s="39">
        <v>0</v>
      </c>
      <c r="Q1487" s="39">
        <v>0</v>
      </c>
      <c r="R1487" s="39">
        <v>0</v>
      </c>
      <c r="S1487" s="39">
        <v>0</v>
      </c>
      <c r="T1487" s="39">
        <v>0</v>
      </c>
      <c r="U1487" s="39">
        <v>0</v>
      </c>
      <c r="V1487" s="39">
        <v>0</v>
      </c>
      <c r="W1487" s="39">
        <v>0</v>
      </c>
      <c r="X1487" s="39">
        <v>0</v>
      </c>
      <c r="Y1487" s="39">
        <v>0</v>
      </c>
      <c r="Z1487" s="39">
        <v>0</v>
      </c>
      <c r="AA1487" s="39">
        <v>0</v>
      </c>
      <c r="AB1487" s="39">
        <v>0</v>
      </c>
      <c r="AC1487" s="39">
        <v>0</v>
      </c>
      <c r="AD1487" s="39">
        <v>0</v>
      </c>
      <c r="AE1487" s="39">
        <v>0</v>
      </c>
      <c r="AF1487" s="39">
        <v>0</v>
      </c>
      <c r="AG1487" s="39">
        <v>0</v>
      </c>
      <c r="AH1487" s="39">
        <v>0</v>
      </c>
      <c r="AI1487" s="39">
        <v>5.85</v>
      </c>
      <c r="AJ1487" s="39">
        <v>9.08</v>
      </c>
      <c r="AK1487" s="39">
        <v>7.48</v>
      </c>
      <c r="AL1487" s="39">
        <v>0</v>
      </c>
      <c r="AM1487" s="39">
        <v>0</v>
      </c>
      <c r="AN1487" s="39">
        <v>0</v>
      </c>
      <c r="AO1487" s="39">
        <v>5.85</v>
      </c>
      <c r="AP1487" s="39">
        <v>9.08</v>
      </c>
      <c r="AQ1487" s="39">
        <v>7.48</v>
      </c>
      <c r="AR1487" s="39">
        <v>9.08</v>
      </c>
    </row>
    <row r="1488" spans="1:44" x14ac:dyDescent="0.35">
      <c r="A1488" s="16" t="str">
        <f t="shared" si="120"/>
        <v>35</v>
      </c>
      <c r="B1488" s="19">
        <v>67553</v>
      </c>
      <c r="C1488" s="16" t="str">
        <f t="shared" si="121"/>
        <v>0000000</v>
      </c>
      <c r="D1488" s="17" t="s">
        <v>3663</v>
      </c>
      <c r="E1488" s="16" t="s">
        <v>1900</v>
      </c>
      <c r="F1488" s="16" t="s">
        <v>1883</v>
      </c>
      <c r="G1488" s="35" t="s">
        <v>1901</v>
      </c>
      <c r="H1488" s="39">
        <v>225.91</v>
      </c>
      <c r="I1488" s="39">
        <v>204.06</v>
      </c>
      <c r="J1488" s="39">
        <v>199.12</v>
      </c>
      <c r="K1488" s="39">
        <v>0</v>
      </c>
      <c r="L1488" s="39">
        <v>0</v>
      </c>
      <c r="M1488" s="39">
        <v>0</v>
      </c>
      <c r="N1488" s="39">
        <v>0</v>
      </c>
      <c r="O1488" s="39">
        <v>0</v>
      </c>
      <c r="P1488" s="39">
        <v>0</v>
      </c>
      <c r="Q1488" s="39">
        <v>0</v>
      </c>
      <c r="R1488" s="39">
        <v>0</v>
      </c>
      <c r="S1488" s="39">
        <v>0</v>
      </c>
      <c r="T1488" s="39">
        <v>0</v>
      </c>
      <c r="U1488" s="39">
        <v>0</v>
      </c>
      <c r="V1488" s="39">
        <v>0</v>
      </c>
      <c r="W1488" s="39">
        <v>0</v>
      </c>
      <c r="X1488" s="39">
        <v>0</v>
      </c>
      <c r="Y1488" s="39">
        <v>0</v>
      </c>
      <c r="Z1488" s="39">
        <v>0</v>
      </c>
      <c r="AA1488" s="39">
        <v>0</v>
      </c>
      <c r="AB1488" s="39">
        <v>0</v>
      </c>
      <c r="AC1488" s="39">
        <v>0</v>
      </c>
      <c r="AD1488" s="39">
        <v>0</v>
      </c>
      <c r="AE1488" s="39">
        <v>0</v>
      </c>
      <c r="AF1488" s="39">
        <v>0</v>
      </c>
      <c r="AG1488" s="39">
        <v>0</v>
      </c>
      <c r="AH1488" s="39">
        <v>0</v>
      </c>
      <c r="AI1488" s="39">
        <v>225.91</v>
      </c>
      <c r="AJ1488" s="39">
        <v>204.06</v>
      </c>
      <c r="AK1488" s="39">
        <v>199.12</v>
      </c>
      <c r="AL1488" s="39">
        <v>0</v>
      </c>
      <c r="AM1488" s="39">
        <v>0</v>
      </c>
      <c r="AN1488" s="39">
        <v>0</v>
      </c>
      <c r="AO1488" s="39">
        <v>225.91</v>
      </c>
      <c r="AP1488" s="39">
        <v>204.06</v>
      </c>
      <c r="AQ1488" s="39">
        <v>199.12</v>
      </c>
      <c r="AR1488" s="39">
        <v>225.91</v>
      </c>
    </row>
    <row r="1489" spans="1:44" x14ac:dyDescent="0.35">
      <c r="A1489" s="16" t="str">
        <f t="shared" si="120"/>
        <v>35</v>
      </c>
      <c r="B1489" s="19">
        <v>67561</v>
      </c>
      <c r="C1489" s="16" t="str">
        <f t="shared" si="121"/>
        <v>0000000</v>
      </c>
      <c r="D1489" s="17" t="s">
        <v>3663</v>
      </c>
      <c r="E1489" s="16" t="s">
        <v>1902</v>
      </c>
      <c r="F1489" s="16" t="s">
        <v>1883</v>
      </c>
      <c r="G1489" s="35" t="s">
        <v>1903</v>
      </c>
      <c r="H1489" s="39">
        <v>56.04</v>
      </c>
      <c r="I1489" s="39">
        <v>42.96</v>
      </c>
      <c r="J1489" s="39">
        <v>45.26</v>
      </c>
      <c r="K1489" s="39">
        <v>0</v>
      </c>
      <c r="L1489" s="39">
        <v>0</v>
      </c>
      <c r="M1489" s="39">
        <v>0</v>
      </c>
      <c r="N1489" s="39">
        <v>0</v>
      </c>
      <c r="O1489" s="39">
        <v>0</v>
      </c>
      <c r="P1489" s="39">
        <v>0</v>
      </c>
      <c r="Q1489" s="39">
        <v>0</v>
      </c>
      <c r="R1489" s="39">
        <v>0</v>
      </c>
      <c r="S1489" s="39">
        <v>0</v>
      </c>
      <c r="T1489" s="39">
        <v>0</v>
      </c>
      <c r="U1489" s="39">
        <v>0</v>
      </c>
      <c r="V1489" s="39">
        <v>0</v>
      </c>
      <c r="W1489" s="39">
        <v>0</v>
      </c>
      <c r="X1489" s="39">
        <v>0</v>
      </c>
      <c r="Y1489" s="39">
        <v>0</v>
      </c>
      <c r="Z1489" s="39">
        <v>0</v>
      </c>
      <c r="AA1489" s="39">
        <v>0</v>
      </c>
      <c r="AB1489" s="39">
        <v>0</v>
      </c>
      <c r="AC1489" s="39">
        <v>0</v>
      </c>
      <c r="AD1489" s="39">
        <v>0</v>
      </c>
      <c r="AE1489" s="39">
        <v>0</v>
      </c>
      <c r="AF1489" s="39">
        <v>0</v>
      </c>
      <c r="AG1489" s="39">
        <v>0</v>
      </c>
      <c r="AH1489" s="39">
        <v>0</v>
      </c>
      <c r="AI1489" s="39">
        <v>56.04</v>
      </c>
      <c r="AJ1489" s="39">
        <v>42.96</v>
      </c>
      <c r="AK1489" s="39">
        <v>45.26</v>
      </c>
      <c r="AL1489" s="39">
        <v>0</v>
      </c>
      <c r="AM1489" s="39">
        <v>0</v>
      </c>
      <c r="AN1489" s="39">
        <v>0</v>
      </c>
      <c r="AO1489" s="39">
        <v>56.04</v>
      </c>
      <c r="AP1489" s="39">
        <v>42.96</v>
      </c>
      <c r="AQ1489" s="39">
        <v>45.26</v>
      </c>
      <c r="AR1489" s="39">
        <v>56.04</v>
      </c>
    </row>
    <row r="1490" spans="1:44" x14ac:dyDescent="0.35">
      <c r="A1490" s="16" t="str">
        <f t="shared" si="120"/>
        <v>35</v>
      </c>
      <c r="B1490" s="19">
        <v>67579</v>
      </c>
      <c r="C1490" s="16" t="str">
        <f t="shared" si="121"/>
        <v>0000000</v>
      </c>
      <c r="D1490" s="17" t="s">
        <v>3663</v>
      </c>
      <c r="E1490" s="16" t="s">
        <v>1904</v>
      </c>
      <c r="F1490" s="16" t="s">
        <v>1883</v>
      </c>
      <c r="G1490" s="35" t="s">
        <v>1905</v>
      </c>
      <c r="H1490" s="39">
        <v>19.809999999999999</v>
      </c>
      <c r="I1490" s="39">
        <v>19.920000000000002</v>
      </c>
      <c r="J1490" s="39">
        <v>15.87</v>
      </c>
      <c r="K1490" s="39">
        <v>0</v>
      </c>
      <c r="L1490" s="39">
        <v>0</v>
      </c>
      <c r="M1490" s="39">
        <v>0</v>
      </c>
      <c r="N1490" s="39">
        <v>0</v>
      </c>
      <c r="O1490" s="39">
        <v>0</v>
      </c>
      <c r="P1490" s="39">
        <v>0</v>
      </c>
      <c r="Q1490" s="39">
        <v>0</v>
      </c>
      <c r="R1490" s="39">
        <v>0</v>
      </c>
      <c r="S1490" s="39">
        <v>0</v>
      </c>
      <c r="T1490" s="39">
        <v>0</v>
      </c>
      <c r="U1490" s="39">
        <v>0</v>
      </c>
      <c r="V1490" s="39">
        <v>0</v>
      </c>
      <c r="W1490" s="39">
        <v>0</v>
      </c>
      <c r="X1490" s="39">
        <v>0</v>
      </c>
      <c r="Y1490" s="39">
        <v>0</v>
      </c>
      <c r="Z1490" s="39">
        <v>0</v>
      </c>
      <c r="AA1490" s="39">
        <v>0</v>
      </c>
      <c r="AB1490" s="39">
        <v>0</v>
      </c>
      <c r="AC1490" s="39">
        <v>0</v>
      </c>
      <c r="AD1490" s="39">
        <v>0</v>
      </c>
      <c r="AE1490" s="39">
        <v>0</v>
      </c>
      <c r="AF1490" s="39">
        <v>0</v>
      </c>
      <c r="AG1490" s="39">
        <v>0</v>
      </c>
      <c r="AH1490" s="39">
        <v>0</v>
      </c>
      <c r="AI1490" s="39">
        <v>19.809999999999999</v>
      </c>
      <c r="AJ1490" s="39">
        <v>19.920000000000002</v>
      </c>
      <c r="AK1490" s="39">
        <v>15.87</v>
      </c>
      <c r="AL1490" s="39">
        <v>0</v>
      </c>
      <c r="AM1490" s="39">
        <v>0</v>
      </c>
      <c r="AN1490" s="39">
        <v>0</v>
      </c>
      <c r="AO1490" s="39">
        <v>19.809999999999999</v>
      </c>
      <c r="AP1490" s="39">
        <v>19.920000000000002</v>
      </c>
      <c r="AQ1490" s="39">
        <v>15.87</v>
      </c>
      <c r="AR1490" s="39">
        <v>19.920000000000002</v>
      </c>
    </row>
    <row r="1491" spans="1:44" x14ac:dyDescent="0.35">
      <c r="A1491" s="16" t="str">
        <f t="shared" ref="A1491:A1503" si="122">TEXT(44,"00")</f>
        <v>44</v>
      </c>
      <c r="B1491" s="19">
        <v>10447</v>
      </c>
      <c r="C1491" s="16" t="str">
        <f t="shared" si="121"/>
        <v>0000000</v>
      </c>
      <c r="D1491" s="17" t="s">
        <v>3663</v>
      </c>
      <c r="E1491" s="16" t="s">
        <v>2850</v>
      </c>
      <c r="F1491" s="16" t="s">
        <v>2851</v>
      </c>
      <c r="G1491" s="35" t="s">
        <v>2851</v>
      </c>
      <c r="H1491" s="39">
        <v>0</v>
      </c>
      <c r="I1491" s="39">
        <v>0</v>
      </c>
      <c r="J1491" s="39">
        <v>0</v>
      </c>
      <c r="K1491" s="39">
        <v>0</v>
      </c>
      <c r="L1491" s="39">
        <v>0</v>
      </c>
      <c r="M1491" s="39">
        <v>0</v>
      </c>
      <c r="N1491" s="39">
        <v>0</v>
      </c>
      <c r="O1491" s="39">
        <v>0</v>
      </c>
      <c r="P1491" s="39">
        <v>0</v>
      </c>
      <c r="Q1491" s="39">
        <v>0</v>
      </c>
      <c r="R1491" s="39">
        <v>0</v>
      </c>
      <c r="S1491" s="39">
        <v>0</v>
      </c>
      <c r="T1491" s="39">
        <v>851.08</v>
      </c>
      <c r="U1491" s="39">
        <v>881.08</v>
      </c>
      <c r="V1491" s="39">
        <v>938.58</v>
      </c>
      <c r="W1491" s="39">
        <v>97.8</v>
      </c>
      <c r="X1491" s="39">
        <v>91.41</v>
      </c>
      <c r="Y1491" s="39">
        <v>83.79</v>
      </c>
      <c r="Z1491" s="39">
        <v>208.08</v>
      </c>
      <c r="AA1491" s="39">
        <v>153.35</v>
      </c>
      <c r="AB1491" s="39">
        <v>137.97999999999999</v>
      </c>
      <c r="AC1491" s="39">
        <v>0</v>
      </c>
      <c r="AD1491" s="39">
        <v>0</v>
      </c>
      <c r="AE1491" s="39">
        <v>0</v>
      </c>
      <c r="AF1491" s="39">
        <v>0</v>
      </c>
      <c r="AG1491" s="39">
        <v>0</v>
      </c>
      <c r="AH1491" s="39">
        <v>0</v>
      </c>
      <c r="AI1491" s="39">
        <v>1156.96</v>
      </c>
      <c r="AJ1491" s="39">
        <v>1125.8399999999999</v>
      </c>
      <c r="AK1491" s="39">
        <v>1160.3499999999999</v>
      </c>
      <c r="AL1491" s="39">
        <v>0</v>
      </c>
      <c r="AM1491" s="39">
        <v>0</v>
      </c>
      <c r="AN1491" s="39">
        <v>0</v>
      </c>
      <c r="AO1491" s="39">
        <v>1156.96</v>
      </c>
      <c r="AP1491" s="39">
        <v>1125.8399999999999</v>
      </c>
      <c r="AQ1491" s="39">
        <v>1160.3499999999999</v>
      </c>
      <c r="AR1491" s="39">
        <v>1160.3499999999999</v>
      </c>
    </row>
    <row r="1492" spans="1:44" x14ac:dyDescent="0.35">
      <c r="A1492" s="16" t="str">
        <f t="shared" si="122"/>
        <v>44</v>
      </c>
      <c r="B1492" s="19">
        <v>69765</v>
      </c>
      <c r="C1492" s="16" t="str">
        <f t="shared" si="121"/>
        <v>0000000</v>
      </c>
      <c r="D1492" s="17" t="s">
        <v>3663</v>
      </c>
      <c r="E1492" s="16" t="s">
        <v>2859</v>
      </c>
      <c r="F1492" s="16" t="s">
        <v>2851</v>
      </c>
      <c r="G1492" s="35" t="s">
        <v>2860</v>
      </c>
      <c r="H1492" s="39">
        <v>1417.31</v>
      </c>
      <c r="I1492" s="39">
        <v>1419.44</v>
      </c>
      <c r="J1492" s="39">
        <v>1403.79</v>
      </c>
      <c r="K1492" s="39">
        <v>0</v>
      </c>
      <c r="L1492" s="39">
        <v>0</v>
      </c>
      <c r="M1492" s="39">
        <v>0</v>
      </c>
      <c r="N1492" s="39">
        <v>0</v>
      </c>
      <c r="O1492" s="39">
        <v>0</v>
      </c>
      <c r="P1492" s="39">
        <v>0</v>
      </c>
      <c r="Q1492" s="39">
        <v>0</v>
      </c>
      <c r="R1492" s="39">
        <v>0</v>
      </c>
      <c r="S1492" s="39">
        <v>0</v>
      </c>
      <c r="T1492" s="39">
        <v>0</v>
      </c>
      <c r="U1492" s="39">
        <v>0</v>
      </c>
      <c r="V1492" s="39">
        <v>0</v>
      </c>
      <c r="W1492" s="39">
        <v>0</v>
      </c>
      <c r="X1492" s="39">
        <v>0</v>
      </c>
      <c r="Y1492" s="39">
        <v>0</v>
      </c>
      <c r="Z1492" s="39">
        <v>0</v>
      </c>
      <c r="AA1492" s="39">
        <v>0</v>
      </c>
      <c r="AB1492" s="39">
        <v>0</v>
      </c>
      <c r="AC1492" s="39">
        <v>152.29</v>
      </c>
      <c r="AD1492" s="39">
        <v>153.34</v>
      </c>
      <c r="AE1492" s="39">
        <v>144.58000000000001</v>
      </c>
      <c r="AF1492" s="39">
        <v>0</v>
      </c>
      <c r="AG1492" s="39">
        <v>0</v>
      </c>
      <c r="AH1492" s="39">
        <v>0</v>
      </c>
      <c r="AI1492" s="39">
        <v>1569.6</v>
      </c>
      <c r="AJ1492" s="39">
        <v>1572.78</v>
      </c>
      <c r="AK1492" s="39">
        <v>1548.37</v>
      </c>
      <c r="AL1492" s="39">
        <v>0</v>
      </c>
      <c r="AM1492" s="39">
        <v>0</v>
      </c>
      <c r="AN1492" s="39">
        <v>0</v>
      </c>
      <c r="AO1492" s="39">
        <v>1569.6</v>
      </c>
      <c r="AP1492" s="39">
        <v>1572.78</v>
      </c>
      <c r="AQ1492" s="39">
        <v>1548.37</v>
      </c>
      <c r="AR1492" s="39">
        <v>1572.78</v>
      </c>
    </row>
    <row r="1493" spans="1:44" x14ac:dyDescent="0.35">
      <c r="A1493" s="16" t="str">
        <f t="shared" si="122"/>
        <v>44</v>
      </c>
      <c r="B1493" s="19">
        <v>69849</v>
      </c>
      <c r="C1493" s="16" t="str">
        <f t="shared" si="121"/>
        <v>0000000</v>
      </c>
      <c r="D1493" s="17" t="s">
        <v>3663</v>
      </c>
      <c r="E1493" s="16" t="s">
        <v>2877</v>
      </c>
      <c r="F1493" s="16" t="s">
        <v>2851</v>
      </c>
      <c r="G1493" s="35" t="s">
        <v>2878</v>
      </c>
      <c r="H1493" s="39">
        <v>1420.93</v>
      </c>
      <c r="I1493" s="39">
        <v>1446.89</v>
      </c>
      <c r="J1493" s="39">
        <v>1497.79</v>
      </c>
      <c r="K1493" s="39">
        <v>0</v>
      </c>
      <c r="L1493" s="39">
        <v>0</v>
      </c>
      <c r="M1493" s="39">
        <v>0</v>
      </c>
      <c r="N1493" s="39">
        <v>0</v>
      </c>
      <c r="O1493" s="39">
        <v>0</v>
      </c>
      <c r="P1493" s="39">
        <v>0</v>
      </c>
      <c r="Q1493" s="39">
        <v>0</v>
      </c>
      <c r="R1493" s="39">
        <v>0</v>
      </c>
      <c r="S1493" s="39">
        <v>0</v>
      </c>
      <c r="T1493" s="39">
        <v>0</v>
      </c>
      <c r="U1493" s="39">
        <v>0</v>
      </c>
      <c r="V1493" s="39">
        <v>0</v>
      </c>
      <c r="W1493" s="39">
        <v>0</v>
      </c>
      <c r="X1493" s="39">
        <v>0</v>
      </c>
      <c r="Y1493" s="39">
        <v>0</v>
      </c>
      <c r="Z1493" s="39">
        <v>0</v>
      </c>
      <c r="AA1493" s="39">
        <v>0</v>
      </c>
      <c r="AB1493" s="39">
        <v>0</v>
      </c>
      <c r="AC1493" s="39">
        <v>0</v>
      </c>
      <c r="AD1493" s="39">
        <v>0</v>
      </c>
      <c r="AE1493" s="39">
        <v>0</v>
      </c>
      <c r="AF1493" s="39">
        <v>0</v>
      </c>
      <c r="AG1493" s="39">
        <v>0</v>
      </c>
      <c r="AH1493" s="39">
        <v>0</v>
      </c>
      <c r="AI1493" s="39">
        <v>1420.93</v>
      </c>
      <c r="AJ1493" s="39">
        <v>1446.89</v>
      </c>
      <c r="AK1493" s="39">
        <v>1497.79</v>
      </c>
      <c r="AL1493" s="39">
        <v>0</v>
      </c>
      <c r="AM1493" s="39">
        <v>0</v>
      </c>
      <c r="AN1493" s="39">
        <v>0</v>
      </c>
      <c r="AO1493" s="39">
        <v>1420.93</v>
      </c>
      <c r="AP1493" s="39">
        <v>1446.89</v>
      </c>
      <c r="AQ1493" s="39">
        <v>1497.79</v>
      </c>
      <c r="AR1493" s="39">
        <v>1497.79</v>
      </c>
    </row>
    <row r="1494" spans="1:44" x14ac:dyDescent="0.35">
      <c r="A1494" s="16" t="str">
        <f t="shared" si="122"/>
        <v>44</v>
      </c>
      <c r="B1494" s="19">
        <v>69807</v>
      </c>
      <c r="C1494" s="16" t="str">
        <f t="shared" si="121"/>
        <v>0000000</v>
      </c>
      <c r="D1494" s="17" t="s">
        <v>3663</v>
      </c>
      <c r="E1494" s="16" t="s">
        <v>2869</v>
      </c>
      <c r="F1494" s="16" t="s">
        <v>2851</v>
      </c>
      <c r="G1494" s="35" t="s">
        <v>2870</v>
      </c>
      <c r="H1494" s="39">
        <v>1796.76</v>
      </c>
      <c r="I1494" s="39">
        <v>1856.39</v>
      </c>
      <c r="J1494" s="39">
        <v>1864.64</v>
      </c>
      <c r="K1494" s="39">
        <v>0</v>
      </c>
      <c r="L1494" s="39">
        <v>0</v>
      </c>
      <c r="M1494" s="39">
        <v>0</v>
      </c>
      <c r="N1494" s="39">
        <v>0</v>
      </c>
      <c r="O1494" s="39">
        <v>0</v>
      </c>
      <c r="P1494" s="39">
        <v>0</v>
      </c>
      <c r="Q1494" s="39">
        <v>0</v>
      </c>
      <c r="R1494" s="39">
        <v>0</v>
      </c>
      <c r="S1494" s="39">
        <v>0</v>
      </c>
      <c r="T1494" s="39">
        <v>0</v>
      </c>
      <c r="U1494" s="39">
        <v>0</v>
      </c>
      <c r="V1494" s="39">
        <v>0</v>
      </c>
      <c r="W1494" s="39">
        <v>0</v>
      </c>
      <c r="X1494" s="39">
        <v>0</v>
      </c>
      <c r="Y1494" s="39">
        <v>0</v>
      </c>
      <c r="Z1494" s="39">
        <v>0</v>
      </c>
      <c r="AA1494" s="39">
        <v>0</v>
      </c>
      <c r="AB1494" s="39">
        <v>0</v>
      </c>
      <c r="AC1494" s="39">
        <v>3639.47</v>
      </c>
      <c r="AD1494" s="39">
        <v>3470.98</v>
      </c>
      <c r="AE1494" s="39">
        <v>3286.01</v>
      </c>
      <c r="AF1494" s="39">
        <v>0</v>
      </c>
      <c r="AG1494" s="39">
        <v>0</v>
      </c>
      <c r="AH1494" s="39">
        <v>0</v>
      </c>
      <c r="AI1494" s="39">
        <v>5436.23</v>
      </c>
      <c r="AJ1494" s="39">
        <v>5327.37</v>
      </c>
      <c r="AK1494" s="39">
        <v>5150.6499999999996</v>
      </c>
      <c r="AL1494" s="39">
        <v>0</v>
      </c>
      <c r="AM1494" s="39">
        <v>0</v>
      </c>
      <c r="AN1494" s="39">
        <v>0</v>
      </c>
      <c r="AO1494" s="39">
        <v>5436.23</v>
      </c>
      <c r="AP1494" s="39">
        <v>5327.37</v>
      </c>
      <c r="AQ1494" s="39">
        <v>5150.6499999999996</v>
      </c>
      <c r="AR1494" s="39">
        <v>5436.23</v>
      </c>
    </row>
    <row r="1495" spans="1:44" x14ac:dyDescent="0.35">
      <c r="A1495" s="16" t="str">
        <f t="shared" si="122"/>
        <v>44</v>
      </c>
      <c r="B1495" s="19">
        <v>69823</v>
      </c>
      <c r="C1495" s="16" t="str">
        <f t="shared" si="121"/>
        <v>0000000</v>
      </c>
      <c r="D1495" s="17" t="s">
        <v>3663</v>
      </c>
      <c r="E1495" s="16" t="s">
        <v>2873</v>
      </c>
      <c r="F1495" s="16" t="s">
        <v>2851</v>
      </c>
      <c r="G1495" s="35" t="s">
        <v>2874</v>
      </c>
      <c r="H1495" s="39">
        <v>3984.94</v>
      </c>
      <c r="I1495" s="39">
        <v>4030.68</v>
      </c>
      <c r="J1495" s="39">
        <v>3860.32</v>
      </c>
      <c r="K1495" s="39">
        <v>0</v>
      </c>
      <c r="L1495" s="39">
        <v>0</v>
      </c>
      <c r="M1495" s="39">
        <v>0</v>
      </c>
      <c r="N1495" s="39">
        <v>0</v>
      </c>
      <c r="O1495" s="39">
        <v>0</v>
      </c>
      <c r="P1495" s="39">
        <v>0</v>
      </c>
      <c r="Q1495" s="39">
        <v>0</v>
      </c>
      <c r="R1495" s="39">
        <v>0</v>
      </c>
      <c r="S1495" s="39">
        <v>0</v>
      </c>
      <c r="T1495" s="39">
        <v>0</v>
      </c>
      <c r="U1495" s="39">
        <v>0</v>
      </c>
      <c r="V1495" s="39">
        <v>0</v>
      </c>
      <c r="W1495" s="39">
        <v>0</v>
      </c>
      <c r="X1495" s="39">
        <v>0</v>
      </c>
      <c r="Y1495" s="39">
        <v>0</v>
      </c>
      <c r="Z1495" s="39">
        <v>0</v>
      </c>
      <c r="AA1495" s="39">
        <v>0</v>
      </c>
      <c r="AB1495" s="39">
        <v>0</v>
      </c>
      <c r="AC1495" s="39">
        <v>0</v>
      </c>
      <c r="AD1495" s="39">
        <v>0</v>
      </c>
      <c r="AE1495" s="39">
        <v>0</v>
      </c>
      <c r="AF1495" s="39">
        <v>0</v>
      </c>
      <c r="AG1495" s="39">
        <v>0</v>
      </c>
      <c r="AH1495" s="39">
        <v>0</v>
      </c>
      <c r="AI1495" s="39">
        <v>3984.94</v>
      </c>
      <c r="AJ1495" s="39">
        <v>4030.68</v>
      </c>
      <c r="AK1495" s="39">
        <v>3860.32</v>
      </c>
      <c r="AL1495" s="39">
        <v>0</v>
      </c>
      <c r="AM1495" s="39">
        <v>0</v>
      </c>
      <c r="AN1495" s="39">
        <v>0</v>
      </c>
      <c r="AO1495" s="39">
        <v>3984.94</v>
      </c>
      <c r="AP1495" s="39">
        <v>4030.68</v>
      </c>
      <c r="AQ1495" s="39">
        <v>3860.32</v>
      </c>
      <c r="AR1495" s="39">
        <v>4030.68</v>
      </c>
    </row>
    <row r="1496" spans="1:44" x14ac:dyDescent="0.35">
      <c r="A1496" s="16" t="str">
        <f t="shared" si="122"/>
        <v>44</v>
      </c>
      <c r="B1496" s="19">
        <v>69815</v>
      </c>
      <c r="C1496" s="16" t="str">
        <f t="shared" si="121"/>
        <v>0000000</v>
      </c>
      <c r="D1496" s="17" t="s">
        <v>3663</v>
      </c>
      <c r="E1496" s="16" t="s">
        <v>2871</v>
      </c>
      <c r="F1496" s="16" t="s">
        <v>2851</v>
      </c>
      <c r="G1496" s="35" t="s">
        <v>2872</v>
      </c>
      <c r="H1496" s="39">
        <v>1703.6</v>
      </c>
      <c r="I1496" s="39">
        <v>1672.45</v>
      </c>
      <c r="J1496" s="39">
        <v>1632.8</v>
      </c>
      <c r="K1496" s="39">
        <v>0</v>
      </c>
      <c r="L1496" s="39">
        <v>0</v>
      </c>
      <c r="M1496" s="39">
        <v>0</v>
      </c>
      <c r="N1496" s="39">
        <v>0</v>
      </c>
      <c r="O1496" s="39">
        <v>0</v>
      </c>
      <c r="P1496" s="39">
        <v>0</v>
      </c>
      <c r="Q1496" s="39">
        <v>0</v>
      </c>
      <c r="R1496" s="39">
        <v>0</v>
      </c>
      <c r="S1496" s="39">
        <v>0</v>
      </c>
      <c r="T1496" s="39">
        <v>0</v>
      </c>
      <c r="U1496" s="39">
        <v>0</v>
      </c>
      <c r="V1496" s="39">
        <v>0</v>
      </c>
      <c r="W1496" s="39">
        <v>0</v>
      </c>
      <c r="X1496" s="39">
        <v>0</v>
      </c>
      <c r="Y1496" s="39">
        <v>0</v>
      </c>
      <c r="Z1496" s="39">
        <v>0</v>
      </c>
      <c r="AA1496" s="39">
        <v>0</v>
      </c>
      <c r="AB1496" s="39">
        <v>0</v>
      </c>
      <c r="AC1496" s="39">
        <v>0</v>
      </c>
      <c r="AD1496" s="39">
        <v>0</v>
      </c>
      <c r="AE1496" s="39">
        <v>0</v>
      </c>
      <c r="AF1496" s="39">
        <v>0</v>
      </c>
      <c r="AG1496" s="39">
        <v>0</v>
      </c>
      <c r="AH1496" s="39">
        <v>0</v>
      </c>
      <c r="AI1496" s="39">
        <v>1703.6</v>
      </c>
      <c r="AJ1496" s="39">
        <v>1672.45</v>
      </c>
      <c r="AK1496" s="39">
        <v>1632.8</v>
      </c>
      <c r="AL1496" s="39">
        <v>0</v>
      </c>
      <c r="AM1496" s="39">
        <v>0</v>
      </c>
      <c r="AN1496" s="39">
        <v>0</v>
      </c>
      <c r="AO1496" s="39">
        <v>1703.6</v>
      </c>
      <c r="AP1496" s="39">
        <v>1672.45</v>
      </c>
      <c r="AQ1496" s="39">
        <v>1632.8</v>
      </c>
      <c r="AR1496" s="39">
        <v>1703.6</v>
      </c>
    </row>
    <row r="1497" spans="1:44" x14ac:dyDescent="0.35">
      <c r="A1497" s="16" t="str">
        <f t="shared" si="122"/>
        <v>44</v>
      </c>
      <c r="B1497" s="19">
        <v>75432</v>
      </c>
      <c r="C1497" s="16" t="str">
        <f t="shared" si="121"/>
        <v>0000000</v>
      </c>
      <c r="D1497" s="17" t="s">
        <v>3663</v>
      </c>
      <c r="E1497" s="16" t="s">
        <v>2879</v>
      </c>
      <c r="F1497" s="16" t="s">
        <v>2851</v>
      </c>
      <c r="G1497" s="35" t="s">
        <v>2880</v>
      </c>
      <c r="H1497" s="39">
        <v>1998.07</v>
      </c>
      <c r="I1497" s="39">
        <v>1974.62</v>
      </c>
      <c r="J1497" s="39">
        <v>1980.23</v>
      </c>
      <c r="K1497" s="39">
        <v>0</v>
      </c>
      <c r="L1497" s="39">
        <v>0</v>
      </c>
      <c r="M1497" s="39">
        <v>0</v>
      </c>
      <c r="N1497" s="39">
        <v>0</v>
      </c>
      <c r="O1497" s="39">
        <v>0</v>
      </c>
      <c r="P1497" s="39">
        <v>0</v>
      </c>
      <c r="Q1497" s="39">
        <v>0</v>
      </c>
      <c r="R1497" s="39">
        <v>0</v>
      </c>
      <c r="S1497" s="39">
        <v>0</v>
      </c>
      <c r="T1497" s="39">
        <v>0</v>
      </c>
      <c r="U1497" s="39">
        <v>0</v>
      </c>
      <c r="V1497" s="39">
        <v>0</v>
      </c>
      <c r="W1497" s="39">
        <v>0</v>
      </c>
      <c r="X1497" s="39">
        <v>0</v>
      </c>
      <c r="Y1497" s="39">
        <v>0</v>
      </c>
      <c r="Z1497" s="39">
        <v>0</v>
      </c>
      <c r="AA1497" s="39">
        <v>0</v>
      </c>
      <c r="AB1497" s="39">
        <v>0</v>
      </c>
      <c r="AC1497" s="39">
        <v>0</v>
      </c>
      <c r="AD1497" s="39">
        <v>0</v>
      </c>
      <c r="AE1497" s="39">
        <v>0</v>
      </c>
      <c r="AF1497" s="39">
        <v>0</v>
      </c>
      <c r="AG1497" s="39">
        <v>0</v>
      </c>
      <c r="AH1497" s="39">
        <v>0</v>
      </c>
      <c r="AI1497" s="39">
        <v>1998.07</v>
      </c>
      <c r="AJ1497" s="39">
        <v>1974.62</v>
      </c>
      <c r="AK1497" s="39">
        <v>1980.23</v>
      </c>
      <c r="AL1497" s="39">
        <v>0</v>
      </c>
      <c r="AM1497" s="39">
        <v>0</v>
      </c>
      <c r="AN1497" s="39">
        <v>0</v>
      </c>
      <c r="AO1497" s="39">
        <v>1998.07</v>
      </c>
      <c r="AP1497" s="39">
        <v>1974.62</v>
      </c>
      <c r="AQ1497" s="39">
        <v>1980.23</v>
      </c>
      <c r="AR1497" s="39">
        <v>1998.07</v>
      </c>
    </row>
    <row r="1498" spans="1:44" x14ac:dyDescent="0.35">
      <c r="A1498" s="16" t="str">
        <f t="shared" si="122"/>
        <v>44</v>
      </c>
      <c r="B1498" s="19">
        <v>69732</v>
      </c>
      <c r="C1498" s="16" t="str">
        <f t="shared" si="121"/>
        <v>0000000</v>
      </c>
      <c r="D1498" s="17" t="s">
        <v>3663</v>
      </c>
      <c r="E1498" s="16" t="s">
        <v>2855</v>
      </c>
      <c r="F1498" s="16" t="s">
        <v>2851</v>
      </c>
      <c r="G1498" s="35" t="s">
        <v>2856</v>
      </c>
      <c r="H1498" s="39">
        <v>86.02</v>
      </c>
      <c r="I1498" s="39">
        <v>87.86</v>
      </c>
      <c r="J1498" s="39">
        <v>102.31</v>
      </c>
      <c r="K1498" s="39">
        <v>0</v>
      </c>
      <c r="L1498" s="39">
        <v>0</v>
      </c>
      <c r="M1498" s="39">
        <v>0</v>
      </c>
      <c r="N1498" s="39">
        <v>0</v>
      </c>
      <c r="O1498" s="39">
        <v>0</v>
      </c>
      <c r="P1498" s="39">
        <v>0</v>
      </c>
      <c r="Q1498" s="39">
        <v>0</v>
      </c>
      <c r="R1498" s="39">
        <v>0</v>
      </c>
      <c r="S1498" s="39">
        <v>0</v>
      </c>
      <c r="T1498" s="39">
        <v>0</v>
      </c>
      <c r="U1498" s="39">
        <v>0</v>
      </c>
      <c r="V1498" s="39">
        <v>0</v>
      </c>
      <c r="W1498" s="39">
        <v>0</v>
      </c>
      <c r="X1498" s="39">
        <v>0</v>
      </c>
      <c r="Y1498" s="39">
        <v>0</v>
      </c>
      <c r="Z1498" s="39">
        <v>0</v>
      </c>
      <c r="AA1498" s="39">
        <v>0</v>
      </c>
      <c r="AB1498" s="39">
        <v>0</v>
      </c>
      <c r="AC1498" s="39">
        <v>0</v>
      </c>
      <c r="AD1498" s="39">
        <v>0</v>
      </c>
      <c r="AE1498" s="39">
        <v>0</v>
      </c>
      <c r="AF1498" s="39">
        <v>0</v>
      </c>
      <c r="AG1498" s="39">
        <v>0</v>
      </c>
      <c r="AH1498" s="39">
        <v>0</v>
      </c>
      <c r="AI1498" s="39">
        <v>86.02</v>
      </c>
      <c r="AJ1498" s="39">
        <v>87.86</v>
      </c>
      <c r="AK1498" s="39">
        <v>102.31</v>
      </c>
      <c r="AL1498" s="39">
        <v>0</v>
      </c>
      <c r="AM1498" s="39">
        <v>0</v>
      </c>
      <c r="AN1498" s="39">
        <v>0</v>
      </c>
      <c r="AO1498" s="39">
        <v>86.02</v>
      </c>
      <c r="AP1498" s="39">
        <v>87.86</v>
      </c>
      <c r="AQ1498" s="39">
        <v>102.31</v>
      </c>
      <c r="AR1498" s="39">
        <v>102.31</v>
      </c>
    </row>
    <row r="1499" spans="1:44" x14ac:dyDescent="0.35">
      <c r="A1499" s="16" t="str">
        <f t="shared" si="122"/>
        <v>44</v>
      </c>
      <c r="B1499" s="19">
        <v>69757</v>
      </c>
      <c r="C1499" s="16" t="str">
        <f t="shared" si="121"/>
        <v>0000000</v>
      </c>
      <c r="D1499" s="17" t="s">
        <v>3663</v>
      </c>
      <c r="E1499" s="16" t="s">
        <v>2857</v>
      </c>
      <c r="F1499" s="16" t="s">
        <v>2851</v>
      </c>
      <c r="G1499" s="35" t="s">
        <v>2858</v>
      </c>
      <c r="H1499" s="39">
        <v>101.36</v>
      </c>
      <c r="I1499" s="39">
        <v>115.48</v>
      </c>
      <c r="J1499" s="39">
        <v>109.38</v>
      </c>
      <c r="K1499" s="39">
        <v>0</v>
      </c>
      <c r="L1499" s="39">
        <v>0</v>
      </c>
      <c r="M1499" s="39">
        <v>0</v>
      </c>
      <c r="N1499" s="39">
        <v>0</v>
      </c>
      <c r="O1499" s="39">
        <v>0</v>
      </c>
      <c r="P1499" s="39">
        <v>0</v>
      </c>
      <c r="Q1499" s="39">
        <v>0</v>
      </c>
      <c r="R1499" s="39">
        <v>0</v>
      </c>
      <c r="S1499" s="39">
        <v>0</v>
      </c>
      <c r="T1499" s="39">
        <v>0</v>
      </c>
      <c r="U1499" s="39">
        <v>0</v>
      </c>
      <c r="V1499" s="39">
        <v>0</v>
      </c>
      <c r="W1499" s="39">
        <v>0</v>
      </c>
      <c r="X1499" s="39">
        <v>0</v>
      </c>
      <c r="Y1499" s="39">
        <v>0</v>
      </c>
      <c r="Z1499" s="39">
        <v>0</v>
      </c>
      <c r="AA1499" s="39">
        <v>0</v>
      </c>
      <c r="AB1499" s="39">
        <v>0</v>
      </c>
      <c r="AC1499" s="39">
        <v>0</v>
      </c>
      <c r="AD1499" s="39">
        <v>0</v>
      </c>
      <c r="AE1499" s="39">
        <v>0</v>
      </c>
      <c r="AF1499" s="39">
        <v>0</v>
      </c>
      <c r="AG1499" s="39">
        <v>0</v>
      </c>
      <c r="AH1499" s="39">
        <v>0</v>
      </c>
      <c r="AI1499" s="39">
        <v>101.36</v>
      </c>
      <c r="AJ1499" s="39">
        <v>115.48</v>
      </c>
      <c r="AK1499" s="39">
        <v>109.38</v>
      </c>
      <c r="AL1499" s="39">
        <v>0</v>
      </c>
      <c r="AM1499" s="39">
        <v>0</v>
      </c>
      <c r="AN1499" s="39">
        <v>0</v>
      </c>
      <c r="AO1499" s="39">
        <v>101.36</v>
      </c>
      <c r="AP1499" s="39">
        <v>115.48</v>
      </c>
      <c r="AQ1499" s="39">
        <v>109.38</v>
      </c>
      <c r="AR1499" s="39">
        <v>115.48</v>
      </c>
    </row>
    <row r="1500" spans="1:44" x14ac:dyDescent="0.35">
      <c r="A1500" s="16" t="str">
        <f t="shared" si="122"/>
        <v>44</v>
      </c>
      <c r="B1500" s="19">
        <v>69773</v>
      </c>
      <c r="C1500" s="16" t="str">
        <f t="shared" si="121"/>
        <v>0000000</v>
      </c>
      <c r="D1500" s="17" t="s">
        <v>3663</v>
      </c>
      <c r="E1500" s="16" t="s">
        <v>2861</v>
      </c>
      <c r="F1500" s="16" t="s">
        <v>2851</v>
      </c>
      <c r="G1500" s="35" t="s">
        <v>2862</v>
      </c>
      <c r="H1500" s="39">
        <v>136.53</v>
      </c>
      <c r="I1500" s="39">
        <v>152.16999999999999</v>
      </c>
      <c r="J1500" s="39">
        <v>146.05000000000001</v>
      </c>
      <c r="K1500" s="39">
        <v>0</v>
      </c>
      <c r="L1500" s="39">
        <v>0</v>
      </c>
      <c r="M1500" s="39">
        <v>0</v>
      </c>
      <c r="N1500" s="39">
        <v>0</v>
      </c>
      <c r="O1500" s="39">
        <v>0</v>
      </c>
      <c r="P1500" s="39">
        <v>0</v>
      </c>
      <c r="Q1500" s="39">
        <v>0</v>
      </c>
      <c r="R1500" s="39">
        <v>0</v>
      </c>
      <c r="S1500" s="39">
        <v>0</v>
      </c>
      <c r="T1500" s="39">
        <v>0</v>
      </c>
      <c r="U1500" s="39">
        <v>0</v>
      </c>
      <c r="V1500" s="39">
        <v>0</v>
      </c>
      <c r="W1500" s="39">
        <v>0</v>
      </c>
      <c r="X1500" s="39">
        <v>0</v>
      </c>
      <c r="Y1500" s="39">
        <v>0</v>
      </c>
      <c r="Z1500" s="39">
        <v>0</v>
      </c>
      <c r="AA1500" s="39">
        <v>0</v>
      </c>
      <c r="AB1500" s="39">
        <v>0</v>
      </c>
      <c r="AC1500" s="39">
        <v>0</v>
      </c>
      <c r="AD1500" s="39">
        <v>0</v>
      </c>
      <c r="AE1500" s="39">
        <v>0</v>
      </c>
      <c r="AF1500" s="39">
        <v>0</v>
      </c>
      <c r="AG1500" s="39">
        <v>0</v>
      </c>
      <c r="AH1500" s="39">
        <v>0</v>
      </c>
      <c r="AI1500" s="39">
        <v>136.53</v>
      </c>
      <c r="AJ1500" s="39">
        <v>152.16999999999999</v>
      </c>
      <c r="AK1500" s="39">
        <v>146.05000000000001</v>
      </c>
      <c r="AL1500" s="39">
        <v>0</v>
      </c>
      <c r="AM1500" s="39">
        <v>0</v>
      </c>
      <c r="AN1500" s="39">
        <v>0</v>
      </c>
      <c r="AO1500" s="39">
        <v>136.53</v>
      </c>
      <c r="AP1500" s="39">
        <v>152.16999999999999</v>
      </c>
      <c r="AQ1500" s="39">
        <v>146.05000000000001</v>
      </c>
      <c r="AR1500" s="39">
        <v>152.16999999999999</v>
      </c>
    </row>
    <row r="1501" spans="1:44" x14ac:dyDescent="0.35">
      <c r="A1501" s="16" t="str">
        <f t="shared" si="122"/>
        <v>44</v>
      </c>
      <c r="B1501" s="19">
        <v>69781</v>
      </c>
      <c r="C1501" s="16" t="str">
        <f t="shared" si="121"/>
        <v>0000000</v>
      </c>
      <c r="D1501" s="17" t="s">
        <v>3663</v>
      </c>
      <c r="E1501" s="16" t="s">
        <v>2863</v>
      </c>
      <c r="F1501" s="16" t="s">
        <v>2851</v>
      </c>
      <c r="G1501" s="35" t="s">
        <v>2864</v>
      </c>
      <c r="H1501" s="39">
        <v>158.26</v>
      </c>
      <c r="I1501" s="39">
        <v>153.62</v>
      </c>
      <c r="J1501" s="39">
        <v>140.83000000000001</v>
      </c>
      <c r="K1501" s="39">
        <v>0</v>
      </c>
      <c r="L1501" s="39">
        <v>0</v>
      </c>
      <c r="M1501" s="39">
        <v>0</v>
      </c>
      <c r="N1501" s="39">
        <v>0</v>
      </c>
      <c r="O1501" s="39">
        <v>0</v>
      </c>
      <c r="P1501" s="39">
        <v>0</v>
      </c>
      <c r="Q1501" s="39">
        <v>0</v>
      </c>
      <c r="R1501" s="39">
        <v>0</v>
      </c>
      <c r="S1501" s="39">
        <v>0</v>
      </c>
      <c r="T1501" s="39">
        <v>0</v>
      </c>
      <c r="U1501" s="39">
        <v>0</v>
      </c>
      <c r="V1501" s="39">
        <v>0</v>
      </c>
      <c r="W1501" s="39">
        <v>0</v>
      </c>
      <c r="X1501" s="39">
        <v>0</v>
      </c>
      <c r="Y1501" s="39">
        <v>0</v>
      </c>
      <c r="Z1501" s="39">
        <v>0</v>
      </c>
      <c r="AA1501" s="39">
        <v>0</v>
      </c>
      <c r="AB1501" s="39">
        <v>0</v>
      </c>
      <c r="AC1501" s="39">
        <v>0</v>
      </c>
      <c r="AD1501" s="39">
        <v>0</v>
      </c>
      <c r="AE1501" s="39">
        <v>0</v>
      </c>
      <c r="AF1501" s="39">
        <v>0</v>
      </c>
      <c r="AG1501" s="39">
        <v>0</v>
      </c>
      <c r="AH1501" s="39">
        <v>0</v>
      </c>
      <c r="AI1501" s="39">
        <v>158.26</v>
      </c>
      <c r="AJ1501" s="39">
        <v>153.62</v>
      </c>
      <c r="AK1501" s="39">
        <v>140.83000000000001</v>
      </c>
      <c r="AL1501" s="39">
        <v>0</v>
      </c>
      <c r="AM1501" s="39">
        <v>0</v>
      </c>
      <c r="AN1501" s="39">
        <v>0</v>
      </c>
      <c r="AO1501" s="39">
        <v>158.26</v>
      </c>
      <c r="AP1501" s="39">
        <v>153.62</v>
      </c>
      <c r="AQ1501" s="39">
        <v>140.83000000000001</v>
      </c>
      <c r="AR1501" s="39">
        <v>158.26</v>
      </c>
    </row>
    <row r="1502" spans="1:44" x14ac:dyDescent="0.35">
      <c r="A1502" s="16" t="str">
        <f t="shared" si="122"/>
        <v>44</v>
      </c>
      <c r="B1502" s="19">
        <v>10447</v>
      </c>
      <c r="C1502" s="16" t="str">
        <f>TEXT(4430252,"0000000")</f>
        <v>4430252</v>
      </c>
      <c r="D1502" s="17" t="s">
        <v>2854</v>
      </c>
      <c r="E1502" s="16" t="s">
        <v>2852</v>
      </c>
      <c r="F1502" s="16" t="s">
        <v>2851</v>
      </c>
      <c r="G1502" s="35" t="s">
        <v>2853</v>
      </c>
      <c r="H1502" s="39">
        <v>0</v>
      </c>
      <c r="I1502" s="39">
        <v>0</v>
      </c>
      <c r="J1502" s="39">
        <v>0</v>
      </c>
      <c r="K1502" s="39">
        <v>0</v>
      </c>
      <c r="L1502" s="39">
        <v>0</v>
      </c>
      <c r="M1502" s="39">
        <v>0</v>
      </c>
      <c r="N1502" s="39">
        <v>0</v>
      </c>
      <c r="O1502" s="39">
        <v>0</v>
      </c>
      <c r="P1502" s="39">
        <v>0</v>
      </c>
      <c r="Q1502" s="39">
        <v>0</v>
      </c>
      <c r="R1502" s="39">
        <v>0</v>
      </c>
      <c r="S1502" s="39">
        <v>0</v>
      </c>
      <c r="T1502" s="39">
        <v>0</v>
      </c>
      <c r="U1502" s="39">
        <v>0</v>
      </c>
      <c r="V1502" s="39">
        <v>0</v>
      </c>
      <c r="W1502" s="39">
        <v>0</v>
      </c>
      <c r="X1502" s="39">
        <v>0</v>
      </c>
      <c r="Y1502" s="39">
        <v>0</v>
      </c>
      <c r="Z1502" s="39">
        <v>0</v>
      </c>
      <c r="AA1502" s="39">
        <v>0</v>
      </c>
      <c r="AB1502" s="39">
        <v>0</v>
      </c>
      <c r="AC1502" s="39">
        <v>505.37</v>
      </c>
      <c r="AD1502" s="39">
        <v>510.93</v>
      </c>
      <c r="AE1502" s="39">
        <v>499.81</v>
      </c>
      <c r="AF1502" s="39">
        <v>0</v>
      </c>
      <c r="AG1502" s="39">
        <v>0</v>
      </c>
      <c r="AH1502" s="39">
        <v>0</v>
      </c>
      <c r="AI1502" s="39">
        <v>505.37</v>
      </c>
      <c r="AJ1502" s="39">
        <v>510.93</v>
      </c>
      <c r="AK1502" s="39">
        <v>499.81</v>
      </c>
      <c r="AL1502" s="39">
        <v>0</v>
      </c>
      <c r="AM1502" s="39">
        <v>0</v>
      </c>
      <c r="AN1502" s="39">
        <v>0</v>
      </c>
      <c r="AO1502" s="39">
        <v>505.37</v>
      </c>
      <c r="AP1502" s="39">
        <v>510.93</v>
      </c>
      <c r="AQ1502" s="39">
        <v>499.81</v>
      </c>
      <c r="AR1502" s="39">
        <v>510.93</v>
      </c>
    </row>
    <row r="1503" spans="1:44" x14ac:dyDescent="0.35">
      <c r="A1503" s="16" t="str">
        <f t="shared" si="122"/>
        <v>44</v>
      </c>
      <c r="B1503" s="19">
        <v>69823</v>
      </c>
      <c r="C1503" s="16" t="str">
        <f>TEXT(4430187,"0000000")</f>
        <v>4430187</v>
      </c>
      <c r="D1503" s="17" t="s">
        <v>2876</v>
      </c>
      <c r="E1503" s="16" t="s">
        <v>2875</v>
      </c>
      <c r="F1503" s="16" t="s">
        <v>2851</v>
      </c>
      <c r="G1503" s="35" t="s">
        <v>2459</v>
      </c>
      <c r="H1503" s="39">
        <v>0</v>
      </c>
      <c r="I1503" s="39">
        <v>0</v>
      </c>
      <c r="J1503" s="39">
        <v>0</v>
      </c>
      <c r="K1503" s="39">
        <v>0</v>
      </c>
      <c r="L1503" s="39">
        <v>0</v>
      </c>
      <c r="M1503" s="39">
        <v>0</v>
      </c>
      <c r="N1503" s="39">
        <v>0</v>
      </c>
      <c r="O1503" s="39">
        <v>0</v>
      </c>
      <c r="P1503" s="39">
        <v>0</v>
      </c>
      <c r="Q1503" s="39">
        <v>0</v>
      </c>
      <c r="R1503" s="39">
        <v>0</v>
      </c>
      <c r="S1503" s="39">
        <v>0</v>
      </c>
      <c r="T1503" s="39">
        <v>0</v>
      </c>
      <c r="U1503" s="39">
        <v>0</v>
      </c>
      <c r="V1503" s="39">
        <v>0</v>
      </c>
      <c r="W1503" s="39">
        <v>0</v>
      </c>
      <c r="X1503" s="39">
        <v>0</v>
      </c>
      <c r="Y1503" s="39">
        <v>0</v>
      </c>
      <c r="Z1503" s="39">
        <v>0</v>
      </c>
      <c r="AA1503" s="39">
        <v>0</v>
      </c>
      <c r="AB1503" s="39">
        <v>0</v>
      </c>
      <c r="AC1503" s="39">
        <v>103.58</v>
      </c>
      <c r="AD1503" s="39">
        <v>107.08</v>
      </c>
      <c r="AE1503" s="39">
        <v>103.47</v>
      </c>
      <c r="AF1503" s="39">
        <v>0</v>
      </c>
      <c r="AG1503" s="39">
        <v>0</v>
      </c>
      <c r="AH1503" s="39">
        <v>0</v>
      </c>
      <c r="AI1503" s="39">
        <v>103.58</v>
      </c>
      <c r="AJ1503" s="39">
        <v>107.08</v>
      </c>
      <c r="AK1503" s="39">
        <v>103.47</v>
      </c>
      <c r="AL1503" s="39">
        <v>0</v>
      </c>
      <c r="AM1503" s="39">
        <v>0</v>
      </c>
      <c r="AN1503" s="39">
        <v>0</v>
      </c>
      <c r="AO1503" s="39">
        <v>103.58</v>
      </c>
      <c r="AP1503" s="39">
        <v>107.08</v>
      </c>
      <c r="AQ1503" s="39">
        <v>103.47</v>
      </c>
      <c r="AR1503" s="39">
        <v>107.08</v>
      </c>
    </row>
    <row r="1504" spans="1:44" x14ac:dyDescent="0.35">
      <c r="A1504" s="16" t="str">
        <f>TEXT(15,"00")</f>
        <v>15</v>
      </c>
      <c r="B1504" s="19">
        <v>73742</v>
      </c>
      <c r="C1504" s="16" t="str">
        <f>TEXT(,"0000000")</f>
        <v>0000000</v>
      </c>
      <c r="D1504" s="17" t="s">
        <v>3663</v>
      </c>
      <c r="E1504" s="16" t="s">
        <v>747</v>
      </c>
      <c r="F1504" s="16" t="s">
        <v>748</v>
      </c>
      <c r="G1504" s="35" t="s">
        <v>748</v>
      </c>
      <c r="H1504" s="39">
        <v>4538.1899999999996</v>
      </c>
      <c r="I1504" s="39">
        <v>4699.3999999999996</v>
      </c>
      <c r="J1504" s="39">
        <v>4679.5200000000004</v>
      </c>
      <c r="K1504" s="39">
        <v>0</v>
      </c>
      <c r="L1504" s="39">
        <v>0</v>
      </c>
      <c r="M1504" s="39">
        <v>0</v>
      </c>
      <c r="N1504" s="39">
        <v>0</v>
      </c>
      <c r="O1504" s="39">
        <v>0</v>
      </c>
      <c r="P1504" s="39">
        <v>0</v>
      </c>
      <c r="Q1504" s="39">
        <v>0</v>
      </c>
      <c r="R1504" s="39">
        <v>0</v>
      </c>
      <c r="S1504" s="39">
        <v>0</v>
      </c>
      <c r="T1504" s="39">
        <v>0</v>
      </c>
      <c r="U1504" s="39">
        <v>0</v>
      </c>
      <c r="V1504" s="39">
        <v>0</v>
      </c>
      <c r="W1504" s="39">
        <v>0</v>
      </c>
      <c r="X1504" s="39">
        <v>0</v>
      </c>
      <c r="Y1504" s="39">
        <v>0</v>
      </c>
      <c r="Z1504" s="39">
        <v>0</v>
      </c>
      <c r="AA1504" s="39">
        <v>0</v>
      </c>
      <c r="AB1504" s="39">
        <v>0</v>
      </c>
      <c r="AC1504" s="39">
        <v>0</v>
      </c>
      <c r="AD1504" s="39">
        <v>0</v>
      </c>
      <c r="AE1504" s="39">
        <v>0</v>
      </c>
      <c r="AF1504" s="39">
        <v>0</v>
      </c>
      <c r="AG1504" s="39">
        <v>0</v>
      </c>
      <c r="AH1504" s="39">
        <v>0</v>
      </c>
      <c r="AI1504" s="39">
        <v>4538.1899999999996</v>
      </c>
      <c r="AJ1504" s="39">
        <v>4699.3999999999996</v>
      </c>
      <c r="AK1504" s="39">
        <v>4679.5200000000004</v>
      </c>
      <c r="AL1504" s="39">
        <v>0</v>
      </c>
      <c r="AM1504" s="39">
        <v>0</v>
      </c>
      <c r="AN1504" s="39">
        <v>0</v>
      </c>
      <c r="AO1504" s="39">
        <v>4538.1899999999996</v>
      </c>
      <c r="AP1504" s="39">
        <v>4699.3999999999996</v>
      </c>
      <c r="AQ1504" s="39">
        <v>4679.5200000000004</v>
      </c>
      <c r="AR1504" s="39">
        <v>4699.3999999999996</v>
      </c>
    </row>
    <row r="1505" spans="1:44" x14ac:dyDescent="0.35">
      <c r="A1505" s="16" t="str">
        <f>TEXT(49,"00")</f>
        <v>49</v>
      </c>
      <c r="B1505" s="19">
        <v>10496</v>
      </c>
      <c r="C1505" s="16" t="str">
        <f>TEXT(,"0000000")</f>
        <v>0000000</v>
      </c>
      <c r="D1505" s="17" t="s">
        <v>3663</v>
      </c>
      <c r="E1505" s="16" t="s">
        <v>20</v>
      </c>
      <c r="F1505" s="16" t="s">
        <v>21</v>
      </c>
      <c r="G1505" s="35" t="s">
        <v>21</v>
      </c>
      <c r="H1505" s="39">
        <v>0</v>
      </c>
      <c r="I1505" s="39">
        <v>0</v>
      </c>
      <c r="J1505" s="39">
        <v>0</v>
      </c>
      <c r="K1505" s="39">
        <v>0</v>
      </c>
      <c r="L1505" s="39">
        <v>0</v>
      </c>
      <c r="M1505" s="39">
        <v>0</v>
      </c>
      <c r="N1505" s="39">
        <v>0</v>
      </c>
      <c r="O1505" s="39">
        <v>0</v>
      </c>
      <c r="P1505" s="39">
        <v>0</v>
      </c>
      <c r="Q1505" s="39">
        <v>0</v>
      </c>
      <c r="R1505" s="39">
        <v>0</v>
      </c>
      <c r="S1505" s="39">
        <v>0</v>
      </c>
      <c r="T1505" s="39">
        <v>0</v>
      </c>
      <c r="U1505" s="39">
        <v>0</v>
      </c>
      <c r="V1505" s="39">
        <v>0</v>
      </c>
      <c r="W1505" s="39">
        <v>0</v>
      </c>
      <c r="X1505" s="39">
        <v>0</v>
      </c>
      <c r="Y1505" s="39">
        <v>0</v>
      </c>
      <c r="Z1505" s="39">
        <v>0</v>
      </c>
      <c r="AA1505" s="39">
        <v>0</v>
      </c>
      <c r="AB1505" s="39">
        <v>0</v>
      </c>
      <c r="AC1505" s="39">
        <v>0</v>
      </c>
      <c r="AD1505" s="39">
        <v>0</v>
      </c>
      <c r="AE1505" s="39">
        <v>0</v>
      </c>
      <c r="AF1505" s="39">
        <v>0</v>
      </c>
      <c r="AG1505" s="39">
        <v>0</v>
      </c>
      <c r="AH1505" s="39">
        <v>0</v>
      </c>
      <c r="AI1505" s="39">
        <v>0</v>
      </c>
      <c r="AJ1505" s="39">
        <v>0</v>
      </c>
      <c r="AK1505" s="39">
        <v>0</v>
      </c>
      <c r="AL1505" s="39">
        <v>0</v>
      </c>
      <c r="AM1505" s="39">
        <v>0</v>
      </c>
      <c r="AN1505" s="39">
        <v>0</v>
      </c>
      <c r="AO1505" s="39">
        <v>0</v>
      </c>
      <c r="AP1505" s="39">
        <v>0</v>
      </c>
      <c r="AQ1505" s="39">
        <v>0</v>
      </c>
      <c r="AR1505" s="39">
        <v>0</v>
      </c>
    </row>
    <row r="1506" spans="1:44" x14ac:dyDescent="0.35">
      <c r="A1506" s="16" t="str">
        <f>TEXT(1,"00")</f>
        <v>01</v>
      </c>
      <c r="B1506" s="19">
        <v>10017</v>
      </c>
      <c r="C1506" s="16" t="str">
        <f>TEXT(131581,"0000000")</f>
        <v>0131581</v>
      </c>
      <c r="D1506" s="19">
        <v>1707</v>
      </c>
      <c r="E1506" s="16" t="s">
        <v>22</v>
      </c>
      <c r="F1506" s="16" t="s">
        <v>21</v>
      </c>
      <c r="G1506" s="35" t="s">
        <v>23</v>
      </c>
      <c r="H1506" s="39">
        <v>0</v>
      </c>
      <c r="I1506" s="39">
        <v>0</v>
      </c>
      <c r="J1506" s="39">
        <v>0</v>
      </c>
      <c r="K1506" s="39">
        <v>0</v>
      </c>
      <c r="L1506" s="39">
        <v>0</v>
      </c>
      <c r="M1506" s="39">
        <v>0</v>
      </c>
      <c r="N1506" s="39">
        <v>0</v>
      </c>
      <c r="O1506" s="39">
        <v>0</v>
      </c>
      <c r="P1506" s="39">
        <v>0</v>
      </c>
      <c r="Q1506" s="39">
        <v>0</v>
      </c>
      <c r="R1506" s="39">
        <v>0</v>
      </c>
      <c r="S1506" s="39">
        <v>0</v>
      </c>
      <c r="T1506" s="39">
        <v>0</v>
      </c>
      <c r="U1506" s="39">
        <v>0</v>
      </c>
      <c r="V1506" s="39">
        <v>0</v>
      </c>
      <c r="W1506" s="39">
        <v>0</v>
      </c>
      <c r="X1506" s="39">
        <v>0</v>
      </c>
      <c r="Y1506" s="39">
        <v>0</v>
      </c>
      <c r="Z1506" s="39">
        <v>0</v>
      </c>
      <c r="AA1506" s="39">
        <v>0</v>
      </c>
      <c r="AB1506" s="39">
        <v>0</v>
      </c>
      <c r="AC1506" s="39">
        <v>125.14</v>
      </c>
      <c r="AD1506" s="39">
        <v>117.92</v>
      </c>
      <c r="AE1506" s="39">
        <v>96.3</v>
      </c>
      <c r="AF1506" s="39">
        <v>0</v>
      </c>
      <c r="AG1506" s="39">
        <v>0</v>
      </c>
      <c r="AH1506" s="39">
        <v>0</v>
      </c>
      <c r="AI1506" s="39">
        <v>125.14</v>
      </c>
      <c r="AJ1506" s="39">
        <v>117.92</v>
      </c>
      <c r="AK1506" s="39">
        <v>96.3</v>
      </c>
      <c r="AL1506" s="39">
        <v>0</v>
      </c>
      <c r="AM1506" s="39">
        <v>0</v>
      </c>
      <c r="AN1506" s="39">
        <v>0</v>
      </c>
      <c r="AO1506" s="39">
        <v>125.14</v>
      </c>
      <c r="AP1506" s="39">
        <v>117.92</v>
      </c>
      <c r="AQ1506" s="39">
        <v>96.3</v>
      </c>
      <c r="AR1506" s="39">
        <v>125.14</v>
      </c>
    </row>
    <row r="1507" spans="1:44" x14ac:dyDescent="0.35">
      <c r="A1507" s="16" t="str">
        <f>TEXT(1,"00")</f>
        <v>01</v>
      </c>
      <c r="B1507" s="19">
        <v>61119</v>
      </c>
      <c r="C1507" s="16" t="str">
        <f>TEXT(122085,"0000000")</f>
        <v>0122085</v>
      </c>
      <c r="D1507" s="19">
        <v>1181</v>
      </c>
      <c r="E1507" s="16" t="s">
        <v>41</v>
      </c>
      <c r="F1507" s="16" t="s">
        <v>21</v>
      </c>
      <c r="G1507" s="35" t="s">
        <v>42</v>
      </c>
      <c r="H1507" s="39">
        <v>0</v>
      </c>
      <c r="I1507" s="39">
        <v>0</v>
      </c>
      <c r="J1507" s="39">
        <v>0</v>
      </c>
      <c r="K1507" s="39">
        <v>0</v>
      </c>
      <c r="L1507" s="39">
        <v>0</v>
      </c>
      <c r="M1507" s="39">
        <v>0</v>
      </c>
      <c r="N1507" s="39">
        <v>0</v>
      </c>
      <c r="O1507" s="39">
        <v>0</v>
      </c>
      <c r="P1507" s="39">
        <v>0</v>
      </c>
      <c r="Q1507" s="39">
        <v>0</v>
      </c>
      <c r="R1507" s="39">
        <v>0</v>
      </c>
      <c r="S1507" s="39">
        <v>0</v>
      </c>
      <c r="T1507" s="39">
        <v>0</v>
      </c>
      <c r="U1507" s="39">
        <v>0</v>
      </c>
      <c r="V1507" s="39">
        <v>0</v>
      </c>
      <c r="W1507" s="39">
        <v>0</v>
      </c>
      <c r="X1507" s="39">
        <v>0</v>
      </c>
      <c r="Y1507" s="39">
        <v>0</v>
      </c>
      <c r="Z1507" s="39">
        <v>0</v>
      </c>
      <c r="AA1507" s="39">
        <v>0</v>
      </c>
      <c r="AB1507" s="39">
        <v>0</v>
      </c>
      <c r="AC1507" s="39">
        <v>592.58000000000004</v>
      </c>
      <c r="AD1507" s="39">
        <v>578.39</v>
      </c>
      <c r="AE1507" s="39">
        <v>564.72</v>
      </c>
      <c r="AF1507" s="39">
        <v>0</v>
      </c>
      <c r="AG1507" s="39">
        <v>0</v>
      </c>
      <c r="AH1507" s="39">
        <v>0</v>
      </c>
      <c r="AI1507" s="39">
        <v>592.58000000000004</v>
      </c>
      <c r="AJ1507" s="39">
        <v>578.39</v>
      </c>
      <c r="AK1507" s="39">
        <v>564.72</v>
      </c>
      <c r="AL1507" s="39">
        <v>0</v>
      </c>
      <c r="AM1507" s="39">
        <v>0</v>
      </c>
      <c r="AN1507" s="39">
        <v>0</v>
      </c>
      <c r="AO1507" s="39">
        <v>592.58000000000004</v>
      </c>
      <c r="AP1507" s="39">
        <v>578.39</v>
      </c>
      <c r="AQ1507" s="39">
        <v>564.72</v>
      </c>
      <c r="AR1507" s="39">
        <v>592.58000000000004</v>
      </c>
    </row>
    <row r="1508" spans="1:44" x14ac:dyDescent="0.35">
      <c r="A1508" s="16" t="str">
        <f>TEXT(1,"00")</f>
        <v>01</v>
      </c>
      <c r="B1508" s="19">
        <v>61192</v>
      </c>
      <c r="C1508" s="16" t="str">
        <f>TEXT(127944,"0000000")</f>
        <v>0127944</v>
      </c>
      <c r="D1508" s="19">
        <v>1543</v>
      </c>
      <c r="E1508" s="16" t="s">
        <v>61</v>
      </c>
      <c r="F1508" s="16" t="s">
        <v>21</v>
      </c>
      <c r="G1508" s="35" t="s">
        <v>62</v>
      </c>
      <c r="H1508" s="39">
        <v>0</v>
      </c>
      <c r="I1508" s="39">
        <v>0</v>
      </c>
      <c r="J1508" s="39">
        <v>0</v>
      </c>
      <c r="K1508" s="39">
        <v>0</v>
      </c>
      <c r="L1508" s="39">
        <v>0</v>
      </c>
      <c r="M1508" s="39">
        <v>0</v>
      </c>
      <c r="N1508" s="39">
        <v>0</v>
      </c>
      <c r="O1508" s="39">
        <v>0</v>
      </c>
      <c r="P1508" s="39">
        <v>0</v>
      </c>
      <c r="Q1508" s="39">
        <v>0</v>
      </c>
      <c r="R1508" s="39">
        <v>0</v>
      </c>
      <c r="S1508" s="39">
        <v>0</v>
      </c>
      <c r="T1508" s="39">
        <v>0</v>
      </c>
      <c r="U1508" s="39">
        <v>0</v>
      </c>
      <c r="V1508" s="39">
        <v>0</v>
      </c>
      <c r="W1508" s="39">
        <v>0</v>
      </c>
      <c r="X1508" s="39">
        <v>0</v>
      </c>
      <c r="Y1508" s="39">
        <v>0</v>
      </c>
      <c r="Z1508" s="39">
        <v>0</v>
      </c>
      <c r="AA1508" s="39">
        <v>0</v>
      </c>
      <c r="AB1508" s="39">
        <v>0</v>
      </c>
      <c r="AC1508" s="39">
        <v>606.66</v>
      </c>
      <c r="AD1508" s="39">
        <v>557.20000000000005</v>
      </c>
      <c r="AE1508" s="39">
        <v>510.28</v>
      </c>
      <c r="AF1508" s="39">
        <v>0</v>
      </c>
      <c r="AG1508" s="39">
        <v>0</v>
      </c>
      <c r="AH1508" s="39">
        <v>0</v>
      </c>
      <c r="AI1508" s="39">
        <v>606.66</v>
      </c>
      <c r="AJ1508" s="39">
        <v>557.20000000000005</v>
      </c>
      <c r="AK1508" s="39">
        <v>510.28</v>
      </c>
      <c r="AL1508" s="39">
        <v>0</v>
      </c>
      <c r="AM1508" s="39">
        <v>0</v>
      </c>
      <c r="AN1508" s="39">
        <v>0</v>
      </c>
      <c r="AO1508" s="39">
        <v>606.66</v>
      </c>
      <c r="AP1508" s="39">
        <v>557.20000000000005</v>
      </c>
      <c r="AQ1508" s="39">
        <v>510.28</v>
      </c>
      <c r="AR1508" s="39">
        <v>606.66</v>
      </c>
    </row>
    <row r="1509" spans="1:44" x14ac:dyDescent="0.35">
      <c r="A1509" s="16" t="str">
        <f>TEXT(1,"00")</f>
        <v>01</v>
      </c>
      <c r="B1509" s="19">
        <v>61259</v>
      </c>
      <c r="C1509" s="16" t="str">
        <f>TEXT(100065,"0000000")</f>
        <v>0100065</v>
      </c>
      <c r="D1509" s="17" t="s">
        <v>78</v>
      </c>
      <c r="E1509" s="16" t="s">
        <v>76</v>
      </c>
      <c r="F1509" s="16" t="s">
        <v>21</v>
      </c>
      <c r="G1509" s="35" t="s">
        <v>77</v>
      </c>
      <c r="H1509" s="39">
        <v>0</v>
      </c>
      <c r="I1509" s="39">
        <v>0</v>
      </c>
      <c r="J1509" s="39">
        <v>0</v>
      </c>
      <c r="K1509" s="39">
        <v>0</v>
      </c>
      <c r="L1509" s="39">
        <v>0</v>
      </c>
      <c r="M1509" s="39">
        <v>0</v>
      </c>
      <c r="N1509" s="39">
        <v>0</v>
      </c>
      <c r="O1509" s="39">
        <v>0</v>
      </c>
      <c r="P1509" s="39">
        <v>0</v>
      </c>
      <c r="Q1509" s="39">
        <v>0</v>
      </c>
      <c r="R1509" s="39">
        <v>0</v>
      </c>
      <c r="S1509" s="39">
        <v>0</v>
      </c>
      <c r="T1509" s="39">
        <v>0</v>
      </c>
      <c r="U1509" s="39">
        <v>0</v>
      </c>
      <c r="V1509" s="39">
        <v>0</v>
      </c>
      <c r="W1509" s="39">
        <v>0</v>
      </c>
      <c r="X1509" s="39">
        <v>0</v>
      </c>
      <c r="Y1509" s="39">
        <v>0</v>
      </c>
      <c r="Z1509" s="39">
        <v>0</v>
      </c>
      <c r="AA1509" s="39">
        <v>0</v>
      </c>
      <c r="AB1509" s="39">
        <v>0</v>
      </c>
      <c r="AC1509" s="39">
        <v>278.2</v>
      </c>
      <c r="AD1509" s="39">
        <v>277.27</v>
      </c>
      <c r="AE1509" s="39">
        <v>311.56</v>
      </c>
      <c r="AF1509" s="39">
        <v>0</v>
      </c>
      <c r="AG1509" s="39">
        <v>0</v>
      </c>
      <c r="AH1509" s="39">
        <v>0</v>
      </c>
      <c r="AI1509" s="39">
        <v>278.2</v>
      </c>
      <c r="AJ1509" s="39">
        <v>277.27</v>
      </c>
      <c r="AK1509" s="39">
        <v>311.56</v>
      </c>
      <c r="AL1509" s="39">
        <v>0</v>
      </c>
      <c r="AM1509" s="39">
        <v>0</v>
      </c>
      <c r="AN1509" s="39">
        <v>0</v>
      </c>
      <c r="AO1509" s="39">
        <v>278.2</v>
      </c>
      <c r="AP1509" s="39">
        <v>277.27</v>
      </c>
      <c r="AQ1509" s="39">
        <v>311.56</v>
      </c>
      <c r="AR1509" s="39">
        <v>311.56</v>
      </c>
    </row>
    <row r="1510" spans="1:44" ht="31" x14ac:dyDescent="0.35">
      <c r="A1510" s="16" t="str">
        <f>TEXT(7,"00")</f>
        <v>07</v>
      </c>
      <c r="B1510" s="19">
        <v>61796</v>
      </c>
      <c r="C1510" s="16" t="str">
        <f>TEXT(136903,"0000000")</f>
        <v>0136903</v>
      </c>
      <c r="D1510" s="19">
        <v>1906</v>
      </c>
      <c r="E1510" s="16" t="s">
        <v>330</v>
      </c>
      <c r="F1510" s="16" t="s">
        <v>21</v>
      </c>
      <c r="G1510" s="35" t="s">
        <v>331</v>
      </c>
      <c r="H1510" s="39">
        <v>0</v>
      </c>
      <c r="I1510" s="39">
        <v>0</v>
      </c>
      <c r="J1510" s="39">
        <v>0</v>
      </c>
      <c r="K1510" s="39">
        <v>0</v>
      </c>
      <c r="L1510" s="39">
        <v>0</v>
      </c>
      <c r="M1510" s="39">
        <v>0</v>
      </c>
      <c r="N1510" s="39">
        <v>0</v>
      </c>
      <c r="O1510" s="39">
        <v>0</v>
      </c>
      <c r="P1510" s="39">
        <v>0</v>
      </c>
      <c r="Q1510" s="39">
        <v>0</v>
      </c>
      <c r="R1510" s="39">
        <v>0</v>
      </c>
      <c r="S1510" s="39">
        <v>0</v>
      </c>
      <c r="T1510" s="39">
        <v>0</v>
      </c>
      <c r="U1510" s="39">
        <v>0</v>
      </c>
      <c r="V1510" s="39">
        <v>0</v>
      </c>
      <c r="W1510" s="39">
        <v>0</v>
      </c>
      <c r="X1510" s="39">
        <v>0</v>
      </c>
      <c r="Y1510" s="39">
        <v>0</v>
      </c>
      <c r="Z1510" s="39">
        <v>0</v>
      </c>
      <c r="AA1510" s="39">
        <v>0</v>
      </c>
      <c r="AB1510" s="39">
        <v>0</v>
      </c>
      <c r="AC1510" s="39">
        <v>310.72000000000003</v>
      </c>
      <c r="AD1510" s="39">
        <v>256.7</v>
      </c>
      <c r="AE1510" s="39">
        <v>213.15</v>
      </c>
      <c r="AF1510" s="39">
        <v>0</v>
      </c>
      <c r="AG1510" s="39">
        <v>0</v>
      </c>
      <c r="AH1510" s="39">
        <v>0</v>
      </c>
      <c r="AI1510" s="39">
        <v>310.72000000000003</v>
      </c>
      <c r="AJ1510" s="39">
        <v>256.7</v>
      </c>
      <c r="AK1510" s="39">
        <v>213.15</v>
      </c>
      <c r="AL1510" s="39">
        <v>0</v>
      </c>
      <c r="AM1510" s="39">
        <v>0</v>
      </c>
      <c r="AN1510" s="39">
        <v>0</v>
      </c>
      <c r="AO1510" s="39">
        <v>310.72000000000003</v>
      </c>
      <c r="AP1510" s="39">
        <v>256.7</v>
      </c>
      <c r="AQ1510" s="39">
        <v>213.15</v>
      </c>
      <c r="AR1510" s="39">
        <v>310.72000000000003</v>
      </c>
    </row>
    <row r="1511" spans="1:44" x14ac:dyDescent="0.35">
      <c r="A1511" s="16" t="str">
        <f>TEXT(19,"00")</f>
        <v>19</v>
      </c>
      <c r="B1511" s="19">
        <v>64642</v>
      </c>
      <c r="C1511" s="16" t="str">
        <f>TEXT(136127,"0000000")</f>
        <v>0136127</v>
      </c>
      <c r="D1511" s="19">
        <v>1886</v>
      </c>
      <c r="E1511" s="16" t="s">
        <v>996</v>
      </c>
      <c r="F1511" s="16" t="s">
        <v>21</v>
      </c>
      <c r="G1511" s="35" t="s">
        <v>997</v>
      </c>
      <c r="H1511" s="39">
        <v>0</v>
      </c>
      <c r="I1511" s="39">
        <v>0</v>
      </c>
      <c r="J1511" s="39">
        <v>0</v>
      </c>
      <c r="K1511" s="39">
        <v>0</v>
      </c>
      <c r="L1511" s="39">
        <v>0</v>
      </c>
      <c r="M1511" s="39">
        <v>0</v>
      </c>
      <c r="N1511" s="39">
        <v>0</v>
      </c>
      <c r="O1511" s="39">
        <v>0</v>
      </c>
      <c r="P1511" s="39">
        <v>0</v>
      </c>
      <c r="Q1511" s="39">
        <v>0</v>
      </c>
      <c r="R1511" s="39">
        <v>0</v>
      </c>
      <c r="S1511" s="39">
        <v>0</v>
      </c>
      <c r="T1511" s="39">
        <v>0</v>
      </c>
      <c r="U1511" s="39">
        <v>0</v>
      </c>
      <c r="V1511" s="39">
        <v>0</v>
      </c>
      <c r="W1511" s="39">
        <v>0</v>
      </c>
      <c r="X1511" s="39">
        <v>0</v>
      </c>
      <c r="Y1511" s="39">
        <v>0</v>
      </c>
      <c r="Z1511" s="39">
        <v>0</v>
      </c>
      <c r="AA1511" s="39">
        <v>0</v>
      </c>
      <c r="AB1511" s="39">
        <v>0</v>
      </c>
      <c r="AC1511" s="39">
        <v>439.56</v>
      </c>
      <c r="AD1511" s="39">
        <v>370.7</v>
      </c>
      <c r="AE1511" s="39">
        <v>426.06</v>
      </c>
      <c r="AF1511" s="39">
        <v>0</v>
      </c>
      <c r="AG1511" s="39">
        <v>0</v>
      </c>
      <c r="AH1511" s="39">
        <v>0</v>
      </c>
      <c r="AI1511" s="39">
        <v>439.56</v>
      </c>
      <c r="AJ1511" s="39">
        <v>370.7</v>
      </c>
      <c r="AK1511" s="39">
        <v>426.06</v>
      </c>
      <c r="AL1511" s="39">
        <v>0</v>
      </c>
      <c r="AM1511" s="39">
        <v>0</v>
      </c>
      <c r="AN1511" s="39">
        <v>0</v>
      </c>
      <c r="AO1511" s="39">
        <v>439.56</v>
      </c>
      <c r="AP1511" s="39">
        <v>370.7</v>
      </c>
      <c r="AQ1511" s="39">
        <v>426.06</v>
      </c>
      <c r="AR1511" s="39">
        <v>439.56</v>
      </c>
    </row>
    <row r="1512" spans="1:44" x14ac:dyDescent="0.35">
      <c r="A1512" s="16" t="str">
        <f>TEXT(19,"00")</f>
        <v>19</v>
      </c>
      <c r="B1512" s="19">
        <v>75309</v>
      </c>
      <c r="C1512" s="16" t="str">
        <f>TEXT(132654,"0000000")</f>
        <v>0132654</v>
      </c>
      <c r="D1512" s="19">
        <v>1751</v>
      </c>
      <c r="E1512" s="16" t="s">
        <v>1174</v>
      </c>
      <c r="F1512" s="16" t="s">
        <v>21</v>
      </c>
      <c r="G1512" s="35" t="s">
        <v>1175</v>
      </c>
      <c r="H1512" s="39">
        <v>0</v>
      </c>
      <c r="I1512" s="39">
        <v>0</v>
      </c>
      <c r="J1512" s="39">
        <v>0</v>
      </c>
      <c r="K1512" s="39">
        <v>0</v>
      </c>
      <c r="L1512" s="39">
        <v>0</v>
      </c>
      <c r="M1512" s="39">
        <v>0</v>
      </c>
      <c r="N1512" s="39">
        <v>0</v>
      </c>
      <c r="O1512" s="39">
        <v>0</v>
      </c>
      <c r="P1512" s="39">
        <v>0</v>
      </c>
      <c r="Q1512" s="39">
        <v>0</v>
      </c>
      <c r="R1512" s="39">
        <v>0</v>
      </c>
      <c r="S1512" s="39">
        <v>0</v>
      </c>
      <c r="T1512" s="39">
        <v>0</v>
      </c>
      <c r="U1512" s="39">
        <v>0</v>
      </c>
      <c r="V1512" s="39">
        <v>0</v>
      </c>
      <c r="W1512" s="39">
        <v>0</v>
      </c>
      <c r="X1512" s="39">
        <v>0</v>
      </c>
      <c r="Y1512" s="39">
        <v>0</v>
      </c>
      <c r="Z1512" s="39">
        <v>0</v>
      </c>
      <c r="AA1512" s="39">
        <v>0</v>
      </c>
      <c r="AB1512" s="39">
        <v>0</v>
      </c>
      <c r="AC1512" s="39">
        <v>376.64</v>
      </c>
      <c r="AD1512" s="39">
        <v>405.51</v>
      </c>
      <c r="AE1512" s="39">
        <v>369.98</v>
      </c>
      <c r="AF1512" s="39">
        <v>0</v>
      </c>
      <c r="AG1512" s="39">
        <v>0</v>
      </c>
      <c r="AH1512" s="39">
        <v>0</v>
      </c>
      <c r="AI1512" s="39">
        <v>376.64</v>
      </c>
      <c r="AJ1512" s="39">
        <v>405.51</v>
      </c>
      <c r="AK1512" s="39">
        <v>369.98</v>
      </c>
      <c r="AL1512" s="39">
        <v>0</v>
      </c>
      <c r="AM1512" s="39">
        <v>0</v>
      </c>
      <c r="AN1512" s="39">
        <v>0</v>
      </c>
      <c r="AO1512" s="39">
        <v>376.64</v>
      </c>
      <c r="AP1512" s="39">
        <v>405.51</v>
      </c>
      <c r="AQ1512" s="39">
        <v>369.98</v>
      </c>
      <c r="AR1512" s="39">
        <v>405.51</v>
      </c>
    </row>
    <row r="1513" spans="1:44" x14ac:dyDescent="0.35">
      <c r="A1513" s="16" t="str">
        <f>TEXT(27,"00")</f>
        <v>27</v>
      </c>
      <c r="B1513" s="19">
        <v>10272</v>
      </c>
      <c r="C1513" s="16" t="str">
        <f>TEXT(112177,"0000000")</f>
        <v>0112177</v>
      </c>
      <c r="D1513" s="17" t="s">
        <v>1383</v>
      </c>
      <c r="E1513" s="16" t="s">
        <v>1381</v>
      </c>
      <c r="F1513" s="16" t="s">
        <v>21</v>
      </c>
      <c r="G1513" s="35" t="s">
        <v>1382</v>
      </c>
      <c r="H1513" s="39">
        <v>0</v>
      </c>
      <c r="I1513" s="39">
        <v>0</v>
      </c>
      <c r="J1513" s="39">
        <v>0</v>
      </c>
      <c r="K1513" s="39">
        <v>0</v>
      </c>
      <c r="L1513" s="39">
        <v>0</v>
      </c>
      <c r="M1513" s="39">
        <v>0</v>
      </c>
      <c r="N1513" s="39">
        <v>0</v>
      </c>
      <c r="O1513" s="39">
        <v>0</v>
      </c>
      <c r="P1513" s="39">
        <v>0</v>
      </c>
      <c r="Q1513" s="39">
        <v>0</v>
      </c>
      <c r="R1513" s="39">
        <v>0</v>
      </c>
      <c r="S1513" s="39">
        <v>0</v>
      </c>
      <c r="T1513" s="39">
        <v>0</v>
      </c>
      <c r="U1513" s="39">
        <v>0</v>
      </c>
      <c r="V1513" s="39">
        <v>0</v>
      </c>
      <c r="W1513" s="39">
        <v>0</v>
      </c>
      <c r="X1513" s="39">
        <v>0</v>
      </c>
      <c r="Y1513" s="39">
        <v>0</v>
      </c>
      <c r="Z1513" s="39">
        <v>0</v>
      </c>
      <c r="AA1513" s="39">
        <v>0</v>
      </c>
      <c r="AB1513" s="39">
        <v>0</v>
      </c>
      <c r="AC1513" s="39">
        <v>439.23</v>
      </c>
      <c r="AD1513" s="39">
        <v>453.88</v>
      </c>
      <c r="AE1513" s="39">
        <v>446.85</v>
      </c>
      <c r="AF1513" s="39">
        <v>0</v>
      </c>
      <c r="AG1513" s="39">
        <v>0</v>
      </c>
      <c r="AH1513" s="39">
        <v>0</v>
      </c>
      <c r="AI1513" s="39">
        <v>439.23</v>
      </c>
      <c r="AJ1513" s="39">
        <v>453.88</v>
      </c>
      <c r="AK1513" s="39">
        <v>446.85</v>
      </c>
      <c r="AL1513" s="39">
        <v>0</v>
      </c>
      <c r="AM1513" s="39">
        <v>0</v>
      </c>
      <c r="AN1513" s="39">
        <v>0</v>
      </c>
      <c r="AO1513" s="39">
        <v>439.23</v>
      </c>
      <c r="AP1513" s="39">
        <v>453.88</v>
      </c>
      <c r="AQ1513" s="39">
        <v>446.85</v>
      </c>
      <c r="AR1513" s="39">
        <v>453.88</v>
      </c>
    </row>
    <row r="1514" spans="1:44" x14ac:dyDescent="0.35">
      <c r="A1514" s="16" t="str">
        <f>TEXT(27,"00")</f>
        <v>27</v>
      </c>
      <c r="B1514" s="19">
        <v>10272</v>
      </c>
      <c r="C1514" s="16" t="str">
        <f>TEXT(124297,"0000000")</f>
        <v>0124297</v>
      </c>
      <c r="D1514" s="19">
        <v>1306</v>
      </c>
      <c r="E1514" s="16" t="s">
        <v>1384</v>
      </c>
      <c r="F1514" s="16" t="s">
        <v>21</v>
      </c>
      <c r="G1514" s="35" t="s">
        <v>1385</v>
      </c>
      <c r="H1514" s="39">
        <v>0</v>
      </c>
      <c r="I1514" s="39">
        <v>0</v>
      </c>
      <c r="J1514" s="39">
        <v>0</v>
      </c>
      <c r="K1514" s="39">
        <v>0</v>
      </c>
      <c r="L1514" s="39">
        <v>0</v>
      </c>
      <c r="M1514" s="39">
        <v>0</v>
      </c>
      <c r="N1514" s="39">
        <v>0</v>
      </c>
      <c r="O1514" s="39">
        <v>0</v>
      </c>
      <c r="P1514" s="39">
        <v>0</v>
      </c>
      <c r="Q1514" s="39">
        <v>0</v>
      </c>
      <c r="R1514" s="39">
        <v>0</v>
      </c>
      <c r="S1514" s="39">
        <v>0</v>
      </c>
      <c r="T1514" s="39">
        <v>0</v>
      </c>
      <c r="U1514" s="39">
        <v>0</v>
      </c>
      <c r="V1514" s="39">
        <v>0</v>
      </c>
      <c r="W1514" s="39">
        <v>0</v>
      </c>
      <c r="X1514" s="39">
        <v>0</v>
      </c>
      <c r="Y1514" s="39">
        <v>0</v>
      </c>
      <c r="Z1514" s="39">
        <v>0</v>
      </c>
      <c r="AA1514" s="39">
        <v>0</v>
      </c>
      <c r="AB1514" s="39">
        <v>0</v>
      </c>
      <c r="AC1514" s="39">
        <v>448.02</v>
      </c>
      <c r="AD1514" s="39">
        <v>467.61</v>
      </c>
      <c r="AE1514" s="39">
        <v>462.05</v>
      </c>
      <c r="AF1514" s="39">
        <v>0</v>
      </c>
      <c r="AG1514" s="39">
        <v>0</v>
      </c>
      <c r="AH1514" s="39">
        <v>0</v>
      </c>
      <c r="AI1514" s="39">
        <v>448.02</v>
      </c>
      <c r="AJ1514" s="39">
        <v>467.61</v>
      </c>
      <c r="AK1514" s="39">
        <v>462.05</v>
      </c>
      <c r="AL1514" s="39">
        <v>0</v>
      </c>
      <c r="AM1514" s="39">
        <v>0</v>
      </c>
      <c r="AN1514" s="39">
        <v>0</v>
      </c>
      <c r="AO1514" s="39">
        <v>448.02</v>
      </c>
      <c r="AP1514" s="39">
        <v>467.61</v>
      </c>
      <c r="AQ1514" s="39">
        <v>462.05</v>
      </c>
      <c r="AR1514" s="39">
        <v>467.61</v>
      </c>
    </row>
    <row r="1515" spans="1:44" x14ac:dyDescent="0.35">
      <c r="A1515" s="16" t="str">
        <f>TEXT(27,"00")</f>
        <v>27</v>
      </c>
      <c r="B1515" s="19">
        <v>10272</v>
      </c>
      <c r="C1515" s="16" t="str">
        <f>TEXT(6119663,"0000000")</f>
        <v>6119663</v>
      </c>
      <c r="D1515" s="17" t="s">
        <v>1388</v>
      </c>
      <c r="E1515" s="16" t="s">
        <v>1386</v>
      </c>
      <c r="F1515" s="16" t="s">
        <v>21</v>
      </c>
      <c r="G1515" s="35" t="s">
        <v>1387</v>
      </c>
      <c r="H1515" s="39">
        <v>0</v>
      </c>
      <c r="I1515" s="39">
        <v>0</v>
      </c>
      <c r="J1515" s="39">
        <v>0</v>
      </c>
      <c r="K1515" s="39">
        <v>0</v>
      </c>
      <c r="L1515" s="39">
        <v>0</v>
      </c>
      <c r="M1515" s="39">
        <v>0</v>
      </c>
      <c r="N1515" s="39">
        <v>0</v>
      </c>
      <c r="O1515" s="39">
        <v>0</v>
      </c>
      <c r="P1515" s="39">
        <v>0</v>
      </c>
      <c r="Q1515" s="39">
        <v>0</v>
      </c>
      <c r="R1515" s="39">
        <v>0</v>
      </c>
      <c r="S1515" s="39">
        <v>0</v>
      </c>
      <c r="T1515" s="39">
        <v>0</v>
      </c>
      <c r="U1515" s="39">
        <v>0</v>
      </c>
      <c r="V1515" s="39">
        <v>0</v>
      </c>
      <c r="W1515" s="39">
        <v>0</v>
      </c>
      <c r="X1515" s="39">
        <v>0</v>
      </c>
      <c r="Y1515" s="39">
        <v>0</v>
      </c>
      <c r="Z1515" s="39">
        <v>0</v>
      </c>
      <c r="AA1515" s="39">
        <v>0</v>
      </c>
      <c r="AB1515" s="39">
        <v>0</v>
      </c>
      <c r="AC1515" s="39">
        <v>173.34</v>
      </c>
      <c r="AD1515" s="39">
        <v>151.77000000000001</v>
      </c>
      <c r="AE1515" s="39">
        <v>146.19999999999999</v>
      </c>
      <c r="AF1515" s="39">
        <v>0</v>
      </c>
      <c r="AG1515" s="39">
        <v>0</v>
      </c>
      <c r="AH1515" s="39">
        <v>0</v>
      </c>
      <c r="AI1515" s="39">
        <v>173.34</v>
      </c>
      <c r="AJ1515" s="39">
        <v>151.77000000000001</v>
      </c>
      <c r="AK1515" s="39">
        <v>146.19999999999999</v>
      </c>
      <c r="AL1515" s="39">
        <v>0</v>
      </c>
      <c r="AM1515" s="39">
        <v>0</v>
      </c>
      <c r="AN1515" s="39">
        <v>0</v>
      </c>
      <c r="AO1515" s="39">
        <v>173.34</v>
      </c>
      <c r="AP1515" s="39">
        <v>151.77000000000001</v>
      </c>
      <c r="AQ1515" s="39">
        <v>146.19999999999999</v>
      </c>
      <c r="AR1515" s="39">
        <v>173.34</v>
      </c>
    </row>
    <row r="1516" spans="1:44" x14ac:dyDescent="0.35">
      <c r="A1516" s="16" t="str">
        <f>TEXT(27,"00")</f>
        <v>27</v>
      </c>
      <c r="B1516" s="19">
        <v>66092</v>
      </c>
      <c r="C1516" s="16" t="str">
        <f>TEXT(2730240,"0000000")</f>
        <v>2730240</v>
      </c>
      <c r="D1516" s="17" t="s">
        <v>1413</v>
      </c>
      <c r="E1516" s="16" t="s">
        <v>1411</v>
      </c>
      <c r="F1516" s="16" t="s">
        <v>21</v>
      </c>
      <c r="G1516" s="35" t="s">
        <v>1412</v>
      </c>
      <c r="H1516" s="39">
        <v>0</v>
      </c>
      <c r="I1516" s="39">
        <v>0</v>
      </c>
      <c r="J1516" s="39">
        <v>0</v>
      </c>
      <c r="K1516" s="39">
        <v>0</v>
      </c>
      <c r="L1516" s="39">
        <v>0</v>
      </c>
      <c r="M1516" s="39">
        <v>0</v>
      </c>
      <c r="N1516" s="39">
        <v>0</v>
      </c>
      <c r="O1516" s="39">
        <v>0</v>
      </c>
      <c r="P1516" s="39">
        <v>0</v>
      </c>
      <c r="Q1516" s="39">
        <v>0</v>
      </c>
      <c r="R1516" s="39">
        <v>0</v>
      </c>
      <c r="S1516" s="39">
        <v>0</v>
      </c>
      <c r="T1516" s="39">
        <v>0</v>
      </c>
      <c r="U1516" s="39">
        <v>0</v>
      </c>
      <c r="V1516" s="39">
        <v>0</v>
      </c>
      <c r="W1516" s="39">
        <v>0</v>
      </c>
      <c r="X1516" s="39">
        <v>0</v>
      </c>
      <c r="Y1516" s="39">
        <v>0</v>
      </c>
      <c r="Z1516" s="39">
        <v>0</v>
      </c>
      <c r="AA1516" s="39">
        <v>0</v>
      </c>
      <c r="AB1516" s="39">
        <v>0</v>
      </c>
      <c r="AC1516" s="39">
        <v>162.41999999999999</v>
      </c>
      <c r="AD1516" s="39">
        <v>149.07</v>
      </c>
      <c r="AE1516" s="39">
        <v>134.5</v>
      </c>
      <c r="AF1516" s="39">
        <v>0</v>
      </c>
      <c r="AG1516" s="39">
        <v>0</v>
      </c>
      <c r="AH1516" s="39">
        <v>0</v>
      </c>
      <c r="AI1516" s="39">
        <v>162.41999999999999</v>
      </c>
      <c r="AJ1516" s="39">
        <v>149.07</v>
      </c>
      <c r="AK1516" s="39">
        <v>134.5</v>
      </c>
      <c r="AL1516" s="39">
        <v>0</v>
      </c>
      <c r="AM1516" s="39">
        <v>0</v>
      </c>
      <c r="AN1516" s="39">
        <v>0</v>
      </c>
      <c r="AO1516" s="39">
        <v>162.41999999999999</v>
      </c>
      <c r="AP1516" s="39">
        <v>149.07</v>
      </c>
      <c r="AQ1516" s="39">
        <v>134.5</v>
      </c>
      <c r="AR1516" s="39">
        <v>162.41999999999999</v>
      </c>
    </row>
    <row r="1517" spans="1:44" x14ac:dyDescent="0.35">
      <c r="A1517" s="16" t="str">
        <f>TEXT(27,"00")</f>
        <v>27</v>
      </c>
      <c r="B1517" s="19">
        <v>75150</v>
      </c>
      <c r="C1517" s="16" t="str">
        <f>TEXT(118349,"0000000")</f>
        <v>0118349</v>
      </c>
      <c r="D1517" s="19">
        <v>1000</v>
      </c>
      <c r="E1517" s="16" t="s">
        <v>1439</v>
      </c>
      <c r="F1517" s="16" t="s">
        <v>21</v>
      </c>
      <c r="G1517" s="35" t="s">
        <v>1440</v>
      </c>
      <c r="H1517" s="39">
        <v>0</v>
      </c>
      <c r="I1517" s="39">
        <v>0</v>
      </c>
      <c r="J1517" s="39">
        <v>0</v>
      </c>
      <c r="K1517" s="39">
        <v>0</v>
      </c>
      <c r="L1517" s="39">
        <v>0</v>
      </c>
      <c r="M1517" s="39">
        <v>0</v>
      </c>
      <c r="N1517" s="39">
        <v>0</v>
      </c>
      <c r="O1517" s="39">
        <v>0</v>
      </c>
      <c r="P1517" s="39">
        <v>0</v>
      </c>
      <c r="Q1517" s="39">
        <v>0</v>
      </c>
      <c r="R1517" s="39">
        <v>0</v>
      </c>
      <c r="S1517" s="39">
        <v>0</v>
      </c>
      <c r="T1517" s="39">
        <v>0</v>
      </c>
      <c r="U1517" s="39">
        <v>0</v>
      </c>
      <c r="V1517" s="39">
        <v>0</v>
      </c>
      <c r="W1517" s="39">
        <v>0</v>
      </c>
      <c r="X1517" s="39">
        <v>0</v>
      </c>
      <c r="Y1517" s="39">
        <v>0</v>
      </c>
      <c r="Z1517" s="39">
        <v>0</v>
      </c>
      <c r="AA1517" s="39">
        <v>0</v>
      </c>
      <c r="AB1517" s="39">
        <v>0</v>
      </c>
      <c r="AC1517" s="39">
        <v>100.63</v>
      </c>
      <c r="AD1517" s="39">
        <v>85.84</v>
      </c>
      <c r="AE1517" s="39">
        <v>84.26</v>
      </c>
      <c r="AF1517" s="39">
        <v>0</v>
      </c>
      <c r="AG1517" s="39">
        <v>0</v>
      </c>
      <c r="AH1517" s="39">
        <v>0</v>
      </c>
      <c r="AI1517" s="39">
        <v>100.63</v>
      </c>
      <c r="AJ1517" s="39">
        <v>85.84</v>
      </c>
      <c r="AK1517" s="39">
        <v>84.26</v>
      </c>
      <c r="AL1517" s="39">
        <v>0</v>
      </c>
      <c r="AM1517" s="39">
        <v>0</v>
      </c>
      <c r="AN1517" s="39">
        <v>0</v>
      </c>
      <c r="AO1517" s="39">
        <v>100.63</v>
      </c>
      <c r="AP1517" s="39">
        <v>85.84</v>
      </c>
      <c r="AQ1517" s="39">
        <v>84.26</v>
      </c>
      <c r="AR1517" s="39">
        <v>100.63</v>
      </c>
    </row>
    <row r="1518" spans="1:44" x14ac:dyDescent="0.35">
      <c r="A1518" s="16" t="str">
        <f>TEXT(36,"00")</f>
        <v>36</v>
      </c>
      <c r="B1518" s="19">
        <v>67736</v>
      </c>
      <c r="C1518" s="16" t="str">
        <f>TEXT(136069,"0000000")</f>
        <v>0136069</v>
      </c>
      <c r="D1518" s="19">
        <v>1885</v>
      </c>
      <c r="E1518" s="16" t="s">
        <v>1953</v>
      </c>
      <c r="F1518" s="16" t="s">
        <v>21</v>
      </c>
      <c r="G1518" s="35" t="s">
        <v>1954</v>
      </c>
      <c r="H1518" s="39">
        <v>0</v>
      </c>
      <c r="I1518" s="39">
        <v>0</v>
      </c>
      <c r="J1518" s="39">
        <v>0</v>
      </c>
      <c r="K1518" s="39">
        <v>0</v>
      </c>
      <c r="L1518" s="39">
        <v>0</v>
      </c>
      <c r="M1518" s="39">
        <v>0</v>
      </c>
      <c r="N1518" s="39">
        <v>0</v>
      </c>
      <c r="O1518" s="39">
        <v>0</v>
      </c>
      <c r="P1518" s="39">
        <v>0</v>
      </c>
      <c r="Q1518" s="39">
        <v>0</v>
      </c>
      <c r="R1518" s="39">
        <v>0</v>
      </c>
      <c r="S1518" s="39">
        <v>0</v>
      </c>
      <c r="T1518" s="39">
        <v>0</v>
      </c>
      <c r="U1518" s="39">
        <v>0</v>
      </c>
      <c r="V1518" s="39">
        <v>0</v>
      </c>
      <c r="W1518" s="39">
        <v>0</v>
      </c>
      <c r="X1518" s="39">
        <v>0</v>
      </c>
      <c r="Y1518" s="39">
        <v>0</v>
      </c>
      <c r="Z1518" s="39">
        <v>0</v>
      </c>
      <c r="AA1518" s="39">
        <v>0</v>
      </c>
      <c r="AB1518" s="39">
        <v>0</v>
      </c>
      <c r="AC1518" s="39">
        <v>3841.67</v>
      </c>
      <c r="AD1518" s="39">
        <v>3331.37</v>
      </c>
      <c r="AE1518" s="39">
        <v>2959.7</v>
      </c>
      <c r="AF1518" s="39">
        <v>0</v>
      </c>
      <c r="AG1518" s="39">
        <v>0</v>
      </c>
      <c r="AH1518" s="39">
        <v>0</v>
      </c>
      <c r="AI1518" s="39">
        <v>3841.67</v>
      </c>
      <c r="AJ1518" s="39">
        <v>3331.37</v>
      </c>
      <c r="AK1518" s="39">
        <v>2959.7</v>
      </c>
      <c r="AL1518" s="39">
        <v>0</v>
      </c>
      <c r="AM1518" s="39">
        <v>0</v>
      </c>
      <c r="AN1518" s="39">
        <v>0</v>
      </c>
      <c r="AO1518" s="39">
        <v>3841.67</v>
      </c>
      <c r="AP1518" s="39">
        <v>3331.37</v>
      </c>
      <c r="AQ1518" s="39">
        <v>2959.7</v>
      </c>
      <c r="AR1518" s="39">
        <v>3841.67</v>
      </c>
    </row>
    <row r="1519" spans="1:44" x14ac:dyDescent="0.35">
      <c r="A1519" s="16" t="str">
        <f>TEXT(36,"00")</f>
        <v>36</v>
      </c>
      <c r="B1519" s="19">
        <v>67736</v>
      </c>
      <c r="C1519" s="16" t="str">
        <f>TEXT(139576,"0000000")</f>
        <v>0139576</v>
      </c>
      <c r="D1519" s="19">
        <v>2073</v>
      </c>
      <c r="E1519" s="16" t="s">
        <v>1957</v>
      </c>
      <c r="F1519" s="16" t="s">
        <v>21</v>
      </c>
      <c r="G1519" s="35" t="s">
        <v>1958</v>
      </c>
      <c r="H1519" s="39">
        <v>0</v>
      </c>
      <c r="I1519" s="39">
        <v>0</v>
      </c>
      <c r="J1519" s="39">
        <v>0</v>
      </c>
      <c r="K1519" s="39">
        <v>0</v>
      </c>
      <c r="L1519" s="39">
        <v>0</v>
      </c>
      <c r="M1519" s="39">
        <v>0</v>
      </c>
      <c r="N1519" s="39">
        <v>0</v>
      </c>
      <c r="O1519" s="39">
        <v>0</v>
      </c>
      <c r="P1519" s="39">
        <v>0</v>
      </c>
      <c r="Q1519" s="39">
        <v>0</v>
      </c>
      <c r="R1519" s="39">
        <v>0</v>
      </c>
      <c r="S1519" s="39">
        <v>0</v>
      </c>
      <c r="T1519" s="39">
        <v>0</v>
      </c>
      <c r="U1519" s="39">
        <v>0</v>
      </c>
      <c r="V1519" s="39">
        <v>0</v>
      </c>
      <c r="W1519" s="39">
        <v>0</v>
      </c>
      <c r="X1519" s="39">
        <v>0</v>
      </c>
      <c r="Y1519" s="39">
        <v>0</v>
      </c>
      <c r="Z1519" s="39">
        <v>0</v>
      </c>
      <c r="AA1519" s="39">
        <v>0</v>
      </c>
      <c r="AB1519" s="39">
        <v>0</v>
      </c>
      <c r="AC1519" s="39">
        <v>663.27</v>
      </c>
      <c r="AD1519" s="39">
        <v>607.85</v>
      </c>
      <c r="AE1519" s="39">
        <v>545.91</v>
      </c>
      <c r="AF1519" s="39">
        <v>0</v>
      </c>
      <c r="AG1519" s="39">
        <v>0</v>
      </c>
      <c r="AH1519" s="39">
        <v>0</v>
      </c>
      <c r="AI1519" s="39">
        <v>663.27</v>
      </c>
      <c r="AJ1519" s="39">
        <v>607.85</v>
      </c>
      <c r="AK1519" s="39">
        <v>545.91</v>
      </c>
      <c r="AL1519" s="39">
        <v>0</v>
      </c>
      <c r="AM1519" s="39">
        <v>0</v>
      </c>
      <c r="AN1519" s="39">
        <v>0</v>
      </c>
      <c r="AO1519" s="39">
        <v>663.27</v>
      </c>
      <c r="AP1519" s="39">
        <v>607.85</v>
      </c>
      <c r="AQ1519" s="39">
        <v>545.91</v>
      </c>
      <c r="AR1519" s="39">
        <v>663.27</v>
      </c>
    </row>
    <row r="1520" spans="1:44" x14ac:dyDescent="0.35">
      <c r="A1520" s="16" t="str">
        <f>TEXT(36,"00")</f>
        <v>36</v>
      </c>
      <c r="B1520" s="19">
        <v>75051</v>
      </c>
      <c r="C1520" s="16" t="str">
        <f>TEXT(115089,"0000000")</f>
        <v>0115089</v>
      </c>
      <c r="D1520" s="17" t="s">
        <v>2028</v>
      </c>
      <c r="E1520" s="16" t="s">
        <v>2026</v>
      </c>
      <c r="F1520" s="16" t="s">
        <v>21</v>
      </c>
      <c r="G1520" s="35" t="s">
        <v>2027</v>
      </c>
      <c r="H1520" s="39">
        <v>0</v>
      </c>
      <c r="I1520" s="39">
        <v>0</v>
      </c>
      <c r="J1520" s="39">
        <v>0</v>
      </c>
      <c r="K1520" s="39">
        <v>0</v>
      </c>
      <c r="L1520" s="39">
        <v>0</v>
      </c>
      <c r="M1520" s="39">
        <v>0</v>
      </c>
      <c r="N1520" s="39">
        <v>0</v>
      </c>
      <c r="O1520" s="39">
        <v>0</v>
      </c>
      <c r="P1520" s="39">
        <v>0</v>
      </c>
      <c r="Q1520" s="39">
        <v>0</v>
      </c>
      <c r="R1520" s="39">
        <v>0</v>
      </c>
      <c r="S1520" s="39">
        <v>0</v>
      </c>
      <c r="T1520" s="39">
        <v>0</v>
      </c>
      <c r="U1520" s="39">
        <v>0</v>
      </c>
      <c r="V1520" s="39">
        <v>0</v>
      </c>
      <c r="W1520" s="39">
        <v>0</v>
      </c>
      <c r="X1520" s="39">
        <v>0</v>
      </c>
      <c r="Y1520" s="39">
        <v>0</v>
      </c>
      <c r="Z1520" s="39">
        <v>0</v>
      </c>
      <c r="AA1520" s="39">
        <v>0</v>
      </c>
      <c r="AB1520" s="39">
        <v>0</v>
      </c>
      <c r="AC1520" s="39">
        <v>2498.63</v>
      </c>
      <c r="AD1520" s="39">
        <v>2338.25</v>
      </c>
      <c r="AE1520" s="39">
        <v>2147.6799999999998</v>
      </c>
      <c r="AF1520" s="39">
        <v>0</v>
      </c>
      <c r="AG1520" s="39">
        <v>0</v>
      </c>
      <c r="AH1520" s="39">
        <v>0</v>
      </c>
      <c r="AI1520" s="39">
        <v>2498.63</v>
      </c>
      <c r="AJ1520" s="39">
        <v>2338.25</v>
      </c>
      <c r="AK1520" s="39">
        <v>2147.6799999999998</v>
      </c>
      <c r="AL1520" s="39">
        <v>0</v>
      </c>
      <c r="AM1520" s="39">
        <v>0</v>
      </c>
      <c r="AN1520" s="39">
        <v>0</v>
      </c>
      <c r="AO1520" s="39">
        <v>2498.63</v>
      </c>
      <c r="AP1520" s="39">
        <v>2338.25</v>
      </c>
      <c r="AQ1520" s="39">
        <v>2147.6799999999998</v>
      </c>
      <c r="AR1520" s="39">
        <v>2498.63</v>
      </c>
    </row>
    <row r="1521" spans="1:44" x14ac:dyDescent="0.35">
      <c r="A1521" s="16" t="str">
        <f>TEXT(37,"00")</f>
        <v>37</v>
      </c>
      <c r="B1521" s="19">
        <v>68213</v>
      </c>
      <c r="C1521" s="16" t="str">
        <f>TEXT(129668,"0000000")</f>
        <v>0129668</v>
      </c>
      <c r="D1521" s="19">
        <v>1628</v>
      </c>
      <c r="E1521" s="16" t="s">
        <v>2161</v>
      </c>
      <c r="F1521" s="16" t="s">
        <v>21</v>
      </c>
      <c r="G1521" s="35" t="s">
        <v>2162</v>
      </c>
      <c r="H1521" s="39">
        <v>0</v>
      </c>
      <c r="I1521" s="39">
        <v>0</v>
      </c>
      <c r="J1521" s="39">
        <v>0</v>
      </c>
      <c r="K1521" s="39">
        <v>0</v>
      </c>
      <c r="L1521" s="39">
        <v>0</v>
      </c>
      <c r="M1521" s="39">
        <v>0</v>
      </c>
      <c r="N1521" s="39">
        <v>0</v>
      </c>
      <c r="O1521" s="39">
        <v>0</v>
      </c>
      <c r="P1521" s="39">
        <v>0</v>
      </c>
      <c r="Q1521" s="39">
        <v>0</v>
      </c>
      <c r="R1521" s="39">
        <v>0</v>
      </c>
      <c r="S1521" s="39">
        <v>0</v>
      </c>
      <c r="T1521" s="39">
        <v>0</v>
      </c>
      <c r="U1521" s="39">
        <v>0</v>
      </c>
      <c r="V1521" s="39">
        <v>0</v>
      </c>
      <c r="W1521" s="39">
        <v>0</v>
      </c>
      <c r="X1521" s="39">
        <v>0</v>
      </c>
      <c r="Y1521" s="39">
        <v>0</v>
      </c>
      <c r="Z1521" s="39">
        <v>0</v>
      </c>
      <c r="AA1521" s="39">
        <v>0</v>
      </c>
      <c r="AB1521" s="39">
        <v>0</v>
      </c>
      <c r="AC1521" s="39">
        <v>266.52999999999997</v>
      </c>
      <c r="AD1521" s="39">
        <v>231.91</v>
      </c>
      <c r="AE1521" s="39">
        <v>207.74</v>
      </c>
      <c r="AF1521" s="39">
        <v>0</v>
      </c>
      <c r="AG1521" s="39">
        <v>0</v>
      </c>
      <c r="AH1521" s="39">
        <v>0</v>
      </c>
      <c r="AI1521" s="39">
        <v>266.52999999999997</v>
      </c>
      <c r="AJ1521" s="39">
        <v>231.91</v>
      </c>
      <c r="AK1521" s="39">
        <v>207.74</v>
      </c>
      <c r="AL1521" s="39">
        <v>0</v>
      </c>
      <c r="AM1521" s="39">
        <v>0</v>
      </c>
      <c r="AN1521" s="39">
        <v>0</v>
      </c>
      <c r="AO1521" s="39">
        <v>266.52999999999997</v>
      </c>
      <c r="AP1521" s="39">
        <v>231.91</v>
      </c>
      <c r="AQ1521" s="39">
        <v>207.74</v>
      </c>
      <c r="AR1521" s="39">
        <v>266.52999999999997</v>
      </c>
    </row>
    <row r="1522" spans="1:44" x14ac:dyDescent="0.35">
      <c r="A1522" s="16" t="str">
        <f>TEXT(37,"00")</f>
        <v>37</v>
      </c>
      <c r="B1522" s="19">
        <v>75416</v>
      </c>
      <c r="C1522" s="16" t="str">
        <f>TEXT(132472,"0000000")</f>
        <v>0132472</v>
      </c>
      <c r="D1522" s="19">
        <v>1758</v>
      </c>
      <c r="E1522" s="16" t="s">
        <v>2335</v>
      </c>
      <c r="F1522" s="16" t="s">
        <v>21</v>
      </c>
      <c r="G1522" s="35" t="s">
        <v>2336</v>
      </c>
      <c r="H1522" s="39">
        <v>0</v>
      </c>
      <c r="I1522" s="39">
        <v>0</v>
      </c>
      <c r="J1522" s="39">
        <v>0</v>
      </c>
      <c r="K1522" s="39">
        <v>0</v>
      </c>
      <c r="L1522" s="39">
        <v>0</v>
      </c>
      <c r="M1522" s="39">
        <v>0</v>
      </c>
      <c r="N1522" s="39">
        <v>0</v>
      </c>
      <c r="O1522" s="39">
        <v>0</v>
      </c>
      <c r="P1522" s="39">
        <v>0</v>
      </c>
      <c r="Q1522" s="39">
        <v>0</v>
      </c>
      <c r="R1522" s="39">
        <v>0</v>
      </c>
      <c r="S1522" s="39">
        <v>0</v>
      </c>
      <c r="T1522" s="39">
        <v>0</v>
      </c>
      <c r="U1522" s="39">
        <v>0</v>
      </c>
      <c r="V1522" s="39">
        <v>0</v>
      </c>
      <c r="W1522" s="39">
        <v>0</v>
      </c>
      <c r="X1522" s="39">
        <v>0</v>
      </c>
      <c r="Y1522" s="39">
        <v>0</v>
      </c>
      <c r="Z1522" s="39">
        <v>0</v>
      </c>
      <c r="AA1522" s="39">
        <v>0</v>
      </c>
      <c r="AB1522" s="39">
        <v>0</v>
      </c>
      <c r="AC1522" s="39">
        <v>277.88</v>
      </c>
      <c r="AD1522" s="39">
        <v>252.17</v>
      </c>
      <c r="AE1522" s="39">
        <v>245.73</v>
      </c>
      <c r="AF1522" s="39">
        <v>0</v>
      </c>
      <c r="AG1522" s="39">
        <v>0</v>
      </c>
      <c r="AH1522" s="39">
        <v>0</v>
      </c>
      <c r="AI1522" s="39">
        <v>277.88</v>
      </c>
      <c r="AJ1522" s="39">
        <v>252.17</v>
      </c>
      <c r="AK1522" s="39">
        <v>245.73</v>
      </c>
      <c r="AL1522" s="39">
        <v>0</v>
      </c>
      <c r="AM1522" s="39">
        <v>0</v>
      </c>
      <c r="AN1522" s="39">
        <v>0</v>
      </c>
      <c r="AO1522" s="39">
        <v>277.88</v>
      </c>
      <c r="AP1522" s="39">
        <v>252.17</v>
      </c>
      <c r="AQ1522" s="39">
        <v>245.73</v>
      </c>
      <c r="AR1522" s="39">
        <v>277.88</v>
      </c>
    </row>
    <row r="1523" spans="1:44" x14ac:dyDescent="0.35">
      <c r="A1523" s="16" t="str">
        <f>TEXT(37,"00")</f>
        <v>37</v>
      </c>
      <c r="B1523" s="19">
        <v>75416</v>
      </c>
      <c r="C1523" s="16" t="str">
        <f>TEXT(139378,"0000000")</f>
        <v>0139378</v>
      </c>
      <c r="D1523" s="19">
        <v>2051</v>
      </c>
      <c r="E1523" s="16" t="s">
        <v>2339</v>
      </c>
      <c r="F1523" s="16" t="s">
        <v>21</v>
      </c>
      <c r="G1523" s="35" t="s">
        <v>2340</v>
      </c>
      <c r="H1523" s="39">
        <v>0</v>
      </c>
      <c r="I1523" s="39">
        <v>0</v>
      </c>
      <c r="J1523" s="39">
        <v>0</v>
      </c>
      <c r="K1523" s="39">
        <v>0</v>
      </c>
      <c r="L1523" s="39">
        <v>0</v>
      </c>
      <c r="M1523" s="39">
        <v>0</v>
      </c>
      <c r="N1523" s="39">
        <v>0</v>
      </c>
      <c r="O1523" s="39">
        <v>0</v>
      </c>
      <c r="P1523" s="39">
        <v>0</v>
      </c>
      <c r="Q1523" s="39">
        <v>0</v>
      </c>
      <c r="R1523" s="39">
        <v>0</v>
      </c>
      <c r="S1523" s="39">
        <v>0</v>
      </c>
      <c r="T1523" s="39">
        <v>0</v>
      </c>
      <c r="U1523" s="39">
        <v>0</v>
      </c>
      <c r="V1523" s="39">
        <v>0</v>
      </c>
      <c r="W1523" s="39">
        <v>0</v>
      </c>
      <c r="X1523" s="39">
        <v>0</v>
      </c>
      <c r="Y1523" s="39">
        <v>0</v>
      </c>
      <c r="Z1523" s="39">
        <v>0</v>
      </c>
      <c r="AA1523" s="39">
        <v>0</v>
      </c>
      <c r="AB1523" s="39">
        <v>0</v>
      </c>
      <c r="AC1523" s="39">
        <v>572.97</v>
      </c>
      <c r="AD1523" s="39">
        <v>436.95</v>
      </c>
      <c r="AE1523" s="39">
        <v>358.16</v>
      </c>
      <c r="AF1523" s="39">
        <v>0</v>
      </c>
      <c r="AG1523" s="39">
        <v>0</v>
      </c>
      <c r="AH1523" s="39">
        <v>0</v>
      </c>
      <c r="AI1523" s="39">
        <v>572.97</v>
      </c>
      <c r="AJ1523" s="39">
        <v>436.95</v>
      </c>
      <c r="AK1523" s="39">
        <v>358.16</v>
      </c>
      <c r="AL1523" s="39">
        <v>0</v>
      </c>
      <c r="AM1523" s="39">
        <v>0</v>
      </c>
      <c r="AN1523" s="39">
        <v>0</v>
      </c>
      <c r="AO1523" s="39">
        <v>572.97</v>
      </c>
      <c r="AP1523" s="39">
        <v>436.95</v>
      </c>
      <c r="AQ1523" s="39">
        <v>358.16</v>
      </c>
      <c r="AR1523" s="39">
        <v>572.97</v>
      </c>
    </row>
    <row r="1524" spans="1:44" x14ac:dyDescent="0.35">
      <c r="A1524" s="16" t="str">
        <f>TEXT(37,"00")</f>
        <v>37</v>
      </c>
      <c r="B1524" s="19">
        <v>75416</v>
      </c>
      <c r="C1524" s="16" t="str">
        <f>TEXT(139386,"0000000")</f>
        <v>0139386</v>
      </c>
      <c r="D1524" s="19">
        <v>2053</v>
      </c>
      <c r="E1524" s="16" t="s">
        <v>2341</v>
      </c>
      <c r="F1524" s="16" t="s">
        <v>21</v>
      </c>
      <c r="G1524" s="35" t="s">
        <v>1958</v>
      </c>
      <c r="H1524" s="39">
        <v>0</v>
      </c>
      <c r="I1524" s="39">
        <v>0</v>
      </c>
      <c r="J1524" s="39">
        <v>0</v>
      </c>
      <c r="K1524" s="39">
        <v>0</v>
      </c>
      <c r="L1524" s="39">
        <v>0</v>
      </c>
      <c r="M1524" s="39">
        <v>0</v>
      </c>
      <c r="N1524" s="39">
        <v>0</v>
      </c>
      <c r="O1524" s="39">
        <v>0</v>
      </c>
      <c r="P1524" s="39">
        <v>0</v>
      </c>
      <c r="Q1524" s="39">
        <v>0</v>
      </c>
      <c r="R1524" s="39">
        <v>0</v>
      </c>
      <c r="S1524" s="39">
        <v>0</v>
      </c>
      <c r="T1524" s="39">
        <v>0</v>
      </c>
      <c r="U1524" s="39">
        <v>0</v>
      </c>
      <c r="V1524" s="39">
        <v>0</v>
      </c>
      <c r="W1524" s="39">
        <v>0</v>
      </c>
      <c r="X1524" s="39">
        <v>0</v>
      </c>
      <c r="Y1524" s="39">
        <v>0</v>
      </c>
      <c r="Z1524" s="39">
        <v>0</v>
      </c>
      <c r="AA1524" s="39">
        <v>0</v>
      </c>
      <c r="AB1524" s="39">
        <v>0</v>
      </c>
      <c r="AC1524" s="39">
        <v>1053.1099999999999</v>
      </c>
      <c r="AD1524" s="39">
        <v>979.67</v>
      </c>
      <c r="AE1524" s="39">
        <v>1055.01</v>
      </c>
      <c r="AF1524" s="39">
        <v>0</v>
      </c>
      <c r="AG1524" s="39">
        <v>0</v>
      </c>
      <c r="AH1524" s="39">
        <v>0</v>
      </c>
      <c r="AI1524" s="39">
        <v>1053.1099999999999</v>
      </c>
      <c r="AJ1524" s="39">
        <v>979.67</v>
      </c>
      <c r="AK1524" s="39">
        <v>1055.01</v>
      </c>
      <c r="AL1524" s="39">
        <v>0</v>
      </c>
      <c r="AM1524" s="39">
        <v>0</v>
      </c>
      <c r="AN1524" s="39">
        <v>0</v>
      </c>
      <c r="AO1524" s="39">
        <v>1053.1099999999999</v>
      </c>
      <c r="AP1524" s="39">
        <v>979.67</v>
      </c>
      <c r="AQ1524" s="39">
        <v>1055.01</v>
      </c>
      <c r="AR1524" s="39">
        <v>1055.01</v>
      </c>
    </row>
    <row r="1525" spans="1:44" x14ac:dyDescent="0.35">
      <c r="A1525" s="16" t="str">
        <f>TEXT(37,"00")</f>
        <v>37</v>
      </c>
      <c r="B1525" s="19">
        <v>75416</v>
      </c>
      <c r="C1525" s="16" t="str">
        <f>TEXT(139451,"0000000")</f>
        <v>0139451</v>
      </c>
      <c r="D1525" s="19">
        <v>2052</v>
      </c>
      <c r="E1525" s="16" t="s">
        <v>2342</v>
      </c>
      <c r="F1525" s="16" t="s">
        <v>21</v>
      </c>
      <c r="G1525" s="35" t="s">
        <v>2343</v>
      </c>
      <c r="H1525" s="39">
        <v>0</v>
      </c>
      <c r="I1525" s="39">
        <v>0</v>
      </c>
      <c r="J1525" s="39">
        <v>0</v>
      </c>
      <c r="K1525" s="39">
        <v>0</v>
      </c>
      <c r="L1525" s="39">
        <v>0</v>
      </c>
      <c r="M1525" s="39">
        <v>0</v>
      </c>
      <c r="N1525" s="39">
        <v>0</v>
      </c>
      <c r="O1525" s="39">
        <v>0</v>
      </c>
      <c r="P1525" s="39">
        <v>0</v>
      </c>
      <c r="Q1525" s="39">
        <v>0</v>
      </c>
      <c r="R1525" s="39">
        <v>0</v>
      </c>
      <c r="S1525" s="39">
        <v>0</v>
      </c>
      <c r="T1525" s="39">
        <v>0</v>
      </c>
      <c r="U1525" s="39">
        <v>0</v>
      </c>
      <c r="V1525" s="39">
        <v>0</v>
      </c>
      <c r="W1525" s="39">
        <v>0</v>
      </c>
      <c r="X1525" s="39">
        <v>0</v>
      </c>
      <c r="Y1525" s="39">
        <v>0</v>
      </c>
      <c r="Z1525" s="39">
        <v>0</v>
      </c>
      <c r="AA1525" s="39">
        <v>0</v>
      </c>
      <c r="AB1525" s="39">
        <v>0</v>
      </c>
      <c r="AC1525" s="39">
        <v>590.6</v>
      </c>
      <c r="AD1525" s="39">
        <v>287.85000000000002</v>
      </c>
      <c r="AE1525" s="39">
        <v>125.67</v>
      </c>
      <c r="AF1525" s="39">
        <v>0</v>
      </c>
      <c r="AG1525" s="39">
        <v>0</v>
      </c>
      <c r="AH1525" s="39">
        <v>0</v>
      </c>
      <c r="AI1525" s="39">
        <v>590.6</v>
      </c>
      <c r="AJ1525" s="39">
        <v>287.85000000000002</v>
      </c>
      <c r="AK1525" s="39">
        <v>125.67</v>
      </c>
      <c r="AL1525" s="39">
        <v>0</v>
      </c>
      <c r="AM1525" s="39">
        <v>0</v>
      </c>
      <c r="AN1525" s="39">
        <v>0</v>
      </c>
      <c r="AO1525" s="39">
        <v>590.6</v>
      </c>
      <c r="AP1525" s="39">
        <v>287.85000000000002</v>
      </c>
      <c r="AQ1525" s="39">
        <v>125.67</v>
      </c>
      <c r="AR1525" s="39">
        <v>590.6</v>
      </c>
    </row>
    <row r="1526" spans="1:44" ht="31" x14ac:dyDescent="0.35">
      <c r="A1526" s="16" t="str">
        <f>TEXT(39,"00")</f>
        <v>39</v>
      </c>
      <c r="B1526" s="19">
        <v>68676</v>
      </c>
      <c r="C1526" s="16" t="str">
        <f>TEXT(139907,"0000000")</f>
        <v>0139907</v>
      </c>
      <c r="D1526" s="19">
        <v>2077</v>
      </c>
      <c r="E1526" s="16" t="s">
        <v>2488</v>
      </c>
      <c r="F1526" s="16" t="s">
        <v>21</v>
      </c>
      <c r="G1526" s="35" t="s">
        <v>2489</v>
      </c>
      <c r="H1526" s="39">
        <v>0</v>
      </c>
      <c r="I1526" s="39">
        <v>0</v>
      </c>
      <c r="J1526" s="39">
        <v>0</v>
      </c>
      <c r="K1526" s="39">
        <v>0</v>
      </c>
      <c r="L1526" s="39">
        <v>0</v>
      </c>
      <c r="M1526" s="39">
        <v>0</v>
      </c>
      <c r="N1526" s="39">
        <v>0</v>
      </c>
      <c r="O1526" s="39">
        <v>0</v>
      </c>
      <c r="P1526" s="39">
        <v>0</v>
      </c>
      <c r="Q1526" s="39">
        <v>0</v>
      </c>
      <c r="R1526" s="39">
        <v>0</v>
      </c>
      <c r="S1526" s="39">
        <v>0</v>
      </c>
      <c r="T1526" s="39">
        <v>0</v>
      </c>
      <c r="U1526" s="39">
        <v>0</v>
      </c>
      <c r="V1526" s="39">
        <v>0</v>
      </c>
      <c r="W1526" s="39">
        <v>0</v>
      </c>
      <c r="X1526" s="39">
        <v>0</v>
      </c>
      <c r="Y1526" s="39">
        <v>0</v>
      </c>
      <c r="Z1526" s="39">
        <v>0</v>
      </c>
      <c r="AA1526" s="39">
        <v>0</v>
      </c>
      <c r="AB1526" s="39">
        <v>0</v>
      </c>
      <c r="AC1526" s="39">
        <v>121.16</v>
      </c>
      <c r="AD1526" s="39">
        <v>103.01</v>
      </c>
      <c r="AE1526" s="39">
        <v>86.23</v>
      </c>
      <c r="AF1526" s="39">
        <v>0</v>
      </c>
      <c r="AG1526" s="39">
        <v>0</v>
      </c>
      <c r="AH1526" s="39">
        <v>0</v>
      </c>
      <c r="AI1526" s="39">
        <v>121.16</v>
      </c>
      <c r="AJ1526" s="39">
        <v>103.01</v>
      </c>
      <c r="AK1526" s="39">
        <v>86.23</v>
      </c>
      <c r="AL1526" s="39">
        <v>0</v>
      </c>
      <c r="AM1526" s="39">
        <v>0</v>
      </c>
      <c r="AN1526" s="39">
        <v>0</v>
      </c>
      <c r="AO1526" s="39">
        <v>121.16</v>
      </c>
      <c r="AP1526" s="39">
        <v>103.01</v>
      </c>
      <c r="AQ1526" s="39">
        <v>86.23</v>
      </c>
      <c r="AR1526" s="39">
        <v>121.16</v>
      </c>
    </row>
    <row r="1527" spans="1:44" ht="31" x14ac:dyDescent="0.35">
      <c r="A1527" s="16" t="str">
        <f t="shared" ref="A1527:A1533" si="123">TEXT(43,"00")</f>
        <v>43</v>
      </c>
      <c r="B1527" s="19">
        <v>10439</v>
      </c>
      <c r="C1527" s="16" t="str">
        <f>TEXT(131748,"0000000")</f>
        <v>0131748</v>
      </c>
      <c r="D1527" s="19">
        <v>1716</v>
      </c>
      <c r="E1527" s="16" t="s">
        <v>2727</v>
      </c>
      <c r="F1527" s="16" t="s">
        <v>21</v>
      </c>
      <c r="G1527" s="35" t="s">
        <v>2728</v>
      </c>
      <c r="H1527" s="39">
        <v>0</v>
      </c>
      <c r="I1527" s="39">
        <v>0</v>
      </c>
      <c r="J1527" s="39">
        <v>0</v>
      </c>
      <c r="K1527" s="39">
        <v>0</v>
      </c>
      <c r="L1527" s="39">
        <v>0</v>
      </c>
      <c r="M1527" s="39">
        <v>0</v>
      </c>
      <c r="N1527" s="39">
        <v>0</v>
      </c>
      <c r="O1527" s="39">
        <v>0</v>
      </c>
      <c r="P1527" s="39">
        <v>0</v>
      </c>
      <c r="Q1527" s="39">
        <v>0</v>
      </c>
      <c r="R1527" s="39">
        <v>0</v>
      </c>
      <c r="S1527" s="39">
        <v>0</v>
      </c>
      <c r="T1527" s="39">
        <v>0</v>
      </c>
      <c r="U1527" s="39">
        <v>0</v>
      </c>
      <c r="V1527" s="39">
        <v>0</v>
      </c>
      <c r="W1527" s="39">
        <v>0</v>
      </c>
      <c r="X1527" s="39">
        <v>0</v>
      </c>
      <c r="Y1527" s="39">
        <v>0</v>
      </c>
      <c r="Z1527" s="39">
        <v>0</v>
      </c>
      <c r="AA1527" s="39">
        <v>0</v>
      </c>
      <c r="AB1527" s="39">
        <v>0</v>
      </c>
      <c r="AC1527" s="39">
        <v>316.72000000000003</v>
      </c>
      <c r="AD1527" s="39">
        <v>262.81</v>
      </c>
      <c r="AE1527" s="39">
        <v>256.94</v>
      </c>
      <c r="AF1527" s="39">
        <v>0</v>
      </c>
      <c r="AG1527" s="39">
        <v>0</v>
      </c>
      <c r="AH1527" s="39">
        <v>0</v>
      </c>
      <c r="AI1527" s="39">
        <v>316.72000000000003</v>
      </c>
      <c r="AJ1527" s="39">
        <v>262.81</v>
      </c>
      <c r="AK1527" s="39">
        <v>256.94</v>
      </c>
      <c r="AL1527" s="39">
        <v>0</v>
      </c>
      <c r="AM1527" s="39">
        <v>0</v>
      </c>
      <c r="AN1527" s="39">
        <v>0</v>
      </c>
      <c r="AO1527" s="39">
        <v>316.72000000000003</v>
      </c>
      <c r="AP1527" s="39">
        <v>262.81</v>
      </c>
      <c r="AQ1527" s="39">
        <v>256.94</v>
      </c>
      <c r="AR1527" s="39">
        <v>316.72000000000003</v>
      </c>
    </row>
    <row r="1528" spans="1:44" ht="31" x14ac:dyDescent="0.35">
      <c r="A1528" s="16" t="str">
        <f t="shared" si="123"/>
        <v>43</v>
      </c>
      <c r="B1528" s="19">
        <v>10439</v>
      </c>
      <c r="C1528" s="16" t="str">
        <f>TEXT(132530,"0000000")</f>
        <v>0132530</v>
      </c>
      <c r="D1528" s="19">
        <v>1743</v>
      </c>
      <c r="E1528" s="16" t="s">
        <v>2729</v>
      </c>
      <c r="F1528" s="16" t="s">
        <v>21</v>
      </c>
      <c r="G1528" s="35" t="s">
        <v>2730</v>
      </c>
      <c r="H1528" s="39">
        <v>0</v>
      </c>
      <c r="I1528" s="39">
        <v>0</v>
      </c>
      <c r="J1528" s="39">
        <v>0</v>
      </c>
      <c r="K1528" s="39">
        <v>0</v>
      </c>
      <c r="L1528" s="39">
        <v>0</v>
      </c>
      <c r="M1528" s="39">
        <v>0</v>
      </c>
      <c r="N1528" s="39">
        <v>0</v>
      </c>
      <c r="O1528" s="39">
        <v>0</v>
      </c>
      <c r="P1528" s="39">
        <v>0</v>
      </c>
      <c r="Q1528" s="39">
        <v>0</v>
      </c>
      <c r="R1528" s="39">
        <v>0</v>
      </c>
      <c r="S1528" s="39">
        <v>0</v>
      </c>
      <c r="T1528" s="39">
        <v>0</v>
      </c>
      <c r="U1528" s="39">
        <v>0</v>
      </c>
      <c r="V1528" s="39">
        <v>0</v>
      </c>
      <c r="W1528" s="39">
        <v>0</v>
      </c>
      <c r="X1528" s="39">
        <v>0</v>
      </c>
      <c r="Y1528" s="39">
        <v>0</v>
      </c>
      <c r="Z1528" s="39">
        <v>0</v>
      </c>
      <c r="AA1528" s="39">
        <v>0</v>
      </c>
      <c r="AB1528" s="39">
        <v>0</v>
      </c>
      <c r="AC1528" s="39">
        <v>205.17</v>
      </c>
      <c r="AD1528" s="39">
        <v>205.64</v>
      </c>
      <c r="AE1528" s="39">
        <v>252.34</v>
      </c>
      <c r="AF1528" s="39">
        <v>0</v>
      </c>
      <c r="AG1528" s="39">
        <v>0</v>
      </c>
      <c r="AH1528" s="39">
        <v>0</v>
      </c>
      <c r="AI1528" s="39">
        <v>205.17</v>
      </c>
      <c r="AJ1528" s="39">
        <v>205.64</v>
      </c>
      <c r="AK1528" s="39">
        <v>252.34</v>
      </c>
      <c r="AL1528" s="39">
        <v>0</v>
      </c>
      <c r="AM1528" s="39">
        <v>0</v>
      </c>
      <c r="AN1528" s="39">
        <v>0</v>
      </c>
      <c r="AO1528" s="39">
        <v>205.17</v>
      </c>
      <c r="AP1528" s="39">
        <v>205.64</v>
      </c>
      <c r="AQ1528" s="39">
        <v>252.34</v>
      </c>
      <c r="AR1528" s="39">
        <v>252.34</v>
      </c>
    </row>
    <row r="1529" spans="1:44" x14ac:dyDescent="0.35">
      <c r="A1529" s="16" t="str">
        <f t="shared" si="123"/>
        <v>43</v>
      </c>
      <c r="B1529" s="19">
        <v>69427</v>
      </c>
      <c r="C1529" s="16" t="str">
        <f>TEXT(130856,"0000000")</f>
        <v>0130856</v>
      </c>
      <c r="D1529" s="19">
        <v>1681</v>
      </c>
      <c r="E1529" s="16" t="s">
        <v>2762</v>
      </c>
      <c r="F1529" s="16" t="s">
        <v>21</v>
      </c>
      <c r="G1529" s="35" t="s">
        <v>2763</v>
      </c>
      <c r="H1529" s="39">
        <v>0</v>
      </c>
      <c r="I1529" s="39">
        <v>0</v>
      </c>
      <c r="J1529" s="39">
        <v>0</v>
      </c>
      <c r="K1529" s="39">
        <v>0</v>
      </c>
      <c r="L1529" s="39">
        <v>0</v>
      </c>
      <c r="M1529" s="39">
        <v>0</v>
      </c>
      <c r="N1529" s="39">
        <v>0</v>
      </c>
      <c r="O1529" s="39">
        <v>0</v>
      </c>
      <c r="P1529" s="39">
        <v>0</v>
      </c>
      <c r="Q1529" s="39">
        <v>0</v>
      </c>
      <c r="R1529" s="39">
        <v>0</v>
      </c>
      <c r="S1529" s="39">
        <v>0</v>
      </c>
      <c r="T1529" s="39">
        <v>0</v>
      </c>
      <c r="U1529" s="39">
        <v>0</v>
      </c>
      <c r="V1529" s="39">
        <v>0</v>
      </c>
      <c r="W1529" s="39">
        <v>0</v>
      </c>
      <c r="X1529" s="39">
        <v>0</v>
      </c>
      <c r="Y1529" s="39">
        <v>0</v>
      </c>
      <c r="Z1529" s="39">
        <v>0</v>
      </c>
      <c r="AA1529" s="39">
        <v>0</v>
      </c>
      <c r="AB1529" s="39">
        <v>0</v>
      </c>
      <c r="AC1529" s="39">
        <v>207.39</v>
      </c>
      <c r="AD1529" s="39">
        <v>211.86</v>
      </c>
      <c r="AE1529" s="39">
        <v>251.57</v>
      </c>
      <c r="AF1529" s="39">
        <v>0</v>
      </c>
      <c r="AG1529" s="39">
        <v>0</v>
      </c>
      <c r="AH1529" s="39">
        <v>0</v>
      </c>
      <c r="AI1529" s="39">
        <v>207.39</v>
      </c>
      <c r="AJ1529" s="39">
        <v>211.86</v>
      </c>
      <c r="AK1529" s="39">
        <v>251.57</v>
      </c>
      <c r="AL1529" s="39">
        <v>0</v>
      </c>
      <c r="AM1529" s="39">
        <v>0</v>
      </c>
      <c r="AN1529" s="39">
        <v>0</v>
      </c>
      <c r="AO1529" s="39">
        <v>207.39</v>
      </c>
      <c r="AP1529" s="39">
        <v>211.86</v>
      </c>
      <c r="AQ1529" s="39">
        <v>251.57</v>
      </c>
      <c r="AR1529" s="39">
        <v>251.57</v>
      </c>
    </row>
    <row r="1530" spans="1:44" x14ac:dyDescent="0.35">
      <c r="A1530" s="16" t="str">
        <f t="shared" si="123"/>
        <v>43</v>
      </c>
      <c r="B1530" s="19">
        <v>69427</v>
      </c>
      <c r="C1530" s="16" t="str">
        <f>TEXT(131995,"0000000")</f>
        <v>0131995</v>
      </c>
      <c r="D1530" s="19">
        <v>1675</v>
      </c>
      <c r="E1530" s="16" t="s">
        <v>2764</v>
      </c>
      <c r="F1530" s="16" t="s">
        <v>21</v>
      </c>
      <c r="G1530" s="35" t="s">
        <v>2765</v>
      </c>
      <c r="H1530" s="39">
        <v>0</v>
      </c>
      <c r="I1530" s="39">
        <v>0</v>
      </c>
      <c r="J1530" s="39">
        <v>0</v>
      </c>
      <c r="K1530" s="39">
        <v>0</v>
      </c>
      <c r="L1530" s="39">
        <v>0</v>
      </c>
      <c r="M1530" s="39">
        <v>0</v>
      </c>
      <c r="N1530" s="39">
        <v>0</v>
      </c>
      <c r="O1530" s="39">
        <v>0</v>
      </c>
      <c r="P1530" s="39">
        <v>0</v>
      </c>
      <c r="Q1530" s="39">
        <v>0</v>
      </c>
      <c r="R1530" s="39">
        <v>0</v>
      </c>
      <c r="S1530" s="39">
        <v>0</v>
      </c>
      <c r="T1530" s="39">
        <v>0</v>
      </c>
      <c r="U1530" s="39">
        <v>0</v>
      </c>
      <c r="V1530" s="39">
        <v>0</v>
      </c>
      <c r="W1530" s="39">
        <v>0</v>
      </c>
      <c r="X1530" s="39">
        <v>0</v>
      </c>
      <c r="Y1530" s="39">
        <v>0</v>
      </c>
      <c r="Z1530" s="39">
        <v>0</v>
      </c>
      <c r="AA1530" s="39">
        <v>0</v>
      </c>
      <c r="AB1530" s="39">
        <v>0</v>
      </c>
      <c r="AC1530" s="39">
        <v>233.69</v>
      </c>
      <c r="AD1530" s="39">
        <v>219.48</v>
      </c>
      <c r="AE1530" s="39">
        <v>234.92</v>
      </c>
      <c r="AF1530" s="39">
        <v>0</v>
      </c>
      <c r="AG1530" s="39">
        <v>0</v>
      </c>
      <c r="AH1530" s="39">
        <v>0</v>
      </c>
      <c r="AI1530" s="39">
        <v>233.69</v>
      </c>
      <c r="AJ1530" s="39">
        <v>219.48</v>
      </c>
      <c r="AK1530" s="39">
        <v>234.92</v>
      </c>
      <c r="AL1530" s="39">
        <v>0</v>
      </c>
      <c r="AM1530" s="39">
        <v>0</v>
      </c>
      <c r="AN1530" s="39">
        <v>0</v>
      </c>
      <c r="AO1530" s="39">
        <v>233.69</v>
      </c>
      <c r="AP1530" s="39">
        <v>219.48</v>
      </c>
      <c r="AQ1530" s="39">
        <v>234.92</v>
      </c>
      <c r="AR1530" s="39">
        <v>234.92</v>
      </c>
    </row>
    <row r="1531" spans="1:44" x14ac:dyDescent="0.35">
      <c r="A1531" s="16" t="str">
        <f t="shared" si="123"/>
        <v>43</v>
      </c>
      <c r="B1531" s="19">
        <v>69427</v>
      </c>
      <c r="C1531" s="16" t="str">
        <f>TEXT(4330668,"0000000")</f>
        <v>4330668</v>
      </c>
      <c r="D1531" s="17" t="s">
        <v>2770</v>
      </c>
      <c r="E1531" s="16" t="s">
        <v>2768</v>
      </c>
      <c r="F1531" s="16" t="s">
        <v>21</v>
      </c>
      <c r="G1531" s="35" t="s">
        <v>2769</v>
      </c>
      <c r="H1531" s="39">
        <v>0</v>
      </c>
      <c r="I1531" s="39">
        <v>0</v>
      </c>
      <c r="J1531" s="39">
        <v>0</v>
      </c>
      <c r="K1531" s="39">
        <v>0</v>
      </c>
      <c r="L1531" s="39">
        <v>0</v>
      </c>
      <c r="M1531" s="39">
        <v>0</v>
      </c>
      <c r="N1531" s="39">
        <v>0</v>
      </c>
      <c r="O1531" s="39">
        <v>0</v>
      </c>
      <c r="P1531" s="39">
        <v>0</v>
      </c>
      <c r="Q1531" s="39">
        <v>0</v>
      </c>
      <c r="R1531" s="39">
        <v>0</v>
      </c>
      <c r="S1531" s="39">
        <v>0</v>
      </c>
      <c r="T1531" s="39">
        <v>0</v>
      </c>
      <c r="U1531" s="39">
        <v>0</v>
      </c>
      <c r="V1531" s="39">
        <v>0</v>
      </c>
      <c r="W1531" s="39">
        <v>0</v>
      </c>
      <c r="X1531" s="39">
        <v>0</v>
      </c>
      <c r="Y1531" s="39">
        <v>0</v>
      </c>
      <c r="Z1531" s="39">
        <v>0</v>
      </c>
      <c r="AA1531" s="39">
        <v>0</v>
      </c>
      <c r="AB1531" s="39">
        <v>0</v>
      </c>
      <c r="AC1531" s="39">
        <v>389.52</v>
      </c>
      <c r="AD1531" s="39">
        <v>384.57</v>
      </c>
      <c r="AE1531" s="39">
        <v>374.6</v>
      </c>
      <c r="AF1531" s="39">
        <v>0</v>
      </c>
      <c r="AG1531" s="39">
        <v>0</v>
      </c>
      <c r="AH1531" s="39">
        <v>0</v>
      </c>
      <c r="AI1531" s="39">
        <v>389.52</v>
      </c>
      <c r="AJ1531" s="39">
        <v>384.57</v>
      </c>
      <c r="AK1531" s="39">
        <v>374.6</v>
      </c>
      <c r="AL1531" s="39">
        <v>0</v>
      </c>
      <c r="AM1531" s="39">
        <v>0</v>
      </c>
      <c r="AN1531" s="39">
        <v>0</v>
      </c>
      <c r="AO1531" s="39">
        <v>389.52</v>
      </c>
      <c r="AP1531" s="39">
        <v>384.57</v>
      </c>
      <c r="AQ1531" s="39">
        <v>374.6</v>
      </c>
      <c r="AR1531" s="39">
        <v>389.52</v>
      </c>
    </row>
    <row r="1532" spans="1:44" x14ac:dyDescent="0.35">
      <c r="A1532" s="16" t="str">
        <f t="shared" si="123"/>
        <v>43</v>
      </c>
      <c r="B1532" s="19">
        <v>69450</v>
      </c>
      <c r="C1532" s="16" t="str">
        <f>TEXT(113662,"0000000")</f>
        <v>0113662</v>
      </c>
      <c r="D1532" s="17" t="s">
        <v>2783</v>
      </c>
      <c r="E1532" s="16" t="s">
        <v>2781</v>
      </c>
      <c r="F1532" s="16" t="s">
        <v>21</v>
      </c>
      <c r="G1532" s="35" t="s">
        <v>2782</v>
      </c>
      <c r="H1532" s="39">
        <v>0</v>
      </c>
      <c r="I1532" s="39">
        <v>0</v>
      </c>
      <c r="J1532" s="39">
        <v>0</v>
      </c>
      <c r="K1532" s="39">
        <v>0</v>
      </c>
      <c r="L1532" s="39">
        <v>0</v>
      </c>
      <c r="M1532" s="39">
        <v>0</v>
      </c>
      <c r="N1532" s="39">
        <v>0</v>
      </c>
      <c r="O1532" s="39">
        <v>0</v>
      </c>
      <c r="P1532" s="39">
        <v>0</v>
      </c>
      <c r="Q1532" s="39">
        <v>0</v>
      </c>
      <c r="R1532" s="39">
        <v>0</v>
      </c>
      <c r="S1532" s="39">
        <v>0</v>
      </c>
      <c r="T1532" s="39">
        <v>0</v>
      </c>
      <c r="U1532" s="39">
        <v>0</v>
      </c>
      <c r="V1532" s="39">
        <v>0</v>
      </c>
      <c r="W1532" s="39">
        <v>0</v>
      </c>
      <c r="X1532" s="39">
        <v>0</v>
      </c>
      <c r="Y1532" s="39">
        <v>0</v>
      </c>
      <c r="Z1532" s="39">
        <v>0</v>
      </c>
      <c r="AA1532" s="39">
        <v>0</v>
      </c>
      <c r="AB1532" s="39">
        <v>0</v>
      </c>
      <c r="AC1532" s="39">
        <v>284.08999999999997</v>
      </c>
      <c r="AD1532" s="39">
        <v>303.39</v>
      </c>
      <c r="AE1532" s="39">
        <v>329.93</v>
      </c>
      <c r="AF1532" s="39">
        <v>0</v>
      </c>
      <c r="AG1532" s="39">
        <v>0</v>
      </c>
      <c r="AH1532" s="39">
        <v>0</v>
      </c>
      <c r="AI1532" s="39">
        <v>284.08999999999997</v>
      </c>
      <c r="AJ1532" s="39">
        <v>303.39</v>
      </c>
      <c r="AK1532" s="39">
        <v>329.93</v>
      </c>
      <c r="AL1532" s="39">
        <v>0</v>
      </c>
      <c r="AM1532" s="39">
        <v>0</v>
      </c>
      <c r="AN1532" s="39">
        <v>0</v>
      </c>
      <c r="AO1532" s="39">
        <v>284.08999999999997</v>
      </c>
      <c r="AP1532" s="39">
        <v>303.39</v>
      </c>
      <c r="AQ1532" s="39">
        <v>329.93</v>
      </c>
      <c r="AR1532" s="39">
        <v>329.93</v>
      </c>
    </row>
    <row r="1533" spans="1:44" x14ac:dyDescent="0.35">
      <c r="A1533" s="16" t="str">
        <f t="shared" si="123"/>
        <v>43</v>
      </c>
      <c r="B1533" s="19">
        <v>69583</v>
      </c>
      <c r="C1533" s="16" t="str">
        <f>TEXT(6118541,"0000000")</f>
        <v>6118541</v>
      </c>
      <c r="D1533" s="17" t="s">
        <v>2816</v>
      </c>
      <c r="E1533" s="16" t="s">
        <v>2814</v>
      </c>
      <c r="F1533" s="16" t="s">
        <v>21</v>
      </c>
      <c r="G1533" s="35" t="s">
        <v>2815</v>
      </c>
      <c r="H1533" s="39">
        <v>0</v>
      </c>
      <c r="I1533" s="39">
        <v>0</v>
      </c>
      <c r="J1533" s="39">
        <v>0</v>
      </c>
      <c r="K1533" s="39">
        <v>0</v>
      </c>
      <c r="L1533" s="39">
        <v>0</v>
      </c>
      <c r="M1533" s="39">
        <v>0</v>
      </c>
      <c r="N1533" s="39">
        <v>0</v>
      </c>
      <c r="O1533" s="39">
        <v>0</v>
      </c>
      <c r="P1533" s="39">
        <v>0</v>
      </c>
      <c r="Q1533" s="39">
        <v>0</v>
      </c>
      <c r="R1533" s="39">
        <v>0</v>
      </c>
      <c r="S1533" s="39">
        <v>0</v>
      </c>
      <c r="T1533" s="39">
        <v>0</v>
      </c>
      <c r="U1533" s="39">
        <v>0</v>
      </c>
      <c r="V1533" s="39">
        <v>0</v>
      </c>
      <c r="W1533" s="39">
        <v>0</v>
      </c>
      <c r="X1533" s="39">
        <v>0</v>
      </c>
      <c r="Y1533" s="39">
        <v>0</v>
      </c>
      <c r="Z1533" s="39">
        <v>0</v>
      </c>
      <c r="AA1533" s="39">
        <v>0</v>
      </c>
      <c r="AB1533" s="39">
        <v>0</v>
      </c>
      <c r="AC1533" s="39">
        <v>632.36</v>
      </c>
      <c r="AD1533" s="39">
        <v>632.35</v>
      </c>
      <c r="AE1533" s="39">
        <v>627.20000000000005</v>
      </c>
      <c r="AF1533" s="39">
        <v>0</v>
      </c>
      <c r="AG1533" s="39">
        <v>0</v>
      </c>
      <c r="AH1533" s="39">
        <v>0</v>
      </c>
      <c r="AI1533" s="39">
        <v>632.36</v>
      </c>
      <c r="AJ1533" s="39">
        <v>632.35</v>
      </c>
      <c r="AK1533" s="39">
        <v>627.20000000000005</v>
      </c>
      <c r="AL1533" s="39">
        <v>0</v>
      </c>
      <c r="AM1533" s="39">
        <v>0</v>
      </c>
      <c r="AN1533" s="39">
        <v>0</v>
      </c>
      <c r="AO1533" s="39">
        <v>632.36</v>
      </c>
      <c r="AP1533" s="39">
        <v>632.35</v>
      </c>
      <c r="AQ1533" s="39">
        <v>627.20000000000005</v>
      </c>
      <c r="AR1533" s="39">
        <v>632.36</v>
      </c>
    </row>
    <row r="1534" spans="1:44" x14ac:dyDescent="0.35">
      <c r="A1534" s="16" t="str">
        <f>TEXT(48,"00")</f>
        <v>48</v>
      </c>
      <c r="B1534" s="19">
        <v>70581</v>
      </c>
      <c r="C1534" s="16" t="str">
        <f>TEXT(137380,"0000000")</f>
        <v>0137380</v>
      </c>
      <c r="D1534" s="19">
        <v>1912</v>
      </c>
      <c r="E1534" s="16" t="s">
        <v>3041</v>
      </c>
      <c r="F1534" s="16" t="s">
        <v>21</v>
      </c>
      <c r="G1534" s="35" t="s">
        <v>3042</v>
      </c>
      <c r="H1534" s="39">
        <v>0</v>
      </c>
      <c r="I1534" s="39">
        <v>0</v>
      </c>
      <c r="J1534" s="39">
        <v>0</v>
      </c>
      <c r="K1534" s="39">
        <v>0</v>
      </c>
      <c r="L1534" s="39">
        <v>0</v>
      </c>
      <c r="M1534" s="39">
        <v>0</v>
      </c>
      <c r="N1534" s="39">
        <v>0</v>
      </c>
      <c r="O1534" s="39">
        <v>0</v>
      </c>
      <c r="P1534" s="39">
        <v>0</v>
      </c>
      <c r="Q1534" s="39">
        <v>0</v>
      </c>
      <c r="R1534" s="39">
        <v>0</v>
      </c>
      <c r="S1534" s="39">
        <v>0</v>
      </c>
      <c r="T1534" s="39">
        <v>0</v>
      </c>
      <c r="U1534" s="39">
        <v>0</v>
      </c>
      <c r="V1534" s="39">
        <v>0</v>
      </c>
      <c r="W1534" s="39">
        <v>0</v>
      </c>
      <c r="X1534" s="39">
        <v>0</v>
      </c>
      <c r="Y1534" s="39">
        <v>0</v>
      </c>
      <c r="Z1534" s="39">
        <v>0</v>
      </c>
      <c r="AA1534" s="39">
        <v>0</v>
      </c>
      <c r="AB1534" s="39">
        <v>0</v>
      </c>
      <c r="AC1534" s="39">
        <v>101.38</v>
      </c>
      <c r="AD1534" s="39">
        <v>60.08</v>
      </c>
      <c r="AE1534" s="39">
        <v>92.59</v>
      </c>
      <c r="AF1534" s="39">
        <v>0</v>
      </c>
      <c r="AG1534" s="39">
        <v>0</v>
      </c>
      <c r="AH1534" s="39">
        <v>0</v>
      </c>
      <c r="AI1534" s="39">
        <v>101.38</v>
      </c>
      <c r="AJ1534" s="39">
        <v>60.08</v>
      </c>
      <c r="AK1534" s="39">
        <v>92.59</v>
      </c>
      <c r="AL1534" s="39">
        <v>0</v>
      </c>
      <c r="AM1534" s="39">
        <v>0</v>
      </c>
      <c r="AN1534" s="39">
        <v>0</v>
      </c>
      <c r="AO1534" s="39">
        <v>101.38</v>
      </c>
      <c r="AP1534" s="39">
        <v>60.08</v>
      </c>
      <c r="AQ1534" s="39">
        <v>92.59</v>
      </c>
      <c r="AR1534" s="39">
        <v>101.38</v>
      </c>
    </row>
    <row r="1535" spans="1:44" x14ac:dyDescent="0.35">
      <c r="A1535" s="16" t="str">
        <f>TEXT(48,"00")</f>
        <v>48</v>
      </c>
      <c r="B1535" s="19">
        <v>70581</v>
      </c>
      <c r="C1535" s="16" t="str">
        <f>TEXT(139816,"0000000")</f>
        <v>0139816</v>
      </c>
      <c r="D1535" s="19">
        <v>2083</v>
      </c>
      <c r="E1535" s="16" t="s">
        <v>3043</v>
      </c>
      <c r="F1535" s="16" t="s">
        <v>21</v>
      </c>
      <c r="G1535" s="35" t="s">
        <v>3044</v>
      </c>
      <c r="H1535" s="39">
        <v>0</v>
      </c>
      <c r="I1535" s="39">
        <v>0</v>
      </c>
      <c r="J1535" s="39">
        <v>0</v>
      </c>
      <c r="K1535" s="39">
        <v>0</v>
      </c>
      <c r="L1535" s="39">
        <v>0</v>
      </c>
      <c r="M1535" s="39">
        <v>0</v>
      </c>
      <c r="N1535" s="39">
        <v>0</v>
      </c>
      <c r="O1535" s="39">
        <v>0</v>
      </c>
      <c r="P1535" s="39">
        <v>0</v>
      </c>
      <c r="Q1535" s="39">
        <v>0</v>
      </c>
      <c r="R1535" s="39">
        <v>0</v>
      </c>
      <c r="S1535" s="39">
        <v>0</v>
      </c>
      <c r="T1535" s="39">
        <v>0</v>
      </c>
      <c r="U1535" s="39">
        <v>0</v>
      </c>
      <c r="V1535" s="39">
        <v>0</v>
      </c>
      <c r="W1535" s="39">
        <v>0</v>
      </c>
      <c r="X1535" s="39">
        <v>0</v>
      </c>
      <c r="Y1535" s="39">
        <v>0</v>
      </c>
      <c r="Z1535" s="39">
        <v>0</v>
      </c>
      <c r="AA1535" s="39">
        <v>0</v>
      </c>
      <c r="AB1535" s="39">
        <v>0</v>
      </c>
      <c r="AC1535" s="39">
        <v>170.56</v>
      </c>
      <c r="AD1535" s="39">
        <v>165.11</v>
      </c>
      <c r="AE1535" s="39">
        <v>136.16</v>
      </c>
      <c r="AF1535" s="39">
        <v>0</v>
      </c>
      <c r="AG1535" s="39">
        <v>0</v>
      </c>
      <c r="AH1535" s="39">
        <v>0</v>
      </c>
      <c r="AI1535" s="39">
        <v>170.56</v>
      </c>
      <c r="AJ1535" s="39">
        <v>165.11</v>
      </c>
      <c r="AK1535" s="39">
        <v>136.16</v>
      </c>
      <c r="AL1535" s="39">
        <v>0</v>
      </c>
      <c r="AM1535" s="39">
        <v>0</v>
      </c>
      <c r="AN1535" s="39">
        <v>0</v>
      </c>
      <c r="AO1535" s="39">
        <v>170.56</v>
      </c>
      <c r="AP1535" s="39">
        <v>165.11</v>
      </c>
      <c r="AQ1535" s="39">
        <v>136.16</v>
      </c>
      <c r="AR1535" s="39">
        <v>170.56</v>
      </c>
    </row>
    <row r="1536" spans="1:44" x14ac:dyDescent="0.35">
      <c r="A1536" s="16" t="str">
        <f>TEXT(48,"00")</f>
        <v>48</v>
      </c>
      <c r="B1536" s="19">
        <v>70581</v>
      </c>
      <c r="C1536" s="16" t="str">
        <f>TEXT(4830196,"0000000")</f>
        <v>4830196</v>
      </c>
      <c r="D1536" s="17" t="s">
        <v>3047</v>
      </c>
      <c r="E1536" s="16" t="s">
        <v>3045</v>
      </c>
      <c r="F1536" s="16" t="s">
        <v>21</v>
      </c>
      <c r="G1536" s="35" t="s">
        <v>3046</v>
      </c>
      <c r="H1536" s="39">
        <v>0</v>
      </c>
      <c r="I1536" s="39">
        <v>0</v>
      </c>
      <c r="J1536" s="39">
        <v>0</v>
      </c>
      <c r="K1536" s="39">
        <v>0</v>
      </c>
      <c r="L1536" s="39">
        <v>0</v>
      </c>
      <c r="M1536" s="39">
        <v>0</v>
      </c>
      <c r="N1536" s="39">
        <v>0</v>
      </c>
      <c r="O1536" s="39">
        <v>0</v>
      </c>
      <c r="P1536" s="39">
        <v>0</v>
      </c>
      <c r="Q1536" s="39">
        <v>0</v>
      </c>
      <c r="R1536" s="39">
        <v>0</v>
      </c>
      <c r="S1536" s="39">
        <v>0</v>
      </c>
      <c r="T1536" s="39">
        <v>0</v>
      </c>
      <c r="U1536" s="39">
        <v>0</v>
      </c>
      <c r="V1536" s="39">
        <v>0</v>
      </c>
      <c r="W1536" s="39">
        <v>0</v>
      </c>
      <c r="X1536" s="39">
        <v>0</v>
      </c>
      <c r="Y1536" s="39">
        <v>0</v>
      </c>
      <c r="Z1536" s="39">
        <v>0</v>
      </c>
      <c r="AA1536" s="39">
        <v>0</v>
      </c>
      <c r="AB1536" s="39">
        <v>0</v>
      </c>
      <c r="AC1536" s="39">
        <v>430.65</v>
      </c>
      <c r="AD1536" s="39">
        <v>445.19</v>
      </c>
      <c r="AE1536" s="39">
        <v>397.89</v>
      </c>
      <c r="AF1536" s="39">
        <v>0</v>
      </c>
      <c r="AG1536" s="39">
        <v>0</v>
      </c>
      <c r="AH1536" s="39">
        <v>0</v>
      </c>
      <c r="AI1536" s="39">
        <v>430.65</v>
      </c>
      <c r="AJ1536" s="39">
        <v>445.19</v>
      </c>
      <c r="AK1536" s="39">
        <v>397.89</v>
      </c>
      <c r="AL1536" s="39">
        <v>0</v>
      </c>
      <c r="AM1536" s="39">
        <v>0</v>
      </c>
      <c r="AN1536" s="39">
        <v>0</v>
      </c>
      <c r="AO1536" s="39">
        <v>430.65</v>
      </c>
      <c r="AP1536" s="39">
        <v>445.19</v>
      </c>
      <c r="AQ1536" s="39">
        <v>397.89</v>
      </c>
      <c r="AR1536" s="39">
        <v>445.19</v>
      </c>
    </row>
    <row r="1537" spans="1:44" x14ac:dyDescent="0.35">
      <c r="A1537" s="16" t="str">
        <f>TEXT(48,"00")</f>
        <v>48</v>
      </c>
      <c r="B1537" s="19">
        <v>70581</v>
      </c>
      <c r="C1537" s="16" t="str">
        <f>TEXT(6116255,"0000000")</f>
        <v>6116255</v>
      </c>
      <c r="D1537" s="17" t="s">
        <v>3050</v>
      </c>
      <c r="E1537" s="16" t="s">
        <v>3048</v>
      </c>
      <c r="F1537" s="16" t="s">
        <v>21</v>
      </c>
      <c r="G1537" s="35" t="s">
        <v>3049</v>
      </c>
      <c r="H1537" s="39">
        <v>0</v>
      </c>
      <c r="I1537" s="39">
        <v>0</v>
      </c>
      <c r="J1537" s="39">
        <v>0</v>
      </c>
      <c r="K1537" s="39">
        <v>0</v>
      </c>
      <c r="L1537" s="39">
        <v>0</v>
      </c>
      <c r="M1537" s="39">
        <v>0</v>
      </c>
      <c r="N1537" s="39">
        <v>0</v>
      </c>
      <c r="O1537" s="39">
        <v>0</v>
      </c>
      <c r="P1537" s="39">
        <v>0</v>
      </c>
      <c r="Q1537" s="39">
        <v>0</v>
      </c>
      <c r="R1537" s="39">
        <v>0</v>
      </c>
      <c r="S1537" s="39">
        <v>0</v>
      </c>
      <c r="T1537" s="39">
        <v>0</v>
      </c>
      <c r="U1537" s="39">
        <v>0</v>
      </c>
      <c r="V1537" s="39">
        <v>0</v>
      </c>
      <c r="W1537" s="39">
        <v>0</v>
      </c>
      <c r="X1537" s="39">
        <v>0</v>
      </c>
      <c r="Y1537" s="39">
        <v>0</v>
      </c>
      <c r="Z1537" s="39">
        <v>0</v>
      </c>
      <c r="AA1537" s="39">
        <v>0</v>
      </c>
      <c r="AB1537" s="39">
        <v>0</v>
      </c>
      <c r="AC1537" s="39">
        <v>241.67</v>
      </c>
      <c r="AD1537" s="39">
        <v>237.4</v>
      </c>
      <c r="AE1537" s="39">
        <v>259.10000000000002</v>
      </c>
      <c r="AF1537" s="39">
        <v>0</v>
      </c>
      <c r="AG1537" s="39">
        <v>0</v>
      </c>
      <c r="AH1537" s="39">
        <v>0</v>
      </c>
      <c r="AI1537" s="39">
        <v>241.67</v>
      </c>
      <c r="AJ1537" s="39">
        <v>237.4</v>
      </c>
      <c r="AK1537" s="39">
        <v>259.10000000000002</v>
      </c>
      <c r="AL1537" s="39">
        <v>0</v>
      </c>
      <c r="AM1537" s="39">
        <v>0</v>
      </c>
      <c r="AN1537" s="39">
        <v>0</v>
      </c>
      <c r="AO1537" s="39">
        <v>241.67</v>
      </c>
      <c r="AP1537" s="39">
        <v>237.4</v>
      </c>
      <c r="AQ1537" s="39">
        <v>259.10000000000002</v>
      </c>
      <c r="AR1537" s="39">
        <v>259.10000000000002</v>
      </c>
    </row>
    <row r="1538" spans="1:44" x14ac:dyDescent="0.35">
      <c r="A1538" s="16" t="str">
        <f>TEXT(49,"00")</f>
        <v>49</v>
      </c>
      <c r="B1538" s="19">
        <v>70722</v>
      </c>
      <c r="C1538" s="16" t="str">
        <f>TEXT(139048,"0000000")</f>
        <v>0139048</v>
      </c>
      <c r="D1538" s="19">
        <v>2037</v>
      </c>
      <c r="E1538" s="16" t="s">
        <v>3077</v>
      </c>
      <c r="F1538" s="16" t="s">
        <v>21</v>
      </c>
      <c r="G1538" s="35" t="s">
        <v>3078</v>
      </c>
      <c r="H1538" s="39">
        <v>0</v>
      </c>
      <c r="I1538" s="39">
        <v>0</v>
      </c>
      <c r="J1538" s="39">
        <v>0</v>
      </c>
      <c r="K1538" s="39">
        <v>0</v>
      </c>
      <c r="L1538" s="39">
        <v>0</v>
      </c>
      <c r="M1538" s="39">
        <v>0</v>
      </c>
      <c r="N1538" s="39">
        <v>0</v>
      </c>
      <c r="O1538" s="39">
        <v>0</v>
      </c>
      <c r="P1538" s="39">
        <v>0</v>
      </c>
      <c r="Q1538" s="39">
        <v>0</v>
      </c>
      <c r="R1538" s="39">
        <v>0</v>
      </c>
      <c r="S1538" s="39">
        <v>0</v>
      </c>
      <c r="T1538" s="39">
        <v>0</v>
      </c>
      <c r="U1538" s="39">
        <v>0</v>
      </c>
      <c r="V1538" s="39">
        <v>0</v>
      </c>
      <c r="W1538" s="39">
        <v>0</v>
      </c>
      <c r="X1538" s="39">
        <v>0</v>
      </c>
      <c r="Y1538" s="39">
        <v>0</v>
      </c>
      <c r="Z1538" s="39">
        <v>0</v>
      </c>
      <c r="AA1538" s="39">
        <v>0</v>
      </c>
      <c r="AB1538" s="39">
        <v>0</v>
      </c>
      <c r="AC1538" s="39">
        <v>194.69</v>
      </c>
      <c r="AD1538" s="39">
        <v>150.49</v>
      </c>
      <c r="AE1538" s="39">
        <v>129.49</v>
      </c>
      <c r="AF1538" s="39">
        <v>0</v>
      </c>
      <c r="AG1538" s="39">
        <v>0</v>
      </c>
      <c r="AH1538" s="39">
        <v>0</v>
      </c>
      <c r="AI1538" s="39">
        <v>194.69</v>
      </c>
      <c r="AJ1538" s="39">
        <v>150.49</v>
      </c>
      <c r="AK1538" s="39">
        <v>129.49</v>
      </c>
      <c r="AL1538" s="39">
        <v>0</v>
      </c>
      <c r="AM1538" s="39">
        <v>0</v>
      </c>
      <c r="AN1538" s="39">
        <v>0</v>
      </c>
      <c r="AO1538" s="39">
        <v>194.69</v>
      </c>
      <c r="AP1538" s="39">
        <v>150.49</v>
      </c>
      <c r="AQ1538" s="39">
        <v>129.49</v>
      </c>
      <c r="AR1538" s="39">
        <v>194.69</v>
      </c>
    </row>
    <row r="1539" spans="1:44" x14ac:dyDescent="0.35">
      <c r="A1539" s="16" t="str">
        <f>TEXT(51,"00")</f>
        <v>51</v>
      </c>
      <c r="B1539" s="19">
        <v>71407</v>
      </c>
      <c r="C1539" s="16" t="str">
        <f>TEXT(109793,"0000000")</f>
        <v>0109793</v>
      </c>
      <c r="D1539" s="17" t="s">
        <v>3239</v>
      </c>
      <c r="E1539" s="16" t="s">
        <v>3237</v>
      </c>
      <c r="F1539" s="16" t="s">
        <v>21</v>
      </c>
      <c r="G1539" s="35" t="s">
        <v>3238</v>
      </c>
      <c r="H1539" s="39">
        <v>0</v>
      </c>
      <c r="I1539" s="39">
        <v>0</v>
      </c>
      <c r="J1539" s="39">
        <v>0</v>
      </c>
      <c r="K1539" s="39">
        <v>0</v>
      </c>
      <c r="L1539" s="39">
        <v>0</v>
      </c>
      <c r="M1539" s="39">
        <v>0</v>
      </c>
      <c r="N1539" s="39">
        <v>0</v>
      </c>
      <c r="O1539" s="39">
        <v>0</v>
      </c>
      <c r="P1539" s="39">
        <v>0</v>
      </c>
      <c r="Q1539" s="39">
        <v>0</v>
      </c>
      <c r="R1539" s="39">
        <v>0</v>
      </c>
      <c r="S1539" s="39">
        <v>0</v>
      </c>
      <c r="T1539" s="39">
        <v>0</v>
      </c>
      <c r="U1539" s="39">
        <v>0</v>
      </c>
      <c r="V1539" s="39">
        <v>0</v>
      </c>
      <c r="W1539" s="39">
        <v>0</v>
      </c>
      <c r="X1539" s="39">
        <v>0</v>
      </c>
      <c r="Y1539" s="39">
        <v>0</v>
      </c>
      <c r="Z1539" s="39">
        <v>0</v>
      </c>
      <c r="AA1539" s="39">
        <v>0</v>
      </c>
      <c r="AB1539" s="39">
        <v>0</v>
      </c>
      <c r="AC1539" s="39">
        <v>2625.97</v>
      </c>
      <c r="AD1539" s="39">
        <v>2453.1799999999998</v>
      </c>
      <c r="AE1539" s="39">
        <v>2261.15</v>
      </c>
      <c r="AF1539" s="39">
        <v>0</v>
      </c>
      <c r="AG1539" s="39">
        <v>0</v>
      </c>
      <c r="AH1539" s="39">
        <v>0</v>
      </c>
      <c r="AI1539" s="39">
        <v>2625.97</v>
      </c>
      <c r="AJ1539" s="39">
        <v>2453.1799999999998</v>
      </c>
      <c r="AK1539" s="39">
        <v>2261.15</v>
      </c>
      <c r="AL1539" s="39">
        <v>0</v>
      </c>
      <c r="AM1539" s="39">
        <v>0</v>
      </c>
      <c r="AN1539" s="39">
        <v>0</v>
      </c>
      <c r="AO1539" s="39">
        <v>2625.97</v>
      </c>
      <c r="AP1539" s="39">
        <v>2453.1799999999998</v>
      </c>
      <c r="AQ1539" s="39">
        <v>2261.15</v>
      </c>
      <c r="AR1539" s="39">
        <v>2625.97</v>
      </c>
    </row>
    <row r="1540" spans="1:44" x14ac:dyDescent="0.35">
      <c r="A1540" s="16" t="str">
        <f>TEXT(7,"00")</f>
        <v>07</v>
      </c>
      <c r="B1540" s="19">
        <v>61804</v>
      </c>
      <c r="C1540" s="16" t="str">
        <f t="shared" ref="C1540:C1552" si="124">TEXT(,"0000000")</f>
        <v>0000000</v>
      </c>
      <c r="D1540" s="17" t="s">
        <v>3663</v>
      </c>
      <c r="E1540" s="16" t="s">
        <v>332</v>
      </c>
      <c r="F1540" s="16" t="s">
        <v>333</v>
      </c>
      <c r="G1540" s="35" t="s">
        <v>333</v>
      </c>
      <c r="H1540" s="39">
        <v>27434.26</v>
      </c>
      <c r="I1540" s="39">
        <v>27991.08</v>
      </c>
      <c r="J1540" s="39">
        <v>28204.29</v>
      </c>
      <c r="K1540" s="39">
        <v>0</v>
      </c>
      <c r="L1540" s="39">
        <v>0</v>
      </c>
      <c r="M1540" s="39">
        <v>0</v>
      </c>
      <c r="N1540" s="39">
        <v>0</v>
      </c>
      <c r="O1540" s="39">
        <v>0</v>
      </c>
      <c r="P1540" s="39">
        <v>0</v>
      </c>
      <c r="Q1540" s="39">
        <v>0</v>
      </c>
      <c r="R1540" s="39">
        <v>0</v>
      </c>
      <c r="S1540" s="39">
        <v>0</v>
      </c>
      <c r="T1540" s="39">
        <v>0</v>
      </c>
      <c r="U1540" s="39">
        <v>0</v>
      </c>
      <c r="V1540" s="39">
        <v>0</v>
      </c>
      <c r="W1540" s="39">
        <v>0</v>
      </c>
      <c r="X1540" s="39">
        <v>0</v>
      </c>
      <c r="Y1540" s="39">
        <v>0</v>
      </c>
      <c r="Z1540" s="39">
        <v>0</v>
      </c>
      <c r="AA1540" s="39">
        <v>0</v>
      </c>
      <c r="AB1540" s="39">
        <v>0</v>
      </c>
      <c r="AC1540" s="39">
        <v>0</v>
      </c>
      <c r="AD1540" s="39">
        <v>0</v>
      </c>
      <c r="AE1540" s="39">
        <v>0</v>
      </c>
      <c r="AF1540" s="39">
        <v>0</v>
      </c>
      <c r="AG1540" s="39">
        <v>0</v>
      </c>
      <c r="AH1540" s="39">
        <v>0</v>
      </c>
      <c r="AI1540" s="39">
        <v>27434.26</v>
      </c>
      <c r="AJ1540" s="39">
        <v>27991.08</v>
      </c>
      <c r="AK1540" s="39">
        <v>28204.29</v>
      </c>
      <c r="AL1540" s="39">
        <v>0</v>
      </c>
      <c r="AM1540" s="39">
        <v>0</v>
      </c>
      <c r="AN1540" s="39">
        <v>0</v>
      </c>
      <c r="AO1540" s="39">
        <v>27434.26</v>
      </c>
      <c r="AP1540" s="39">
        <v>27991.08</v>
      </c>
      <c r="AQ1540" s="39">
        <v>28204.29</v>
      </c>
      <c r="AR1540" s="39">
        <v>28204.29</v>
      </c>
    </row>
    <row r="1541" spans="1:44" x14ac:dyDescent="0.35">
      <c r="A1541" s="16" t="str">
        <f t="shared" ref="A1541:A1560" si="125">TEXT(36,"00")</f>
        <v>36</v>
      </c>
      <c r="B1541" s="19">
        <v>10363</v>
      </c>
      <c r="C1541" s="16" t="str">
        <f t="shared" si="124"/>
        <v>0000000</v>
      </c>
      <c r="D1541" s="17" t="s">
        <v>3663</v>
      </c>
      <c r="E1541" s="16" t="s">
        <v>1908</v>
      </c>
      <c r="F1541" s="16" t="s">
        <v>1909</v>
      </c>
      <c r="G1541" s="35" t="s">
        <v>1909</v>
      </c>
      <c r="H1541" s="39">
        <v>0</v>
      </c>
      <c r="I1541" s="39">
        <v>0</v>
      </c>
      <c r="J1541" s="39">
        <v>0</v>
      </c>
      <c r="K1541" s="39">
        <v>0</v>
      </c>
      <c r="L1541" s="39">
        <v>0</v>
      </c>
      <c r="M1541" s="39">
        <v>0</v>
      </c>
      <c r="N1541" s="39">
        <v>0</v>
      </c>
      <c r="O1541" s="39">
        <v>0</v>
      </c>
      <c r="P1541" s="39">
        <v>0</v>
      </c>
      <c r="Q1541" s="39">
        <v>0</v>
      </c>
      <c r="R1541" s="39">
        <v>0</v>
      </c>
      <c r="S1541" s="39">
        <v>0</v>
      </c>
      <c r="T1541" s="39">
        <v>75.150000000000006</v>
      </c>
      <c r="U1541" s="39">
        <v>99.04</v>
      </c>
      <c r="V1541" s="39">
        <v>101.6</v>
      </c>
      <c r="W1541" s="39">
        <v>400.4</v>
      </c>
      <c r="X1541" s="39">
        <v>379.84</v>
      </c>
      <c r="Y1541" s="39">
        <v>370.22</v>
      </c>
      <c r="Z1541" s="39">
        <v>0</v>
      </c>
      <c r="AA1541" s="39">
        <v>0</v>
      </c>
      <c r="AB1541" s="39">
        <v>0</v>
      </c>
      <c r="AC1541" s="39">
        <v>0</v>
      </c>
      <c r="AD1541" s="39">
        <v>0</v>
      </c>
      <c r="AE1541" s="39">
        <v>0</v>
      </c>
      <c r="AF1541" s="39">
        <v>0</v>
      </c>
      <c r="AG1541" s="39">
        <v>0</v>
      </c>
      <c r="AH1541" s="39">
        <v>0</v>
      </c>
      <c r="AI1541" s="39">
        <v>475.55</v>
      </c>
      <c r="AJ1541" s="39">
        <v>478.88</v>
      </c>
      <c r="AK1541" s="39">
        <v>471.82</v>
      </c>
      <c r="AL1541" s="39">
        <v>0</v>
      </c>
      <c r="AM1541" s="39">
        <v>0</v>
      </c>
      <c r="AN1541" s="39">
        <v>0</v>
      </c>
      <c r="AO1541" s="39">
        <v>475.55</v>
      </c>
      <c r="AP1541" s="39">
        <v>478.88</v>
      </c>
      <c r="AQ1541" s="39">
        <v>471.82</v>
      </c>
      <c r="AR1541" s="39">
        <v>478.88</v>
      </c>
    </row>
    <row r="1542" spans="1:44" x14ac:dyDescent="0.35">
      <c r="A1542" s="16" t="str">
        <f t="shared" si="125"/>
        <v>36</v>
      </c>
      <c r="B1542" s="19">
        <v>67595</v>
      </c>
      <c r="C1542" s="16" t="str">
        <f t="shared" si="124"/>
        <v>0000000</v>
      </c>
      <c r="D1542" s="17" t="s">
        <v>3663</v>
      </c>
      <c r="E1542" s="16" t="s">
        <v>1927</v>
      </c>
      <c r="F1542" s="16" t="s">
        <v>1909</v>
      </c>
      <c r="G1542" s="35" t="s">
        <v>1928</v>
      </c>
      <c r="H1542" s="39">
        <v>5280.16</v>
      </c>
      <c r="I1542" s="39">
        <v>5309.33</v>
      </c>
      <c r="J1542" s="39">
        <v>5201.05</v>
      </c>
      <c r="K1542" s="39">
        <v>0</v>
      </c>
      <c r="L1542" s="39">
        <v>0</v>
      </c>
      <c r="M1542" s="39">
        <v>0</v>
      </c>
      <c r="N1542" s="39">
        <v>0</v>
      </c>
      <c r="O1542" s="39">
        <v>0</v>
      </c>
      <c r="P1542" s="39">
        <v>0</v>
      </c>
      <c r="Q1542" s="39">
        <v>0</v>
      </c>
      <c r="R1542" s="39">
        <v>0</v>
      </c>
      <c r="S1542" s="39">
        <v>0</v>
      </c>
      <c r="T1542" s="39">
        <v>0</v>
      </c>
      <c r="U1542" s="39">
        <v>0</v>
      </c>
      <c r="V1542" s="39">
        <v>0</v>
      </c>
      <c r="W1542" s="39">
        <v>0</v>
      </c>
      <c r="X1542" s="39">
        <v>0</v>
      </c>
      <c r="Y1542" s="39">
        <v>0</v>
      </c>
      <c r="Z1542" s="39">
        <v>0</v>
      </c>
      <c r="AA1542" s="39">
        <v>0</v>
      </c>
      <c r="AB1542" s="39">
        <v>0</v>
      </c>
      <c r="AC1542" s="39">
        <v>0</v>
      </c>
      <c r="AD1542" s="39">
        <v>0</v>
      </c>
      <c r="AE1542" s="39">
        <v>0</v>
      </c>
      <c r="AF1542" s="39">
        <v>0</v>
      </c>
      <c r="AG1542" s="39">
        <v>0</v>
      </c>
      <c r="AH1542" s="39">
        <v>0</v>
      </c>
      <c r="AI1542" s="39">
        <v>5280.16</v>
      </c>
      <c r="AJ1542" s="39">
        <v>5309.33</v>
      </c>
      <c r="AK1542" s="39">
        <v>5201.05</v>
      </c>
      <c r="AL1542" s="39">
        <v>0</v>
      </c>
      <c r="AM1542" s="39">
        <v>0</v>
      </c>
      <c r="AN1542" s="39">
        <v>0</v>
      </c>
      <c r="AO1542" s="39">
        <v>5280.16</v>
      </c>
      <c r="AP1542" s="39">
        <v>5309.33</v>
      </c>
      <c r="AQ1542" s="39">
        <v>5201.05</v>
      </c>
      <c r="AR1542" s="39">
        <v>5309.33</v>
      </c>
    </row>
    <row r="1543" spans="1:44" x14ac:dyDescent="0.35">
      <c r="A1543" s="16" t="str">
        <f t="shared" si="125"/>
        <v>36</v>
      </c>
      <c r="B1543" s="19">
        <v>67645</v>
      </c>
      <c r="C1543" s="16" t="str">
        <f t="shared" si="124"/>
        <v>0000000</v>
      </c>
      <c r="D1543" s="17" t="s">
        <v>3663</v>
      </c>
      <c r="E1543" s="16" t="s">
        <v>1933</v>
      </c>
      <c r="F1543" s="16" t="s">
        <v>1909</v>
      </c>
      <c r="G1543" s="35" t="s">
        <v>1934</v>
      </c>
      <c r="H1543" s="39">
        <v>4058.95</v>
      </c>
      <c r="I1543" s="39">
        <v>4057.81</v>
      </c>
      <c r="J1543" s="39">
        <v>3961.51</v>
      </c>
      <c r="K1543" s="39">
        <v>0</v>
      </c>
      <c r="L1543" s="39">
        <v>0</v>
      </c>
      <c r="M1543" s="39">
        <v>0</v>
      </c>
      <c r="N1543" s="39">
        <v>0</v>
      </c>
      <c r="O1543" s="39">
        <v>0</v>
      </c>
      <c r="P1543" s="39">
        <v>0</v>
      </c>
      <c r="Q1543" s="39">
        <v>0</v>
      </c>
      <c r="R1543" s="39">
        <v>0</v>
      </c>
      <c r="S1543" s="39">
        <v>0</v>
      </c>
      <c r="T1543" s="39">
        <v>0</v>
      </c>
      <c r="U1543" s="39">
        <v>0</v>
      </c>
      <c r="V1543" s="39">
        <v>0</v>
      </c>
      <c r="W1543" s="39">
        <v>0</v>
      </c>
      <c r="X1543" s="39">
        <v>0</v>
      </c>
      <c r="Y1543" s="39">
        <v>0</v>
      </c>
      <c r="Z1543" s="39">
        <v>0</v>
      </c>
      <c r="AA1543" s="39">
        <v>0</v>
      </c>
      <c r="AB1543" s="39">
        <v>0</v>
      </c>
      <c r="AC1543" s="39">
        <v>0</v>
      </c>
      <c r="AD1543" s="39">
        <v>0</v>
      </c>
      <c r="AE1543" s="39">
        <v>0</v>
      </c>
      <c r="AF1543" s="39">
        <v>0</v>
      </c>
      <c r="AG1543" s="39">
        <v>0</v>
      </c>
      <c r="AH1543" s="39">
        <v>0</v>
      </c>
      <c r="AI1543" s="39">
        <v>4058.95</v>
      </c>
      <c r="AJ1543" s="39">
        <v>4057.81</v>
      </c>
      <c r="AK1543" s="39">
        <v>3961.51</v>
      </c>
      <c r="AL1543" s="39">
        <v>0</v>
      </c>
      <c r="AM1543" s="39">
        <v>0</v>
      </c>
      <c r="AN1543" s="39">
        <v>0</v>
      </c>
      <c r="AO1543" s="39">
        <v>4058.95</v>
      </c>
      <c r="AP1543" s="39">
        <v>4057.81</v>
      </c>
      <c r="AQ1543" s="39">
        <v>3961.51</v>
      </c>
      <c r="AR1543" s="39">
        <v>4058.95</v>
      </c>
    </row>
    <row r="1544" spans="1:44" x14ac:dyDescent="0.35">
      <c r="A1544" s="16" t="str">
        <f t="shared" si="125"/>
        <v>36</v>
      </c>
      <c r="B1544" s="19">
        <v>67652</v>
      </c>
      <c r="C1544" s="16" t="str">
        <f t="shared" si="124"/>
        <v>0000000</v>
      </c>
      <c r="D1544" s="17" t="s">
        <v>3663</v>
      </c>
      <c r="E1544" s="16" t="s">
        <v>1935</v>
      </c>
      <c r="F1544" s="16" t="s">
        <v>1909</v>
      </c>
      <c r="G1544" s="35" t="s">
        <v>1936</v>
      </c>
      <c r="H1544" s="39">
        <v>20452.72</v>
      </c>
      <c r="I1544" s="39">
        <v>20902.939999999999</v>
      </c>
      <c r="J1544" s="39">
        <v>21200.9</v>
      </c>
      <c r="K1544" s="39">
        <v>0</v>
      </c>
      <c r="L1544" s="39">
        <v>0</v>
      </c>
      <c r="M1544" s="39">
        <v>0</v>
      </c>
      <c r="N1544" s="39">
        <v>0</v>
      </c>
      <c r="O1544" s="39">
        <v>0</v>
      </c>
      <c r="P1544" s="39">
        <v>0</v>
      </c>
      <c r="Q1544" s="39">
        <v>0</v>
      </c>
      <c r="R1544" s="39">
        <v>0</v>
      </c>
      <c r="S1544" s="39">
        <v>0</v>
      </c>
      <c r="T1544" s="39">
        <v>0</v>
      </c>
      <c r="U1544" s="39">
        <v>0</v>
      </c>
      <c r="V1544" s="39">
        <v>0</v>
      </c>
      <c r="W1544" s="39">
        <v>0</v>
      </c>
      <c r="X1544" s="39">
        <v>0</v>
      </c>
      <c r="Y1544" s="39">
        <v>0</v>
      </c>
      <c r="Z1544" s="39">
        <v>0</v>
      </c>
      <c r="AA1544" s="39">
        <v>0</v>
      </c>
      <c r="AB1544" s="39">
        <v>0</v>
      </c>
      <c r="AC1544" s="39">
        <v>0</v>
      </c>
      <c r="AD1544" s="39">
        <v>0</v>
      </c>
      <c r="AE1544" s="39">
        <v>0</v>
      </c>
      <c r="AF1544" s="39">
        <v>0</v>
      </c>
      <c r="AG1544" s="39">
        <v>0</v>
      </c>
      <c r="AH1544" s="39">
        <v>0</v>
      </c>
      <c r="AI1544" s="39">
        <v>20452.72</v>
      </c>
      <c r="AJ1544" s="39">
        <v>20902.939999999999</v>
      </c>
      <c r="AK1544" s="39">
        <v>21200.9</v>
      </c>
      <c r="AL1544" s="39">
        <v>0</v>
      </c>
      <c r="AM1544" s="39">
        <v>0</v>
      </c>
      <c r="AN1544" s="39">
        <v>0</v>
      </c>
      <c r="AO1544" s="39">
        <v>20452.72</v>
      </c>
      <c r="AP1544" s="39">
        <v>20902.939999999999</v>
      </c>
      <c r="AQ1544" s="39">
        <v>21200.9</v>
      </c>
      <c r="AR1544" s="39">
        <v>21200.9</v>
      </c>
    </row>
    <row r="1545" spans="1:44" x14ac:dyDescent="0.35">
      <c r="A1545" s="16" t="str">
        <f t="shared" si="125"/>
        <v>36</v>
      </c>
      <c r="B1545" s="19">
        <v>67678</v>
      </c>
      <c r="C1545" s="16" t="str">
        <f t="shared" si="124"/>
        <v>0000000</v>
      </c>
      <c r="D1545" s="17" t="s">
        <v>3663</v>
      </c>
      <c r="E1545" s="16" t="s">
        <v>1937</v>
      </c>
      <c r="F1545" s="16" t="s">
        <v>1909</v>
      </c>
      <c r="G1545" s="35" t="s">
        <v>1938</v>
      </c>
      <c r="H1545" s="39">
        <v>24194.6</v>
      </c>
      <c r="I1545" s="39">
        <v>24111.63</v>
      </c>
      <c r="J1545" s="39">
        <v>23957.89</v>
      </c>
      <c r="K1545" s="39">
        <v>0</v>
      </c>
      <c r="L1545" s="39">
        <v>0</v>
      </c>
      <c r="M1545" s="39">
        <v>0</v>
      </c>
      <c r="N1545" s="39">
        <v>0</v>
      </c>
      <c r="O1545" s="39">
        <v>0</v>
      </c>
      <c r="P1545" s="39">
        <v>0</v>
      </c>
      <c r="Q1545" s="39">
        <v>0</v>
      </c>
      <c r="R1545" s="39">
        <v>0</v>
      </c>
      <c r="S1545" s="39">
        <v>0</v>
      </c>
      <c r="T1545" s="39">
        <v>0</v>
      </c>
      <c r="U1545" s="39">
        <v>0</v>
      </c>
      <c r="V1545" s="39">
        <v>0</v>
      </c>
      <c r="W1545" s="39">
        <v>0</v>
      </c>
      <c r="X1545" s="39">
        <v>0</v>
      </c>
      <c r="Y1545" s="39">
        <v>0</v>
      </c>
      <c r="Z1545" s="39">
        <v>0</v>
      </c>
      <c r="AA1545" s="39">
        <v>0</v>
      </c>
      <c r="AB1545" s="39">
        <v>0</v>
      </c>
      <c r="AC1545" s="39">
        <v>0</v>
      </c>
      <c r="AD1545" s="39">
        <v>0</v>
      </c>
      <c r="AE1545" s="39">
        <v>0</v>
      </c>
      <c r="AF1545" s="39">
        <v>0</v>
      </c>
      <c r="AG1545" s="39">
        <v>0</v>
      </c>
      <c r="AH1545" s="39">
        <v>0</v>
      </c>
      <c r="AI1545" s="39">
        <v>24194.6</v>
      </c>
      <c r="AJ1545" s="39">
        <v>24111.63</v>
      </c>
      <c r="AK1545" s="39">
        <v>23957.89</v>
      </c>
      <c r="AL1545" s="39">
        <v>0</v>
      </c>
      <c r="AM1545" s="39">
        <v>0</v>
      </c>
      <c r="AN1545" s="39">
        <v>0</v>
      </c>
      <c r="AO1545" s="39">
        <v>24194.6</v>
      </c>
      <c r="AP1545" s="39">
        <v>24111.63</v>
      </c>
      <c r="AQ1545" s="39">
        <v>23957.89</v>
      </c>
      <c r="AR1545" s="39">
        <v>24194.6</v>
      </c>
    </row>
    <row r="1546" spans="1:44" x14ac:dyDescent="0.35">
      <c r="A1546" s="16" t="str">
        <f t="shared" si="125"/>
        <v>36</v>
      </c>
      <c r="B1546" s="19">
        <v>67694</v>
      </c>
      <c r="C1546" s="16" t="str">
        <f t="shared" si="124"/>
        <v>0000000</v>
      </c>
      <c r="D1546" s="17" t="s">
        <v>3663</v>
      </c>
      <c r="E1546" s="16" t="s">
        <v>1943</v>
      </c>
      <c r="F1546" s="16" t="s">
        <v>1909</v>
      </c>
      <c r="G1546" s="35" t="s">
        <v>1944</v>
      </c>
      <c r="H1546" s="39">
        <v>2276.02</v>
      </c>
      <c r="I1546" s="39">
        <v>2144.7399999999998</v>
      </c>
      <c r="J1546" s="39">
        <v>2208.89</v>
      </c>
      <c r="K1546" s="39">
        <v>0</v>
      </c>
      <c r="L1546" s="39">
        <v>0</v>
      </c>
      <c r="M1546" s="39">
        <v>0</v>
      </c>
      <c r="N1546" s="39">
        <v>0</v>
      </c>
      <c r="O1546" s="39">
        <v>0</v>
      </c>
      <c r="P1546" s="39">
        <v>0</v>
      </c>
      <c r="Q1546" s="39">
        <v>0</v>
      </c>
      <c r="R1546" s="39">
        <v>0</v>
      </c>
      <c r="S1546" s="39">
        <v>0</v>
      </c>
      <c r="T1546" s="39">
        <v>0</v>
      </c>
      <c r="U1546" s="39">
        <v>0</v>
      </c>
      <c r="V1546" s="39">
        <v>0</v>
      </c>
      <c r="W1546" s="39">
        <v>0</v>
      </c>
      <c r="X1546" s="39">
        <v>0</v>
      </c>
      <c r="Y1546" s="39">
        <v>0</v>
      </c>
      <c r="Z1546" s="39">
        <v>0</v>
      </c>
      <c r="AA1546" s="39">
        <v>0</v>
      </c>
      <c r="AB1546" s="39">
        <v>0</v>
      </c>
      <c r="AC1546" s="39">
        <v>0</v>
      </c>
      <c r="AD1546" s="39">
        <v>0</v>
      </c>
      <c r="AE1546" s="39">
        <v>0</v>
      </c>
      <c r="AF1546" s="39">
        <v>0</v>
      </c>
      <c r="AG1546" s="39">
        <v>0</v>
      </c>
      <c r="AH1546" s="39">
        <v>0</v>
      </c>
      <c r="AI1546" s="39">
        <v>2276.02</v>
      </c>
      <c r="AJ1546" s="39">
        <v>2144.7399999999998</v>
      </c>
      <c r="AK1546" s="39">
        <v>2208.89</v>
      </c>
      <c r="AL1546" s="39">
        <v>0</v>
      </c>
      <c r="AM1546" s="39">
        <v>0</v>
      </c>
      <c r="AN1546" s="39">
        <v>0</v>
      </c>
      <c r="AO1546" s="39">
        <v>2276.02</v>
      </c>
      <c r="AP1546" s="39">
        <v>2144.7399999999998</v>
      </c>
      <c r="AQ1546" s="39">
        <v>2208.89</v>
      </c>
      <c r="AR1546" s="39">
        <v>2276.02</v>
      </c>
    </row>
    <row r="1547" spans="1:44" x14ac:dyDescent="0.35">
      <c r="A1547" s="16" t="str">
        <f t="shared" si="125"/>
        <v>36</v>
      </c>
      <c r="B1547" s="19">
        <v>67702</v>
      </c>
      <c r="C1547" s="16" t="str">
        <f t="shared" si="124"/>
        <v>0000000</v>
      </c>
      <c r="D1547" s="17" t="s">
        <v>3663</v>
      </c>
      <c r="E1547" s="16" t="s">
        <v>1945</v>
      </c>
      <c r="F1547" s="16" t="s">
        <v>1909</v>
      </c>
      <c r="G1547" s="35" t="s">
        <v>1946</v>
      </c>
      <c r="H1547" s="39">
        <v>12973.36</v>
      </c>
      <c r="I1547" s="39">
        <v>12957.54</v>
      </c>
      <c r="J1547" s="39">
        <v>12632.19</v>
      </c>
      <c r="K1547" s="39">
        <v>0</v>
      </c>
      <c r="L1547" s="39">
        <v>0</v>
      </c>
      <c r="M1547" s="39">
        <v>0</v>
      </c>
      <c r="N1547" s="39">
        <v>0</v>
      </c>
      <c r="O1547" s="39">
        <v>0</v>
      </c>
      <c r="P1547" s="39">
        <v>0</v>
      </c>
      <c r="Q1547" s="39">
        <v>0</v>
      </c>
      <c r="R1547" s="39">
        <v>0</v>
      </c>
      <c r="S1547" s="39">
        <v>0</v>
      </c>
      <c r="T1547" s="39">
        <v>0</v>
      </c>
      <c r="U1547" s="39">
        <v>0</v>
      </c>
      <c r="V1547" s="39">
        <v>0</v>
      </c>
      <c r="W1547" s="39">
        <v>0</v>
      </c>
      <c r="X1547" s="39">
        <v>0</v>
      </c>
      <c r="Y1547" s="39">
        <v>0</v>
      </c>
      <c r="Z1547" s="39">
        <v>0</v>
      </c>
      <c r="AA1547" s="39">
        <v>0</v>
      </c>
      <c r="AB1547" s="39">
        <v>0</v>
      </c>
      <c r="AC1547" s="39">
        <v>0</v>
      </c>
      <c r="AD1547" s="39">
        <v>0</v>
      </c>
      <c r="AE1547" s="39">
        <v>0</v>
      </c>
      <c r="AF1547" s="39">
        <v>0</v>
      </c>
      <c r="AG1547" s="39">
        <v>0</v>
      </c>
      <c r="AH1547" s="39">
        <v>0</v>
      </c>
      <c r="AI1547" s="39">
        <v>12973.36</v>
      </c>
      <c r="AJ1547" s="39">
        <v>12957.54</v>
      </c>
      <c r="AK1547" s="39">
        <v>12632.19</v>
      </c>
      <c r="AL1547" s="39">
        <v>0</v>
      </c>
      <c r="AM1547" s="39">
        <v>0</v>
      </c>
      <c r="AN1547" s="39">
        <v>0</v>
      </c>
      <c r="AO1547" s="39">
        <v>12973.36</v>
      </c>
      <c r="AP1547" s="39">
        <v>12957.54</v>
      </c>
      <c r="AQ1547" s="39">
        <v>12632.19</v>
      </c>
      <c r="AR1547" s="39">
        <v>12973.36</v>
      </c>
    </row>
    <row r="1548" spans="1:44" x14ac:dyDescent="0.35">
      <c r="A1548" s="16" t="str">
        <f t="shared" si="125"/>
        <v>36</v>
      </c>
      <c r="B1548" s="19">
        <v>67785</v>
      </c>
      <c r="C1548" s="16" t="str">
        <f t="shared" si="124"/>
        <v>0000000</v>
      </c>
      <c r="D1548" s="17" t="s">
        <v>3663</v>
      </c>
      <c r="E1548" s="16" t="s">
        <v>1961</v>
      </c>
      <c r="F1548" s="16" t="s">
        <v>1909</v>
      </c>
      <c r="G1548" s="35" t="s">
        <v>1066</v>
      </c>
      <c r="H1548" s="39">
        <v>3141.38</v>
      </c>
      <c r="I1548" s="39">
        <v>2973.6</v>
      </c>
      <c r="J1548" s="39">
        <v>2801.69</v>
      </c>
      <c r="K1548" s="39">
        <v>0</v>
      </c>
      <c r="L1548" s="39">
        <v>0</v>
      </c>
      <c r="M1548" s="39">
        <v>0</v>
      </c>
      <c r="N1548" s="39">
        <v>0</v>
      </c>
      <c r="O1548" s="39">
        <v>0</v>
      </c>
      <c r="P1548" s="39">
        <v>0</v>
      </c>
      <c r="Q1548" s="39">
        <v>0</v>
      </c>
      <c r="R1548" s="39">
        <v>0</v>
      </c>
      <c r="S1548" s="39">
        <v>0</v>
      </c>
      <c r="T1548" s="39">
        <v>0</v>
      </c>
      <c r="U1548" s="39">
        <v>0</v>
      </c>
      <c r="V1548" s="39">
        <v>0</v>
      </c>
      <c r="W1548" s="39">
        <v>0</v>
      </c>
      <c r="X1548" s="39">
        <v>0</v>
      </c>
      <c r="Y1548" s="39">
        <v>0</v>
      </c>
      <c r="Z1548" s="39">
        <v>0</v>
      </c>
      <c r="AA1548" s="39">
        <v>0</v>
      </c>
      <c r="AB1548" s="39">
        <v>0</v>
      </c>
      <c r="AC1548" s="39">
        <v>0</v>
      </c>
      <c r="AD1548" s="39">
        <v>0</v>
      </c>
      <c r="AE1548" s="39">
        <v>0</v>
      </c>
      <c r="AF1548" s="39">
        <v>0</v>
      </c>
      <c r="AG1548" s="39">
        <v>0</v>
      </c>
      <c r="AH1548" s="39">
        <v>0</v>
      </c>
      <c r="AI1548" s="39">
        <v>3141.38</v>
      </c>
      <c r="AJ1548" s="39">
        <v>2973.6</v>
      </c>
      <c r="AK1548" s="39">
        <v>2801.69</v>
      </c>
      <c r="AL1548" s="39">
        <v>0</v>
      </c>
      <c r="AM1548" s="39">
        <v>0</v>
      </c>
      <c r="AN1548" s="39">
        <v>0</v>
      </c>
      <c r="AO1548" s="39">
        <v>3141.38</v>
      </c>
      <c r="AP1548" s="39">
        <v>2973.6</v>
      </c>
      <c r="AQ1548" s="39">
        <v>2801.69</v>
      </c>
      <c r="AR1548" s="39">
        <v>3141.38</v>
      </c>
    </row>
    <row r="1549" spans="1:44" x14ac:dyDescent="0.35">
      <c r="A1549" s="16" t="str">
        <f t="shared" si="125"/>
        <v>36</v>
      </c>
      <c r="B1549" s="19">
        <v>75069</v>
      </c>
      <c r="C1549" s="16" t="str">
        <f t="shared" si="124"/>
        <v>0000000</v>
      </c>
      <c r="D1549" s="17" t="s">
        <v>3663</v>
      </c>
      <c r="E1549" s="16" t="s">
        <v>2039</v>
      </c>
      <c r="F1549" s="16" t="s">
        <v>1909</v>
      </c>
      <c r="G1549" s="35" t="s">
        <v>2040</v>
      </c>
      <c r="H1549" s="39">
        <v>8971.89</v>
      </c>
      <c r="I1549" s="39">
        <v>9204.4500000000007</v>
      </c>
      <c r="J1549" s="39">
        <v>9314.59</v>
      </c>
      <c r="K1549" s="39">
        <v>0</v>
      </c>
      <c r="L1549" s="39">
        <v>0</v>
      </c>
      <c r="M1549" s="39">
        <v>0</v>
      </c>
      <c r="N1549" s="39">
        <v>0</v>
      </c>
      <c r="O1549" s="39">
        <v>0</v>
      </c>
      <c r="P1549" s="39">
        <v>0</v>
      </c>
      <c r="Q1549" s="39">
        <v>0</v>
      </c>
      <c r="R1549" s="39">
        <v>0</v>
      </c>
      <c r="S1549" s="39">
        <v>0</v>
      </c>
      <c r="T1549" s="39">
        <v>0</v>
      </c>
      <c r="U1549" s="39">
        <v>0</v>
      </c>
      <c r="V1549" s="39">
        <v>0</v>
      </c>
      <c r="W1549" s="39">
        <v>0</v>
      </c>
      <c r="X1549" s="39">
        <v>0</v>
      </c>
      <c r="Y1549" s="39">
        <v>0</v>
      </c>
      <c r="Z1549" s="39">
        <v>0</v>
      </c>
      <c r="AA1549" s="39">
        <v>0</v>
      </c>
      <c r="AB1549" s="39">
        <v>0</v>
      </c>
      <c r="AC1549" s="39">
        <v>0</v>
      </c>
      <c r="AD1549" s="39">
        <v>0</v>
      </c>
      <c r="AE1549" s="39">
        <v>0</v>
      </c>
      <c r="AF1549" s="39">
        <v>0</v>
      </c>
      <c r="AG1549" s="39">
        <v>0</v>
      </c>
      <c r="AH1549" s="39">
        <v>0</v>
      </c>
      <c r="AI1549" s="39">
        <v>8971.89</v>
      </c>
      <c r="AJ1549" s="39">
        <v>9204.4500000000007</v>
      </c>
      <c r="AK1549" s="39">
        <v>9314.59</v>
      </c>
      <c r="AL1549" s="39">
        <v>0</v>
      </c>
      <c r="AM1549" s="39">
        <v>0</v>
      </c>
      <c r="AN1549" s="39">
        <v>0</v>
      </c>
      <c r="AO1549" s="39">
        <v>8971.89</v>
      </c>
      <c r="AP1549" s="39">
        <v>9204.4500000000007</v>
      </c>
      <c r="AQ1549" s="39">
        <v>9314.59</v>
      </c>
      <c r="AR1549" s="39">
        <v>9314.59</v>
      </c>
    </row>
    <row r="1550" spans="1:44" x14ac:dyDescent="0.35">
      <c r="A1550" s="16" t="str">
        <f t="shared" si="125"/>
        <v>36</v>
      </c>
      <c r="B1550" s="19">
        <v>67793</v>
      </c>
      <c r="C1550" s="16" t="str">
        <f t="shared" si="124"/>
        <v>0000000</v>
      </c>
      <c r="D1550" s="17" t="s">
        <v>3663</v>
      </c>
      <c r="E1550" s="16" t="s">
        <v>1962</v>
      </c>
      <c r="F1550" s="16" t="s">
        <v>1909</v>
      </c>
      <c r="G1550" s="35" t="s">
        <v>1963</v>
      </c>
      <c r="H1550" s="39">
        <v>101.23</v>
      </c>
      <c r="I1550" s="39">
        <v>93.4</v>
      </c>
      <c r="J1550" s="39">
        <v>87.96</v>
      </c>
      <c r="K1550" s="39">
        <v>0</v>
      </c>
      <c r="L1550" s="39">
        <v>0</v>
      </c>
      <c r="M1550" s="39">
        <v>0</v>
      </c>
      <c r="N1550" s="39">
        <v>0</v>
      </c>
      <c r="O1550" s="39">
        <v>0</v>
      </c>
      <c r="P1550" s="39">
        <v>0</v>
      </c>
      <c r="Q1550" s="39">
        <v>0</v>
      </c>
      <c r="R1550" s="39">
        <v>0</v>
      </c>
      <c r="S1550" s="39">
        <v>0</v>
      </c>
      <c r="T1550" s="39">
        <v>0</v>
      </c>
      <c r="U1550" s="39">
        <v>0</v>
      </c>
      <c r="V1550" s="39">
        <v>0</v>
      </c>
      <c r="W1550" s="39">
        <v>0</v>
      </c>
      <c r="X1550" s="39">
        <v>0</v>
      </c>
      <c r="Y1550" s="39">
        <v>0</v>
      </c>
      <c r="Z1550" s="39">
        <v>0</v>
      </c>
      <c r="AA1550" s="39">
        <v>0</v>
      </c>
      <c r="AB1550" s="39">
        <v>0</v>
      </c>
      <c r="AC1550" s="39">
        <v>0</v>
      </c>
      <c r="AD1550" s="39">
        <v>0</v>
      </c>
      <c r="AE1550" s="39">
        <v>0</v>
      </c>
      <c r="AF1550" s="39">
        <v>0</v>
      </c>
      <c r="AG1550" s="39">
        <v>0</v>
      </c>
      <c r="AH1550" s="39">
        <v>0</v>
      </c>
      <c r="AI1550" s="39">
        <v>101.23</v>
      </c>
      <c r="AJ1550" s="39">
        <v>93.4</v>
      </c>
      <c r="AK1550" s="39">
        <v>87.96</v>
      </c>
      <c r="AL1550" s="39">
        <v>0</v>
      </c>
      <c r="AM1550" s="39">
        <v>0</v>
      </c>
      <c r="AN1550" s="39">
        <v>0</v>
      </c>
      <c r="AO1550" s="39">
        <v>101.23</v>
      </c>
      <c r="AP1550" s="39">
        <v>93.4</v>
      </c>
      <c r="AQ1550" s="39">
        <v>87.96</v>
      </c>
      <c r="AR1550" s="39">
        <v>101.23</v>
      </c>
    </row>
    <row r="1551" spans="1:44" x14ac:dyDescent="0.35">
      <c r="A1551" s="16" t="str">
        <f t="shared" si="125"/>
        <v>36</v>
      </c>
      <c r="B1551" s="19">
        <v>67819</v>
      </c>
      <c r="C1551" s="16" t="str">
        <f t="shared" si="124"/>
        <v>0000000</v>
      </c>
      <c r="D1551" s="17" t="s">
        <v>3663</v>
      </c>
      <c r="E1551" s="16" t="s">
        <v>1966</v>
      </c>
      <c r="F1551" s="16" t="s">
        <v>1967</v>
      </c>
      <c r="G1551" s="35" t="s">
        <v>1967</v>
      </c>
      <c r="H1551" s="39">
        <v>16998.68</v>
      </c>
      <c r="I1551" s="39">
        <v>17150.75</v>
      </c>
      <c r="J1551" s="39">
        <v>17266.34</v>
      </c>
      <c r="K1551" s="39">
        <v>0</v>
      </c>
      <c r="L1551" s="39">
        <v>0</v>
      </c>
      <c r="M1551" s="39">
        <v>0</v>
      </c>
      <c r="N1551" s="39">
        <v>0</v>
      </c>
      <c r="O1551" s="39">
        <v>0</v>
      </c>
      <c r="P1551" s="39">
        <v>0</v>
      </c>
      <c r="Q1551" s="39">
        <v>0</v>
      </c>
      <c r="R1551" s="39">
        <v>0</v>
      </c>
      <c r="S1551" s="39">
        <v>0</v>
      </c>
      <c r="T1551" s="39">
        <v>0</v>
      </c>
      <c r="U1551" s="39">
        <v>0</v>
      </c>
      <c r="V1551" s="39">
        <v>0</v>
      </c>
      <c r="W1551" s="39">
        <v>0</v>
      </c>
      <c r="X1551" s="39">
        <v>0</v>
      </c>
      <c r="Y1551" s="39">
        <v>0</v>
      </c>
      <c r="Z1551" s="39">
        <v>0</v>
      </c>
      <c r="AA1551" s="39">
        <v>0</v>
      </c>
      <c r="AB1551" s="39">
        <v>0</v>
      </c>
      <c r="AC1551" s="39">
        <v>0</v>
      </c>
      <c r="AD1551" s="39">
        <v>0</v>
      </c>
      <c r="AE1551" s="39">
        <v>0</v>
      </c>
      <c r="AF1551" s="39">
        <v>0</v>
      </c>
      <c r="AG1551" s="39">
        <v>0</v>
      </c>
      <c r="AH1551" s="39">
        <v>0</v>
      </c>
      <c r="AI1551" s="39">
        <v>16998.68</v>
      </c>
      <c r="AJ1551" s="39">
        <v>17150.75</v>
      </c>
      <c r="AK1551" s="39">
        <v>17266.34</v>
      </c>
      <c r="AL1551" s="39">
        <v>0</v>
      </c>
      <c r="AM1551" s="39">
        <v>0</v>
      </c>
      <c r="AN1551" s="39">
        <v>0</v>
      </c>
      <c r="AO1551" s="39">
        <v>16998.68</v>
      </c>
      <c r="AP1551" s="39">
        <v>17150.75</v>
      </c>
      <c r="AQ1551" s="39">
        <v>17266.34</v>
      </c>
      <c r="AR1551" s="39">
        <v>17266.34</v>
      </c>
    </row>
    <row r="1552" spans="1:44" x14ac:dyDescent="0.35">
      <c r="A1552" s="16" t="str">
        <f t="shared" si="125"/>
        <v>36</v>
      </c>
      <c r="B1552" s="19">
        <v>67876</v>
      </c>
      <c r="C1552" s="16" t="str">
        <f t="shared" si="124"/>
        <v>0000000</v>
      </c>
      <c r="D1552" s="17" t="s">
        <v>3663</v>
      </c>
      <c r="E1552" s="16" t="s">
        <v>1976</v>
      </c>
      <c r="F1552" s="16" t="s">
        <v>1977</v>
      </c>
      <c r="G1552" s="35" t="s">
        <v>1977</v>
      </c>
      <c r="H1552" s="39">
        <v>40419.22</v>
      </c>
      <c r="I1552" s="39">
        <v>41051.74</v>
      </c>
      <c r="J1552" s="39">
        <v>41323.550000000003</v>
      </c>
      <c r="K1552" s="39">
        <v>0</v>
      </c>
      <c r="L1552" s="39">
        <v>0</v>
      </c>
      <c r="M1552" s="39">
        <v>0</v>
      </c>
      <c r="N1552" s="39">
        <v>0</v>
      </c>
      <c r="O1552" s="39">
        <v>0</v>
      </c>
      <c r="P1552" s="39">
        <v>0</v>
      </c>
      <c r="Q1552" s="39">
        <v>0</v>
      </c>
      <c r="R1552" s="39">
        <v>0</v>
      </c>
      <c r="S1552" s="39">
        <v>0</v>
      </c>
      <c r="T1552" s="39">
        <v>0</v>
      </c>
      <c r="U1552" s="39">
        <v>0</v>
      </c>
      <c r="V1552" s="39">
        <v>0</v>
      </c>
      <c r="W1552" s="39">
        <v>0</v>
      </c>
      <c r="X1552" s="39">
        <v>0</v>
      </c>
      <c r="Y1552" s="39">
        <v>0</v>
      </c>
      <c r="Z1552" s="39">
        <v>0</v>
      </c>
      <c r="AA1552" s="39">
        <v>0</v>
      </c>
      <c r="AB1552" s="39">
        <v>0</v>
      </c>
      <c r="AC1552" s="39">
        <v>1906.64</v>
      </c>
      <c r="AD1552" s="39">
        <v>2014.99</v>
      </c>
      <c r="AE1552" s="39">
        <v>2014.48</v>
      </c>
      <c r="AF1552" s="39">
        <v>0</v>
      </c>
      <c r="AG1552" s="39">
        <v>0</v>
      </c>
      <c r="AH1552" s="39">
        <v>0</v>
      </c>
      <c r="AI1552" s="39">
        <v>42325.86</v>
      </c>
      <c r="AJ1552" s="39">
        <v>43066.73</v>
      </c>
      <c r="AK1552" s="39">
        <v>43338.03</v>
      </c>
      <c r="AL1552" s="39">
        <v>0</v>
      </c>
      <c r="AM1552" s="39">
        <v>-141.46</v>
      </c>
      <c r="AN1552" s="39">
        <v>-141.04</v>
      </c>
      <c r="AO1552" s="39">
        <v>42325.86</v>
      </c>
      <c r="AP1552" s="39">
        <v>42925.27</v>
      </c>
      <c r="AQ1552" s="39">
        <v>43196.99</v>
      </c>
      <c r="AR1552" s="39">
        <v>43196.99</v>
      </c>
    </row>
    <row r="1553" spans="1:44" x14ac:dyDescent="0.35">
      <c r="A1553" s="16" t="str">
        <f t="shared" si="125"/>
        <v>36</v>
      </c>
      <c r="B1553" s="19">
        <v>67876</v>
      </c>
      <c r="C1553" s="16" t="str">
        <f>TEXT(109850,"0000000")</f>
        <v>0109850</v>
      </c>
      <c r="D1553" s="17" t="s">
        <v>1983</v>
      </c>
      <c r="E1553" s="16" t="s">
        <v>1981</v>
      </c>
      <c r="F1553" s="16" t="s">
        <v>1977</v>
      </c>
      <c r="G1553" s="35" t="s">
        <v>1982</v>
      </c>
      <c r="H1553" s="39">
        <v>0</v>
      </c>
      <c r="I1553" s="39">
        <v>0</v>
      </c>
      <c r="J1553" s="39">
        <v>0</v>
      </c>
      <c r="K1553" s="39">
        <v>0</v>
      </c>
      <c r="L1553" s="39">
        <v>0</v>
      </c>
      <c r="M1553" s="39">
        <v>0</v>
      </c>
      <c r="N1553" s="39">
        <v>0</v>
      </c>
      <c r="O1553" s="39">
        <v>0</v>
      </c>
      <c r="P1553" s="39">
        <v>0</v>
      </c>
      <c r="Q1553" s="39">
        <v>0</v>
      </c>
      <c r="R1553" s="39">
        <v>0</v>
      </c>
      <c r="S1553" s="39">
        <v>0</v>
      </c>
      <c r="T1553" s="39">
        <v>0</v>
      </c>
      <c r="U1553" s="39">
        <v>0</v>
      </c>
      <c r="V1553" s="39">
        <v>0</v>
      </c>
      <c r="W1553" s="39">
        <v>0</v>
      </c>
      <c r="X1553" s="39">
        <v>0</v>
      </c>
      <c r="Y1553" s="39">
        <v>0</v>
      </c>
      <c r="Z1553" s="39">
        <v>0</v>
      </c>
      <c r="AA1553" s="39">
        <v>0</v>
      </c>
      <c r="AB1553" s="39">
        <v>0</v>
      </c>
      <c r="AC1553" s="39">
        <v>355.02</v>
      </c>
      <c r="AD1553" s="39">
        <v>351.94</v>
      </c>
      <c r="AE1553" s="39">
        <v>356.67</v>
      </c>
      <c r="AF1553" s="39">
        <v>0</v>
      </c>
      <c r="AG1553" s="39">
        <v>0</v>
      </c>
      <c r="AH1553" s="39">
        <v>0</v>
      </c>
      <c r="AI1553" s="39">
        <v>355.02</v>
      </c>
      <c r="AJ1553" s="39">
        <v>351.94</v>
      </c>
      <c r="AK1553" s="39">
        <v>356.67</v>
      </c>
      <c r="AL1553" s="39">
        <v>0</v>
      </c>
      <c r="AM1553" s="39">
        <v>0</v>
      </c>
      <c r="AN1553" s="39">
        <v>0</v>
      </c>
      <c r="AO1553" s="39">
        <v>355.02</v>
      </c>
      <c r="AP1553" s="39">
        <v>351.94</v>
      </c>
      <c r="AQ1553" s="39">
        <v>356.67</v>
      </c>
      <c r="AR1553" s="39">
        <v>356.67</v>
      </c>
    </row>
    <row r="1554" spans="1:44" x14ac:dyDescent="0.35">
      <c r="A1554" s="16" t="str">
        <f t="shared" si="125"/>
        <v>36</v>
      </c>
      <c r="B1554" s="19">
        <v>67876</v>
      </c>
      <c r="C1554" s="16" t="str">
        <f>TEXT(3630993,"0000000")</f>
        <v>3630993</v>
      </c>
      <c r="D1554" s="17" t="s">
        <v>1990</v>
      </c>
      <c r="E1554" s="16" t="s">
        <v>1988</v>
      </c>
      <c r="F1554" s="16" t="s">
        <v>1977</v>
      </c>
      <c r="G1554" s="35" t="s">
        <v>1989</v>
      </c>
      <c r="H1554" s="39">
        <v>0</v>
      </c>
      <c r="I1554" s="39">
        <v>0</v>
      </c>
      <c r="J1554" s="39">
        <v>0</v>
      </c>
      <c r="K1554" s="39">
        <v>0</v>
      </c>
      <c r="L1554" s="39">
        <v>0</v>
      </c>
      <c r="M1554" s="39">
        <v>0</v>
      </c>
      <c r="N1554" s="39">
        <v>0</v>
      </c>
      <c r="O1554" s="39">
        <v>0</v>
      </c>
      <c r="P1554" s="39">
        <v>0</v>
      </c>
      <c r="Q1554" s="39">
        <v>0</v>
      </c>
      <c r="R1554" s="39">
        <v>0</v>
      </c>
      <c r="S1554" s="39">
        <v>0</v>
      </c>
      <c r="T1554" s="39">
        <v>0</v>
      </c>
      <c r="U1554" s="39">
        <v>0</v>
      </c>
      <c r="V1554" s="39">
        <v>0</v>
      </c>
      <c r="W1554" s="39">
        <v>0</v>
      </c>
      <c r="X1554" s="39">
        <v>0</v>
      </c>
      <c r="Y1554" s="39">
        <v>0</v>
      </c>
      <c r="Z1554" s="39">
        <v>0</v>
      </c>
      <c r="AA1554" s="39">
        <v>0</v>
      </c>
      <c r="AB1554" s="39">
        <v>0</v>
      </c>
      <c r="AC1554" s="39">
        <v>253.59</v>
      </c>
      <c r="AD1554" s="39">
        <v>267.06</v>
      </c>
      <c r="AE1554" s="39">
        <v>237.43</v>
      </c>
      <c r="AF1554" s="39">
        <v>0</v>
      </c>
      <c r="AG1554" s="39">
        <v>0</v>
      </c>
      <c r="AH1554" s="39">
        <v>0</v>
      </c>
      <c r="AI1554" s="39">
        <v>253.59</v>
      </c>
      <c r="AJ1554" s="39">
        <v>267.06</v>
      </c>
      <c r="AK1554" s="39">
        <v>237.43</v>
      </c>
      <c r="AL1554" s="39">
        <v>0</v>
      </c>
      <c r="AM1554" s="39">
        <v>0</v>
      </c>
      <c r="AN1554" s="39">
        <v>0</v>
      </c>
      <c r="AO1554" s="39">
        <v>253.59</v>
      </c>
      <c r="AP1554" s="39">
        <v>267.06</v>
      </c>
      <c r="AQ1554" s="39">
        <v>237.43</v>
      </c>
      <c r="AR1554" s="39">
        <v>267.06</v>
      </c>
    </row>
    <row r="1555" spans="1:44" x14ac:dyDescent="0.35">
      <c r="A1555" s="16" t="str">
        <f t="shared" si="125"/>
        <v>36</v>
      </c>
      <c r="B1555" s="19">
        <v>10363</v>
      </c>
      <c r="C1555" s="16" t="str">
        <f t="shared" ref="C1555:C1586" si="126">TEXT(,"0000000")</f>
        <v>0000000</v>
      </c>
      <c r="D1555" s="17" t="s">
        <v>3663</v>
      </c>
      <c r="E1555" s="16" t="s">
        <v>1910</v>
      </c>
      <c r="F1555" s="16" t="s">
        <v>1911</v>
      </c>
      <c r="G1555" s="35" t="s">
        <v>1911</v>
      </c>
      <c r="H1555" s="39">
        <v>0</v>
      </c>
      <c r="I1555" s="39">
        <v>0</v>
      </c>
      <c r="J1555" s="39">
        <v>0</v>
      </c>
      <c r="K1555" s="39">
        <v>0</v>
      </c>
      <c r="L1555" s="39">
        <v>0</v>
      </c>
      <c r="M1555" s="39">
        <v>0</v>
      </c>
      <c r="N1555" s="39">
        <v>0</v>
      </c>
      <c r="O1555" s="39">
        <v>0</v>
      </c>
      <c r="P1555" s="39">
        <v>0</v>
      </c>
      <c r="Q1555" s="39">
        <v>0</v>
      </c>
      <c r="R1555" s="39">
        <v>0</v>
      </c>
      <c r="S1555" s="39">
        <v>0</v>
      </c>
      <c r="T1555" s="39">
        <v>319.02999999999997</v>
      </c>
      <c r="U1555" s="39">
        <v>332.32</v>
      </c>
      <c r="V1555" s="39">
        <v>328.57</v>
      </c>
      <c r="W1555" s="39">
        <v>70.959999999999994</v>
      </c>
      <c r="X1555" s="39">
        <v>86.02</v>
      </c>
      <c r="Y1555" s="39">
        <v>89.24</v>
      </c>
      <c r="Z1555" s="39">
        <v>0</v>
      </c>
      <c r="AA1555" s="39">
        <v>0</v>
      </c>
      <c r="AB1555" s="39">
        <v>0</v>
      </c>
      <c r="AC1555" s="39">
        <v>0</v>
      </c>
      <c r="AD1555" s="39">
        <v>0</v>
      </c>
      <c r="AE1555" s="39">
        <v>0</v>
      </c>
      <c r="AF1555" s="39">
        <v>0</v>
      </c>
      <c r="AG1555" s="39">
        <v>0</v>
      </c>
      <c r="AH1555" s="39">
        <v>0</v>
      </c>
      <c r="AI1555" s="39">
        <v>389.99</v>
      </c>
      <c r="AJ1555" s="39">
        <v>418.34</v>
      </c>
      <c r="AK1555" s="39">
        <v>417.81</v>
      </c>
      <c r="AL1555" s="39">
        <v>0</v>
      </c>
      <c r="AM1555" s="39">
        <v>0</v>
      </c>
      <c r="AN1555" s="39">
        <v>0</v>
      </c>
      <c r="AO1555" s="39">
        <v>389.99</v>
      </c>
      <c r="AP1555" s="39">
        <v>418.34</v>
      </c>
      <c r="AQ1555" s="39">
        <v>417.81</v>
      </c>
      <c r="AR1555" s="39">
        <v>418.34</v>
      </c>
    </row>
    <row r="1556" spans="1:44" x14ac:dyDescent="0.35">
      <c r="A1556" s="16" t="str">
        <f t="shared" si="125"/>
        <v>36</v>
      </c>
      <c r="B1556" s="19">
        <v>67686</v>
      </c>
      <c r="C1556" s="16" t="str">
        <f t="shared" si="126"/>
        <v>0000000</v>
      </c>
      <c r="D1556" s="17" t="s">
        <v>3663</v>
      </c>
      <c r="E1556" s="16" t="s">
        <v>1941</v>
      </c>
      <c r="F1556" s="16" t="s">
        <v>1911</v>
      </c>
      <c r="G1556" s="35" t="s">
        <v>1942</v>
      </c>
      <c r="H1556" s="39">
        <v>17079.25</v>
      </c>
      <c r="I1556" s="39">
        <v>17597.169999999998</v>
      </c>
      <c r="J1556" s="39">
        <v>17515.099999999999</v>
      </c>
      <c r="K1556" s="39">
        <v>0</v>
      </c>
      <c r="L1556" s="39">
        <v>0</v>
      </c>
      <c r="M1556" s="39">
        <v>0</v>
      </c>
      <c r="N1556" s="39">
        <v>0</v>
      </c>
      <c r="O1556" s="39">
        <v>0</v>
      </c>
      <c r="P1556" s="39">
        <v>0</v>
      </c>
      <c r="Q1556" s="39">
        <v>0</v>
      </c>
      <c r="R1556" s="39">
        <v>0</v>
      </c>
      <c r="S1556" s="39">
        <v>0</v>
      </c>
      <c r="T1556" s="39">
        <v>0</v>
      </c>
      <c r="U1556" s="39">
        <v>0</v>
      </c>
      <c r="V1556" s="39">
        <v>0</v>
      </c>
      <c r="W1556" s="39">
        <v>0</v>
      </c>
      <c r="X1556" s="39">
        <v>0</v>
      </c>
      <c r="Y1556" s="39">
        <v>0</v>
      </c>
      <c r="Z1556" s="39">
        <v>0</v>
      </c>
      <c r="AA1556" s="39">
        <v>0</v>
      </c>
      <c r="AB1556" s="39">
        <v>0</v>
      </c>
      <c r="AC1556" s="39">
        <v>0</v>
      </c>
      <c r="AD1556" s="39">
        <v>0</v>
      </c>
      <c r="AE1556" s="39">
        <v>0</v>
      </c>
      <c r="AF1556" s="39">
        <v>0</v>
      </c>
      <c r="AG1556" s="39">
        <v>0</v>
      </c>
      <c r="AH1556" s="39">
        <v>0</v>
      </c>
      <c r="AI1556" s="39">
        <v>17079.25</v>
      </c>
      <c r="AJ1556" s="39">
        <v>17597.169999999998</v>
      </c>
      <c r="AK1556" s="39">
        <v>17515.099999999999</v>
      </c>
      <c r="AL1556" s="39">
        <v>0</v>
      </c>
      <c r="AM1556" s="39">
        <v>0</v>
      </c>
      <c r="AN1556" s="39">
        <v>0</v>
      </c>
      <c r="AO1556" s="39">
        <v>17079.25</v>
      </c>
      <c r="AP1556" s="39">
        <v>17597.169999999998</v>
      </c>
      <c r="AQ1556" s="39">
        <v>17515.099999999999</v>
      </c>
      <c r="AR1556" s="39">
        <v>17597.169999999998</v>
      </c>
    </row>
    <row r="1557" spans="1:44" x14ac:dyDescent="0.35">
      <c r="A1557" s="16" t="str">
        <f t="shared" si="125"/>
        <v>36</v>
      </c>
      <c r="B1557" s="19">
        <v>67843</v>
      </c>
      <c r="C1557" s="16" t="str">
        <f t="shared" si="126"/>
        <v>0000000</v>
      </c>
      <c r="D1557" s="17" t="s">
        <v>3663</v>
      </c>
      <c r="E1557" s="16" t="s">
        <v>1970</v>
      </c>
      <c r="F1557" s="16" t="s">
        <v>1911</v>
      </c>
      <c r="G1557" s="35" t="s">
        <v>1971</v>
      </c>
      <c r="H1557" s="39">
        <v>17941.55</v>
      </c>
      <c r="I1557" s="39">
        <v>18256.509999999998</v>
      </c>
      <c r="J1557" s="39">
        <v>18157.64</v>
      </c>
      <c r="K1557" s="39">
        <v>0</v>
      </c>
      <c r="L1557" s="39">
        <v>0</v>
      </c>
      <c r="M1557" s="39">
        <v>0</v>
      </c>
      <c r="N1557" s="39">
        <v>0</v>
      </c>
      <c r="O1557" s="39">
        <v>0</v>
      </c>
      <c r="P1557" s="39">
        <v>0</v>
      </c>
      <c r="Q1557" s="39">
        <v>0</v>
      </c>
      <c r="R1557" s="39">
        <v>0</v>
      </c>
      <c r="S1557" s="39">
        <v>0</v>
      </c>
      <c r="T1557" s="39">
        <v>0</v>
      </c>
      <c r="U1557" s="39">
        <v>0</v>
      </c>
      <c r="V1557" s="39">
        <v>0</v>
      </c>
      <c r="W1557" s="39">
        <v>0</v>
      </c>
      <c r="X1557" s="39">
        <v>0</v>
      </c>
      <c r="Y1557" s="39">
        <v>0</v>
      </c>
      <c r="Z1557" s="39">
        <v>0</v>
      </c>
      <c r="AA1557" s="39">
        <v>0</v>
      </c>
      <c r="AB1557" s="39">
        <v>0</v>
      </c>
      <c r="AC1557" s="39">
        <v>246.25</v>
      </c>
      <c r="AD1557" s="39">
        <v>232.8</v>
      </c>
      <c r="AE1557" s="39">
        <v>229.64</v>
      </c>
      <c r="AF1557" s="39">
        <v>0</v>
      </c>
      <c r="AG1557" s="39">
        <v>0</v>
      </c>
      <c r="AH1557" s="39">
        <v>0</v>
      </c>
      <c r="AI1557" s="39">
        <v>18187.8</v>
      </c>
      <c r="AJ1557" s="39">
        <v>18489.310000000001</v>
      </c>
      <c r="AK1557" s="39">
        <v>18387.28</v>
      </c>
      <c r="AL1557" s="39">
        <v>0</v>
      </c>
      <c r="AM1557" s="39">
        <v>0</v>
      </c>
      <c r="AN1557" s="39">
        <v>0</v>
      </c>
      <c r="AO1557" s="39">
        <v>18187.8</v>
      </c>
      <c r="AP1557" s="39">
        <v>18489.310000000001</v>
      </c>
      <c r="AQ1557" s="39">
        <v>18387.28</v>
      </c>
      <c r="AR1557" s="39">
        <v>18489.310000000001</v>
      </c>
    </row>
    <row r="1558" spans="1:44" x14ac:dyDescent="0.35">
      <c r="A1558" s="16" t="str">
        <f t="shared" si="125"/>
        <v>36</v>
      </c>
      <c r="B1558" s="19">
        <v>67850</v>
      </c>
      <c r="C1558" s="16" t="str">
        <f t="shared" si="126"/>
        <v>0000000</v>
      </c>
      <c r="D1558" s="17" t="s">
        <v>3663</v>
      </c>
      <c r="E1558" s="16" t="s">
        <v>1972</v>
      </c>
      <c r="F1558" s="16" t="s">
        <v>1911</v>
      </c>
      <c r="G1558" s="35" t="s">
        <v>1973</v>
      </c>
      <c r="H1558" s="39">
        <v>21642.48</v>
      </c>
      <c r="I1558" s="39">
        <v>21760.560000000001</v>
      </c>
      <c r="J1558" s="39">
        <v>21792.02</v>
      </c>
      <c r="K1558" s="39">
        <v>0</v>
      </c>
      <c r="L1558" s="39">
        <v>0</v>
      </c>
      <c r="M1558" s="39">
        <v>0</v>
      </c>
      <c r="N1558" s="39">
        <v>0</v>
      </c>
      <c r="O1558" s="39">
        <v>0</v>
      </c>
      <c r="P1558" s="39">
        <v>0</v>
      </c>
      <c r="Q1558" s="39">
        <v>0</v>
      </c>
      <c r="R1558" s="39">
        <v>0</v>
      </c>
      <c r="S1558" s="39">
        <v>0</v>
      </c>
      <c r="T1558" s="39">
        <v>0</v>
      </c>
      <c r="U1558" s="39">
        <v>0</v>
      </c>
      <c r="V1558" s="39">
        <v>0</v>
      </c>
      <c r="W1558" s="39">
        <v>0</v>
      </c>
      <c r="X1558" s="39">
        <v>0</v>
      </c>
      <c r="Y1558" s="39">
        <v>0</v>
      </c>
      <c r="Z1558" s="39">
        <v>0</v>
      </c>
      <c r="AA1558" s="39">
        <v>0</v>
      </c>
      <c r="AB1558" s="39">
        <v>0</v>
      </c>
      <c r="AC1558" s="39">
        <v>0</v>
      </c>
      <c r="AD1558" s="39">
        <v>0</v>
      </c>
      <c r="AE1558" s="39">
        <v>0</v>
      </c>
      <c r="AF1558" s="39">
        <v>0</v>
      </c>
      <c r="AG1558" s="39">
        <v>0</v>
      </c>
      <c r="AH1558" s="39">
        <v>0</v>
      </c>
      <c r="AI1558" s="39">
        <v>21642.48</v>
      </c>
      <c r="AJ1558" s="39">
        <v>21760.560000000001</v>
      </c>
      <c r="AK1558" s="39">
        <v>21792.02</v>
      </c>
      <c r="AL1558" s="39">
        <v>0</v>
      </c>
      <c r="AM1558" s="39">
        <v>0</v>
      </c>
      <c r="AN1558" s="39">
        <v>0</v>
      </c>
      <c r="AO1558" s="39">
        <v>21642.48</v>
      </c>
      <c r="AP1558" s="39">
        <v>21760.560000000001</v>
      </c>
      <c r="AQ1558" s="39">
        <v>21792.02</v>
      </c>
      <c r="AR1558" s="39">
        <v>21792.02</v>
      </c>
    </row>
    <row r="1559" spans="1:44" x14ac:dyDescent="0.35">
      <c r="A1559" s="16" t="str">
        <f t="shared" si="125"/>
        <v>36</v>
      </c>
      <c r="B1559" s="19">
        <v>67868</v>
      </c>
      <c r="C1559" s="16" t="str">
        <f t="shared" si="126"/>
        <v>0000000</v>
      </c>
      <c r="D1559" s="17" t="s">
        <v>3663</v>
      </c>
      <c r="E1559" s="16" t="s">
        <v>1974</v>
      </c>
      <c r="F1559" s="16" t="s">
        <v>1911</v>
      </c>
      <c r="G1559" s="35" t="s">
        <v>1975</v>
      </c>
      <c r="H1559" s="39">
        <v>2633.93</v>
      </c>
      <c r="I1559" s="39">
        <v>2590.0500000000002</v>
      </c>
      <c r="J1559" s="39">
        <v>2546.94</v>
      </c>
      <c r="K1559" s="39">
        <v>0</v>
      </c>
      <c r="L1559" s="39">
        <v>0</v>
      </c>
      <c r="M1559" s="39">
        <v>0</v>
      </c>
      <c r="N1559" s="39">
        <v>0</v>
      </c>
      <c r="O1559" s="39">
        <v>0</v>
      </c>
      <c r="P1559" s="39">
        <v>0</v>
      </c>
      <c r="Q1559" s="39">
        <v>0</v>
      </c>
      <c r="R1559" s="39">
        <v>0</v>
      </c>
      <c r="S1559" s="39">
        <v>0</v>
      </c>
      <c r="T1559" s="39">
        <v>0</v>
      </c>
      <c r="U1559" s="39">
        <v>0</v>
      </c>
      <c r="V1559" s="39">
        <v>0</v>
      </c>
      <c r="W1559" s="39">
        <v>0</v>
      </c>
      <c r="X1559" s="39">
        <v>0</v>
      </c>
      <c r="Y1559" s="39">
        <v>0</v>
      </c>
      <c r="Z1559" s="39">
        <v>0</v>
      </c>
      <c r="AA1559" s="39">
        <v>0</v>
      </c>
      <c r="AB1559" s="39">
        <v>0</v>
      </c>
      <c r="AC1559" s="39">
        <v>0</v>
      </c>
      <c r="AD1559" s="39">
        <v>0</v>
      </c>
      <c r="AE1559" s="39">
        <v>0</v>
      </c>
      <c r="AF1559" s="39">
        <v>0</v>
      </c>
      <c r="AG1559" s="39">
        <v>0</v>
      </c>
      <c r="AH1559" s="39">
        <v>0</v>
      </c>
      <c r="AI1559" s="39">
        <v>2633.93</v>
      </c>
      <c r="AJ1559" s="39">
        <v>2590.0500000000002</v>
      </c>
      <c r="AK1559" s="39">
        <v>2546.94</v>
      </c>
      <c r="AL1559" s="39">
        <v>0</v>
      </c>
      <c r="AM1559" s="39">
        <v>0</v>
      </c>
      <c r="AN1559" s="39">
        <v>0</v>
      </c>
      <c r="AO1559" s="39">
        <v>2633.93</v>
      </c>
      <c r="AP1559" s="39">
        <v>2590.0500000000002</v>
      </c>
      <c r="AQ1559" s="39">
        <v>2546.94</v>
      </c>
      <c r="AR1559" s="39">
        <v>2633.93</v>
      </c>
    </row>
    <row r="1560" spans="1:44" x14ac:dyDescent="0.35">
      <c r="A1560" s="16" t="str">
        <f t="shared" si="125"/>
        <v>36</v>
      </c>
      <c r="B1560" s="19">
        <v>67959</v>
      </c>
      <c r="C1560" s="16" t="str">
        <f t="shared" si="126"/>
        <v>0000000</v>
      </c>
      <c r="D1560" s="17" t="s">
        <v>3663</v>
      </c>
      <c r="E1560" s="16" t="s">
        <v>1997</v>
      </c>
      <c r="F1560" s="16" t="s">
        <v>1911</v>
      </c>
      <c r="G1560" s="35" t="s">
        <v>1998</v>
      </c>
      <c r="H1560" s="39">
        <v>7099.89</v>
      </c>
      <c r="I1560" s="39">
        <v>7102.7</v>
      </c>
      <c r="J1560" s="39">
        <v>7092.02</v>
      </c>
      <c r="K1560" s="39">
        <v>0</v>
      </c>
      <c r="L1560" s="39">
        <v>0</v>
      </c>
      <c r="M1560" s="39">
        <v>0</v>
      </c>
      <c r="N1560" s="39">
        <v>0</v>
      </c>
      <c r="O1560" s="39">
        <v>0</v>
      </c>
      <c r="P1560" s="39">
        <v>0</v>
      </c>
      <c r="Q1560" s="39">
        <v>0</v>
      </c>
      <c r="R1560" s="39">
        <v>0</v>
      </c>
      <c r="S1560" s="39">
        <v>0</v>
      </c>
      <c r="T1560" s="39">
        <v>0</v>
      </c>
      <c r="U1560" s="39">
        <v>0</v>
      </c>
      <c r="V1560" s="39">
        <v>0</v>
      </c>
      <c r="W1560" s="39">
        <v>0</v>
      </c>
      <c r="X1560" s="39">
        <v>0</v>
      </c>
      <c r="Y1560" s="39">
        <v>0</v>
      </c>
      <c r="Z1560" s="39">
        <v>0</v>
      </c>
      <c r="AA1560" s="39">
        <v>0</v>
      </c>
      <c r="AB1560" s="39">
        <v>0</v>
      </c>
      <c r="AC1560" s="39">
        <v>676.51</v>
      </c>
      <c r="AD1560" s="39">
        <v>668.26</v>
      </c>
      <c r="AE1560" s="39">
        <v>645.05999999999995</v>
      </c>
      <c r="AF1560" s="39">
        <v>0</v>
      </c>
      <c r="AG1560" s="39">
        <v>0</v>
      </c>
      <c r="AH1560" s="39">
        <v>0</v>
      </c>
      <c r="AI1560" s="39">
        <v>7776.4</v>
      </c>
      <c r="AJ1560" s="39">
        <v>7770.96</v>
      </c>
      <c r="AK1560" s="39">
        <v>7737.08</v>
      </c>
      <c r="AL1560" s="39">
        <v>0</v>
      </c>
      <c r="AM1560" s="39">
        <v>0</v>
      </c>
      <c r="AN1560" s="39">
        <v>0</v>
      </c>
      <c r="AO1560" s="39">
        <v>7776.4</v>
      </c>
      <c r="AP1560" s="39">
        <v>7770.96</v>
      </c>
      <c r="AQ1560" s="39">
        <v>7737.08</v>
      </c>
      <c r="AR1560" s="39">
        <v>7776.4</v>
      </c>
    </row>
    <row r="1561" spans="1:44" x14ac:dyDescent="0.35">
      <c r="A1561" s="16" t="str">
        <f t="shared" ref="A1561:A1572" si="127">TEXT(55,"00")</f>
        <v>55</v>
      </c>
      <c r="B1561" s="19">
        <v>10553</v>
      </c>
      <c r="C1561" s="16" t="str">
        <f t="shared" si="126"/>
        <v>0000000</v>
      </c>
      <c r="D1561" s="17" t="s">
        <v>3663</v>
      </c>
      <c r="E1561" s="16" t="s">
        <v>3412</v>
      </c>
      <c r="F1561" s="16" t="s">
        <v>3413</v>
      </c>
      <c r="G1561" s="35" t="s">
        <v>3413</v>
      </c>
      <c r="H1561" s="39">
        <v>0</v>
      </c>
      <c r="I1561" s="39">
        <v>0</v>
      </c>
      <c r="J1561" s="39">
        <v>0</v>
      </c>
      <c r="K1561" s="39">
        <v>0</v>
      </c>
      <c r="L1561" s="39">
        <v>0</v>
      </c>
      <c r="M1561" s="39">
        <v>0</v>
      </c>
      <c r="N1561" s="39">
        <v>0</v>
      </c>
      <c r="O1561" s="39">
        <v>0</v>
      </c>
      <c r="P1561" s="39">
        <v>0</v>
      </c>
      <c r="Q1561" s="39">
        <v>0</v>
      </c>
      <c r="R1561" s="39">
        <v>0</v>
      </c>
      <c r="S1561" s="39">
        <v>0</v>
      </c>
      <c r="T1561" s="39">
        <v>13.51</v>
      </c>
      <c r="U1561" s="39">
        <v>16.41</v>
      </c>
      <c r="V1561" s="39">
        <v>15.21</v>
      </c>
      <c r="W1561" s="39">
        <v>68.34</v>
      </c>
      <c r="X1561" s="39">
        <v>59.04</v>
      </c>
      <c r="Y1561" s="39">
        <v>69.290000000000006</v>
      </c>
      <c r="Z1561" s="39">
        <v>0</v>
      </c>
      <c r="AA1561" s="39">
        <v>0</v>
      </c>
      <c r="AB1561" s="39">
        <v>0</v>
      </c>
      <c r="AC1561" s="39">
        <v>0</v>
      </c>
      <c r="AD1561" s="39">
        <v>0</v>
      </c>
      <c r="AE1561" s="39">
        <v>0</v>
      </c>
      <c r="AF1561" s="39">
        <v>0</v>
      </c>
      <c r="AG1561" s="39">
        <v>0</v>
      </c>
      <c r="AH1561" s="39">
        <v>0</v>
      </c>
      <c r="AI1561" s="39">
        <v>81.849999999999994</v>
      </c>
      <c r="AJ1561" s="39">
        <v>75.45</v>
      </c>
      <c r="AK1561" s="39">
        <v>84.5</v>
      </c>
      <c r="AL1561" s="39">
        <v>0</v>
      </c>
      <c r="AM1561" s="39">
        <v>0</v>
      </c>
      <c r="AN1561" s="39">
        <v>0</v>
      </c>
      <c r="AO1561" s="39">
        <v>81.849999999999994</v>
      </c>
      <c r="AP1561" s="39">
        <v>75.45</v>
      </c>
      <c r="AQ1561" s="39">
        <v>84.5</v>
      </c>
      <c r="AR1561" s="39">
        <v>84.5</v>
      </c>
    </row>
    <row r="1562" spans="1:44" x14ac:dyDescent="0.35">
      <c r="A1562" s="16" t="str">
        <f t="shared" si="127"/>
        <v>55</v>
      </c>
      <c r="B1562" s="19">
        <v>72306</v>
      </c>
      <c r="C1562" s="16" t="str">
        <f t="shared" si="126"/>
        <v>0000000</v>
      </c>
      <c r="D1562" s="17" t="s">
        <v>3663</v>
      </c>
      <c r="E1562" s="16" t="s">
        <v>3414</v>
      </c>
      <c r="F1562" s="16" t="s">
        <v>3413</v>
      </c>
      <c r="G1562" s="35" t="s">
        <v>3415</v>
      </c>
      <c r="H1562" s="39">
        <v>138.21</v>
      </c>
      <c r="I1562" s="39">
        <v>150.18</v>
      </c>
      <c r="J1562" s="39">
        <v>158.41</v>
      </c>
      <c r="K1562" s="39">
        <v>0</v>
      </c>
      <c r="L1562" s="39">
        <v>0</v>
      </c>
      <c r="M1562" s="39">
        <v>0</v>
      </c>
      <c r="N1562" s="39">
        <v>0</v>
      </c>
      <c r="O1562" s="39">
        <v>0</v>
      </c>
      <c r="P1562" s="39">
        <v>0</v>
      </c>
      <c r="Q1562" s="39">
        <v>0</v>
      </c>
      <c r="R1562" s="39">
        <v>0</v>
      </c>
      <c r="S1562" s="39">
        <v>0</v>
      </c>
      <c r="T1562" s="39">
        <v>0</v>
      </c>
      <c r="U1562" s="39">
        <v>0</v>
      </c>
      <c r="V1562" s="39">
        <v>0</v>
      </c>
      <c r="W1562" s="39">
        <v>0</v>
      </c>
      <c r="X1562" s="39">
        <v>0</v>
      </c>
      <c r="Y1562" s="39">
        <v>0</v>
      </c>
      <c r="Z1562" s="39">
        <v>0</v>
      </c>
      <c r="AA1562" s="39">
        <v>0</v>
      </c>
      <c r="AB1562" s="39">
        <v>0</v>
      </c>
      <c r="AC1562" s="39">
        <v>0</v>
      </c>
      <c r="AD1562" s="39">
        <v>0</v>
      </c>
      <c r="AE1562" s="39">
        <v>0</v>
      </c>
      <c r="AF1562" s="39">
        <v>0</v>
      </c>
      <c r="AG1562" s="39">
        <v>0</v>
      </c>
      <c r="AH1562" s="39">
        <v>0</v>
      </c>
      <c r="AI1562" s="39">
        <v>138.21</v>
      </c>
      <c r="AJ1562" s="39">
        <v>150.18</v>
      </c>
      <c r="AK1562" s="39">
        <v>158.41</v>
      </c>
      <c r="AL1562" s="39">
        <v>0</v>
      </c>
      <c r="AM1562" s="39">
        <v>0</v>
      </c>
      <c r="AN1562" s="39">
        <v>0</v>
      </c>
      <c r="AO1562" s="39">
        <v>138.21</v>
      </c>
      <c r="AP1562" s="39">
        <v>150.18</v>
      </c>
      <c r="AQ1562" s="39">
        <v>158.41</v>
      </c>
      <c r="AR1562" s="39">
        <v>158.41</v>
      </c>
    </row>
    <row r="1563" spans="1:44" x14ac:dyDescent="0.35">
      <c r="A1563" s="16" t="str">
        <f t="shared" si="127"/>
        <v>55</v>
      </c>
      <c r="B1563" s="19">
        <v>72348</v>
      </c>
      <c r="C1563" s="16" t="str">
        <f t="shared" si="126"/>
        <v>0000000</v>
      </c>
      <c r="D1563" s="17" t="s">
        <v>3663</v>
      </c>
      <c r="E1563" s="16" t="s">
        <v>3416</v>
      </c>
      <c r="F1563" s="16" t="s">
        <v>3413</v>
      </c>
      <c r="G1563" s="35" t="s">
        <v>3417</v>
      </c>
      <c r="H1563" s="39">
        <v>436.85</v>
      </c>
      <c r="I1563" s="39">
        <v>412.21</v>
      </c>
      <c r="J1563" s="39">
        <v>396.33</v>
      </c>
      <c r="K1563" s="39">
        <v>0</v>
      </c>
      <c r="L1563" s="39">
        <v>0</v>
      </c>
      <c r="M1563" s="39">
        <v>0</v>
      </c>
      <c r="N1563" s="39">
        <v>0</v>
      </c>
      <c r="O1563" s="39">
        <v>0</v>
      </c>
      <c r="P1563" s="39">
        <v>0</v>
      </c>
      <c r="Q1563" s="39">
        <v>0</v>
      </c>
      <c r="R1563" s="39">
        <v>0</v>
      </c>
      <c r="S1563" s="39">
        <v>0</v>
      </c>
      <c r="T1563" s="39">
        <v>0</v>
      </c>
      <c r="U1563" s="39">
        <v>0</v>
      </c>
      <c r="V1563" s="39">
        <v>0</v>
      </c>
      <c r="W1563" s="39">
        <v>0</v>
      </c>
      <c r="X1563" s="39">
        <v>0</v>
      </c>
      <c r="Y1563" s="39">
        <v>0</v>
      </c>
      <c r="Z1563" s="39">
        <v>0</v>
      </c>
      <c r="AA1563" s="39">
        <v>0</v>
      </c>
      <c r="AB1563" s="39">
        <v>0</v>
      </c>
      <c r="AC1563" s="39">
        <v>0</v>
      </c>
      <c r="AD1563" s="39">
        <v>0</v>
      </c>
      <c r="AE1563" s="39">
        <v>0</v>
      </c>
      <c r="AF1563" s="39">
        <v>0</v>
      </c>
      <c r="AG1563" s="39">
        <v>0</v>
      </c>
      <c r="AH1563" s="39">
        <v>0</v>
      </c>
      <c r="AI1563" s="39">
        <v>436.85</v>
      </c>
      <c r="AJ1563" s="39">
        <v>412.21</v>
      </c>
      <c r="AK1563" s="39">
        <v>396.33</v>
      </c>
      <c r="AL1563" s="39">
        <v>0</v>
      </c>
      <c r="AM1563" s="39">
        <v>0</v>
      </c>
      <c r="AN1563" s="39">
        <v>0</v>
      </c>
      <c r="AO1563" s="39">
        <v>436.85</v>
      </c>
      <c r="AP1563" s="39">
        <v>412.21</v>
      </c>
      <c r="AQ1563" s="39">
        <v>396.33</v>
      </c>
      <c r="AR1563" s="39">
        <v>436.85</v>
      </c>
    </row>
    <row r="1564" spans="1:44" x14ac:dyDescent="0.35">
      <c r="A1564" s="16" t="str">
        <f t="shared" si="127"/>
        <v>55</v>
      </c>
      <c r="B1564" s="19">
        <v>72355</v>
      </c>
      <c r="C1564" s="16" t="str">
        <f t="shared" si="126"/>
        <v>0000000</v>
      </c>
      <c r="D1564" s="17" t="s">
        <v>3663</v>
      </c>
      <c r="E1564" s="16" t="s">
        <v>3418</v>
      </c>
      <c r="F1564" s="16" t="s">
        <v>3413</v>
      </c>
      <c r="G1564" s="35" t="s">
        <v>3419</v>
      </c>
      <c r="H1564" s="39">
        <v>372.9</v>
      </c>
      <c r="I1564" s="39">
        <v>394.44</v>
      </c>
      <c r="J1564" s="39">
        <v>400.44</v>
      </c>
      <c r="K1564" s="39">
        <v>0</v>
      </c>
      <c r="L1564" s="39">
        <v>0</v>
      </c>
      <c r="M1564" s="39">
        <v>0</v>
      </c>
      <c r="N1564" s="39">
        <v>0</v>
      </c>
      <c r="O1564" s="39">
        <v>0</v>
      </c>
      <c r="P1564" s="39">
        <v>0</v>
      </c>
      <c r="Q1564" s="39">
        <v>0</v>
      </c>
      <c r="R1564" s="39">
        <v>0</v>
      </c>
      <c r="S1564" s="39">
        <v>0</v>
      </c>
      <c r="T1564" s="39">
        <v>0</v>
      </c>
      <c r="U1564" s="39">
        <v>0</v>
      </c>
      <c r="V1564" s="39">
        <v>0</v>
      </c>
      <c r="W1564" s="39">
        <v>0</v>
      </c>
      <c r="X1564" s="39">
        <v>0</v>
      </c>
      <c r="Y1564" s="39">
        <v>0</v>
      </c>
      <c r="Z1564" s="39">
        <v>0</v>
      </c>
      <c r="AA1564" s="39">
        <v>0</v>
      </c>
      <c r="AB1564" s="39">
        <v>0</v>
      </c>
      <c r="AC1564" s="39">
        <v>0</v>
      </c>
      <c r="AD1564" s="39">
        <v>0</v>
      </c>
      <c r="AE1564" s="39">
        <v>0</v>
      </c>
      <c r="AF1564" s="39">
        <v>0</v>
      </c>
      <c r="AG1564" s="39">
        <v>0</v>
      </c>
      <c r="AH1564" s="39">
        <v>0</v>
      </c>
      <c r="AI1564" s="39">
        <v>372.9</v>
      </c>
      <c r="AJ1564" s="39">
        <v>394.44</v>
      </c>
      <c r="AK1564" s="39">
        <v>400.44</v>
      </c>
      <c r="AL1564" s="39">
        <v>0</v>
      </c>
      <c r="AM1564" s="39">
        <v>0</v>
      </c>
      <c r="AN1564" s="39">
        <v>0</v>
      </c>
      <c r="AO1564" s="39">
        <v>372.9</v>
      </c>
      <c r="AP1564" s="39">
        <v>394.44</v>
      </c>
      <c r="AQ1564" s="39">
        <v>400.44</v>
      </c>
      <c r="AR1564" s="39">
        <v>400.44</v>
      </c>
    </row>
    <row r="1565" spans="1:44" x14ac:dyDescent="0.35">
      <c r="A1565" s="16" t="str">
        <f t="shared" si="127"/>
        <v>55</v>
      </c>
      <c r="B1565" s="19">
        <v>72363</v>
      </c>
      <c r="C1565" s="16" t="str">
        <f t="shared" si="126"/>
        <v>0000000</v>
      </c>
      <c r="D1565" s="17" t="s">
        <v>3663</v>
      </c>
      <c r="E1565" s="16" t="s">
        <v>3420</v>
      </c>
      <c r="F1565" s="16" t="s">
        <v>3413</v>
      </c>
      <c r="G1565" s="35" t="s">
        <v>3421</v>
      </c>
      <c r="H1565" s="39">
        <v>427.21</v>
      </c>
      <c r="I1565" s="39">
        <v>384.62</v>
      </c>
      <c r="J1565" s="39">
        <v>345.95</v>
      </c>
      <c r="K1565" s="39">
        <v>0</v>
      </c>
      <c r="L1565" s="39">
        <v>0</v>
      </c>
      <c r="M1565" s="39">
        <v>0</v>
      </c>
      <c r="N1565" s="39">
        <v>0</v>
      </c>
      <c r="O1565" s="39">
        <v>0</v>
      </c>
      <c r="P1565" s="39">
        <v>0</v>
      </c>
      <c r="Q1565" s="39">
        <v>0</v>
      </c>
      <c r="R1565" s="39">
        <v>0</v>
      </c>
      <c r="S1565" s="39">
        <v>0</v>
      </c>
      <c r="T1565" s="39">
        <v>0</v>
      </c>
      <c r="U1565" s="39">
        <v>0</v>
      </c>
      <c r="V1565" s="39">
        <v>0</v>
      </c>
      <c r="W1565" s="39">
        <v>0</v>
      </c>
      <c r="X1565" s="39">
        <v>0</v>
      </c>
      <c r="Y1565" s="39">
        <v>0</v>
      </c>
      <c r="Z1565" s="39">
        <v>0</v>
      </c>
      <c r="AA1565" s="39">
        <v>0</v>
      </c>
      <c r="AB1565" s="39">
        <v>0</v>
      </c>
      <c r="AC1565" s="39">
        <v>0</v>
      </c>
      <c r="AD1565" s="39">
        <v>0</v>
      </c>
      <c r="AE1565" s="39">
        <v>0</v>
      </c>
      <c r="AF1565" s="39">
        <v>0</v>
      </c>
      <c r="AG1565" s="39">
        <v>0</v>
      </c>
      <c r="AH1565" s="39">
        <v>0</v>
      </c>
      <c r="AI1565" s="39">
        <v>427.21</v>
      </c>
      <c r="AJ1565" s="39">
        <v>384.62</v>
      </c>
      <c r="AK1565" s="39">
        <v>345.95</v>
      </c>
      <c r="AL1565" s="39">
        <v>0</v>
      </c>
      <c r="AM1565" s="39">
        <v>0</v>
      </c>
      <c r="AN1565" s="39">
        <v>0</v>
      </c>
      <c r="AO1565" s="39">
        <v>427.21</v>
      </c>
      <c r="AP1565" s="39">
        <v>384.62</v>
      </c>
      <c r="AQ1565" s="39">
        <v>345.95</v>
      </c>
      <c r="AR1565" s="39">
        <v>427.21</v>
      </c>
    </row>
    <row r="1566" spans="1:44" x14ac:dyDescent="0.35">
      <c r="A1566" s="16" t="str">
        <f t="shared" si="127"/>
        <v>55</v>
      </c>
      <c r="B1566" s="19">
        <v>72371</v>
      </c>
      <c r="C1566" s="16" t="str">
        <f t="shared" si="126"/>
        <v>0000000</v>
      </c>
      <c r="D1566" s="17" t="s">
        <v>3663</v>
      </c>
      <c r="E1566" s="16" t="s">
        <v>3422</v>
      </c>
      <c r="F1566" s="16" t="s">
        <v>3413</v>
      </c>
      <c r="G1566" s="35" t="s">
        <v>3423</v>
      </c>
      <c r="H1566" s="39">
        <v>572.22</v>
      </c>
      <c r="I1566" s="39">
        <v>634.73</v>
      </c>
      <c r="J1566" s="39">
        <v>651.37</v>
      </c>
      <c r="K1566" s="39">
        <v>0</v>
      </c>
      <c r="L1566" s="39">
        <v>0</v>
      </c>
      <c r="M1566" s="39">
        <v>0</v>
      </c>
      <c r="N1566" s="39">
        <v>0</v>
      </c>
      <c r="O1566" s="39">
        <v>0</v>
      </c>
      <c r="P1566" s="39">
        <v>0</v>
      </c>
      <c r="Q1566" s="39">
        <v>0</v>
      </c>
      <c r="R1566" s="39">
        <v>0</v>
      </c>
      <c r="S1566" s="39">
        <v>0</v>
      </c>
      <c r="T1566" s="39">
        <v>0</v>
      </c>
      <c r="U1566" s="39">
        <v>0</v>
      </c>
      <c r="V1566" s="39">
        <v>0</v>
      </c>
      <c r="W1566" s="39">
        <v>0</v>
      </c>
      <c r="X1566" s="39">
        <v>0</v>
      </c>
      <c r="Y1566" s="39">
        <v>0</v>
      </c>
      <c r="Z1566" s="39">
        <v>0</v>
      </c>
      <c r="AA1566" s="39">
        <v>0</v>
      </c>
      <c r="AB1566" s="39">
        <v>0</v>
      </c>
      <c r="AC1566" s="39">
        <v>0</v>
      </c>
      <c r="AD1566" s="39">
        <v>0</v>
      </c>
      <c r="AE1566" s="39">
        <v>0</v>
      </c>
      <c r="AF1566" s="39">
        <v>0</v>
      </c>
      <c r="AG1566" s="39">
        <v>0</v>
      </c>
      <c r="AH1566" s="39">
        <v>0</v>
      </c>
      <c r="AI1566" s="39">
        <v>572.22</v>
      </c>
      <c r="AJ1566" s="39">
        <v>634.73</v>
      </c>
      <c r="AK1566" s="39">
        <v>651.37</v>
      </c>
      <c r="AL1566" s="39">
        <v>0</v>
      </c>
      <c r="AM1566" s="39">
        <v>0</v>
      </c>
      <c r="AN1566" s="39">
        <v>0</v>
      </c>
      <c r="AO1566" s="39">
        <v>572.22</v>
      </c>
      <c r="AP1566" s="39">
        <v>634.73</v>
      </c>
      <c r="AQ1566" s="39">
        <v>651.37</v>
      </c>
      <c r="AR1566" s="39">
        <v>651.37</v>
      </c>
    </row>
    <row r="1567" spans="1:44" x14ac:dyDescent="0.35">
      <c r="A1567" s="16" t="str">
        <f t="shared" si="127"/>
        <v>55</v>
      </c>
      <c r="B1567" s="19">
        <v>72389</v>
      </c>
      <c r="C1567" s="16" t="str">
        <f t="shared" si="126"/>
        <v>0000000</v>
      </c>
      <c r="D1567" s="17" t="s">
        <v>3663</v>
      </c>
      <c r="E1567" s="16" t="s">
        <v>3424</v>
      </c>
      <c r="F1567" s="16" t="s">
        <v>3413</v>
      </c>
      <c r="G1567" s="35" t="s">
        <v>3425</v>
      </c>
      <c r="H1567" s="39">
        <v>887.3</v>
      </c>
      <c r="I1567" s="39">
        <v>956.32</v>
      </c>
      <c r="J1567" s="39">
        <v>947.59</v>
      </c>
      <c r="K1567" s="39">
        <v>0</v>
      </c>
      <c r="L1567" s="39">
        <v>0</v>
      </c>
      <c r="M1567" s="39">
        <v>0</v>
      </c>
      <c r="N1567" s="39">
        <v>0</v>
      </c>
      <c r="O1567" s="39">
        <v>0</v>
      </c>
      <c r="P1567" s="39">
        <v>0</v>
      </c>
      <c r="Q1567" s="39">
        <v>0</v>
      </c>
      <c r="R1567" s="39">
        <v>0</v>
      </c>
      <c r="S1567" s="39">
        <v>0</v>
      </c>
      <c r="T1567" s="39">
        <v>0</v>
      </c>
      <c r="U1567" s="39">
        <v>0</v>
      </c>
      <c r="V1567" s="39">
        <v>0</v>
      </c>
      <c r="W1567" s="39">
        <v>0</v>
      </c>
      <c r="X1567" s="39">
        <v>0</v>
      </c>
      <c r="Y1567" s="39">
        <v>0</v>
      </c>
      <c r="Z1567" s="39">
        <v>0</v>
      </c>
      <c r="AA1567" s="39">
        <v>0</v>
      </c>
      <c r="AB1567" s="39">
        <v>0</v>
      </c>
      <c r="AC1567" s="39">
        <v>0</v>
      </c>
      <c r="AD1567" s="39">
        <v>0</v>
      </c>
      <c r="AE1567" s="39">
        <v>0</v>
      </c>
      <c r="AF1567" s="39">
        <v>0</v>
      </c>
      <c r="AG1567" s="39">
        <v>0</v>
      </c>
      <c r="AH1567" s="39">
        <v>0</v>
      </c>
      <c r="AI1567" s="39">
        <v>887.3</v>
      </c>
      <c r="AJ1567" s="39">
        <v>956.32</v>
      </c>
      <c r="AK1567" s="39">
        <v>947.59</v>
      </c>
      <c r="AL1567" s="39">
        <v>0</v>
      </c>
      <c r="AM1567" s="39">
        <v>0</v>
      </c>
      <c r="AN1567" s="39">
        <v>0</v>
      </c>
      <c r="AO1567" s="39">
        <v>887.3</v>
      </c>
      <c r="AP1567" s="39">
        <v>956.32</v>
      </c>
      <c r="AQ1567" s="39">
        <v>947.59</v>
      </c>
      <c r="AR1567" s="39">
        <v>956.32</v>
      </c>
    </row>
    <row r="1568" spans="1:44" x14ac:dyDescent="0.35">
      <c r="A1568" s="16" t="str">
        <f t="shared" si="127"/>
        <v>55</v>
      </c>
      <c r="B1568" s="19">
        <v>72397</v>
      </c>
      <c r="C1568" s="16" t="str">
        <f t="shared" si="126"/>
        <v>0000000</v>
      </c>
      <c r="D1568" s="17" t="s">
        <v>3663</v>
      </c>
      <c r="E1568" s="16" t="s">
        <v>3426</v>
      </c>
      <c r="F1568" s="16" t="s">
        <v>3413</v>
      </c>
      <c r="G1568" s="35" t="s">
        <v>3427</v>
      </c>
      <c r="H1568" s="39">
        <v>472.7</v>
      </c>
      <c r="I1568" s="39">
        <v>438.46</v>
      </c>
      <c r="J1568" s="39">
        <v>447.6</v>
      </c>
      <c r="K1568" s="39">
        <v>0</v>
      </c>
      <c r="L1568" s="39">
        <v>0</v>
      </c>
      <c r="M1568" s="39">
        <v>0</v>
      </c>
      <c r="N1568" s="39">
        <v>0</v>
      </c>
      <c r="O1568" s="39">
        <v>0</v>
      </c>
      <c r="P1568" s="39">
        <v>0</v>
      </c>
      <c r="Q1568" s="39">
        <v>0</v>
      </c>
      <c r="R1568" s="39">
        <v>0</v>
      </c>
      <c r="S1568" s="39">
        <v>0</v>
      </c>
      <c r="T1568" s="39">
        <v>0</v>
      </c>
      <c r="U1568" s="39">
        <v>0</v>
      </c>
      <c r="V1568" s="39">
        <v>0</v>
      </c>
      <c r="W1568" s="39">
        <v>0</v>
      </c>
      <c r="X1568" s="39">
        <v>0</v>
      </c>
      <c r="Y1568" s="39">
        <v>0</v>
      </c>
      <c r="Z1568" s="39">
        <v>0</v>
      </c>
      <c r="AA1568" s="39">
        <v>0</v>
      </c>
      <c r="AB1568" s="39">
        <v>0</v>
      </c>
      <c r="AC1568" s="39">
        <v>0</v>
      </c>
      <c r="AD1568" s="39">
        <v>0</v>
      </c>
      <c r="AE1568" s="39">
        <v>0</v>
      </c>
      <c r="AF1568" s="39">
        <v>0</v>
      </c>
      <c r="AG1568" s="39">
        <v>0</v>
      </c>
      <c r="AH1568" s="39">
        <v>0</v>
      </c>
      <c r="AI1568" s="39">
        <v>472.7</v>
      </c>
      <c r="AJ1568" s="39">
        <v>438.46</v>
      </c>
      <c r="AK1568" s="39">
        <v>447.6</v>
      </c>
      <c r="AL1568" s="39">
        <v>0</v>
      </c>
      <c r="AM1568" s="39">
        <v>0</v>
      </c>
      <c r="AN1568" s="39">
        <v>0</v>
      </c>
      <c r="AO1568" s="39">
        <v>472.7</v>
      </c>
      <c r="AP1568" s="39">
        <v>438.46</v>
      </c>
      <c r="AQ1568" s="39">
        <v>447.6</v>
      </c>
      <c r="AR1568" s="39">
        <v>472.7</v>
      </c>
    </row>
    <row r="1569" spans="1:44" x14ac:dyDescent="0.35">
      <c r="A1569" s="16" t="str">
        <f t="shared" si="127"/>
        <v>55</v>
      </c>
      <c r="B1569" s="19">
        <v>72405</v>
      </c>
      <c r="C1569" s="16" t="str">
        <f t="shared" si="126"/>
        <v>0000000</v>
      </c>
      <c r="D1569" s="17" t="s">
        <v>3663</v>
      </c>
      <c r="E1569" s="16" t="s">
        <v>3428</v>
      </c>
      <c r="F1569" s="16" t="s">
        <v>3413</v>
      </c>
      <c r="G1569" s="35" t="s">
        <v>3429</v>
      </c>
      <c r="H1569" s="39">
        <v>424.99</v>
      </c>
      <c r="I1569" s="39">
        <v>417.29</v>
      </c>
      <c r="J1569" s="39">
        <v>378.42</v>
      </c>
      <c r="K1569" s="39">
        <v>0</v>
      </c>
      <c r="L1569" s="39">
        <v>0</v>
      </c>
      <c r="M1569" s="39">
        <v>0</v>
      </c>
      <c r="N1569" s="39">
        <v>0</v>
      </c>
      <c r="O1569" s="39">
        <v>0</v>
      </c>
      <c r="P1569" s="39">
        <v>0</v>
      </c>
      <c r="Q1569" s="39">
        <v>0</v>
      </c>
      <c r="R1569" s="39">
        <v>0</v>
      </c>
      <c r="S1569" s="39">
        <v>0</v>
      </c>
      <c r="T1569" s="39">
        <v>0</v>
      </c>
      <c r="U1569" s="39">
        <v>0</v>
      </c>
      <c r="V1569" s="39">
        <v>0</v>
      </c>
      <c r="W1569" s="39">
        <v>0</v>
      </c>
      <c r="X1569" s="39">
        <v>0</v>
      </c>
      <c r="Y1569" s="39">
        <v>0</v>
      </c>
      <c r="Z1569" s="39">
        <v>0</v>
      </c>
      <c r="AA1569" s="39">
        <v>0</v>
      </c>
      <c r="AB1569" s="39">
        <v>0</v>
      </c>
      <c r="AC1569" s="39">
        <v>0</v>
      </c>
      <c r="AD1569" s="39">
        <v>0</v>
      </c>
      <c r="AE1569" s="39">
        <v>0</v>
      </c>
      <c r="AF1569" s="39">
        <v>0</v>
      </c>
      <c r="AG1569" s="39">
        <v>0</v>
      </c>
      <c r="AH1569" s="39">
        <v>0</v>
      </c>
      <c r="AI1569" s="39">
        <v>424.99</v>
      </c>
      <c r="AJ1569" s="39">
        <v>417.29</v>
      </c>
      <c r="AK1569" s="39">
        <v>378.42</v>
      </c>
      <c r="AL1569" s="39">
        <v>0</v>
      </c>
      <c r="AM1569" s="39">
        <v>0</v>
      </c>
      <c r="AN1569" s="39">
        <v>0</v>
      </c>
      <c r="AO1569" s="39">
        <v>424.99</v>
      </c>
      <c r="AP1569" s="39">
        <v>417.29</v>
      </c>
      <c r="AQ1569" s="39">
        <v>378.42</v>
      </c>
      <c r="AR1569" s="39">
        <v>424.99</v>
      </c>
    </row>
    <row r="1570" spans="1:44" x14ac:dyDescent="0.35">
      <c r="A1570" s="16" t="str">
        <f t="shared" si="127"/>
        <v>55</v>
      </c>
      <c r="B1570" s="19">
        <v>72413</v>
      </c>
      <c r="C1570" s="16" t="str">
        <f t="shared" si="126"/>
        <v>0000000</v>
      </c>
      <c r="D1570" s="17" t="s">
        <v>3663</v>
      </c>
      <c r="E1570" s="16" t="s">
        <v>3430</v>
      </c>
      <c r="F1570" s="16" t="s">
        <v>3413</v>
      </c>
      <c r="G1570" s="35" t="s">
        <v>3431</v>
      </c>
      <c r="H1570" s="39">
        <v>480.22</v>
      </c>
      <c r="I1570" s="39">
        <v>457.18</v>
      </c>
      <c r="J1570" s="39">
        <v>426.49</v>
      </c>
      <c r="K1570" s="39">
        <v>0</v>
      </c>
      <c r="L1570" s="39">
        <v>0</v>
      </c>
      <c r="M1570" s="39">
        <v>0</v>
      </c>
      <c r="N1570" s="39">
        <v>0</v>
      </c>
      <c r="O1570" s="39">
        <v>0</v>
      </c>
      <c r="P1570" s="39">
        <v>0</v>
      </c>
      <c r="Q1570" s="39">
        <v>0</v>
      </c>
      <c r="R1570" s="39">
        <v>0</v>
      </c>
      <c r="S1570" s="39">
        <v>0</v>
      </c>
      <c r="T1570" s="39">
        <v>0</v>
      </c>
      <c r="U1570" s="39">
        <v>0</v>
      </c>
      <c r="V1570" s="39">
        <v>0</v>
      </c>
      <c r="W1570" s="39">
        <v>0</v>
      </c>
      <c r="X1570" s="39">
        <v>0</v>
      </c>
      <c r="Y1570" s="39">
        <v>0</v>
      </c>
      <c r="Z1570" s="39">
        <v>0</v>
      </c>
      <c r="AA1570" s="39">
        <v>0</v>
      </c>
      <c r="AB1570" s="39">
        <v>0</v>
      </c>
      <c r="AC1570" s="39">
        <v>535.67999999999995</v>
      </c>
      <c r="AD1570" s="39">
        <v>565.98</v>
      </c>
      <c r="AE1570" s="39">
        <v>596.73</v>
      </c>
      <c r="AF1570" s="39">
        <v>0</v>
      </c>
      <c r="AG1570" s="39">
        <v>0</v>
      </c>
      <c r="AH1570" s="39">
        <v>0</v>
      </c>
      <c r="AI1570" s="39">
        <v>1015.9</v>
      </c>
      <c r="AJ1570" s="39">
        <v>1023.16</v>
      </c>
      <c r="AK1570" s="39">
        <v>1023.22</v>
      </c>
      <c r="AL1570" s="39">
        <v>0</v>
      </c>
      <c r="AM1570" s="39">
        <v>0</v>
      </c>
      <c r="AN1570" s="39">
        <v>0</v>
      </c>
      <c r="AO1570" s="39">
        <v>1015.9</v>
      </c>
      <c r="AP1570" s="39">
        <v>1023.16</v>
      </c>
      <c r="AQ1570" s="39">
        <v>1023.22</v>
      </c>
      <c r="AR1570" s="39">
        <v>1023.22</v>
      </c>
    </row>
    <row r="1571" spans="1:44" x14ac:dyDescent="0.35">
      <c r="A1571" s="16" t="str">
        <f t="shared" si="127"/>
        <v>55</v>
      </c>
      <c r="B1571" s="19">
        <v>72421</v>
      </c>
      <c r="C1571" s="16" t="str">
        <f t="shared" si="126"/>
        <v>0000000</v>
      </c>
      <c r="D1571" s="17" t="s">
        <v>3663</v>
      </c>
      <c r="E1571" s="16" t="s">
        <v>3432</v>
      </c>
      <c r="F1571" s="16" t="s">
        <v>3413</v>
      </c>
      <c r="G1571" s="35" t="s">
        <v>3433</v>
      </c>
      <c r="H1571" s="39">
        <v>238.2</v>
      </c>
      <c r="I1571" s="39">
        <v>225.56</v>
      </c>
      <c r="J1571" s="39">
        <v>234.54</v>
      </c>
      <c r="K1571" s="39">
        <v>0</v>
      </c>
      <c r="L1571" s="39">
        <v>0</v>
      </c>
      <c r="M1571" s="39">
        <v>0</v>
      </c>
      <c r="N1571" s="39">
        <v>0</v>
      </c>
      <c r="O1571" s="39">
        <v>0</v>
      </c>
      <c r="P1571" s="39">
        <v>0</v>
      </c>
      <c r="Q1571" s="39">
        <v>0</v>
      </c>
      <c r="R1571" s="39">
        <v>0</v>
      </c>
      <c r="S1571" s="39">
        <v>0</v>
      </c>
      <c r="T1571" s="39">
        <v>0</v>
      </c>
      <c r="U1571" s="39">
        <v>0</v>
      </c>
      <c r="V1571" s="39">
        <v>0</v>
      </c>
      <c r="W1571" s="39">
        <v>0</v>
      </c>
      <c r="X1571" s="39">
        <v>0</v>
      </c>
      <c r="Y1571" s="39">
        <v>0</v>
      </c>
      <c r="Z1571" s="39">
        <v>0</v>
      </c>
      <c r="AA1571" s="39">
        <v>0</v>
      </c>
      <c r="AB1571" s="39">
        <v>0</v>
      </c>
      <c r="AC1571" s="39">
        <v>0</v>
      </c>
      <c r="AD1571" s="39">
        <v>0</v>
      </c>
      <c r="AE1571" s="39">
        <v>0</v>
      </c>
      <c r="AF1571" s="39">
        <v>0</v>
      </c>
      <c r="AG1571" s="39">
        <v>0</v>
      </c>
      <c r="AH1571" s="39">
        <v>0</v>
      </c>
      <c r="AI1571" s="39">
        <v>238.2</v>
      </c>
      <c r="AJ1571" s="39">
        <v>225.56</v>
      </c>
      <c r="AK1571" s="39">
        <v>234.54</v>
      </c>
      <c r="AL1571" s="39">
        <v>0</v>
      </c>
      <c r="AM1571" s="39">
        <v>0</v>
      </c>
      <c r="AN1571" s="39">
        <v>0</v>
      </c>
      <c r="AO1571" s="39">
        <v>238.2</v>
      </c>
      <c r="AP1571" s="39">
        <v>225.56</v>
      </c>
      <c r="AQ1571" s="39">
        <v>234.54</v>
      </c>
      <c r="AR1571" s="39">
        <v>238.2</v>
      </c>
    </row>
    <row r="1572" spans="1:44" x14ac:dyDescent="0.35">
      <c r="A1572" s="16" t="str">
        <f t="shared" si="127"/>
        <v>55</v>
      </c>
      <c r="B1572" s="19">
        <v>75184</v>
      </c>
      <c r="C1572" s="16" t="str">
        <f t="shared" si="126"/>
        <v>0000000</v>
      </c>
      <c r="D1572" s="17" t="s">
        <v>3663</v>
      </c>
      <c r="E1572" s="16" t="s">
        <v>3434</v>
      </c>
      <c r="F1572" s="16" t="s">
        <v>3413</v>
      </c>
      <c r="G1572" s="35" t="s">
        <v>3435</v>
      </c>
      <c r="H1572" s="39">
        <v>246.62</v>
      </c>
      <c r="I1572" s="39">
        <v>239.18</v>
      </c>
      <c r="J1572" s="39">
        <v>239.28</v>
      </c>
      <c r="K1572" s="39">
        <v>0</v>
      </c>
      <c r="L1572" s="39">
        <v>0</v>
      </c>
      <c r="M1572" s="39">
        <v>0</v>
      </c>
      <c r="N1572" s="39">
        <v>0</v>
      </c>
      <c r="O1572" s="39">
        <v>0</v>
      </c>
      <c r="P1572" s="39">
        <v>0</v>
      </c>
      <c r="Q1572" s="39">
        <v>0</v>
      </c>
      <c r="R1572" s="39">
        <v>0</v>
      </c>
      <c r="S1572" s="39">
        <v>0</v>
      </c>
      <c r="T1572" s="39">
        <v>0</v>
      </c>
      <c r="U1572" s="39">
        <v>0</v>
      </c>
      <c r="V1572" s="39">
        <v>0</v>
      </c>
      <c r="W1572" s="39">
        <v>0</v>
      </c>
      <c r="X1572" s="39">
        <v>0</v>
      </c>
      <c r="Y1572" s="39">
        <v>0</v>
      </c>
      <c r="Z1572" s="39">
        <v>0</v>
      </c>
      <c r="AA1572" s="39">
        <v>0</v>
      </c>
      <c r="AB1572" s="39">
        <v>0</v>
      </c>
      <c r="AC1572" s="39">
        <v>0</v>
      </c>
      <c r="AD1572" s="39">
        <v>0</v>
      </c>
      <c r="AE1572" s="39">
        <v>0</v>
      </c>
      <c r="AF1572" s="39">
        <v>0</v>
      </c>
      <c r="AG1572" s="39">
        <v>0</v>
      </c>
      <c r="AH1572" s="39">
        <v>0</v>
      </c>
      <c r="AI1572" s="39">
        <v>246.62</v>
      </c>
      <c r="AJ1572" s="39">
        <v>239.18</v>
      </c>
      <c r="AK1572" s="39">
        <v>239.28</v>
      </c>
      <c r="AL1572" s="39">
        <v>0</v>
      </c>
      <c r="AM1572" s="39">
        <v>0</v>
      </c>
      <c r="AN1572" s="39">
        <v>0</v>
      </c>
      <c r="AO1572" s="39">
        <v>246.62</v>
      </c>
      <c r="AP1572" s="39">
        <v>239.18</v>
      </c>
      <c r="AQ1572" s="39">
        <v>239.28</v>
      </c>
      <c r="AR1572" s="39">
        <v>246.62</v>
      </c>
    </row>
    <row r="1573" spans="1:44" x14ac:dyDescent="0.35">
      <c r="A1573" s="16" t="str">
        <f t="shared" ref="A1573:A1596" si="128">TEXT(12,"00")</f>
        <v>12</v>
      </c>
      <c r="B1573" s="19">
        <v>10124</v>
      </c>
      <c r="C1573" s="16" t="str">
        <f t="shared" si="126"/>
        <v>0000000</v>
      </c>
      <c r="D1573" s="17" t="s">
        <v>3663</v>
      </c>
      <c r="E1573" s="16" t="s">
        <v>338</v>
      </c>
      <c r="F1573" s="16" t="s">
        <v>339</v>
      </c>
      <c r="G1573" s="35" t="s">
        <v>339</v>
      </c>
      <c r="H1573" s="39">
        <v>0</v>
      </c>
      <c r="I1573" s="39">
        <v>0</v>
      </c>
      <c r="J1573" s="39">
        <v>0</v>
      </c>
      <c r="K1573" s="39">
        <v>0</v>
      </c>
      <c r="L1573" s="39">
        <v>0</v>
      </c>
      <c r="M1573" s="39">
        <v>0</v>
      </c>
      <c r="N1573" s="39">
        <v>0</v>
      </c>
      <c r="O1573" s="39">
        <v>0</v>
      </c>
      <c r="P1573" s="39">
        <v>0</v>
      </c>
      <c r="Q1573" s="39">
        <v>0</v>
      </c>
      <c r="R1573" s="39">
        <v>0</v>
      </c>
      <c r="S1573" s="39">
        <v>0</v>
      </c>
      <c r="T1573" s="39">
        <v>35.1</v>
      </c>
      <c r="U1573" s="39">
        <v>35.32</v>
      </c>
      <c r="V1573" s="39">
        <v>114.49</v>
      </c>
      <c r="W1573" s="39">
        <v>229.11</v>
      </c>
      <c r="X1573" s="39">
        <v>220.08</v>
      </c>
      <c r="Y1573" s="39">
        <v>148.78</v>
      </c>
      <c r="Z1573" s="39">
        <v>0</v>
      </c>
      <c r="AA1573" s="39">
        <v>0</v>
      </c>
      <c r="AB1573" s="39">
        <v>0</v>
      </c>
      <c r="AC1573" s="39">
        <v>0</v>
      </c>
      <c r="AD1573" s="39">
        <v>0</v>
      </c>
      <c r="AE1573" s="39">
        <v>0</v>
      </c>
      <c r="AF1573" s="39">
        <v>0</v>
      </c>
      <c r="AG1573" s="39">
        <v>0</v>
      </c>
      <c r="AH1573" s="39">
        <v>0</v>
      </c>
      <c r="AI1573" s="39">
        <v>264.20999999999998</v>
      </c>
      <c r="AJ1573" s="39">
        <v>255.4</v>
      </c>
      <c r="AK1573" s="39">
        <v>263.27</v>
      </c>
      <c r="AL1573" s="39">
        <v>0</v>
      </c>
      <c r="AM1573" s="39">
        <v>0</v>
      </c>
      <c r="AN1573" s="39">
        <v>0</v>
      </c>
      <c r="AO1573" s="39">
        <v>264.20999999999998</v>
      </c>
      <c r="AP1573" s="39">
        <v>255.4</v>
      </c>
      <c r="AQ1573" s="39">
        <v>263.27</v>
      </c>
      <c r="AR1573" s="39">
        <v>264.20999999999998</v>
      </c>
    </row>
    <row r="1574" spans="1:44" x14ac:dyDescent="0.35">
      <c r="A1574" s="16" t="str">
        <f t="shared" si="128"/>
        <v>12</v>
      </c>
      <c r="B1574" s="19">
        <v>62679</v>
      </c>
      <c r="C1574" s="16" t="str">
        <f t="shared" si="126"/>
        <v>0000000</v>
      </c>
      <c r="D1574" s="17" t="s">
        <v>3663</v>
      </c>
      <c r="E1574" s="16" t="s">
        <v>524</v>
      </c>
      <c r="F1574" s="16" t="s">
        <v>339</v>
      </c>
      <c r="G1574" s="35" t="s">
        <v>525</v>
      </c>
      <c r="H1574" s="39">
        <v>425.1</v>
      </c>
      <c r="I1574" s="39">
        <v>452.02</v>
      </c>
      <c r="J1574" s="39">
        <v>443.87</v>
      </c>
      <c r="K1574" s="39">
        <v>0</v>
      </c>
      <c r="L1574" s="39">
        <v>0</v>
      </c>
      <c r="M1574" s="39">
        <v>0</v>
      </c>
      <c r="N1574" s="39">
        <v>0</v>
      </c>
      <c r="O1574" s="39">
        <v>0</v>
      </c>
      <c r="P1574" s="39">
        <v>0</v>
      </c>
      <c r="Q1574" s="39">
        <v>0</v>
      </c>
      <c r="R1574" s="39">
        <v>0</v>
      </c>
      <c r="S1574" s="39">
        <v>0</v>
      </c>
      <c r="T1574" s="39">
        <v>0</v>
      </c>
      <c r="U1574" s="39">
        <v>0</v>
      </c>
      <c r="V1574" s="39">
        <v>0</v>
      </c>
      <c r="W1574" s="39">
        <v>0</v>
      </c>
      <c r="X1574" s="39">
        <v>0</v>
      </c>
      <c r="Y1574" s="39">
        <v>0</v>
      </c>
      <c r="Z1574" s="39">
        <v>0</v>
      </c>
      <c r="AA1574" s="39">
        <v>0</v>
      </c>
      <c r="AB1574" s="39">
        <v>0</v>
      </c>
      <c r="AC1574" s="39">
        <v>659.93</v>
      </c>
      <c r="AD1574" s="39">
        <v>605.48</v>
      </c>
      <c r="AE1574" s="39">
        <v>592.59</v>
      </c>
      <c r="AF1574" s="39">
        <v>0</v>
      </c>
      <c r="AG1574" s="39">
        <v>0</v>
      </c>
      <c r="AH1574" s="39">
        <v>0</v>
      </c>
      <c r="AI1574" s="39">
        <v>1085.03</v>
      </c>
      <c r="AJ1574" s="39">
        <v>1057.5</v>
      </c>
      <c r="AK1574" s="39">
        <v>1036.46</v>
      </c>
      <c r="AL1574" s="39">
        <v>0</v>
      </c>
      <c r="AM1574" s="39">
        <v>0</v>
      </c>
      <c r="AN1574" s="39">
        <v>0</v>
      </c>
      <c r="AO1574" s="39">
        <v>1085.03</v>
      </c>
      <c r="AP1574" s="39">
        <v>1057.5</v>
      </c>
      <c r="AQ1574" s="39">
        <v>1036.46</v>
      </c>
      <c r="AR1574" s="39">
        <v>1085.03</v>
      </c>
    </row>
    <row r="1575" spans="1:44" x14ac:dyDescent="0.35">
      <c r="A1575" s="16" t="str">
        <f t="shared" si="128"/>
        <v>12</v>
      </c>
      <c r="B1575" s="19">
        <v>62695</v>
      </c>
      <c r="C1575" s="16" t="str">
        <f t="shared" si="126"/>
        <v>0000000</v>
      </c>
      <c r="D1575" s="17" t="s">
        <v>3663</v>
      </c>
      <c r="E1575" s="16" t="s">
        <v>528</v>
      </c>
      <c r="F1575" s="16" t="s">
        <v>339</v>
      </c>
      <c r="G1575" s="35" t="s">
        <v>529</v>
      </c>
      <c r="H1575" s="39">
        <v>13.24</v>
      </c>
      <c r="I1575" s="39">
        <v>17.28</v>
      </c>
      <c r="J1575" s="39">
        <v>13.39</v>
      </c>
      <c r="K1575" s="39">
        <v>0</v>
      </c>
      <c r="L1575" s="39">
        <v>0</v>
      </c>
      <c r="M1575" s="39">
        <v>0</v>
      </c>
      <c r="N1575" s="39">
        <v>0</v>
      </c>
      <c r="O1575" s="39">
        <v>0</v>
      </c>
      <c r="P1575" s="39">
        <v>0</v>
      </c>
      <c r="Q1575" s="39">
        <v>0</v>
      </c>
      <c r="R1575" s="39">
        <v>0</v>
      </c>
      <c r="S1575" s="39">
        <v>0</v>
      </c>
      <c r="T1575" s="39">
        <v>0</v>
      </c>
      <c r="U1575" s="39">
        <v>0</v>
      </c>
      <c r="V1575" s="39">
        <v>0</v>
      </c>
      <c r="W1575" s="39">
        <v>0</v>
      </c>
      <c r="X1575" s="39">
        <v>0</v>
      </c>
      <c r="Y1575" s="39">
        <v>0</v>
      </c>
      <c r="Z1575" s="39">
        <v>0</v>
      </c>
      <c r="AA1575" s="39">
        <v>0</v>
      </c>
      <c r="AB1575" s="39">
        <v>0</v>
      </c>
      <c r="AC1575" s="39">
        <v>0</v>
      </c>
      <c r="AD1575" s="39">
        <v>0</v>
      </c>
      <c r="AE1575" s="39">
        <v>0</v>
      </c>
      <c r="AF1575" s="39">
        <v>0</v>
      </c>
      <c r="AG1575" s="39">
        <v>0</v>
      </c>
      <c r="AH1575" s="39">
        <v>0</v>
      </c>
      <c r="AI1575" s="39">
        <v>13.24</v>
      </c>
      <c r="AJ1575" s="39">
        <v>17.28</v>
      </c>
      <c r="AK1575" s="39">
        <v>13.39</v>
      </c>
      <c r="AL1575" s="39">
        <v>0</v>
      </c>
      <c r="AM1575" s="39">
        <v>0</v>
      </c>
      <c r="AN1575" s="39">
        <v>0</v>
      </c>
      <c r="AO1575" s="39">
        <v>13.24</v>
      </c>
      <c r="AP1575" s="39">
        <v>17.28</v>
      </c>
      <c r="AQ1575" s="39">
        <v>13.39</v>
      </c>
      <c r="AR1575" s="39">
        <v>17.28</v>
      </c>
    </row>
    <row r="1576" spans="1:44" x14ac:dyDescent="0.35">
      <c r="A1576" s="16" t="str">
        <f t="shared" si="128"/>
        <v>12</v>
      </c>
      <c r="B1576" s="19">
        <v>62703</v>
      </c>
      <c r="C1576" s="16" t="str">
        <f t="shared" si="126"/>
        <v>0000000</v>
      </c>
      <c r="D1576" s="17" t="s">
        <v>3663</v>
      </c>
      <c r="E1576" s="16" t="s">
        <v>530</v>
      </c>
      <c r="F1576" s="16" t="s">
        <v>339</v>
      </c>
      <c r="G1576" s="35" t="s">
        <v>531</v>
      </c>
      <c r="H1576" s="39">
        <v>140.88</v>
      </c>
      <c r="I1576" s="39">
        <v>143.32</v>
      </c>
      <c r="J1576" s="39">
        <v>159.30000000000001</v>
      </c>
      <c r="K1576" s="39">
        <v>0</v>
      </c>
      <c r="L1576" s="39">
        <v>0</v>
      </c>
      <c r="M1576" s="39">
        <v>0</v>
      </c>
      <c r="N1576" s="39">
        <v>0</v>
      </c>
      <c r="O1576" s="39">
        <v>0</v>
      </c>
      <c r="P1576" s="39">
        <v>0</v>
      </c>
      <c r="Q1576" s="39">
        <v>0</v>
      </c>
      <c r="R1576" s="39">
        <v>0</v>
      </c>
      <c r="S1576" s="39">
        <v>0</v>
      </c>
      <c r="T1576" s="39">
        <v>0</v>
      </c>
      <c r="U1576" s="39">
        <v>0</v>
      </c>
      <c r="V1576" s="39">
        <v>0</v>
      </c>
      <c r="W1576" s="39">
        <v>0</v>
      </c>
      <c r="X1576" s="39">
        <v>0</v>
      </c>
      <c r="Y1576" s="39">
        <v>0</v>
      </c>
      <c r="Z1576" s="39">
        <v>0</v>
      </c>
      <c r="AA1576" s="39">
        <v>0</v>
      </c>
      <c r="AB1576" s="39">
        <v>0</v>
      </c>
      <c r="AC1576" s="39">
        <v>0</v>
      </c>
      <c r="AD1576" s="39">
        <v>0</v>
      </c>
      <c r="AE1576" s="39">
        <v>0</v>
      </c>
      <c r="AF1576" s="39">
        <v>0</v>
      </c>
      <c r="AG1576" s="39">
        <v>0</v>
      </c>
      <c r="AH1576" s="39">
        <v>0</v>
      </c>
      <c r="AI1576" s="39">
        <v>140.88</v>
      </c>
      <c r="AJ1576" s="39">
        <v>143.32</v>
      </c>
      <c r="AK1576" s="39">
        <v>159.30000000000001</v>
      </c>
      <c r="AL1576" s="39">
        <v>0</v>
      </c>
      <c r="AM1576" s="39">
        <v>0</v>
      </c>
      <c r="AN1576" s="39">
        <v>0</v>
      </c>
      <c r="AO1576" s="39">
        <v>140.88</v>
      </c>
      <c r="AP1576" s="39">
        <v>143.32</v>
      </c>
      <c r="AQ1576" s="39">
        <v>159.30000000000001</v>
      </c>
      <c r="AR1576" s="39">
        <v>159.30000000000001</v>
      </c>
    </row>
    <row r="1577" spans="1:44" x14ac:dyDescent="0.35">
      <c r="A1577" s="16" t="str">
        <f t="shared" si="128"/>
        <v>12</v>
      </c>
      <c r="B1577" s="19">
        <v>62737</v>
      </c>
      <c r="C1577" s="16" t="str">
        <f t="shared" si="126"/>
        <v>0000000</v>
      </c>
      <c r="D1577" s="17" t="s">
        <v>3663</v>
      </c>
      <c r="E1577" s="16" t="s">
        <v>534</v>
      </c>
      <c r="F1577" s="16" t="s">
        <v>339</v>
      </c>
      <c r="G1577" s="35" t="s">
        <v>535</v>
      </c>
      <c r="H1577" s="39">
        <v>151.56</v>
      </c>
      <c r="I1577" s="39">
        <v>148.41</v>
      </c>
      <c r="J1577" s="39">
        <v>145.88</v>
      </c>
      <c r="K1577" s="39">
        <v>0</v>
      </c>
      <c r="L1577" s="39">
        <v>0</v>
      </c>
      <c r="M1577" s="39">
        <v>0</v>
      </c>
      <c r="N1577" s="39">
        <v>0</v>
      </c>
      <c r="O1577" s="39">
        <v>0</v>
      </c>
      <c r="P1577" s="39">
        <v>0</v>
      </c>
      <c r="Q1577" s="39">
        <v>0</v>
      </c>
      <c r="R1577" s="39">
        <v>0</v>
      </c>
      <c r="S1577" s="39">
        <v>0</v>
      </c>
      <c r="T1577" s="39">
        <v>0</v>
      </c>
      <c r="U1577" s="39">
        <v>0</v>
      </c>
      <c r="V1577" s="39">
        <v>0</v>
      </c>
      <c r="W1577" s="39">
        <v>0</v>
      </c>
      <c r="X1577" s="39">
        <v>0</v>
      </c>
      <c r="Y1577" s="39">
        <v>0</v>
      </c>
      <c r="Z1577" s="39">
        <v>0</v>
      </c>
      <c r="AA1577" s="39">
        <v>0</v>
      </c>
      <c r="AB1577" s="39">
        <v>0</v>
      </c>
      <c r="AC1577" s="39">
        <v>0</v>
      </c>
      <c r="AD1577" s="39">
        <v>0</v>
      </c>
      <c r="AE1577" s="39">
        <v>0</v>
      </c>
      <c r="AF1577" s="39">
        <v>0</v>
      </c>
      <c r="AG1577" s="39">
        <v>0</v>
      </c>
      <c r="AH1577" s="39">
        <v>0</v>
      </c>
      <c r="AI1577" s="39">
        <v>151.56</v>
      </c>
      <c r="AJ1577" s="39">
        <v>148.41</v>
      </c>
      <c r="AK1577" s="39">
        <v>145.88</v>
      </c>
      <c r="AL1577" s="39">
        <v>0</v>
      </c>
      <c r="AM1577" s="39">
        <v>0</v>
      </c>
      <c r="AN1577" s="39">
        <v>0</v>
      </c>
      <c r="AO1577" s="39">
        <v>151.56</v>
      </c>
      <c r="AP1577" s="39">
        <v>148.41</v>
      </c>
      <c r="AQ1577" s="39">
        <v>145.88</v>
      </c>
      <c r="AR1577" s="39">
        <v>151.56</v>
      </c>
    </row>
    <row r="1578" spans="1:44" x14ac:dyDescent="0.35">
      <c r="A1578" s="16" t="str">
        <f t="shared" si="128"/>
        <v>12</v>
      </c>
      <c r="B1578" s="19">
        <v>62745</v>
      </c>
      <c r="C1578" s="16" t="str">
        <f t="shared" si="126"/>
        <v>0000000</v>
      </c>
      <c r="D1578" s="17" t="s">
        <v>3663</v>
      </c>
      <c r="E1578" s="16" t="s">
        <v>536</v>
      </c>
      <c r="F1578" s="16" t="s">
        <v>339</v>
      </c>
      <c r="G1578" s="35" t="s">
        <v>537</v>
      </c>
      <c r="H1578" s="39">
        <v>527.96</v>
      </c>
      <c r="I1578" s="39">
        <v>528.20000000000005</v>
      </c>
      <c r="J1578" s="39">
        <v>524.45000000000005</v>
      </c>
      <c r="K1578" s="39">
        <v>0</v>
      </c>
      <c r="L1578" s="39">
        <v>0</v>
      </c>
      <c r="M1578" s="39">
        <v>0</v>
      </c>
      <c r="N1578" s="39">
        <v>0</v>
      </c>
      <c r="O1578" s="39">
        <v>0</v>
      </c>
      <c r="P1578" s="39">
        <v>0</v>
      </c>
      <c r="Q1578" s="39">
        <v>0</v>
      </c>
      <c r="R1578" s="39">
        <v>0</v>
      </c>
      <c r="S1578" s="39">
        <v>0</v>
      </c>
      <c r="T1578" s="39">
        <v>0</v>
      </c>
      <c r="U1578" s="39">
        <v>0</v>
      </c>
      <c r="V1578" s="39">
        <v>0</v>
      </c>
      <c r="W1578" s="39">
        <v>0</v>
      </c>
      <c r="X1578" s="39">
        <v>0</v>
      </c>
      <c r="Y1578" s="39">
        <v>0</v>
      </c>
      <c r="Z1578" s="39">
        <v>0</v>
      </c>
      <c r="AA1578" s="39">
        <v>0</v>
      </c>
      <c r="AB1578" s="39">
        <v>0</v>
      </c>
      <c r="AC1578" s="39">
        <v>0</v>
      </c>
      <c r="AD1578" s="39">
        <v>0</v>
      </c>
      <c r="AE1578" s="39">
        <v>0</v>
      </c>
      <c r="AF1578" s="39">
        <v>0</v>
      </c>
      <c r="AG1578" s="39">
        <v>0</v>
      </c>
      <c r="AH1578" s="39">
        <v>0</v>
      </c>
      <c r="AI1578" s="39">
        <v>527.96</v>
      </c>
      <c r="AJ1578" s="39">
        <v>528.20000000000005</v>
      </c>
      <c r="AK1578" s="39">
        <v>524.45000000000005</v>
      </c>
      <c r="AL1578" s="39">
        <v>0</v>
      </c>
      <c r="AM1578" s="39">
        <v>0</v>
      </c>
      <c r="AN1578" s="39">
        <v>0</v>
      </c>
      <c r="AO1578" s="39">
        <v>527.96</v>
      </c>
      <c r="AP1578" s="39">
        <v>528.20000000000005</v>
      </c>
      <c r="AQ1578" s="39">
        <v>524.45000000000005</v>
      </c>
      <c r="AR1578" s="39">
        <v>528.20000000000005</v>
      </c>
    </row>
    <row r="1579" spans="1:44" x14ac:dyDescent="0.35">
      <c r="A1579" s="16" t="str">
        <f t="shared" si="128"/>
        <v>12</v>
      </c>
      <c r="B1579" s="19">
        <v>62794</v>
      </c>
      <c r="C1579" s="16" t="str">
        <f t="shared" si="126"/>
        <v>0000000</v>
      </c>
      <c r="D1579" s="17" t="s">
        <v>3663</v>
      </c>
      <c r="E1579" s="16" t="s">
        <v>538</v>
      </c>
      <c r="F1579" s="16" t="s">
        <v>339</v>
      </c>
      <c r="G1579" s="35" t="s">
        <v>539</v>
      </c>
      <c r="H1579" s="39">
        <v>82.19</v>
      </c>
      <c r="I1579" s="39">
        <v>100.48</v>
      </c>
      <c r="J1579" s="39">
        <v>100.48</v>
      </c>
      <c r="K1579" s="39">
        <v>0</v>
      </c>
      <c r="L1579" s="39">
        <v>0</v>
      </c>
      <c r="M1579" s="39">
        <v>0</v>
      </c>
      <c r="N1579" s="39">
        <v>0</v>
      </c>
      <c r="O1579" s="39">
        <v>0</v>
      </c>
      <c r="P1579" s="39">
        <v>0</v>
      </c>
      <c r="Q1579" s="39">
        <v>0</v>
      </c>
      <c r="R1579" s="39">
        <v>0</v>
      </c>
      <c r="S1579" s="39">
        <v>0</v>
      </c>
      <c r="T1579" s="39">
        <v>0</v>
      </c>
      <c r="U1579" s="39">
        <v>0</v>
      </c>
      <c r="V1579" s="39">
        <v>0</v>
      </c>
      <c r="W1579" s="39">
        <v>0</v>
      </c>
      <c r="X1579" s="39">
        <v>0</v>
      </c>
      <c r="Y1579" s="39">
        <v>0</v>
      </c>
      <c r="Z1579" s="39">
        <v>0</v>
      </c>
      <c r="AA1579" s="39">
        <v>0</v>
      </c>
      <c r="AB1579" s="39">
        <v>0</v>
      </c>
      <c r="AC1579" s="39">
        <v>0</v>
      </c>
      <c r="AD1579" s="39">
        <v>0</v>
      </c>
      <c r="AE1579" s="39">
        <v>0</v>
      </c>
      <c r="AF1579" s="39">
        <v>0</v>
      </c>
      <c r="AG1579" s="39">
        <v>0</v>
      </c>
      <c r="AH1579" s="39">
        <v>0</v>
      </c>
      <c r="AI1579" s="39">
        <v>82.19</v>
      </c>
      <c r="AJ1579" s="39">
        <v>100.48</v>
      </c>
      <c r="AK1579" s="39">
        <v>100.48</v>
      </c>
      <c r="AL1579" s="39">
        <v>0</v>
      </c>
      <c r="AM1579" s="39">
        <v>0</v>
      </c>
      <c r="AN1579" s="39">
        <v>0</v>
      </c>
      <c r="AO1579" s="39">
        <v>82.19</v>
      </c>
      <c r="AP1579" s="39">
        <v>100.48</v>
      </c>
      <c r="AQ1579" s="39">
        <v>100.48</v>
      </c>
      <c r="AR1579" s="39">
        <v>100.48</v>
      </c>
    </row>
    <row r="1580" spans="1:44" x14ac:dyDescent="0.35">
      <c r="A1580" s="16" t="str">
        <f t="shared" si="128"/>
        <v>12</v>
      </c>
      <c r="B1580" s="19">
        <v>62810</v>
      </c>
      <c r="C1580" s="16" t="str">
        <f t="shared" si="126"/>
        <v>0000000</v>
      </c>
      <c r="D1580" s="17" t="s">
        <v>3663</v>
      </c>
      <c r="E1580" s="16" t="s">
        <v>540</v>
      </c>
      <c r="F1580" s="16" t="s">
        <v>339</v>
      </c>
      <c r="G1580" s="35" t="s">
        <v>541</v>
      </c>
      <c r="H1580" s="39">
        <v>947.48</v>
      </c>
      <c r="I1580" s="39">
        <v>980.96</v>
      </c>
      <c r="J1580" s="39">
        <v>965.49</v>
      </c>
      <c r="K1580" s="39">
        <v>0</v>
      </c>
      <c r="L1580" s="39">
        <v>0</v>
      </c>
      <c r="M1580" s="39">
        <v>0</v>
      </c>
      <c r="N1580" s="39">
        <v>0</v>
      </c>
      <c r="O1580" s="39">
        <v>0</v>
      </c>
      <c r="P1580" s="39">
        <v>0</v>
      </c>
      <c r="Q1580" s="39">
        <v>0</v>
      </c>
      <c r="R1580" s="39">
        <v>0</v>
      </c>
      <c r="S1580" s="39">
        <v>0</v>
      </c>
      <c r="T1580" s="39">
        <v>0</v>
      </c>
      <c r="U1580" s="39">
        <v>0</v>
      </c>
      <c r="V1580" s="39">
        <v>0</v>
      </c>
      <c r="W1580" s="39">
        <v>0</v>
      </c>
      <c r="X1580" s="39">
        <v>0</v>
      </c>
      <c r="Y1580" s="39">
        <v>0</v>
      </c>
      <c r="Z1580" s="39">
        <v>0</v>
      </c>
      <c r="AA1580" s="39">
        <v>0</v>
      </c>
      <c r="AB1580" s="39">
        <v>0</v>
      </c>
      <c r="AC1580" s="39">
        <v>0</v>
      </c>
      <c r="AD1580" s="39">
        <v>0</v>
      </c>
      <c r="AE1580" s="39">
        <v>0</v>
      </c>
      <c r="AF1580" s="39">
        <v>0</v>
      </c>
      <c r="AG1580" s="39">
        <v>0</v>
      </c>
      <c r="AH1580" s="39">
        <v>0</v>
      </c>
      <c r="AI1580" s="39">
        <v>947.48</v>
      </c>
      <c r="AJ1580" s="39">
        <v>980.96</v>
      </c>
      <c r="AK1580" s="39">
        <v>965.49</v>
      </c>
      <c r="AL1580" s="39">
        <v>0</v>
      </c>
      <c r="AM1580" s="39">
        <v>0</v>
      </c>
      <c r="AN1580" s="39">
        <v>0</v>
      </c>
      <c r="AO1580" s="39">
        <v>947.48</v>
      </c>
      <c r="AP1580" s="39">
        <v>980.96</v>
      </c>
      <c r="AQ1580" s="39">
        <v>965.49</v>
      </c>
      <c r="AR1580" s="39">
        <v>980.96</v>
      </c>
    </row>
    <row r="1581" spans="1:44" x14ac:dyDescent="0.35">
      <c r="A1581" s="16" t="str">
        <f t="shared" si="128"/>
        <v>12</v>
      </c>
      <c r="B1581" s="19">
        <v>62828</v>
      </c>
      <c r="C1581" s="16" t="str">
        <f t="shared" si="126"/>
        <v>0000000</v>
      </c>
      <c r="D1581" s="17" t="s">
        <v>3663</v>
      </c>
      <c r="E1581" s="16" t="s">
        <v>542</v>
      </c>
      <c r="F1581" s="16" t="s">
        <v>339</v>
      </c>
      <c r="G1581" s="35" t="s">
        <v>543</v>
      </c>
      <c r="H1581" s="39">
        <v>264.63</v>
      </c>
      <c r="I1581" s="39">
        <v>247.7</v>
      </c>
      <c r="J1581" s="39">
        <v>243.87</v>
      </c>
      <c r="K1581" s="39">
        <v>0</v>
      </c>
      <c r="L1581" s="39">
        <v>0</v>
      </c>
      <c r="M1581" s="39">
        <v>0</v>
      </c>
      <c r="N1581" s="39">
        <v>0</v>
      </c>
      <c r="O1581" s="39">
        <v>0</v>
      </c>
      <c r="P1581" s="39">
        <v>0</v>
      </c>
      <c r="Q1581" s="39">
        <v>0</v>
      </c>
      <c r="R1581" s="39">
        <v>0</v>
      </c>
      <c r="S1581" s="39">
        <v>0</v>
      </c>
      <c r="T1581" s="39">
        <v>0</v>
      </c>
      <c r="U1581" s="39">
        <v>0</v>
      </c>
      <c r="V1581" s="39">
        <v>0</v>
      </c>
      <c r="W1581" s="39">
        <v>0</v>
      </c>
      <c r="X1581" s="39">
        <v>0</v>
      </c>
      <c r="Y1581" s="39">
        <v>0</v>
      </c>
      <c r="Z1581" s="39">
        <v>0</v>
      </c>
      <c r="AA1581" s="39">
        <v>0</v>
      </c>
      <c r="AB1581" s="39">
        <v>0</v>
      </c>
      <c r="AC1581" s="39">
        <v>48.45</v>
      </c>
      <c r="AD1581" s="39">
        <v>45</v>
      </c>
      <c r="AE1581" s="39">
        <v>45.51</v>
      </c>
      <c r="AF1581" s="39">
        <v>0</v>
      </c>
      <c r="AG1581" s="39">
        <v>0</v>
      </c>
      <c r="AH1581" s="39">
        <v>0</v>
      </c>
      <c r="AI1581" s="39">
        <v>313.08</v>
      </c>
      <c r="AJ1581" s="39">
        <v>292.7</v>
      </c>
      <c r="AK1581" s="39">
        <v>289.38</v>
      </c>
      <c r="AL1581" s="39">
        <v>0</v>
      </c>
      <c r="AM1581" s="39">
        <v>0</v>
      </c>
      <c r="AN1581" s="39">
        <v>0</v>
      </c>
      <c r="AO1581" s="39">
        <v>313.08</v>
      </c>
      <c r="AP1581" s="39">
        <v>292.7</v>
      </c>
      <c r="AQ1581" s="39">
        <v>289.38</v>
      </c>
      <c r="AR1581" s="39">
        <v>313.08</v>
      </c>
    </row>
    <row r="1582" spans="1:44" x14ac:dyDescent="0.35">
      <c r="A1582" s="16" t="str">
        <f t="shared" si="128"/>
        <v>12</v>
      </c>
      <c r="B1582" s="19">
        <v>62836</v>
      </c>
      <c r="C1582" s="16" t="str">
        <f t="shared" si="126"/>
        <v>0000000</v>
      </c>
      <c r="D1582" s="17" t="s">
        <v>3663</v>
      </c>
      <c r="E1582" s="16" t="s">
        <v>544</v>
      </c>
      <c r="F1582" s="16" t="s">
        <v>339</v>
      </c>
      <c r="G1582" s="35" t="s">
        <v>545</v>
      </c>
      <c r="H1582" s="39">
        <v>70.790000000000006</v>
      </c>
      <c r="I1582" s="39">
        <v>63.64</v>
      </c>
      <c r="J1582" s="39">
        <v>65.81</v>
      </c>
      <c r="K1582" s="39">
        <v>0</v>
      </c>
      <c r="L1582" s="39">
        <v>0</v>
      </c>
      <c r="M1582" s="39">
        <v>0</v>
      </c>
      <c r="N1582" s="39">
        <v>0</v>
      </c>
      <c r="O1582" s="39">
        <v>0</v>
      </c>
      <c r="P1582" s="39">
        <v>0</v>
      </c>
      <c r="Q1582" s="39">
        <v>0</v>
      </c>
      <c r="R1582" s="39">
        <v>0</v>
      </c>
      <c r="S1582" s="39">
        <v>0</v>
      </c>
      <c r="T1582" s="39">
        <v>0</v>
      </c>
      <c r="U1582" s="39">
        <v>0</v>
      </c>
      <c r="V1582" s="39">
        <v>0</v>
      </c>
      <c r="W1582" s="39">
        <v>0</v>
      </c>
      <c r="X1582" s="39">
        <v>0</v>
      </c>
      <c r="Y1582" s="39">
        <v>0</v>
      </c>
      <c r="Z1582" s="39">
        <v>0</v>
      </c>
      <c r="AA1582" s="39">
        <v>0</v>
      </c>
      <c r="AB1582" s="39">
        <v>0</v>
      </c>
      <c r="AC1582" s="39">
        <v>0</v>
      </c>
      <c r="AD1582" s="39">
        <v>0</v>
      </c>
      <c r="AE1582" s="39">
        <v>0</v>
      </c>
      <c r="AF1582" s="39">
        <v>0</v>
      </c>
      <c r="AG1582" s="39">
        <v>0</v>
      </c>
      <c r="AH1582" s="39">
        <v>0</v>
      </c>
      <c r="AI1582" s="39">
        <v>70.790000000000006</v>
      </c>
      <c r="AJ1582" s="39">
        <v>63.64</v>
      </c>
      <c r="AK1582" s="39">
        <v>65.81</v>
      </c>
      <c r="AL1582" s="39">
        <v>0</v>
      </c>
      <c r="AM1582" s="39">
        <v>0</v>
      </c>
      <c r="AN1582" s="39">
        <v>0</v>
      </c>
      <c r="AO1582" s="39">
        <v>70.790000000000006</v>
      </c>
      <c r="AP1582" s="39">
        <v>63.64</v>
      </c>
      <c r="AQ1582" s="39">
        <v>65.81</v>
      </c>
      <c r="AR1582" s="39">
        <v>70.790000000000006</v>
      </c>
    </row>
    <row r="1583" spans="1:44" x14ac:dyDescent="0.35">
      <c r="A1583" s="16" t="str">
        <f t="shared" si="128"/>
        <v>12</v>
      </c>
      <c r="B1583" s="19">
        <v>62885</v>
      </c>
      <c r="C1583" s="16" t="str">
        <f t="shared" si="126"/>
        <v>0000000</v>
      </c>
      <c r="D1583" s="17" t="s">
        <v>3663</v>
      </c>
      <c r="E1583" s="16" t="s">
        <v>548</v>
      </c>
      <c r="F1583" s="16" t="s">
        <v>339</v>
      </c>
      <c r="G1583" s="35" t="s">
        <v>549</v>
      </c>
      <c r="H1583" s="39">
        <v>208.13</v>
      </c>
      <c r="I1583" s="39">
        <v>212.03</v>
      </c>
      <c r="J1583" s="39">
        <v>200.24</v>
      </c>
      <c r="K1583" s="39">
        <v>0</v>
      </c>
      <c r="L1583" s="39">
        <v>0</v>
      </c>
      <c r="M1583" s="39">
        <v>0</v>
      </c>
      <c r="N1583" s="39">
        <v>0</v>
      </c>
      <c r="O1583" s="39">
        <v>0</v>
      </c>
      <c r="P1583" s="39">
        <v>0</v>
      </c>
      <c r="Q1583" s="39">
        <v>0</v>
      </c>
      <c r="R1583" s="39">
        <v>0</v>
      </c>
      <c r="S1583" s="39">
        <v>0</v>
      </c>
      <c r="T1583" s="39">
        <v>0</v>
      </c>
      <c r="U1583" s="39">
        <v>0</v>
      </c>
      <c r="V1583" s="39">
        <v>0</v>
      </c>
      <c r="W1583" s="39">
        <v>0</v>
      </c>
      <c r="X1583" s="39">
        <v>0</v>
      </c>
      <c r="Y1583" s="39">
        <v>0</v>
      </c>
      <c r="Z1583" s="39">
        <v>0</v>
      </c>
      <c r="AA1583" s="39">
        <v>0</v>
      </c>
      <c r="AB1583" s="39">
        <v>0</v>
      </c>
      <c r="AC1583" s="39">
        <v>0</v>
      </c>
      <c r="AD1583" s="39">
        <v>0</v>
      </c>
      <c r="AE1583" s="39">
        <v>0</v>
      </c>
      <c r="AF1583" s="39">
        <v>0</v>
      </c>
      <c r="AG1583" s="39">
        <v>0</v>
      </c>
      <c r="AH1583" s="39">
        <v>0</v>
      </c>
      <c r="AI1583" s="39">
        <v>208.13</v>
      </c>
      <c r="AJ1583" s="39">
        <v>212.03</v>
      </c>
      <c r="AK1583" s="39">
        <v>200.24</v>
      </c>
      <c r="AL1583" s="39">
        <v>0</v>
      </c>
      <c r="AM1583" s="39">
        <v>0</v>
      </c>
      <c r="AN1583" s="39">
        <v>0</v>
      </c>
      <c r="AO1583" s="39">
        <v>208.13</v>
      </c>
      <c r="AP1583" s="39">
        <v>212.03</v>
      </c>
      <c r="AQ1583" s="39">
        <v>200.24</v>
      </c>
      <c r="AR1583" s="39">
        <v>212.03</v>
      </c>
    </row>
    <row r="1584" spans="1:44" x14ac:dyDescent="0.35">
      <c r="A1584" s="16" t="str">
        <f t="shared" si="128"/>
        <v>12</v>
      </c>
      <c r="B1584" s="19">
        <v>62893</v>
      </c>
      <c r="C1584" s="16" t="str">
        <f t="shared" si="126"/>
        <v>0000000</v>
      </c>
      <c r="D1584" s="17" t="s">
        <v>3663</v>
      </c>
      <c r="E1584" s="16" t="s">
        <v>550</v>
      </c>
      <c r="F1584" s="16" t="s">
        <v>339</v>
      </c>
      <c r="G1584" s="35" t="s">
        <v>551</v>
      </c>
      <c r="H1584" s="39">
        <v>434.49</v>
      </c>
      <c r="I1584" s="39">
        <v>436.12</v>
      </c>
      <c r="J1584" s="39">
        <v>428.79</v>
      </c>
      <c r="K1584" s="39">
        <v>0</v>
      </c>
      <c r="L1584" s="39">
        <v>0</v>
      </c>
      <c r="M1584" s="39">
        <v>0</v>
      </c>
      <c r="N1584" s="39">
        <v>0</v>
      </c>
      <c r="O1584" s="39">
        <v>0</v>
      </c>
      <c r="P1584" s="39">
        <v>0</v>
      </c>
      <c r="Q1584" s="39">
        <v>0</v>
      </c>
      <c r="R1584" s="39">
        <v>0</v>
      </c>
      <c r="S1584" s="39">
        <v>0</v>
      </c>
      <c r="T1584" s="39">
        <v>0</v>
      </c>
      <c r="U1584" s="39">
        <v>0</v>
      </c>
      <c r="V1584" s="39">
        <v>0</v>
      </c>
      <c r="W1584" s="39">
        <v>0</v>
      </c>
      <c r="X1584" s="39">
        <v>0</v>
      </c>
      <c r="Y1584" s="39">
        <v>0</v>
      </c>
      <c r="Z1584" s="39">
        <v>0</v>
      </c>
      <c r="AA1584" s="39">
        <v>0</v>
      </c>
      <c r="AB1584" s="39">
        <v>0</v>
      </c>
      <c r="AC1584" s="39">
        <v>0</v>
      </c>
      <c r="AD1584" s="39">
        <v>0</v>
      </c>
      <c r="AE1584" s="39">
        <v>0</v>
      </c>
      <c r="AF1584" s="39">
        <v>0</v>
      </c>
      <c r="AG1584" s="39">
        <v>0</v>
      </c>
      <c r="AH1584" s="39">
        <v>0</v>
      </c>
      <c r="AI1584" s="39">
        <v>434.49</v>
      </c>
      <c r="AJ1584" s="39">
        <v>436.12</v>
      </c>
      <c r="AK1584" s="39">
        <v>428.79</v>
      </c>
      <c r="AL1584" s="39">
        <v>0</v>
      </c>
      <c r="AM1584" s="39">
        <v>0</v>
      </c>
      <c r="AN1584" s="39">
        <v>0</v>
      </c>
      <c r="AO1584" s="39">
        <v>434.49</v>
      </c>
      <c r="AP1584" s="39">
        <v>436.12</v>
      </c>
      <c r="AQ1584" s="39">
        <v>428.79</v>
      </c>
      <c r="AR1584" s="39">
        <v>436.12</v>
      </c>
    </row>
    <row r="1585" spans="1:44" x14ac:dyDescent="0.35">
      <c r="A1585" s="16" t="str">
        <f t="shared" si="128"/>
        <v>12</v>
      </c>
      <c r="B1585" s="19">
        <v>62901</v>
      </c>
      <c r="C1585" s="16" t="str">
        <f t="shared" si="126"/>
        <v>0000000</v>
      </c>
      <c r="D1585" s="17" t="s">
        <v>3663</v>
      </c>
      <c r="E1585" s="16" t="s">
        <v>552</v>
      </c>
      <c r="F1585" s="16" t="s">
        <v>339</v>
      </c>
      <c r="G1585" s="35" t="s">
        <v>553</v>
      </c>
      <c r="H1585" s="39">
        <v>787.14</v>
      </c>
      <c r="I1585" s="39">
        <v>774.11</v>
      </c>
      <c r="J1585" s="39">
        <v>779.22</v>
      </c>
      <c r="K1585" s="39">
        <v>0</v>
      </c>
      <c r="L1585" s="39">
        <v>0</v>
      </c>
      <c r="M1585" s="39">
        <v>0</v>
      </c>
      <c r="N1585" s="39">
        <v>0</v>
      </c>
      <c r="O1585" s="39">
        <v>0</v>
      </c>
      <c r="P1585" s="39">
        <v>0</v>
      </c>
      <c r="Q1585" s="39">
        <v>0</v>
      </c>
      <c r="R1585" s="39">
        <v>0</v>
      </c>
      <c r="S1585" s="39">
        <v>0</v>
      </c>
      <c r="T1585" s="39">
        <v>0</v>
      </c>
      <c r="U1585" s="39">
        <v>0</v>
      </c>
      <c r="V1585" s="39">
        <v>0</v>
      </c>
      <c r="W1585" s="39">
        <v>0</v>
      </c>
      <c r="X1585" s="39">
        <v>0</v>
      </c>
      <c r="Y1585" s="39">
        <v>0</v>
      </c>
      <c r="Z1585" s="39">
        <v>0</v>
      </c>
      <c r="AA1585" s="39">
        <v>0</v>
      </c>
      <c r="AB1585" s="39">
        <v>0</v>
      </c>
      <c r="AC1585" s="39">
        <v>0</v>
      </c>
      <c r="AD1585" s="39">
        <v>0</v>
      </c>
      <c r="AE1585" s="39">
        <v>0</v>
      </c>
      <c r="AF1585" s="39">
        <v>0</v>
      </c>
      <c r="AG1585" s="39">
        <v>0</v>
      </c>
      <c r="AH1585" s="39">
        <v>0</v>
      </c>
      <c r="AI1585" s="39">
        <v>787.14</v>
      </c>
      <c r="AJ1585" s="39">
        <v>774.11</v>
      </c>
      <c r="AK1585" s="39">
        <v>779.22</v>
      </c>
      <c r="AL1585" s="39">
        <v>0</v>
      </c>
      <c r="AM1585" s="39">
        <v>0</v>
      </c>
      <c r="AN1585" s="39">
        <v>0</v>
      </c>
      <c r="AO1585" s="39">
        <v>787.14</v>
      </c>
      <c r="AP1585" s="39">
        <v>774.11</v>
      </c>
      <c r="AQ1585" s="39">
        <v>779.22</v>
      </c>
      <c r="AR1585" s="39">
        <v>787.14</v>
      </c>
    </row>
    <row r="1586" spans="1:44" x14ac:dyDescent="0.35">
      <c r="A1586" s="16" t="str">
        <f t="shared" si="128"/>
        <v>12</v>
      </c>
      <c r="B1586" s="19">
        <v>62927</v>
      </c>
      <c r="C1586" s="16" t="str">
        <f t="shared" si="126"/>
        <v>0000000</v>
      </c>
      <c r="D1586" s="17" t="s">
        <v>3663</v>
      </c>
      <c r="E1586" s="16" t="s">
        <v>556</v>
      </c>
      <c r="F1586" s="16" t="s">
        <v>339</v>
      </c>
      <c r="G1586" s="35" t="s">
        <v>557</v>
      </c>
      <c r="H1586" s="39">
        <v>69.180000000000007</v>
      </c>
      <c r="I1586" s="39">
        <v>66.349999999999994</v>
      </c>
      <c r="J1586" s="39">
        <v>77.209999999999994</v>
      </c>
      <c r="K1586" s="39">
        <v>0</v>
      </c>
      <c r="L1586" s="39">
        <v>0</v>
      </c>
      <c r="M1586" s="39">
        <v>0</v>
      </c>
      <c r="N1586" s="39">
        <v>0</v>
      </c>
      <c r="O1586" s="39">
        <v>0</v>
      </c>
      <c r="P1586" s="39">
        <v>0</v>
      </c>
      <c r="Q1586" s="39">
        <v>0</v>
      </c>
      <c r="R1586" s="39">
        <v>0</v>
      </c>
      <c r="S1586" s="39">
        <v>0</v>
      </c>
      <c r="T1586" s="39">
        <v>0</v>
      </c>
      <c r="U1586" s="39">
        <v>0</v>
      </c>
      <c r="V1586" s="39">
        <v>0</v>
      </c>
      <c r="W1586" s="39">
        <v>0</v>
      </c>
      <c r="X1586" s="39">
        <v>0</v>
      </c>
      <c r="Y1586" s="39">
        <v>0</v>
      </c>
      <c r="Z1586" s="39">
        <v>0</v>
      </c>
      <c r="AA1586" s="39">
        <v>0</v>
      </c>
      <c r="AB1586" s="39">
        <v>0</v>
      </c>
      <c r="AC1586" s="39">
        <v>0</v>
      </c>
      <c r="AD1586" s="39">
        <v>0</v>
      </c>
      <c r="AE1586" s="39">
        <v>0</v>
      </c>
      <c r="AF1586" s="39">
        <v>0</v>
      </c>
      <c r="AG1586" s="39">
        <v>0</v>
      </c>
      <c r="AH1586" s="39">
        <v>0</v>
      </c>
      <c r="AI1586" s="39">
        <v>69.180000000000007</v>
      </c>
      <c r="AJ1586" s="39">
        <v>66.349999999999994</v>
      </c>
      <c r="AK1586" s="39">
        <v>77.209999999999994</v>
      </c>
      <c r="AL1586" s="39">
        <v>0</v>
      </c>
      <c r="AM1586" s="39">
        <v>0</v>
      </c>
      <c r="AN1586" s="39">
        <v>0</v>
      </c>
      <c r="AO1586" s="39">
        <v>69.180000000000007</v>
      </c>
      <c r="AP1586" s="39">
        <v>66.349999999999994</v>
      </c>
      <c r="AQ1586" s="39">
        <v>77.209999999999994</v>
      </c>
      <c r="AR1586" s="39">
        <v>77.209999999999994</v>
      </c>
    </row>
    <row r="1587" spans="1:44" x14ac:dyDescent="0.35">
      <c r="A1587" s="16" t="str">
        <f t="shared" si="128"/>
        <v>12</v>
      </c>
      <c r="B1587" s="19">
        <v>62950</v>
      </c>
      <c r="C1587" s="16" t="str">
        <f t="shared" ref="C1587:C1606" si="129">TEXT(,"0000000")</f>
        <v>0000000</v>
      </c>
      <c r="D1587" s="17" t="s">
        <v>3663</v>
      </c>
      <c r="E1587" s="16" t="s">
        <v>560</v>
      </c>
      <c r="F1587" s="16" t="s">
        <v>339</v>
      </c>
      <c r="G1587" s="35" t="s">
        <v>561</v>
      </c>
      <c r="H1587" s="39">
        <v>793.07</v>
      </c>
      <c r="I1587" s="39">
        <v>811.45</v>
      </c>
      <c r="J1587" s="39">
        <v>820.45</v>
      </c>
      <c r="K1587" s="39">
        <v>0</v>
      </c>
      <c r="L1587" s="39">
        <v>0</v>
      </c>
      <c r="M1587" s="39">
        <v>0</v>
      </c>
      <c r="N1587" s="39">
        <v>0</v>
      </c>
      <c r="O1587" s="39">
        <v>0</v>
      </c>
      <c r="P1587" s="39">
        <v>0</v>
      </c>
      <c r="Q1587" s="39">
        <v>0</v>
      </c>
      <c r="R1587" s="39">
        <v>0</v>
      </c>
      <c r="S1587" s="39">
        <v>0</v>
      </c>
      <c r="T1587" s="39">
        <v>0</v>
      </c>
      <c r="U1587" s="39">
        <v>0</v>
      </c>
      <c r="V1587" s="39">
        <v>0</v>
      </c>
      <c r="W1587" s="39">
        <v>0</v>
      </c>
      <c r="X1587" s="39">
        <v>0</v>
      </c>
      <c r="Y1587" s="39">
        <v>0</v>
      </c>
      <c r="Z1587" s="39">
        <v>0</v>
      </c>
      <c r="AA1587" s="39">
        <v>0</v>
      </c>
      <c r="AB1587" s="39">
        <v>0</v>
      </c>
      <c r="AC1587" s="39">
        <v>0</v>
      </c>
      <c r="AD1587" s="39">
        <v>0</v>
      </c>
      <c r="AE1587" s="39">
        <v>0</v>
      </c>
      <c r="AF1587" s="39">
        <v>0</v>
      </c>
      <c r="AG1587" s="39">
        <v>0</v>
      </c>
      <c r="AH1587" s="39">
        <v>0</v>
      </c>
      <c r="AI1587" s="39">
        <v>793.07</v>
      </c>
      <c r="AJ1587" s="39">
        <v>811.45</v>
      </c>
      <c r="AK1587" s="39">
        <v>820.45</v>
      </c>
      <c r="AL1587" s="39">
        <v>0</v>
      </c>
      <c r="AM1587" s="39">
        <v>0</v>
      </c>
      <c r="AN1587" s="39">
        <v>0</v>
      </c>
      <c r="AO1587" s="39">
        <v>793.07</v>
      </c>
      <c r="AP1587" s="39">
        <v>811.45</v>
      </c>
      <c r="AQ1587" s="39">
        <v>820.45</v>
      </c>
      <c r="AR1587" s="39">
        <v>820.45</v>
      </c>
    </row>
    <row r="1588" spans="1:44" x14ac:dyDescent="0.35">
      <c r="A1588" s="16" t="str">
        <f t="shared" si="128"/>
        <v>12</v>
      </c>
      <c r="B1588" s="19">
        <v>62687</v>
      </c>
      <c r="C1588" s="16" t="str">
        <f t="shared" si="129"/>
        <v>0000000</v>
      </c>
      <c r="D1588" s="17" t="s">
        <v>3663</v>
      </c>
      <c r="E1588" s="16" t="s">
        <v>526</v>
      </c>
      <c r="F1588" s="16" t="s">
        <v>339</v>
      </c>
      <c r="G1588" s="35" t="s">
        <v>527</v>
      </c>
      <c r="H1588" s="39">
        <v>1446.29</v>
      </c>
      <c r="I1588" s="39">
        <v>1464.86</v>
      </c>
      <c r="J1588" s="39">
        <v>1462.23</v>
      </c>
      <c r="K1588" s="39">
        <v>0</v>
      </c>
      <c r="L1588" s="39">
        <v>0</v>
      </c>
      <c r="M1588" s="39">
        <v>0</v>
      </c>
      <c r="N1588" s="39">
        <v>0</v>
      </c>
      <c r="O1588" s="39">
        <v>0</v>
      </c>
      <c r="P1588" s="39">
        <v>0</v>
      </c>
      <c r="Q1588" s="39">
        <v>0</v>
      </c>
      <c r="R1588" s="39">
        <v>0</v>
      </c>
      <c r="S1588" s="39">
        <v>0</v>
      </c>
      <c r="T1588" s="39">
        <v>0</v>
      </c>
      <c r="U1588" s="39">
        <v>0</v>
      </c>
      <c r="V1588" s="39">
        <v>0</v>
      </c>
      <c r="W1588" s="39">
        <v>0</v>
      </c>
      <c r="X1588" s="39">
        <v>0</v>
      </c>
      <c r="Y1588" s="39">
        <v>0</v>
      </c>
      <c r="Z1588" s="39">
        <v>0</v>
      </c>
      <c r="AA1588" s="39">
        <v>0</v>
      </c>
      <c r="AB1588" s="39">
        <v>0</v>
      </c>
      <c r="AC1588" s="39">
        <v>393.55</v>
      </c>
      <c r="AD1588" s="39">
        <v>380.13</v>
      </c>
      <c r="AE1588" s="39">
        <v>400.98</v>
      </c>
      <c r="AF1588" s="39">
        <v>0</v>
      </c>
      <c r="AG1588" s="39">
        <v>0</v>
      </c>
      <c r="AH1588" s="39">
        <v>0</v>
      </c>
      <c r="AI1588" s="39">
        <v>1839.84</v>
      </c>
      <c r="AJ1588" s="39">
        <v>1844.99</v>
      </c>
      <c r="AK1588" s="39">
        <v>1863.21</v>
      </c>
      <c r="AL1588" s="39">
        <v>0</v>
      </c>
      <c r="AM1588" s="39">
        <v>0</v>
      </c>
      <c r="AN1588" s="39">
        <v>0</v>
      </c>
      <c r="AO1588" s="39">
        <v>1839.84</v>
      </c>
      <c r="AP1588" s="39">
        <v>1844.99</v>
      </c>
      <c r="AQ1588" s="39">
        <v>1863.21</v>
      </c>
      <c r="AR1588" s="39">
        <v>1863.21</v>
      </c>
    </row>
    <row r="1589" spans="1:44" x14ac:dyDescent="0.35">
      <c r="A1589" s="16" t="str">
        <f t="shared" si="128"/>
        <v>12</v>
      </c>
      <c r="B1589" s="19">
        <v>62968</v>
      </c>
      <c r="C1589" s="16" t="str">
        <f t="shared" si="129"/>
        <v>0000000</v>
      </c>
      <c r="D1589" s="17" t="s">
        <v>3663</v>
      </c>
      <c r="E1589" s="16" t="s">
        <v>562</v>
      </c>
      <c r="F1589" s="16" t="s">
        <v>339</v>
      </c>
      <c r="G1589" s="35" t="s">
        <v>563</v>
      </c>
      <c r="H1589" s="39">
        <v>7.15</v>
      </c>
      <c r="I1589" s="39">
        <v>8.01</v>
      </c>
      <c r="J1589" s="39">
        <v>8.35</v>
      </c>
      <c r="K1589" s="39">
        <v>0</v>
      </c>
      <c r="L1589" s="39">
        <v>0</v>
      </c>
      <c r="M1589" s="39">
        <v>0</v>
      </c>
      <c r="N1589" s="39">
        <v>0</v>
      </c>
      <c r="O1589" s="39">
        <v>0</v>
      </c>
      <c r="P1589" s="39">
        <v>0</v>
      </c>
      <c r="Q1589" s="39">
        <v>0</v>
      </c>
      <c r="R1589" s="39">
        <v>0</v>
      </c>
      <c r="S1589" s="39">
        <v>0</v>
      </c>
      <c r="T1589" s="39">
        <v>0</v>
      </c>
      <c r="U1589" s="39">
        <v>0</v>
      </c>
      <c r="V1589" s="39">
        <v>0</v>
      </c>
      <c r="W1589" s="39">
        <v>0</v>
      </c>
      <c r="X1589" s="39">
        <v>0</v>
      </c>
      <c r="Y1589" s="39">
        <v>0</v>
      </c>
      <c r="Z1589" s="39">
        <v>0</v>
      </c>
      <c r="AA1589" s="39">
        <v>0</v>
      </c>
      <c r="AB1589" s="39">
        <v>0</v>
      </c>
      <c r="AC1589" s="39">
        <v>0</v>
      </c>
      <c r="AD1589" s="39">
        <v>0</v>
      </c>
      <c r="AE1589" s="39">
        <v>0</v>
      </c>
      <c r="AF1589" s="39">
        <v>0</v>
      </c>
      <c r="AG1589" s="39">
        <v>0</v>
      </c>
      <c r="AH1589" s="39">
        <v>0</v>
      </c>
      <c r="AI1589" s="39">
        <v>7.15</v>
      </c>
      <c r="AJ1589" s="39">
        <v>8.01</v>
      </c>
      <c r="AK1589" s="39">
        <v>8.35</v>
      </c>
      <c r="AL1589" s="39">
        <v>0</v>
      </c>
      <c r="AM1589" s="39">
        <v>0</v>
      </c>
      <c r="AN1589" s="39">
        <v>0</v>
      </c>
      <c r="AO1589" s="39">
        <v>7.15</v>
      </c>
      <c r="AP1589" s="39">
        <v>8.01</v>
      </c>
      <c r="AQ1589" s="39">
        <v>8.35</v>
      </c>
      <c r="AR1589" s="39">
        <v>8.35</v>
      </c>
    </row>
    <row r="1590" spans="1:44" x14ac:dyDescent="0.35">
      <c r="A1590" s="16" t="str">
        <f t="shared" si="128"/>
        <v>12</v>
      </c>
      <c r="B1590" s="19">
        <v>62976</v>
      </c>
      <c r="C1590" s="16" t="str">
        <f t="shared" si="129"/>
        <v>0000000</v>
      </c>
      <c r="D1590" s="17" t="s">
        <v>3663</v>
      </c>
      <c r="E1590" s="16" t="s">
        <v>564</v>
      </c>
      <c r="F1590" s="16" t="s">
        <v>339</v>
      </c>
      <c r="G1590" s="35" t="s">
        <v>455</v>
      </c>
      <c r="H1590" s="39">
        <v>497.43</v>
      </c>
      <c r="I1590" s="39">
        <v>492.68</v>
      </c>
      <c r="J1590" s="39">
        <v>500.15</v>
      </c>
      <c r="K1590" s="39">
        <v>0</v>
      </c>
      <c r="L1590" s="39">
        <v>0</v>
      </c>
      <c r="M1590" s="39">
        <v>0</v>
      </c>
      <c r="N1590" s="39">
        <v>0</v>
      </c>
      <c r="O1590" s="39">
        <v>0</v>
      </c>
      <c r="P1590" s="39">
        <v>0</v>
      </c>
      <c r="Q1590" s="39">
        <v>0</v>
      </c>
      <c r="R1590" s="39">
        <v>0</v>
      </c>
      <c r="S1590" s="39">
        <v>0</v>
      </c>
      <c r="T1590" s="39">
        <v>0</v>
      </c>
      <c r="U1590" s="39">
        <v>0</v>
      </c>
      <c r="V1590" s="39">
        <v>0</v>
      </c>
      <c r="W1590" s="39">
        <v>0</v>
      </c>
      <c r="X1590" s="39">
        <v>0</v>
      </c>
      <c r="Y1590" s="39">
        <v>0</v>
      </c>
      <c r="Z1590" s="39">
        <v>0</v>
      </c>
      <c r="AA1590" s="39">
        <v>0</v>
      </c>
      <c r="AB1590" s="39">
        <v>0</v>
      </c>
      <c r="AC1590" s="39">
        <v>37.68</v>
      </c>
      <c r="AD1590" s="39">
        <v>36.46</v>
      </c>
      <c r="AE1590" s="39">
        <v>30.85</v>
      </c>
      <c r="AF1590" s="39">
        <v>0</v>
      </c>
      <c r="AG1590" s="39">
        <v>0</v>
      </c>
      <c r="AH1590" s="39">
        <v>0</v>
      </c>
      <c r="AI1590" s="39">
        <v>535.11</v>
      </c>
      <c r="AJ1590" s="39">
        <v>529.14</v>
      </c>
      <c r="AK1590" s="39">
        <v>531</v>
      </c>
      <c r="AL1590" s="39">
        <v>0</v>
      </c>
      <c r="AM1590" s="39">
        <v>0</v>
      </c>
      <c r="AN1590" s="39">
        <v>0</v>
      </c>
      <c r="AO1590" s="39">
        <v>535.11</v>
      </c>
      <c r="AP1590" s="39">
        <v>529.14</v>
      </c>
      <c r="AQ1590" s="39">
        <v>531</v>
      </c>
      <c r="AR1590" s="39">
        <v>535.11</v>
      </c>
    </row>
    <row r="1591" spans="1:44" x14ac:dyDescent="0.35">
      <c r="A1591" s="16" t="str">
        <f t="shared" si="128"/>
        <v>12</v>
      </c>
      <c r="B1591" s="19">
        <v>62984</v>
      </c>
      <c r="C1591" s="16" t="str">
        <f t="shared" si="129"/>
        <v>0000000</v>
      </c>
      <c r="D1591" s="17" t="s">
        <v>3663</v>
      </c>
      <c r="E1591" s="16" t="s">
        <v>565</v>
      </c>
      <c r="F1591" s="16" t="s">
        <v>339</v>
      </c>
      <c r="G1591" s="35" t="s">
        <v>566</v>
      </c>
      <c r="H1591" s="39">
        <v>56.35</v>
      </c>
      <c r="I1591" s="39">
        <v>55.37</v>
      </c>
      <c r="J1591" s="39">
        <v>59.3</v>
      </c>
      <c r="K1591" s="39">
        <v>0</v>
      </c>
      <c r="L1591" s="39">
        <v>0</v>
      </c>
      <c r="M1591" s="39">
        <v>0</v>
      </c>
      <c r="N1591" s="39">
        <v>0</v>
      </c>
      <c r="O1591" s="39">
        <v>0</v>
      </c>
      <c r="P1591" s="39">
        <v>0</v>
      </c>
      <c r="Q1591" s="39">
        <v>0</v>
      </c>
      <c r="R1591" s="39">
        <v>0</v>
      </c>
      <c r="S1591" s="39">
        <v>0</v>
      </c>
      <c r="T1591" s="39">
        <v>0</v>
      </c>
      <c r="U1591" s="39">
        <v>0</v>
      </c>
      <c r="V1591" s="39">
        <v>0</v>
      </c>
      <c r="W1591" s="39">
        <v>0</v>
      </c>
      <c r="X1591" s="39">
        <v>0</v>
      </c>
      <c r="Y1591" s="39">
        <v>0</v>
      </c>
      <c r="Z1591" s="39">
        <v>0</v>
      </c>
      <c r="AA1591" s="39">
        <v>0</v>
      </c>
      <c r="AB1591" s="39">
        <v>0</v>
      </c>
      <c r="AC1591" s="39">
        <v>0</v>
      </c>
      <c r="AD1591" s="39">
        <v>0</v>
      </c>
      <c r="AE1591" s="39">
        <v>0</v>
      </c>
      <c r="AF1591" s="39">
        <v>0</v>
      </c>
      <c r="AG1591" s="39">
        <v>0</v>
      </c>
      <c r="AH1591" s="39">
        <v>0</v>
      </c>
      <c r="AI1591" s="39">
        <v>56.35</v>
      </c>
      <c r="AJ1591" s="39">
        <v>55.37</v>
      </c>
      <c r="AK1591" s="39">
        <v>59.3</v>
      </c>
      <c r="AL1591" s="39">
        <v>0</v>
      </c>
      <c r="AM1591" s="39">
        <v>0</v>
      </c>
      <c r="AN1591" s="39">
        <v>0</v>
      </c>
      <c r="AO1591" s="39">
        <v>56.35</v>
      </c>
      <c r="AP1591" s="39">
        <v>55.37</v>
      </c>
      <c r="AQ1591" s="39">
        <v>59.3</v>
      </c>
      <c r="AR1591" s="39">
        <v>59.3</v>
      </c>
    </row>
    <row r="1592" spans="1:44" x14ac:dyDescent="0.35">
      <c r="A1592" s="16" t="str">
        <f t="shared" si="128"/>
        <v>12</v>
      </c>
      <c r="B1592" s="19">
        <v>63008</v>
      </c>
      <c r="C1592" s="16" t="str">
        <f t="shared" si="129"/>
        <v>0000000</v>
      </c>
      <c r="D1592" s="17" t="s">
        <v>3663</v>
      </c>
      <c r="E1592" s="16" t="s">
        <v>567</v>
      </c>
      <c r="F1592" s="16" t="s">
        <v>339</v>
      </c>
      <c r="G1592" s="35" t="s">
        <v>568</v>
      </c>
      <c r="H1592" s="39">
        <v>294.76</v>
      </c>
      <c r="I1592" s="39">
        <v>287.86</v>
      </c>
      <c r="J1592" s="39">
        <v>309.10000000000002</v>
      </c>
      <c r="K1592" s="39">
        <v>0</v>
      </c>
      <c r="L1592" s="39">
        <v>0</v>
      </c>
      <c r="M1592" s="39">
        <v>0</v>
      </c>
      <c r="N1592" s="39">
        <v>0</v>
      </c>
      <c r="O1592" s="39">
        <v>0</v>
      </c>
      <c r="P1592" s="39">
        <v>0</v>
      </c>
      <c r="Q1592" s="39">
        <v>0</v>
      </c>
      <c r="R1592" s="39">
        <v>0</v>
      </c>
      <c r="S1592" s="39">
        <v>0</v>
      </c>
      <c r="T1592" s="39">
        <v>0</v>
      </c>
      <c r="U1592" s="39">
        <v>0</v>
      </c>
      <c r="V1592" s="39">
        <v>0</v>
      </c>
      <c r="W1592" s="39">
        <v>0</v>
      </c>
      <c r="X1592" s="39">
        <v>0</v>
      </c>
      <c r="Y1592" s="39">
        <v>0</v>
      </c>
      <c r="Z1592" s="39">
        <v>0</v>
      </c>
      <c r="AA1592" s="39">
        <v>0</v>
      </c>
      <c r="AB1592" s="39">
        <v>0</v>
      </c>
      <c r="AC1592" s="39">
        <v>0</v>
      </c>
      <c r="AD1592" s="39">
        <v>0</v>
      </c>
      <c r="AE1592" s="39">
        <v>0</v>
      </c>
      <c r="AF1592" s="39">
        <v>0</v>
      </c>
      <c r="AG1592" s="39">
        <v>0</v>
      </c>
      <c r="AH1592" s="39">
        <v>0</v>
      </c>
      <c r="AI1592" s="39">
        <v>294.76</v>
      </c>
      <c r="AJ1592" s="39">
        <v>287.86</v>
      </c>
      <c r="AK1592" s="39">
        <v>309.10000000000002</v>
      </c>
      <c r="AL1592" s="39">
        <v>0</v>
      </c>
      <c r="AM1592" s="39">
        <v>0</v>
      </c>
      <c r="AN1592" s="39">
        <v>0</v>
      </c>
      <c r="AO1592" s="39">
        <v>294.76</v>
      </c>
      <c r="AP1592" s="39">
        <v>287.86</v>
      </c>
      <c r="AQ1592" s="39">
        <v>309.10000000000002</v>
      </c>
      <c r="AR1592" s="39">
        <v>309.10000000000002</v>
      </c>
    </row>
    <row r="1593" spans="1:44" x14ac:dyDescent="0.35">
      <c r="A1593" s="16" t="str">
        <f t="shared" si="128"/>
        <v>12</v>
      </c>
      <c r="B1593" s="19">
        <v>63024</v>
      </c>
      <c r="C1593" s="16" t="str">
        <f t="shared" si="129"/>
        <v>0000000</v>
      </c>
      <c r="D1593" s="17" t="s">
        <v>3663</v>
      </c>
      <c r="E1593" s="16" t="s">
        <v>569</v>
      </c>
      <c r="F1593" s="16" t="s">
        <v>339</v>
      </c>
      <c r="G1593" s="35" t="s">
        <v>570</v>
      </c>
      <c r="H1593" s="39">
        <v>179.39</v>
      </c>
      <c r="I1593" s="39">
        <v>173.01</v>
      </c>
      <c r="J1593" s="39">
        <v>158.04</v>
      </c>
      <c r="K1593" s="39">
        <v>0</v>
      </c>
      <c r="L1593" s="39">
        <v>0</v>
      </c>
      <c r="M1593" s="39">
        <v>0</v>
      </c>
      <c r="N1593" s="39">
        <v>0</v>
      </c>
      <c r="O1593" s="39">
        <v>0</v>
      </c>
      <c r="P1593" s="39">
        <v>0</v>
      </c>
      <c r="Q1593" s="39">
        <v>0</v>
      </c>
      <c r="R1593" s="39">
        <v>0</v>
      </c>
      <c r="S1593" s="39">
        <v>0</v>
      </c>
      <c r="T1593" s="39">
        <v>0</v>
      </c>
      <c r="U1593" s="39">
        <v>0</v>
      </c>
      <c r="V1593" s="39">
        <v>0</v>
      </c>
      <c r="W1593" s="39">
        <v>0</v>
      </c>
      <c r="X1593" s="39">
        <v>0</v>
      </c>
      <c r="Y1593" s="39">
        <v>0</v>
      </c>
      <c r="Z1593" s="39">
        <v>0</v>
      </c>
      <c r="AA1593" s="39">
        <v>0</v>
      </c>
      <c r="AB1593" s="39">
        <v>0</v>
      </c>
      <c r="AC1593" s="39">
        <v>0</v>
      </c>
      <c r="AD1593" s="39">
        <v>0</v>
      </c>
      <c r="AE1593" s="39">
        <v>0</v>
      </c>
      <c r="AF1593" s="39">
        <v>0</v>
      </c>
      <c r="AG1593" s="39">
        <v>0</v>
      </c>
      <c r="AH1593" s="39">
        <v>0</v>
      </c>
      <c r="AI1593" s="39">
        <v>179.39</v>
      </c>
      <c r="AJ1593" s="39">
        <v>173.01</v>
      </c>
      <c r="AK1593" s="39">
        <v>158.04</v>
      </c>
      <c r="AL1593" s="39">
        <v>0</v>
      </c>
      <c r="AM1593" s="39">
        <v>0</v>
      </c>
      <c r="AN1593" s="39">
        <v>0</v>
      </c>
      <c r="AO1593" s="39">
        <v>179.39</v>
      </c>
      <c r="AP1593" s="39">
        <v>173.01</v>
      </c>
      <c r="AQ1593" s="39">
        <v>158.04</v>
      </c>
      <c r="AR1593" s="39">
        <v>179.39</v>
      </c>
    </row>
    <row r="1594" spans="1:44" x14ac:dyDescent="0.35">
      <c r="A1594" s="16" t="str">
        <f t="shared" si="128"/>
        <v>12</v>
      </c>
      <c r="B1594" s="19">
        <v>63032</v>
      </c>
      <c r="C1594" s="16" t="str">
        <f t="shared" si="129"/>
        <v>0000000</v>
      </c>
      <c r="D1594" s="17" t="s">
        <v>3663</v>
      </c>
      <c r="E1594" s="16" t="s">
        <v>571</v>
      </c>
      <c r="F1594" s="16" t="s">
        <v>339</v>
      </c>
      <c r="G1594" s="35" t="s">
        <v>572</v>
      </c>
      <c r="H1594" s="39">
        <v>296.85000000000002</v>
      </c>
      <c r="I1594" s="39">
        <v>300.01</v>
      </c>
      <c r="J1594" s="39">
        <v>315.49</v>
      </c>
      <c r="K1594" s="39">
        <v>0</v>
      </c>
      <c r="L1594" s="39">
        <v>0</v>
      </c>
      <c r="M1594" s="39">
        <v>0</v>
      </c>
      <c r="N1594" s="39">
        <v>0</v>
      </c>
      <c r="O1594" s="39">
        <v>0</v>
      </c>
      <c r="P1594" s="39">
        <v>0</v>
      </c>
      <c r="Q1594" s="39">
        <v>0</v>
      </c>
      <c r="R1594" s="39">
        <v>0</v>
      </c>
      <c r="S1594" s="39">
        <v>0</v>
      </c>
      <c r="T1594" s="39">
        <v>0</v>
      </c>
      <c r="U1594" s="39">
        <v>0</v>
      </c>
      <c r="V1594" s="39">
        <v>0</v>
      </c>
      <c r="W1594" s="39">
        <v>0</v>
      </c>
      <c r="X1594" s="39">
        <v>0</v>
      </c>
      <c r="Y1594" s="39">
        <v>0</v>
      </c>
      <c r="Z1594" s="39">
        <v>0</v>
      </c>
      <c r="AA1594" s="39">
        <v>0</v>
      </c>
      <c r="AB1594" s="39">
        <v>0</v>
      </c>
      <c r="AC1594" s="39">
        <v>519.91999999999996</v>
      </c>
      <c r="AD1594" s="39">
        <v>505.71</v>
      </c>
      <c r="AE1594" s="39">
        <v>505.91</v>
      </c>
      <c r="AF1594" s="39">
        <v>0</v>
      </c>
      <c r="AG1594" s="39">
        <v>0</v>
      </c>
      <c r="AH1594" s="39">
        <v>0</v>
      </c>
      <c r="AI1594" s="39">
        <v>816.77</v>
      </c>
      <c r="AJ1594" s="39">
        <v>805.72</v>
      </c>
      <c r="AK1594" s="39">
        <v>821.4</v>
      </c>
      <c r="AL1594" s="39">
        <v>0</v>
      </c>
      <c r="AM1594" s="39">
        <v>0</v>
      </c>
      <c r="AN1594" s="39">
        <v>0</v>
      </c>
      <c r="AO1594" s="39">
        <v>816.77</v>
      </c>
      <c r="AP1594" s="39">
        <v>805.72</v>
      </c>
      <c r="AQ1594" s="39">
        <v>821.4</v>
      </c>
      <c r="AR1594" s="39">
        <v>821.4</v>
      </c>
    </row>
    <row r="1595" spans="1:44" x14ac:dyDescent="0.35">
      <c r="A1595" s="16" t="str">
        <f t="shared" si="128"/>
        <v>12</v>
      </c>
      <c r="B1595" s="19">
        <v>63040</v>
      </c>
      <c r="C1595" s="16" t="str">
        <f t="shared" si="129"/>
        <v>0000000</v>
      </c>
      <c r="D1595" s="17" t="s">
        <v>3663</v>
      </c>
      <c r="E1595" s="16" t="s">
        <v>573</v>
      </c>
      <c r="F1595" s="16" t="s">
        <v>339</v>
      </c>
      <c r="G1595" s="35" t="s">
        <v>574</v>
      </c>
      <c r="H1595" s="39">
        <v>576.55999999999995</v>
      </c>
      <c r="I1595" s="39">
        <v>569.84</v>
      </c>
      <c r="J1595" s="39">
        <v>572.94000000000005</v>
      </c>
      <c r="K1595" s="39">
        <v>0</v>
      </c>
      <c r="L1595" s="39">
        <v>0</v>
      </c>
      <c r="M1595" s="39">
        <v>0</v>
      </c>
      <c r="N1595" s="39">
        <v>0</v>
      </c>
      <c r="O1595" s="39">
        <v>0</v>
      </c>
      <c r="P1595" s="39">
        <v>0</v>
      </c>
      <c r="Q1595" s="39">
        <v>0</v>
      </c>
      <c r="R1595" s="39">
        <v>0</v>
      </c>
      <c r="S1595" s="39">
        <v>0</v>
      </c>
      <c r="T1595" s="39">
        <v>0</v>
      </c>
      <c r="U1595" s="39">
        <v>0</v>
      </c>
      <c r="V1595" s="39">
        <v>0</v>
      </c>
      <c r="W1595" s="39">
        <v>0</v>
      </c>
      <c r="X1595" s="39">
        <v>0</v>
      </c>
      <c r="Y1595" s="39">
        <v>0</v>
      </c>
      <c r="Z1595" s="39">
        <v>0</v>
      </c>
      <c r="AA1595" s="39">
        <v>0</v>
      </c>
      <c r="AB1595" s="39">
        <v>0</v>
      </c>
      <c r="AC1595" s="39">
        <v>0</v>
      </c>
      <c r="AD1595" s="39">
        <v>0</v>
      </c>
      <c r="AE1595" s="39">
        <v>0</v>
      </c>
      <c r="AF1595" s="39">
        <v>0</v>
      </c>
      <c r="AG1595" s="39">
        <v>0</v>
      </c>
      <c r="AH1595" s="39">
        <v>0</v>
      </c>
      <c r="AI1595" s="39">
        <v>576.55999999999995</v>
      </c>
      <c r="AJ1595" s="39">
        <v>569.84</v>
      </c>
      <c r="AK1595" s="39">
        <v>572.94000000000005</v>
      </c>
      <c r="AL1595" s="39">
        <v>0</v>
      </c>
      <c r="AM1595" s="39">
        <v>0</v>
      </c>
      <c r="AN1595" s="39">
        <v>0</v>
      </c>
      <c r="AO1595" s="39">
        <v>576.55999999999995</v>
      </c>
      <c r="AP1595" s="39">
        <v>569.84</v>
      </c>
      <c r="AQ1595" s="39">
        <v>572.94000000000005</v>
      </c>
      <c r="AR1595" s="39">
        <v>576.55999999999995</v>
      </c>
    </row>
    <row r="1596" spans="1:44" x14ac:dyDescent="0.35">
      <c r="A1596" s="16" t="str">
        <f t="shared" si="128"/>
        <v>12</v>
      </c>
      <c r="B1596" s="19">
        <v>63057</v>
      </c>
      <c r="C1596" s="16" t="str">
        <f t="shared" si="129"/>
        <v>0000000</v>
      </c>
      <c r="D1596" s="17" t="s">
        <v>3663</v>
      </c>
      <c r="E1596" s="16" t="s">
        <v>575</v>
      </c>
      <c r="F1596" s="16" t="s">
        <v>339</v>
      </c>
      <c r="G1596" s="35" t="s">
        <v>576</v>
      </c>
      <c r="H1596" s="39">
        <v>150.82</v>
      </c>
      <c r="I1596" s="39">
        <v>160.13</v>
      </c>
      <c r="J1596" s="39">
        <v>153.58000000000001</v>
      </c>
      <c r="K1596" s="39">
        <v>0</v>
      </c>
      <c r="L1596" s="39">
        <v>0</v>
      </c>
      <c r="M1596" s="39">
        <v>0</v>
      </c>
      <c r="N1596" s="39">
        <v>0</v>
      </c>
      <c r="O1596" s="39">
        <v>0</v>
      </c>
      <c r="P1596" s="39">
        <v>0</v>
      </c>
      <c r="Q1596" s="39">
        <v>0</v>
      </c>
      <c r="R1596" s="39">
        <v>0</v>
      </c>
      <c r="S1596" s="39">
        <v>0</v>
      </c>
      <c r="T1596" s="39">
        <v>0</v>
      </c>
      <c r="U1596" s="39">
        <v>0</v>
      </c>
      <c r="V1596" s="39">
        <v>0</v>
      </c>
      <c r="W1596" s="39">
        <v>0</v>
      </c>
      <c r="X1596" s="39">
        <v>0</v>
      </c>
      <c r="Y1596" s="39">
        <v>0</v>
      </c>
      <c r="Z1596" s="39">
        <v>0</v>
      </c>
      <c r="AA1596" s="39">
        <v>0</v>
      </c>
      <c r="AB1596" s="39">
        <v>0</v>
      </c>
      <c r="AC1596" s="39">
        <v>0</v>
      </c>
      <c r="AD1596" s="39">
        <v>0</v>
      </c>
      <c r="AE1596" s="39">
        <v>0</v>
      </c>
      <c r="AF1596" s="39">
        <v>0</v>
      </c>
      <c r="AG1596" s="39">
        <v>0</v>
      </c>
      <c r="AH1596" s="39">
        <v>0</v>
      </c>
      <c r="AI1596" s="39">
        <v>150.82</v>
      </c>
      <c r="AJ1596" s="39">
        <v>160.13</v>
      </c>
      <c r="AK1596" s="39">
        <v>153.58000000000001</v>
      </c>
      <c r="AL1596" s="39">
        <v>0</v>
      </c>
      <c r="AM1596" s="39">
        <v>0</v>
      </c>
      <c r="AN1596" s="39">
        <v>0</v>
      </c>
      <c r="AO1596" s="39">
        <v>150.82</v>
      </c>
      <c r="AP1596" s="39">
        <v>160.13</v>
      </c>
      <c r="AQ1596" s="39">
        <v>153.58000000000001</v>
      </c>
      <c r="AR1596" s="39">
        <v>160.13</v>
      </c>
    </row>
    <row r="1597" spans="1:44" x14ac:dyDescent="0.35">
      <c r="A1597" s="16" t="str">
        <f>TEXT(8,"00")</f>
        <v>08</v>
      </c>
      <c r="B1597" s="19">
        <v>61820</v>
      </c>
      <c r="C1597" s="16" t="str">
        <f t="shared" si="129"/>
        <v>0000000</v>
      </c>
      <c r="D1597" s="17" t="s">
        <v>3663</v>
      </c>
      <c r="E1597" s="16" t="s">
        <v>342</v>
      </c>
      <c r="F1597" s="16" t="s">
        <v>339</v>
      </c>
      <c r="G1597" s="35" t="s">
        <v>343</v>
      </c>
      <c r="H1597" s="39">
        <v>3054.41</v>
      </c>
      <c r="I1597" s="39">
        <v>3095.9</v>
      </c>
      <c r="J1597" s="39">
        <v>3156.55</v>
      </c>
      <c r="K1597" s="39">
        <v>0</v>
      </c>
      <c r="L1597" s="39">
        <v>0</v>
      </c>
      <c r="M1597" s="39">
        <v>0</v>
      </c>
      <c r="N1597" s="39">
        <v>0</v>
      </c>
      <c r="O1597" s="39">
        <v>0</v>
      </c>
      <c r="P1597" s="39">
        <v>0</v>
      </c>
      <c r="Q1597" s="39">
        <v>0</v>
      </c>
      <c r="R1597" s="39">
        <v>0</v>
      </c>
      <c r="S1597" s="39">
        <v>0</v>
      </c>
      <c r="T1597" s="39">
        <v>0</v>
      </c>
      <c r="U1597" s="39">
        <v>0</v>
      </c>
      <c r="V1597" s="39">
        <v>0</v>
      </c>
      <c r="W1597" s="39">
        <v>0</v>
      </c>
      <c r="X1597" s="39">
        <v>0</v>
      </c>
      <c r="Y1597" s="39">
        <v>0</v>
      </c>
      <c r="Z1597" s="39">
        <v>0</v>
      </c>
      <c r="AA1597" s="39">
        <v>0</v>
      </c>
      <c r="AB1597" s="39">
        <v>0</v>
      </c>
      <c r="AC1597" s="39">
        <v>281.63</v>
      </c>
      <c r="AD1597" s="39">
        <v>291.63</v>
      </c>
      <c r="AE1597" s="39">
        <v>270.87</v>
      </c>
      <c r="AF1597" s="39">
        <v>0</v>
      </c>
      <c r="AG1597" s="39">
        <v>0</v>
      </c>
      <c r="AH1597" s="39">
        <v>0</v>
      </c>
      <c r="AI1597" s="39">
        <v>3336.04</v>
      </c>
      <c r="AJ1597" s="39">
        <v>3387.53</v>
      </c>
      <c r="AK1597" s="39">
        <v>3427.42</v>
      </c>
      <c r="AL1597" s="39">
        <v>0</v>
      </c>
      <c r="AM1597" s="39">
        <v>0</v>
      </c>
      <c r="AN1597" s="39">
        <v>0</v>
      </c>
      <c r="AO1597" s="39">
        <v>3336.04</v>
      </c>
      <c r="AP1597" s="39">
        <v>3387.53</v>
      </c>
      <c r="AQ1597" s="39">
        <v>3427.42</v>
      </c>
      <c r="AR1597" s="39">
        <v>3427.42</v>
      </c>
    </row>
    <row r="1598" spans="1:44" x14ac:dyDescent="0.35">
      <c r="A1598" s="16" t="str">
        <f t="shared" ref="A1598:A1604" si="130">TEXT(12,"00")</f>
        <v>12</v>
      </c>
      <c r="B1598" s="19">
        <v>62729</v>
      </c>
      <c r="C1598" s="16" t="str">
        <f t="shared" si="129"/>
        <v>0000000</v>
      </c>
      <c r="D1598" s="17" t="s">
        <v>3663</v>
      </c>
      <c r="E1598" s="16" t="s">
        <v>532</v>
      </c>
      <c r="F1598" s="16" t="s">
        <v>339</v>
      </c>
      <c r="G1598" s="35" t="s">
        <v>533</v>
      </c>
      <c r="H1598" s="39">
        <v>35.53</v>
      </c>
      <c r="I1598" s="39">
        <v>34.71</v>
      </c>
      <c r="J1598" s="39">
        <v>35.75</v>
      </c>
      <c r="K1598" s="39">
        <v>0</v>
      </c>
      <c r="L1598" s="39">
        <v>0</v>
      </c>
      <c r="M1598" s="39">
        <v>0</v>
      </c>
      <c r="N1598" s="39">
        <v>0</v>
      </c>
      <c r="O1598" s="39">
        <v>0</v>
      </c>
      <c r="P1598" s="39">
        <v>0</v>
      </c>
      <c r="Q1598" s="39">
        <v>0</v>
      </c>
      <c r="R1598" s="39">
        <v>0</v>
      </c>
      <c r="S1598" s="39">
        <v>0</v>
      </c>
      <c r="T1598" s="39">
        <v>0</v>
      </c>
      <c r="U1598" s="39">
        <v>0</v>
      </c>
      <c r="V1598" s="39">
        <v>0</v>
      </c>
      <c r="W1598" s="39">
        <v>0</v>
      </c>
      <c r="X1598" s="39">
        <v>0</v>
      </c>
      <c r="Y1598" s="39">
        <v>0</v>
      </c>
      <c r="Z1598" s="39">
        <v>0</v>
      </c>
      <c r="AA1598" s="39">
        <v>0</v>
      </c>
      <c r="AB1598" s="39">
        <v>0</v>
      </c>
      <c r="AC1598" s="39">
        <v>0</v>
      </c>
      <c r="AD1598" s="39">
        <v>0</v>
      </c>
      <c r="AE1598" s="39">
        <v>0</v>
      </c>
      <c r="AF1598" s="39">
        <v>0</v>
      </c>
      <c r="AG1598" s="39">
        <v>0</v>
      </c>
      <c r="AH1598" s="39">
        <v>0</v>
      </c>
      <c r="AI1598" s="39">
        <v>35.53</v>
      </c>
      <c r="AJ1598" s="39">
        <v>34.71</v>
      </c>
      <c r="AK1598" s="39">
        <v>35.75</v>
      </c>
      <c r="AL1598" s="39">
        <v>0</v>
      </c>
      <c r="AM1598" s="39">
        <v>0</v>
      </c>
      <c r="AN1598" s="39">
        <v>0</v>
      </c>
      <c r="AO1598" s="39">
        <v>35.53</v>
      </c>
      <c r="AP1598" s="39">
        <v>34.71</v>
      </c>
      <c r="AQ1598" s="39">
        <v>35.75</v>
      </c>
      <c r="AR1598" s="39">
        <v>35.75</v>
      </c>
    </row>
    <row r="1599" spans="1:44" x14ac:dyDescent="0.35">
      <c r="A1599" s="16" t="str">
        <f t="shared" si="130"/>
        <v>12</v>
      </c>
      <c r="B1599" s="19">
        <v>62919</v>
      </c>
      <c r="C1599" s="16" t="str">
        <f t="shared" si="129"/>
        <v>0000000</v>
      </c>
      <c r="D1599" s="17" t="s">
        <v>3663</v>
      </c>
      <c r="E1599" s="16" t="s">
        <v>554</v>
      </c>
      <c r="F1599" s="16" t="s">
        <v>339</v>
      </c>
      <c r="G1599" s="35" t="s">
        <v>555</v>
      </c>
      <c r="H1599" s="39">
        <v>22.43</v>
      </c>
      <c r="I1599" s="39">
        <v>26.42</v>
      </c>
      <c r="J1599" s="39">
        <v>29.81</v>
      </c>
      <c r="K1599" s="39">
        <v>0</v>
      </c>
      <c r="L1599" s="39">
        <v>0</v>
      </c>
      <c r="M1599" s="39">
        <v>0</v>
      </c>
      <c r="N1599" s="39">
        <v>0</v>
      </c>
      <c r="O1599" s="39">
        <v>0</v>
      </c>
      <c r="P1599" s="39">
        <v>0</v>
      </c>
      <c r="Q1599" s="39">
        <v>0</v>
      </c>
      <c r="R1599" s="39">
        <v>0</v>
      </c>
      <c r="S1599" s="39">
        <v>0</v>
      </c>
      <c r="T1599" s="39">
        <v>0</v>
      </c>
      <c r="U1599" s="39">
        <v>0</v>
      </c>
      <c r="V1599" s="39">
        <v>0</v>
      </c>
      <c r="W1599" s="39">
        <v>0</v>
      </c>
      <c r="X1599" s="39">
        <v>0</v>
      </c>
      <c r="Y1599" s="39">
        <v>0</v>
      </c>
      <c r="Z1599" s="39">
        <v>0</v>
      </c>
      <c r="AA1599" s="39">
        <v>0</v>
      </c>
      <c r="AB1599" s="39">
        <v>0</v>
      </c>
      <c r="AC1599" s="39">
        <v>0</v>
      </c>
      <c r="AD1599" s="39">
        <v>0</v>
      </c>
      <c r="AE1599" s="39">
        <v>0</v>
      </c>
      <c r="AF1599" s="39">
        <v>0</v>
      </c>
      <c r="AG1599" s="39">
        <v>0</v>
      </c>
      <c r="AH1599" s="39">
        <v>0</v>
      </c>
      <c r="AI1599" s="39">
        <v>22.43</v>
      </c>
      <c r="AJ1599" s="39">
        <v>26.42</v>
      </c>
      <c r="AK1599" s="39">
        <v>29.81</v>
      </c>
      <c r="AL1599" s="39">
        <v>0</v>
      </c>
      <c r="AM1599" s="39">
        <v>0</v>
      </c>
      <c r="AN1599" s="39">
        <v>0</v>
      </c>
      <c r="AO1599" s="39">
        <v>22.43</v>
      </c>
      <c r="AP1599" s="39">
        <v>26.42</v>
      </c>
      <c r="AQ1599" s="39">
        <v>29.81</v>
      </c>
      <c r="AR1599" s="39">
        <v>29.81</v>
      </c>
    </row>
    <row r="1600" spans="1:44" x14ac:dyDescent="0.35">
      <c r="A1600" s="16" t="str">
        <f t="shared" si="130"/>
        <v>12</v>
      </c>
      <c r="B1600" s="19">
        <v>62851</v>
      </c>
      <c r="C1600" s="16" t="str">
        <f t="shared" si="129"/>
        <v>0000000</v>
      </c>
      <c r="D1600" s="17" t="s">
        <v>3663</v>
      </c>
      <c r="E1600" s="16" t="s">
        <v>546</v>
      </c>
      <c r="F1600" s="16" t="s">
        <v>339</v>
      </c>
      <c r="G1600" s="35" t="s">
        <v>547</v>
      </c>
      <c r="H1600" s="39">
        <v>2.87</v>
      </c>
      <c r="I1600" s="39">
        <v>4.58</v>
      </c>
      <c r="J1600" s="39">
        <v>11.15</v>
      </c>
      <c r="K1600" s="39">
        <v>0</v>
      </c>
      <c r="L1600" s="39">
        <v>0</v>
      </c>
      <c r="M1600" s="39">
        <v>0</v>
      </c>
      <c r="N1600" s="39">
        <v>0</v>
      </c>
      <c r="O1600" s="39">
        <v>0</v>
      </c>
      <c r="P1600" s="39">
        <v>0</v>
      </c>
      <c r="Q1600" s="39">
        <v>0</v>
      </c>
      <c r="R1600" s="39">
        <v>0</v>
      </c>
      <c r="S1600" s="39">
        <v>0</v>
      </c>
      <c r="T1600" s="39">
        <v>0</v>
      </c>
      <c r="U1600" s="39">
        <v>0</v>
      </c>
      <c r="V1600" s="39">
        <v>0</v>
      </c>
      <c r="W1600" s="39">
        <v>0</v>
      </c>
      <c r="X1600" s="39">
        <v>0</v>
      </c>
      <c r="Y1600" s="39">
        <v>0</v>
      </c>
      <c r="Z1600" s="39">
        <v>0</v>
      </c>
      <c r="AA1600" s="39">
        <v>0</v>
      </c>
      <c r="AB1600" s="39">
        <v>0</v>
      </c>
      <c r="AC1600" s="39">
        <v>0</v>
      </c>
      <c r="AD1600" s="39">
        <v>0</v>
      </c>
      <c r="AE1600" s="39">
        <v>0</v>
      </c>
      <c r="AF1600" s="39">
        <v>0</v>
      </c>
      <c r="AG1600" s="39">
        <v>0</v>
      </c>
      <c r="AH1600" s="39">
        <v>0</v>
      </c>
      <c r="AI1600" s="39">
        <v>2.87</v>
      </c>
      <c r="AJ1600" s="39">
        <v>4.58</v>
      </c>
      <c r="AK1600" s="39">
        <v>11.15</v>
      </c>
      <c r="AL1600" s="39">
        <v>0</v>
      </c>
      <c r="AM1600" s="39">
        <v>0</v>
      </c>
      <c r="AN1600" s="39">
        <v>0</v>
      </c>
      <c r="AO1600" s="39">
        <v>2.87</v>
      </c>
      <c r="AP1600" s="39">
        <v>4.58</v>
      </c>
      <c r="AQ1600" s="39">
        <v>11.15</v>
      </c>
      <c r="AR1600" s="39">
        <v>11.15</v>
      </c>
    </row>
    <row r="1601" spans="1:44" x14ac:dyDescent="0.35">
      <c r="A1601" s="16" t="str">
        <f t="shared" si="130"/>
        <v>12</v>
      </c>
      <c r="B1601" s="19">
        <v>75374</v>
      </c>
      <c r="C1601" s="16" t="str">
        <f t="shared" si="129"/>
        <v>0000000</v>
      </c>
      <c r="D1601" s="17" t="s">
        <v>3663</v>
      </c>
      <c r="E1601" s="16" t="s">
        <v>577</v>
      </c>
      <c r="F1601" s="16" t="s">
        <v>339</v>
      </c>
      <c r="G1601" s="35" t="s">
        <v>578</v>
      </c>
      <c r="H1601" s="39">
        <v>460.31</v>
      </c>
      <c r="I1601" s="39">
        <v>452.09</v>
      </c>
      <c r="J1601" s="39">
        <v>430.89</v>
      </c>
      <c r="K1601" s="39">
        <v>0</v>
      </c>
      <c r="L1601" s="39">
        <v>0</v>
      </c>
      <c r="M1601" s="39">
        <v>0</v>
      </c>
      <c r="N1601" s="39">
        <v>0</v>
      </c>
      <c r="O1601" s="39">
        <v>0</v>
      </c>
      <c r="P1601" s="39">
        <v>0</v>
      </c>
      <c r="Q1601" s="39">
        <v>0</v>
      </c>
      <c r="R1601" s="39">
        <v>0</v>
      </c>
      <c r="S1601" s="39">
        <v>0</v>
      </c>
      <c r="T1601" s="39">
        <v>0</v>
      </c>
      <c r="U1601" s="39">
        <v>0</v>
      </c>
      <c r="V1601" s="39">
        <v>0</v>
      </c>
      <c r="W1601" s="39">
        <v>0</v>
      </c>
      <c r="X1601" s="39">
        <v>0</v>
      </c>
      <c r="Y1601" s="39">
        <v>0</v>
      </c>
      <c r="Z1601" s="39">
        <v>0</v>
      </c>
      <c r="AA1601" s="39">
        <v>0</v>
      </c>
      <c r="AB1601" s="39">
        <v>0</v>
      </c>
      <c r="AC1601" s="39">
        <v>0</v>
      </c>
      <c r="AD1601" s="39">
        <v>0</v>
      </c>
      <c r="AE1601" s="39">
        <v>0</v>
      </c>
      <c r="AF1601" s="39">
        <v>0</v>
      </c>
      <c r="AG1601" s="39">
        <v>0</v>
      </c>
      <c r="AH1601" s="39">
        <v>0</v>
      </c>
      <c r="AI1601" s="39">
        <v>460.31</v>
      </c>
      <c r="AJ1601" s="39">
        <v>452.09</v>
      </c>
      <c r="AK1601" s="39">
        <v>430.89</v>
      </c>
      <c r="AL1601" s="39">
        <v>0</v>
      </c>
      <c r="AM1601" s="39">
        <v>0</v>
      </c>
      <c r="AN1601" s="39">
        <v>0</v>
      </c>
      <c r="AO1601" s="39">
        <v>460.31</v>
      </c>
      <c r="AP1601" s="39">
        <v>452.09</v>
      </c>
      <c r="AQ1601" s="39">
        <v>430.89</v>
      </c>
      <c r="AR1601" s="39">
        <v>460.31</v>
      </c>
    </row>
    <row r="1602" spans="1:44" x14ac:dyDescent="0.35">
      <c r="A1602" s="16" t="str">
        <f t="shared" si="130"/>
        <v>12</v>
      </c>
      <c r="B1602" s="19">
        <v>75382</v>
      </c>
      <c r="C1602" s="16" t="str">
        <f t="shared" si="129"/>
        <v>0000000</v>
      </c>
      <c r="D1602" s="17" t="s">
        <v>3663</v>
      </c>
      <c r="E1602" s="16" t="s">
        <v>579</v>
      </c>
      <c r="F1602" s="16" t="s">
        <v>339</v>
      </c>
      <c r="G1602" s="35" t="s">
        <v>580</v>
      </c>
      <c r="H1602" s="39">
        <v>41.23</v>
      </c>
      <c r="I1602" s="39">
        <v>32.869999999999997</v>
      </c>
      <c r="J1602" s="39">
        <v>31.77</v>
      </c>
      <c r="K1602" s="39">
        <v>0</v>
      </c>
      <c r="L1602" s="39">
        <v>0</v>
      </c>
      <c r="M1602" s="39">
        <v>0</v>
      </c>
      <c r="N1602" s="39">
        <v>0</v>
      </c>
      <c r="O1602" s="39">
        <v>0</v>
      </c>
      <c r="P1602" s="39">
        <v>0</v>
      </c>
      <c r="Q1602" s="39">
        <v>0</v>
      </c>
      <c r="R1602" s="39">
        <v>0</v>
      </c>
      <c r="S1602" s="39">
        <v>0</v>
      </c>
      <c r="T1602" s="39">
        <v>0</v>
      </c>
      <c r="U1602" s="39">
        <v>0</v>
      </c>
      <c r="V1602" s="39">
        <v>0</v>
      </c>
      <c r="W1602" s="39">
        <v>0</v>
      </c>
      <c r="X1602" s="39">
        <v>0</v>
      </c>
      <c r="Y1602" s="39">
        <v>0</v>
      </c>
      <c r="Z1602" s="39">
        <v>0</v>
      </c>
      <c r="AA1602" s="39">
        <v>0</v>
      </c>
      <c r="AB1602" s="39">
        <v>0</v>
      </c>
      <c r="AC1602" s="39">
        <v>0</v>
      </c>
      <c r="AD1602" s="39">
        <v>0</v>
      </c>
      <c r="AE1602" s="39">
        <v>0</v>
      </c>
      <c r="AF1602" s="39">
        <v>0</v>
      </c>
      <c r="AG1602" s="39">
        <v>0</v>
      </c>
      <c r="AH1602" s="39">
        <v>0</v>
      </c>
      <c r="AI1602" s="39">
        <v>41.23</v>
      </c>
      <c r="AJ1602" s="39">
        <v>32.869999999999997</v>
      </c>
      <c r="AK1602" s="39">
        <v>31.77</v>
      </c>
      <c r="AL1602" s="39">
        <v>0</v>
      </c>
      <c r="AM1602" s="39">
        <v>0</v>
      </c>
      <c r="AN1602" s="39">
        <v>0</v>
      </c>
      <c r="AO1602" s="39">
        <v>41.23</v>
      </c>
      <c r="AP1602" s="39">
        <v>32.869999999999997</v>
      </c>
      <c r="AQ1602" s="39">
        <v>31.77</v>
      </c>
      <c r="AR1602" s="39">
        <v>41.23</v>
      </c>
    </row>
    <row r="1603" spans="1:44" x14ac:dyDescent="0.35">
      <c r="A1603" s="16" t="str">
        <f t="shared" si="130"/>
        <v>12</v>
      </c>
      <c r="B1603" s="19">
        <v>62935</v>
      </c>
      <c r="C1603" s="16" t="str">
        <f t="shared" si="129"/>
        <v>0000000</v>
      </c>
      <c r="D1603" s="17" t="s">
        <v>3663</v>
      </c>
      <c r="E1603" s="16" t="s">
        <v>558</v>
      </c>
      <c r="F1603" s="16" t="s">
        <v>339</v>
      </c>
      <c r="G1603" s="35" t="s">
        <v>559</v>
      </c>
      <c r="H1603" s="39">
        <v>8.0299999999999994</v>
      </c>
      <c r="I1603" s="39">
        <v>3.52</v>
      </c>
      <c r="J1603" s="39">
        <v>5.71</v>
      </c>
      <c r="K1603" s="39">
        <v>0</v>
      </c>
      <c r="L1603" s="39">
        <v>0</v>
      </c>
      <c r="M1603" s="39">
        <v>0</v>
      </c>
      <c r="N1603" s="39">
        <v>0</v>
      </c>
      <c r="O1603" s="39">
        <v>0</v>
      </c>
      <c r="P1603" s="39">
        <v>0</v>
      </c>
      <c r="Q1603" s="39">
        <v>0</v>
      </c>
      <c r="R1603" s="39">
        <v>0</v>
      </c>
      <c r="S1603" s="39">
        <v>0</v>
      </c>
      <c r="T1603" s="39">
        <v>0</v>
      </c>
      <c r="U1603" s="39">
        <v>0</v>
      </c>
      <c r="V1603" s="39">
        <v>0</v>
      </c>
      <c r="W1603" s="39">
        <v>0</v>
      </c>
      <c r="X1603" s="39">
        <v>0</v>
      </c>
      <c r="Y1603" s="39">
        <v>0</v>
      </c>
      <c r="Z1603" s="39">
        <v>0</v>
      </c>
      <c r="AA1603" s="39">
        <v>0</v>
      </c>
      <c r="AB1603" s="39">
        <v>0</v>
      </c>
      <c r="AC1603" s="39">
        <v>0</v>
      </c>
      <c r="AD1603" s="39">
        <v>0</v>
      </c>
      <c r="AE1603" s="39">
        <v>0</v>
      </c>
      <c r="AF1603" s="39">
        <v>0</v>
      </c>
      <c r="AG1603" s="39">
        <v>0</v>
      </c>
      <c r="AH1603" s="39">
        <v>0</v>
      </c>
      <c r="AI1603" s="39">
        <v>8.0299999999999994</v>
      </c>
      <c r="AJ1603" s="39">
        <v>3.52</v>
      </c>
      <c r="AK1603" s="39">
        <v>5.71</v>
      </c>
      <c r="AL1603" s="39">
        <v>0</v>
      </c>
      <c r="AM1603" s="39">
        <v>0</v>
      </c>
      <c r="AN1603" s="39">
        <v>0</v>
      </c>
      <c r="AO1603" s="39">
        <v>8.0299999999999994</v>
      </c>
      <c r="AP1603" s="39">
        <v>3.52</v>
      </c>
      <c r="AQ1603" s="39">
        <v>5.71</v>
      </c>
      <c r="AR1603" s="39">
        <v>8.0299999999999994</v>
      </c>
    </row>
    <row r="1604" spans="1:44" x14ac:dyDescent="0.35">
      <c r="A1604" s="16" t="str">
        <f t="shared" si="130"/>
        <v>12</v>
      </c>
      <c r="B1604" s="19">
        <v>75515</v>
      </c>
      <c r="C1604" s="16" t="str">
        <f t="shared" si="129"/>
        <v>0000000</v>
      </c>
      <c r="D1604" s="17" t="s">
        <v>3663</v>
      </c>
      <c r="E1604" s="16" t="s">
        <v>581</v>
      </c>
      <c r="F1604" s="16" t="s">
        <v>339</v>
      </c>
      <c r="G1604" s="35" t="s">
        <v>582</v>
      </c>
      <c r="H1604" s="39">
        <v>3101.01</v>
      </c>
      <c r="I1604" s="39">
        <v>3192.91</v>
      </c>
      <c r="J1604" s="39">
        <v>3211.5</v>
      </c>
      <c r="K1604" s="39">
        <v>0</v>
      </c>
      <c r="L1604" s="39">
        <v>0</v>
      </c>
      <c r="M1604" s="39">
        <v>0</v>
      </c>
      <c r="N1604" s="39">
        <v>0</v>
      </c>
      <c r="O1604" s="39">
        <v>0</v>
      </c>
      <c r="P1604" s="39">
        <v>0</v>
      </c>
      <c r="Q1604" s="39">
        <v>0</v>
      </c>
      <c r="R1604" s="39">
        <v>0</v>
      </c>
      <c r="S1604" s="39">
        <v>0</v>
      </c>
      <c r="T1604" s="39">
        <v>0</v>
      </c>
      <c r="U1604" s="39">
        <v>0</v>
      </c>
      <c r="V1604" s="39">
        <v>0</v>
      </c>
      <c r="W1604" s="39">
        <v>0</v>
      </c>
      <c r="X1604" s="39">
        <v>0</v>
      </c>
      <c r="Y1604" s="39">
        <v>0</v>
      </c>
      <c r="Z1604" s="39">
        <v>0</v>
      </c>
      <c r="AA1604" s="39">
        <v>0</v>
      </c>
      <c r="AB1604" s="39">
        <v>0</v>
      </c>
      <c r="AC1604" s="39">
        <v>0</v>
      </c>
      <c r="AD1604" s="39">
        <v>0</v>
      </c>
      <c r="AE1604" s="39">
        <v>0</v>
      </c>
      <c r="AF1604" s="39">
        <v>0</v>
      </c>
      <c r="AG1604" s="39">
        <v>0</v>
      </c>
      <c r="AH1604" s="39">
        <v>0</v>
      </c>
      <c r="AI1604" s="39">
        <v>3101.01</v>
      </c>
      <c r="AJ1604" s="39">
        <v>3192.91</v>
      </c>
      <c r="AK1604" s="39">
        <v>3211.5</v>
      </c>
      <c r="AL1604" s="39">
        <v>0</v>
      </c>
      <c r="AM1604" s="39">
        <v>0</v>
      </c>
      <c r="AN1604" s="39">
        <v>0</v>
      </c>
      <c r="AO1604" s="39">
        <v>3101.01</v>
      </c>
      <c r="AP1604" s="39">
        <v>3192.91</v>
      </c>
      <c r="AQ1604" s="39">
        <v>3211.5</v>
      </c>
      <c r="AR1604" s="39">
        <v>3211.5</v>
      </c>
    </row>
    <row r="1605" spans="1:44" x14ac:dyDescent="0.35">
      <c r="A1605" s="16" t="str">
        <f>TEXT(8,"00")</f>
        <v>08</v>
      </c>
      <c r="B1605" s="19">
        <v>10082</v>
      </c>
      <c r="C1605" s="16" t="str">
        <f t="shared" si="129"/>
        <v>0000000</v>
      </c>
      <c r="D1605" s="17" t="s">
        <v>3663</v>
      </c>
      <c r="E1605" s="16" t="s">
        <v>340</v>
      </c>
      <c r="F1605" s="16" t="s">
        <v>339</v>
      </c>
      <c r="G1605" s="35" t="s">
        <v>341</v>
      </c>
      <c r="H1605" s="39">
        <v>0</v>
      </c>
      <c r="I1605" s="39">
        <v>0</v>
      </c>
      <c r="J1605" s="39">
        <v>0</v>
      </c>
      <c r="K1605" s="39">
        <v>0</v>
      </c>
      <c r="L1605" s="39">
        <v>0</v>
      </c>
      <c r="M1605" s="39">
        <v>0</v>
      </c>
      <c r="N1605" s="39">
        <v>0</v>
      </c>
      <c r="O1605" s="39">
        <v>0</v>
      </c>
      <c r="P1605" s="39">
        <v>0</v>
      </c>
      <c r="Q1605" s="39">
        <v>0</v>
      </c>
      <c r="R1605" s="39">
        <v>0</v>
      </c>
      <c r="S1605" s="39">
        <v>0</v>
      </c>
      <c r="T1605" s="39">
        <v>0.53</v>
      </c>
      <c r="U1605" s="39">
        <v>1.26</v>
      </c>
      <c r="V1605" s="39">
        <v>13.57</v>
      </c>
      <c r="W1605" s="39">
        <v>23.19</v>
      </c>
      <c r="X1605" s="39">
        <v>27.23</v>
      </c>
      <c r="Y1605" s="39">
        <v>12.78</v>
      </c>
      <c r="Z1605" s="39">
        <v>333.98</v>
      </c>
      <c r="AA1605" s="39">
        <v>349.6</v>
      </c>
      <c r="AB1605" s="39">
        <v>357.7</v>
      </c>
      <c r="AC1605" s="39">
        <v>0</v>
      </c>
      <c r="AD1605" s="39">
        <v>0</v>
      </c>
      <c r="AE1605" s="39">
        <v>0</v>
      </c>
      <c r="AF1605" s="39">
        <v>0</v>
      </c>
      <c r="AG1605" s="39">
        <v>0</v>
      </c>
      <c r="AH1605" s="39">
        <v>0</v>
      </c>
      <c r="AI1605" s="39">
        <v>357.7</v>
      </c>
      <c r="AJ1605" s="39">
        <v>378.09</v>
      </c>
      <c r="AK1605" s="39">
        <v>384.05</v>
      </c>
      <c r="AL1605" s="39">
        <v>0</v>
      </c>
      <c r="AM1605" s="39">
        <v>0</v>
      </c>
      <c r="AN1605" s="39">
        <v>0</v>
      </c>
      <c r="AO1605" s="39">
        <v>357.7</v>
      </c>
      <c r="AP1605" s="39">
        <v>378.09</v>
      </c>
      <c r="AQ1605" s="39">
        <v>384.05</v>
      </c>
      <c r="AR1605" s="39">
        <v>384.05</v>
      </c>
    </row>
    <row r="1606" spans="1:44" x14ac:dyDescent="0.35">
      <c r="A1606" s="16" t="str">
        <f>TEXT(12,"00")</f>
        <v>12</v>
      </c>
      <c r="B1606" s="19">
        <v>76802</v>
      </c>
      <c r="C1606" s="16" t="str">
        <f t="shared" si="129"/>
        <v>0000000</v>
      </c>
      <c r="D1606" s="17" t="s">
        <v>3663</v>
      </c>
      <c r="E1606" s="16" t="s">
        <v>585</v>
      </c>
      <c r="F1606" s="16" t="s">
        <v>339</v>
      </c>
      <c r="G1606" s="35" t="s">
        <v>586</v>
      </c>
      <c r="H1606" s="39">
        <v>954.2</v>
      </c>
      <c r="I1606" s="39">
        <v>978.94</v>
      </c>
      <c r="J1606" s="39">
        <v>1009.53</v>
      </c>
      <c r="K1606" s="39">
        <v>0</v>
      </c>
      <c r="L1606" s="39">
        <v>0</v>
      </c>
      <c r="M1606" s="39">
        <v>0</v>
      </c>
      <c r="N1606" s="39">
        <v>0</v>
      </c>
      <c r="O1606" s="39">
        <v>0</v>
      </c>
      <c r="P1606" s="39">
        <v>0</v>
      </c>
      <c r="Q1606" s="39">
        <v>0</v>
      </c>
      <c r="R1606" s="39">
        <v>0</v>
      </c>
      <c r="S1606" s="39">
        <v>0</v>
      </c>
      <c r="T1606" s="39">
        <v>0</v>
      </c>
      <c r="U1606" s="39">
        <v>0</v>
      </c>
      <c r="V1606" s="39">
        <v>0</v>
      </c>
      <c r="W1606" s="39">
        <v>0</v>
      </c>
      <c r="X1606" s="39">
        <v>0</v>
      </c>
      <c r="Y1606" s="39">
        <v>0</v>
      </c>
      <c r="Z1606" s="39">
        <v>0</v>
      </c>
      <c r="AA1606" s="39">
        <v>0</v>
      </c>
      <c r="AB1606" s="39">
        <v>0</v>
      </c>
      <c r="AC1606" s="39">
        <v>233.37</v>
      </c>
      <c r="AD1606" s="39">
        <v>228.52</v>
      </c>
      <c r="AE1606" s="39">
        <v>219.28</v>
      </c>
      <c r="AF1606" s="39">
        <v>0</v>
      </c>
      <c r="AG1606" s="39">
        <v>0</v>
      </c>
      <c r="AH1606" s="39">
        <v>0</v>
      </c>
      <c r="AI1606" s="39">
        <v>1187.57</v>
      </c>
      <c r="AJ1606" s="39">
        <v>1207.46</v>
      </c>
      <c r="AK1606" s="39">
        <v>1228.81</v>
      </c>
      <c r="AL1606" s="39">
        <v>0</v>
      </c>
      <c r="AM1606" s="39">
        <v>0</v>
      </c>
      <c r="AN1606" s="39">
        <v>0</v>
      </c>
      <c r="AO1606" s="39">
        <v>1187.57</v>
      </c>
      <c r="AP1606" s="39">
        <v>1207.46</v>
      </c>
      <c r="AQ1606" s="39">
        <v>1228.81</v>
      </c>
      <c r="AR1606" s="39">
        <v>1228.81</v>
      </c>
    </row>
    <row r="1607" spans="1:44" x14ac:dyDescent="0.35">
      <c r="A1607" s="16" t="str">
        <f>TEXT(12,"00")</f>
        <v>12</v>
      </c>
      <c r="B1607" s="19">
        <v>10124</v>
      </c>
      <c r="C1607" s="16" t="str">
        <f>TEXT(137364,"0000000")</f>
        <v>0137364</v>
      </c>
      <c r="D1607" s="19">
        <v>1957</v>
      </c>
      <c r="E1607" s="16" t="s">
        <v>520</v>
      </c>
      <c r="F1607" s="16" t="s">
        <v>339</v>
      </c>
      <c r="G1607" s="35" t="s">
        <v>521</v>
      </c>
      <c r="H1607" s="39">
        <v>0</v>
      </c>
      <c r="I1607" s="39">
        <v>0</v>
      </c>
      <c r="J1607" s="39">
        <v>0</v>
      </c>
      <c r="K1607" s="39">
        <v>0</v>
      </c>
      <c r="L1607" s="39">
        <v>0</v>
      </c>
      <c r="M1607" s="39">
        <v>0</v>
      </c>
      <c r="N1607" s="39">
        <v>0</v>
      </c>
      <c r="O1607" s="39">
        <v>0</v>
      </c>
      <c r="P1607" s="39">
        <v>0</v>
      </c>
      <c r="Q1607" s="39">
        <v>0</v>
      </c>
      <c r="R1607" s="39">
        <v>0</v>
      </c>
      <c r="S1607" s="39">
        <v>0</v>
      </c>
      <c r="T1607" s="39">
        <v>0</v>
      </c>
      <c r="U1607" s="39">
        <v>0</v>
      </c>
      <c r="V1607" s="39">
        <v>0</v>
      </c>
      <c r="W1607" s="39">
        <v>0</v>
      </c>
      <c r="X1607" s="39">
        <v>0</v>
      </c>
      <c r="Y1607" s="39">
        <v>0</v>
      </c>
      <c r="Z1607" s="39">
        <v>324.83999999999997</v>
      </c>
      <c r="AA1607" s="39">
        <v>308.63</v>
      </c>
      <c r="AB1607" s="39">
        <v>302.95</v>
      </c>
      <c r="AC1607" s="39">
        <v>0</v>
      </c>
      <c r="AD1607" s="39">
        <v>0</v>
      </c>
      <c r="AE1607" s="39">
        <v>0</v>
      </c>
      <c r="AF1607" s="39">
        <v>0</v>
      </c>
      <c r="AG1607" s="39">
        <v>0</v>
      </c>
      <c r="AH1607" s="39">
        <v>0</v>
      </c>
      <c r="AI1607" s="39">
        <v>324.83999999999997</v>
      </c>
      <c r="AJ1607" s="39">
        <v>308.63</v>
      </c>
      <c r="AK1607" s="39">
        <v>302.95</v>
      </c>
      <c r="AL1607" s="39">
        <v>0</v>
      </c>
      <c r="AM1607" s="39">
        <v>0</v>
      </c>
      <c r="AN1607" s="39">
        <v>0</v>
      </c>
      <c r="AO1607" s="39">
        <v>324.83999999999997</v>
      </c>
      <c r="AP1607" s="39">
        <v>308.63</v>
      </c>
      <c r="AQ1607" s="39">
        <v>302.95</v>
      </c>
      <c r="AR1607" s="39">
        <v>324.83999999999997</v>
      </c>
    </row>
    <row r="1608" spans="1:44" x14ac:dyDescent="0.35">
      <c r="A1608" s="16" t="str">
        <f>TEXT(12,"00")</f>
        <v>12</v>
      </c>
      <c r="B1608" s="19">
        <v>75515</v>
      </c>
      <c r="C1608" s="16" t="str">
        <f>TEXT(1230150,"0000000")</f>
        <v>1230150</v>
      </c>
      <c r="D1608" s="19">
        <v>1884</v>
      </c>
      <c r="E1608" s="16" t="s">
        <v>583</v>
      </c>
      <c r="F1608" s="16" t="s">
        <v>339</v>
      </c>
      <c r="G1608" s="35" t="s">
        <v>584</v>
      </c>
      <c r="H1608" s="39">
        <v>0</v>
      </c>
      <c r="I1608" s="39">
        <v>0</v>
      </c>
      <c r="J1608" s="39">
        <v>0</v>
      </c>
      <c r="K1608" s="39">
        <v>0</v>
      </c>
      <c r="L1608" s="39">
        <v>0</v>
      </c>
      <c r="M1608" s="39">
        <v>0</v>
      </c>
      <c r="N1608" s="39">
        <v>0</v>
      </c>
      <c r="O1608" s="39">
        <v>0</v>
      </c>
      <c r="P1608" s="39">
        <v>0</v>
      </c>
      <c r="Q1608" s="39">
        <v>0</v>
      </c>
      <c r="R1608" s="39">
        <v>0</v>
      </c>
      <c r="S1608" s="39">
        <v>0</v>
      </c>
      <c r="T1608" s="39">
        <v>0</v>
      </c>
      <c r="U1608" s="39">
        <v>0</v>
      </c>
      <c r="V1608" s="39">
        <v>0</v>
      </c>
      <c r="W1608" s="39">
        <v>0</v>
      </c>
      <c r="X1608" s="39">
        <v>0</v>
      </c>
      <c r="Y1608" s="39">
        <v>0</v>
      </c>
      <c r="Z1608" s="39">
        <v>0</v>
      </c>
      <c r="AA1608" s="39">
        <v>0</v>
      </c>
      <c r="AB1608" s="39">
        <v>0</v>
      </c>
      <c r="AC1608" s="39">
        <v>152.46</v>
      </c>
      <c r="AD1608" s="39">
        <v>149.11000000000001</v>
      </c>
      <c r="AE1608" s="39">
        <v>141.16</v>
      </c>
      <c r="AF1608" s="39">
        <v>0</v>
      </c>
      <c r="AG1608" s="39">
        <v>0</v>
      </c>
      <c r="AH1608" s="39">
        <v>0</v>
      </c>
      <c r="AI1608" s="39">
        <v>152.46</v>
      </c>
      <c r="AJ1608" s="39">
        <v>149.11000000000001</v>
      </c>
      <c r="AK1608" s="39">
        <v>141.16</v>
      </c>
      <c r="AL1608" s="39">
        <v>0</v>
      </c>
      <c r="AM1608" s="39">
        <v>0</v>
      </c>
      <c r="AN1608" s="39">
        <v>0</v>
      </c>
      <c r="AO1608" s="39">
        <v>152.46</v>
      </c>
      <c r="AP1608" s="39">
        <v>149.11000000000001</v>
      </c>
      <c r="AQ1608" s="39">
        <v>141.16</v>
      </c>
      <c r="AR1608" s="39">
        <v>152.46</v>
      </c>
    </row>
    <row r="1609" spans="1:44" x14ac:dyDescent="0.35">
      <c r="A1609" s="16" t="str">
        <f t="shared" ref="A1609:A1629" si="131">TEXT(24,"00")</f>
        <v>24</v>
      </c>
      <c r="B1609" s="19">
        <v>10249</v>
      </c>
      <c r="C1609" s="16" t="str">
        <f t="shared" ref="C1609:C1640" si="132">TEXT(,"0000000")</f>
        <v>0000000</v>
      </c>
      <c r="D1609" s="17" t="s">
        <v>3663</v>
      </c>
      <c r="E1609" s="16" t="s">
        <v>1323</v>
      </c>
      <c r="F1609" s="16" t="s">
        <v>1324</v>
      </c>
      <c r="G1609" s="35" t="s">
        <v>1324</v>
      </c>
      <c r="H1609" s="39">
        <v>0</v>
      </c>
      <c r="I1609" s="39">
        <v>0</v>
      </c>
      <c r="J1609" s="39">
        <v>0</v>
      </c>
      <c r="K1609" s="39">
        <v>0</v>
      </c>
      <c r="L1609" s="39">
        <v>0</v>
      </c>
      <c r="M1609" s="39">
        <v>0</v>
      </c>
      <c r="N1609" s="39">
        <v>0</v>
      </c>
      <c r="O1609" s="39">
        <v>0</v>
      </c>
      <c r="P1609" s="39">
        <v>0</v>
      </c>
      <c r="Q1609" s="39">
        <v>0</v>
      </c>
      <c r="R1609" s="39">
        <v>0</v>
      </c>
      <c r="S1609" s="39">
        <v>0</v>
      </c>
      <c r="T1609" s="39">
        <v>277.55</v>
      </c>
      <c r="U1609" s="39">
        <v>286.64</v>
      </c>
      <c r="V1609" s="39">
        <v>257.57</v>
      </c>
      <c r="W1609" s="39">
        <v>1007.66</v>
      </c>
      <c r="X1609" s="39">
        <v>1036.78</v>
      </c>
      <c r="Y1609" s="39">
        <v>898</v>
      </c>
      <c r="Z1609" s="39">
        <v>418.09</v>
      </c>
      <c r="AA1609" s="39">
        <v>384.93</v>
      </c>
      <c r="AB1609" s="39">
        <v>337.11</v>
      </c>
      <c r="AC1609" s="39">
        <v>0</v>
      </c>
      <c r="AD1609" s="39">
        <v>0</v>
      </c>
      <c r="AE1609" s="39">
        <v>0</v>
      </c>
      <c r="AF1609" s="39">
        <v>0</v>
      </c>
      <c r="AG1609" s="39">
        <v>0</v>
      </c>
      <c r="AH1609" s="39">
        <v>0</v>
      </c>
      <c r="AI1609" s="39">
        <v>1703.3</v>
      </c>
      <c r="AJ1609" s="39">
        <v>1708.35</v>
      </c>
      <c r="AK1609" s="39">
        <v>1492.68</v>
      </c>
      <c r="AL1609" s="39">
        <v>0</v>
      </c>
      <c r="AM1609" s="39">
        <v>0</v>
      </c>
      <c r="AN1609" s="39">
        <v>0</v>
      </c>
      <c r="AO1609" s="39">
        <v>1703.3</v>
      </c>
      <c r="AP1609" s="39">
        <v>1708.35</v>
      </c>
      <c r="AQ1609" s="39">
        <v>1492.68</v>
      </c>
      <c r="AR1609" s="39">
        <v>1708.35</v>
      </c>
    </row>
    <row r="1610" spans="1:44" x14ac:dyDescent="0.35">
      <c r="A1610" s="16" t="str">
        <f t="shared" si="131"/>
        <v>24</v>
      </c>
      <c r="B1610" s="19">
        <v>65631</v>
      </c>
      <c r="C1610" s="16" t="str">
        <f t="shared" si="132"/>
        <v>0000000</v>
      </c>
      <c r="D1610" s="17" t="s">
        <v>3663</v>
      </c>
      <c r="E1610" s="16" t="s">
        <v>1325</v>
      </c>
      <c r="F1610" s="16" t="s">
        <v>1324</v>
      </c>
      <c r="G1610" s="35" t="s">
        <v>1326</v>
      </c>
      <c r="H1610" s="39">
        <v>4664.33</v>
      </c>
      <c r="I1610" s="39">
        <v>4671.47</v>
      </c>
      <c r="J1610" s="39">
        <v>4621.75</v>
      </c>
      <c r="K1610" s="39">
        <v>0</v>
      </c>
      <c r="L1610" s="39">
        <v>0</v>
      </c>
      <c r="M1610" s="39">
        <v>0</v>
      </c>
      <c r="N1610" s="39">
        <v>0</v>
      </c>
      <c r="O1610" s="39">
        <v>0</v>
      </c>
      <c r="P1610" s="39">
        <v>0</v>
      </c>
      <c r="Q1610" s="39">
        <v>0</v>
      </c>
      <c r="R1610" s="39">
        <v>0</v>
      </c>
      <c r="S1610" s="39">
        <v>0</v>
      </c>
      <c r="T1610" s="39">
        <v>0</v>
      </c>
      <c r="U1610" s="39">
        <v>0</v>
      </c>
      <c r="V1610" s="39">
        <v>0</v>
      </c>
      <c r="W1610" s="39">
        <v>0</v>
      </c>
      <c r="X1610" s="39">
        <v>0</v>
      </c>
      <c r="Y1610" s="39">
        <v>0</v>
      </c>
      <c r="Z1610" s="39">
        <v>0</v>
      </c>
      <c r="AA1610" s="39">
        <v>0</v>
      </c>
      <c r="AB1610" s="39">
        <v>0</v>
      </c>
      <c r="AC1610" s="39">
        <v>0</v>
      </c>
      <c r="AD1610" s="39">
        <v>0</v>
      </c>
      <c r="AE1610" s="39">
        <v>0</v>
      </c>
      <c r="AF1610" s="39">
        <v>0</v>
      </c>
      <c r="AG1610" s="39">
        <v>0</v>
      </c>
      <c r="AH1610" s="39">
        <v>0</v>
      </c>
      <c r="AI1610" s="39">
        <v>4664.33</v>
      </c>
      <c r="AJ1610" s="39">
        <v>4671.47</v>
      </c>
      <c r="AK1610" s="39">
        <v>4621.75</v>
      </c>
      <c r="AL1610" s="39">
        <v>0</v>
      </c>
      <c r="AM1610" s="39">
        <v>0</v>
      </c>
      <c r="AN1610" s="39">
        <v>0</v>
      </c>
      <c r="AO1610" s="39">
        <v>4664.33</v>
      </c>
      <c r="AP1610" s="39">
        <v>4671.47</v>
      </c>
      <c r="AQ1610" s="39">
        <v>4621.75</v>
      </c>
      <c r="AR1610" s="39">
        <v>4671.47</v>
      </c>
    </row>
    <row r="1611" spans="1:44" x14ac:dyDescent="0.35">
      <c r="A1611" s="16" t="str">
        <f t="shared" si="131"/>
        <v>24</v>
      </c>
      <c r="B1611" s="19">
        <v>65649</v>
      </c>
      <c r="C1611" s="16" t="str">
        <f t="shared" si="132"/>
        <v>0000000</v>
      </c>
      <c r="D1611" s="17" t="s">
        <v>3663</v>
      </c>
      <c r="E1611" s="16" t="s">
        <v>1327</v>
      </c>
      <c r="F1611" s="16" t="s">
        <v>1324</v>
      </c>
      <c r="G1611" s="35" t="s">
        <v>1328</v>
      </c>
      <c r="H1611" s="39">
        <v>41.51</v>
      </c>
      <c r="I1611" s="39">
        <v>51.24</v>
      </c>
      <c r="J1611" s="39">
        <v>39.35</v>
      </c>
      <c r="K1611" s="39">
        <v>0</v>
      </c>
      <c r="L1611" s="39">
        <v>0</v>
      </c>
      <c r="M1611" s="39">
        <v>0</v>
      </c>
      <c r="N1611" s="39">
        <v>0</v>
      </c>
      <c r="O1611" s="39">
        <v>0</v>
      </c>
      <c r="P1611" s="39">
        <v>0</v>
      </c>
      <c r="Q1611" s="39">
        <v>0</v>
      </c>
      <c r="R1611" s="39">
        <v>0</v>
      </c>
      <c r="S1611" s="39">
        <v>0</v>
      </c>
      <c r="T1611" s="39">
        <v>0</v>
      </c>
      <c r="U1611" s="39">
        <v>0</v>
      </c>
      <c r="V1611" s="39">
        <v>0</v>
      </c>
      <c r="W1611" s="39">
        <v>0</v>
      </c>
      <c r="X1611" s="39">
        <v>0</v>
      </c>
      <c r="Y1611" s="39">
        <v>0</v>
      </c>
      <c r="Z1611" s="39">
        <v>0</v>
      </c>
      <c r="AA1611" s="39">
        <v>0</v>
      </c>
      <c r="AB1611" s="39">
        <v>0</v>
      </c>
      <c r="AC1611" s="39">
        <v>280.2</v>
      </c>
      <c r="AD1611" s="39">
        <v>288.27999999999997</v>
      </c>
      <c r="AE1611" s="39">
        <v>302.14</v>
      </c>
      <c r="AF1611" s="39">
        <v>0</v>
      </c>
      <c r="AG1611" s="39">
        <v>0</v>
      </c>
      <c r="AH1611" s="39">
        <v>0</v>
      </c>
      <c r="AI1611" s="39">
        <v>321.70999999999998</v>
      </c>
      <c r="AJ1611" s="39">
        <v>339.52</v>
      </c>
      <c r="AK1611" s="39">
        <v>341.49</v>
      </c>
      <c r="AL1611" s="39">
        <v>0</v>
      </c>
      <c r="AM1611" s="39">
        <v>0</v>
      </c>
      <c r="AN1611" s="39">
        <v>0</v>
      </c>
      <c r="AO1611" s="39">
        <v>321.70999999999998</v>
      </c>
      <c r="AP1611" s="39">
        <v>339.52</v>
      </c>
      <c r="AQ1611" s="39">
        <v>341.49</v>
      </c>
      <c r="AR1611" s="39">
        <v>341.49</v>
      </c>
    </row>
    <row r="1612" spans="1:44" x14ac:dyDescent="0.35">
      <c r="A1612" s="16" t="str">
        <f t="shared" si="131"/>
        <v>24</v>
      </c>
      <c r="B1612" s="19">
        <v>65680</v>
      </c>
      <c r="C1612" s="16" t="str">
        <f t="shared" si="132"/>
        <v>0000000</v>
      </c>
      <c r="D1612" s="17" t="s">
        <v>3663</v>
      </c>
      <c r="E1612" s="16" t="s">
        <v>1329</v>
      </c>
      <c r="F1612" s="16" t="s">
        <v>1324</v>
      </c>
      <c r="G1612" s="35" t="s">
        <v>1330</v>
      </c>
      <c r="H1612" s="39">
        <v>152.55000000000001</v>
      </c>
      <c r="I1612" s="39">
        <v>144.02000000000001</v>
      </c>
      <c r="J1612" s="39">
        <v>138.63999999999999</v>
      </c>
      <c r="K1612" s="39">
        <v>0</v>
      </c>
      <c r="L1612" s="39">
        <v>0</v>
      </c>
      <c r="M1612" s="39">
        <v>0</v>
      </c>
      <c r="N1612" s="39">
        <v>0</v>
      </c>
      <c r="O1612" s="39">
        <v>0</v>
      </c>
      <c r="P1612" s="39">
        <v>0</v>
      </c>
      <c r="Q1612" s="39">
        <v>0</v>
      </c>
      <c r="R1612" s="39">
        <v>0</v>
      </c>
      <c r="S1612" s="39">
        <v>0</v>
      </c>
      <c r="T1612" s="39">
        <v>0</v>
      </c>
      <c r="U1612" s="39">
        <v>0</v>
      </c>
      <c r="V1612" s="39">
        <v>0</v>
      </c>
      <c r="W1612" s="39">
        <v>0</v>
      </c>
      <c r="X1612" s="39">
        <v>0</v>
      </c>
      <c r="Y1612" s="39">
        <v>0</v>
      </c>
      <c r="Z1612" s="39">
        <v>0</v>
      </c>
      <c r="AA1612" s="39">
        <v>0</v>
      </c>
      <c r="AB1612" s="39">
        <v>0</v>
      </c>
      <c r="AC1612" s="39">
        <v>0</v>
      </c>
      <c r="AD1612" s="39">
        <v>0</v>
      </c>
      <c r="AE1612" s="39">
        <v>0</v>
      </c>
      <c r="AF1612" s="39">
        <v>0</v>
      </c>
      <c r="AG1612" s="39">
        <v>0</v>
      </c>
      <c r="AH1612" s="39">
        <v>0</v>
      </c>
      <c r="AI1612" s="39">
        <v>152.55000000000001</v>
      </c>
      <c r="AJ1612" s="39">
        <v>144.02000000000001</v>
      </c>
      <c r="AK1612" s="39">
        <v>138.63999999999999</v>
      </c>
      <c r="AL1612" s="39">
        <v>0</v>
      </c>
      <c r="AM1612" s="39">
        <v>0</v>
      </c>
      <c r="AN1612" s="39">
        <v>0</v>
      </c>
      <c r="AO1612" s="39">
        <v>152.55000000000001</v>
      </c>
      <c r="AP1612" s="39">
        <v>144.02000000000001</v>
      </c>
      <c r="AQ1612" s="39">
        <v>138.63999999999999</v>
      </c>
      <c r="AR1612" s="39">
        <v>152.55000000000001</v>
      </c>
    </row>
    <row r="1613" spans="1:44" x14ac:dyDescent="0.35">
      <c r="A1613" s="16" t="str">
        <f t="shared" si="131"/>
        <v>24</v>
      </c>
      <c r="B1613" s="19">
        <v>73619</v>
      </c>
      <c r="C1613" s="16" t="str">
        <f t="shared" si="132"/>
        <v>0000000</v>
      </c>
      <c r="D1613" s="17" t="s">
        <v>3663</v>
      </c>
      <c r="E1613" s="16" t="s">
        <v>1357</v>
      </c>
      <c r="F1613" s="16" t="s">
        <v>1324</v>
      </c>
      <c r="G1613" s="35" t="s">
        <v>1358</v>
      </c>
      <c r="H1613" s="39">
        <v>1499.59</v>
      </c>
      <c r="I1613" s="39">
        <v>1549.46</v>
      </c>
      <c r="J1613" s="39">
        <v>1587.56</v>
      </c>
      <c r="K1613" s="39">
        <v>0</v>
      </c>
      <c r="L1613" s="39">
        <v>0</v>
      </c>
      <c r="M1613" s="39">
        <v>0</v>
      </c>
      <c r="N1613" s="39">
        <v>0</v>
      </c>
      <c r="O1613" s="39">
        <v>0</v>
      </c>
      <c r="P1613" s="39">
        <v>0</v>
      </c>
      <c r="Q1613" s="39">
        <v>0</v>
      </c>
      <c r="R1613" s="39">
        <v>0</v>
      </c>
      <c r="S1613" s="39">
        <v>0</v>
      </c>
      <c r="T1613" s="39">
        <v>0</v>
      </c>
      <c r="U1613" s="39">
        <v>0</v>
      </c>
      <c r="V1613" s="39">
        <v>0</v>
      </c>
      <c r="W1613" s="39">
        <v>0</v>
      </c>
      <c r="X1613" s="39">
        <v>0</v>
      </c>
      <c r="Y1613" s="39">
        <v>0</v>
      </c>
      <c r="Z1613" s="39">
        <v>0</v>
      </c>
      <c r="AA1613" s="39">
        <v>0</v>
      </c>
      <c r="AB1613" s="39">
        <v>0</v>
      </c>
      <c r="AC1613" s="39">
        <v>0</v>
      </c>
      <c r="AD1613" s="39">
        <v>0</v>
      </c>
      <c r="AE1613" s="39">
        <v>0</v>
      </c>
      <c r="AF1613" s="39">
        <v>0</v>
      </c>
      <c r="AG1613" s="39">
        <v>0</v>
      </c>
      <c r="AH1613" s="39">
        <v>0</v>
      </c>
      <c r="AI1613" s="39">
        <v>1499.59</v>
      </c>
      <c r="AJ1613" s="39">
        <v>1549.46</v>
      </c>
      <c r="AK1613" s="39">
        <v>1587.56</v>
      </c>
      <c r="AL1613" s="39">
        <v>0</v>
      </c>
      <c r="AM1613" s="39">
        <v>0</v>
      </c>
      <c r="AN1613" s="39">
        <v>0</v>
      </c>
      <c r="AO1613" s="39">
        <v>1499.59</v>
      </c>
      <c r="AP1613" s="39">
        <v>1549.46</v>
      </c>
      <c r="AQ1613" s="39">
        <v>1587.56</v>
      </c>
      <c r="AR1613" s="39">
        <v>1587.56</v>
      </c>
    </row>
    <row r="1614" spans="1:44" x14ac:dyDescent="0.35">
      <c r="A1614" s="16" t="str">
        <f t="shared" si="131"/>
        <v>24</v>
      </c>
      <c r="B1614" s="19">
        <v>65698</v>
      </c>
      <c r="C1614" s="16" t="str">
        <f t="shared" si="132"/>
        <v>0000000</v>
      </c>
      <c r="D1614" s="17" t="s">
        <v>3663</v>
      </c>
      <c r="E1614" s="16" t="s">
        <v>1331</v>
      </c>
      <c r="F1614" s="16" t="s">
        <v>1324</v>
      </c>
      <c r="G1614" s="35" t="s">
        <v>1332</v>
      </c>
      <c r="H1614" s="39">
        <v>2171.65</v>
      </c>
      <c r="I1614" s="39">
        <v>2169.0700000000002</v>
      </c>
      <c r="J1614" s="39">
        <v>2168.9</v>
      </c>
      <c r="K1614" s="39">
        <v>0</v>
      </c>
      <c r="L1614" s="39">
        <v>0</v>
      </c>
      <c r="M1614" s="39">
        <v>0</v>
      </c>
      <c r="N1614" s="39">
        <v>0</v>
      </c>
      <c r="O1614" s="39">
        <v>0</v>
      </c>
      <c r="P1614" s="39">
        <v>0</v>
      </c>
      <c r="Q1614" s="39">
        <v>0</v>
      </c>
      <c r="R1614" s="39">
        <v>0</v>
      </c>
      <c r="S1614" s="39">
        <v>0</v>
      </c>
      <c r="T1614" s="39">
        <v>0</v>
      </c>
      <c r="U1614" s="39">
        <v>0</v>
      </c>
      <c r="V1614" s="39">
        <v>0</v>
      </c>
      <c r="W1614" s="39">
        <v>0</v>
      </c>
      <c r="X1614" s="39">
        <v>0</v>
      </c>
      <c r="Y1614" s="39">
        <v>0</v>
      </c>
      <c r="Z1614" s="39">
        <v>0</v>
      </c>
      <c r="AA1614" s="39">
        <v>0</v>
      </c>
      <c r="AB1614" s="39">
        <v>0</v>
      </c>
      <c r="AC1614" s="39">
        <v>0</v>
      </c>
      <c r="AD1614" s="39">
        <v>0</v>
      </c>
      <c r="AE1614" s="39">
        <v>0</v>
      </c>
      <c r="AF1614" s="39">
        <v>0</v>
      </c>
      <c r="AG1614" s="39">
        <v>0</v>
      </c>
      <c r="AH1614" s="39">
        <v>0</v>
      </c>
      <c r="AI1614" s="39">
        <v>2171.65</v>
      </c>
      <c r="AJ1614" s="39">
        <v>2169.0700000000002</v>
      </c>
      <c r="AK1614" s="39">
        <v>2168.9</v>
      </c>
      <c r="AL1614" s="39">
        <v>0</v>
      </c>
      <c r="AM1614" s="39">
        <v>0</v>
      </c>
      <c r="AN1614" s="39">
        <v>0</v>
      </c>
      <c r="AO1614" s="39">
        <v>2171.65</v>
      </c>
      <c r="AP1614" s="39">
        <v>2169.0700000000002</v>
      </c>
      <c r="AQ1614" s="39">
        <v>2168.9</v>
      </c>
      <c r="AR1614" s="39">
        <v>2171.65</v>
      </c>
    </row>
    <row r="1615" spans="1:44" x14ac:dyDescent="0.35">
      <c r="A1615" s="16" t="str">
        <f t="shared" si="131"/>
        <v>24</v>
      </c>
      <c r="B1615" s="19">
        <v>65722</v>
      </c>
      <c r="C1615" s="16" t="str">
        <f t="shared" si="132"/>
        <v>0000000</v>
      </c>
      <c r="D1615" s="17" t="s">
        <v>3663</v>
      </c>
      <c r="E1615" s="16" t="s">
        <v>1333</v>
      </c>
      <c r="F1615" s="16" t="s">
        <v>1324</v>
      </c>
      <c r="G1615" s="35" t="s">
        <v>1334</v>
      </c>
      <c r="H1615" s="39">
        <v>326.77999999999997</v>
      </c>
      <c r="I1615" s="39">
        <v>312.5</v>
      </c>
      <c r="J1615" s="39">
        <v>314.47000000000003</v>
      </c>
      <c r="K1615" s="39">
        <v>0</v>
      </c>
      <c r="L1615" s="39">
        <v>0</v>
      </c>
      <c r="M1615" s="39">
        <v>0</v>
      </c>
      <c r="N1615" s="39">
        <v>0</v>
      </c>
      <c r="O1615" s="39">
        <v>0</v>
      </c>
      <c r="P1615" s="39">
        <v>0</v>
      </c>
      <c r="Q1615" s="39">
        <v>0</v>
      </c>
      <c r="R1615" s="39">
        <v>0</v>
      </c>
      <c r="S1615" s="39">
        <v>0</v>
      </c>
      <c r="T1615" s="39">
        <v>0</v>
      </c>
      <c r="U1615" s="39">
        <v>0</v>
      </c>
      <c r="V1615" s="39">
        <v>0</v>
      </c>
      <c r="W1615" s="39">
        <v>0</v>
      </c>
      <c r="X1615" s="39">
        <v>0</v>
      </c>
      <c r="Y1615" s="39">
        <v>0</v>
      </c>
      <c r="Z1615" s="39">
        <v>0</v>
      </c>
      <c r="AA1615" s="39">
        <v>0</v>
      </c>
      <c r="AB1615" s="39">
        <v>0</v>
      </c>
      <c r="AC1615" s="39">
        <v>0</v>
      </c>
      <c r="AD1615" s="39">
        <v>0</v>
      </c>
      <c r="AE1615" s="39">
        <v>0</v>
      </c>
      <c r="AF1615" s="39">
        <v>0</v>
      </c>
      <c r="AG1615" s="39">
        <v>0</v>
      </c>
      <c r="AH1615" s="39">
        <v>0</v>
      </c>
      <c r="AI1615" s="39">
        <v>326.77999999999997</v>
      </c>
      <c r="AJ1615" s="39">
        <v>312.5</v>
      </c>
      <c r="AK1615" s="39">
        <v>314.47000000000003</v>
      </c>
      <c r="AL1615" s="39">
        <v>0</v>
      </c>
      <c r="AM1615" s="39">
        <v>0</v>
      </c>
      <c r="AN1615" s="39">
        <v>0</v>
      </c>
      <c r="AO1615" s="39">
        <v>326.77999999999997</v>
      </c>
      <c r="AP1615" s="39">
        <v>312.5</v>
      </c>
      <c r="AQ1615" s="39">
        <v>314.47000000000003</v>
      </c>
      <c r="AR1615" s="39">
        <v>326.77999999999997</v>
      </c>
    </row>
    <row r="1616" spans="1:44" x14ac:dyDescent="0.35">
      <c r="A1616" s="16" t="str">
        <f t="shared" si="131"/>
        <v>24</v>
      </c>
      <c r="B1616" s="19">
        <v>65748</v>
      </c>
      <c r="C1616" s="16" t="str">
        <f t="shared" si="132"/>
        <v>0000000</v>
      </c>
      <c r="D1616" s="17" t="s">
        <v>3663</v>
      </c>
      <c r="E1616" s="16" t="s">
        <v>1337</v>
      </c>
      <c r="F1616" s="16" t="s">
        <v>1324</v>
      </c>
      <c r="G1616" s="35" t="s">
        <v>1338</v>
      </c>
      <c r="H1616" s="39">
        <v>2405.0300000000002</v>
      </c>
      <c r="I1616" s="39">
        <v>2425.9499999999998</v>
      </c>
      <c r="J1616" s="39">
        <v>2354.27</v>
      </c>
      <c r="K1616" s="39">
        <v>0</v>
      </c>
      <c r="L1616" s="39">
        <v>0</v>
      </c>
      <c r="M1616" s="39">
        <v>0</v>
      </c>
      <c r="N1616" s="39">
        <v>0</v>
      </c>
      <c r="O1616" s="39">
        <v>0</v>
      </c>
      <c r="P1616" s="39">
        <v>0</v>
      </c>
      <c r="Q1616" s="39">
        <v>0</v>
      </c>
      <c r="R1616" s="39">
        <v>0</v>
      </c>
      <c r="S1616" s="39">
        <v>0</v>
      </c>
      <c r="T1616" s="39">
        <v>0</v>
      </c>
      <c r="U1616" s="39">
        <v>0</v>
      </c>
      <c r="V1616" s="39">
        <v>0</v>
      </c>
      <c r="W1616" s="39">
        <v>0</v>
      </c>
      <c r="X1616" s="39">
        <v>0</v>
      </c>
      <c r="Y1616" s="39">
        <v>0</v>
      </c>
      <c r="Z1616" s="39">
        <v>0</v>
      </c>
      <c r="AA1616" s="39">
        <v>0</v>
      </c>
      <c r="AB1616" s="39">
        <v>0</v>
      </c>
      <c r="AC1616" s="39">
        <v>0</v>
      </c>
      <c r="AD1616" s="39">
        <v>0</v>
      </c>
      <c r="AE1616" s="39">
        <v>0</v>
      </c>
      <c r="AF1616" s="39">
        <v>0</v>
      </c>
      <c r="AG1616" s="39">
        <v>0</v>
      </c>
      <c r="AH1616" s="39">
        <v>0</v>
      </c>
      <c r="AI1616" s="39">
        <v>2405.0300000000002</v>
      </c>
      <c r="AJ1616" s="39">
        <v>2425.9499999999998</v>
      </c>
      <c r="AK1616" s="39">
        <v>2354.27</v>
      </c>
      <c r="AL1616" s="39">
        <v>0</v>
      </c>
      <c r="AM1616" s="39">
        <v>0</v>
      </c>
      <c r="AN1616" s="39">
        <v>0</v>
      </c>
      <c r="AO1616" s="39">
        <v>2405.0300000000002</v>
      </c>
      <c r="AP1616" s="39">
        <v>2425.9499999999998</v>
      </c>
      <c r="AQ1616" s="39">
        <v>2354.27</v>
      </c>
      <c r="AR1616" s="39">
        <v>2425.9499999999998</v>
      </c>
    </row>
    <row r="1617" spans="1:44" x14ac:dyDescent="0.35">
      <c r="A1617" s="16" t="str">
        <f t="shared" si="131"/>
        <v>24</v>
      </c>
      <c r="B1617" s="19">
        <v>65755</v>
      </c>
      <c r="C1617" s="16" t="str">
        <f t="shared" si="132"/>
        <v>0000000</v>
      </c>
      <c r="D1617" s="17" t="s">
        <v>3663</v>
      </c>
      <c r="E1617" s="16" t="s">
        <v>1339</v>
      </c>
      <c r="F1617" s="16" t="s">
        <v>1324</v>
      </c>
      <c r="G1617" s="35" t="s">
        <v>1340</v>
      </c>
      <c r="H1617" s="39">
        <v>10208.209999999999</v>
      </c>
      <c r="I1617" s="39">
        <v>10231.17</v>
      </c>
      <c r="J1617" s="39">
        <v>10043.48</v>
      </c>
      <c r="K1617" s="39">
        <v>0</v>
      </c>
      <c r="L1617" s="39">
        <v>0</v>
      </c>
      <c r="M1617" s="39">
        <v>0</v>
      </c>
      <c r="N1617" s="39">
        <v>0</v>
      </c>
      <c r="O1617" s="39">
        <v>0</v>
      </c>
      <c r="P1617" s="39">
        <v>0</v>
      </c>
      <c r="Q1617" s="39">
        <v>0</v>
      </c>
      <c r="R1617" s="39">
        <v>0</v>
      </c>
      <c r="S1617" s="39">
        <v>0</v>
      </c>
      <c r="T1617" s="39">
        <v>0</v>
      </c>
      <c r="U1617" s="39">
        <v>0</v>
      </c>
      <c r="V1617" s="39">
        <v>0</v>
      </c>
      <c r="W1617" s="39">
        <v>0</v>
      </c>
      <c r="X1617" s="39">
        <v>0</v>
      </c>
      <c r="Y1617" s="39">
        <v>0</v>
      </c>
      <c r="Z1617" s="39">
        <v>0</v>
      </c>
      <c r="AA1617" s="39">
        <v>0</v>
      </c>
      <c r="AB1617" s="39">
        <v>0</v>
      </c>
      <c r="AC1617" s="39">
        <v>0</v>
      </c>
      <c r="AD1617" s="39">
        <v>0</v>
      </c>
      <c r="AE1617" s="39">
        <v>0</v>
      </c>
      <c r="AF1617" s="39">
        <v>0</v>
      </c>
      <c r="AG1617" s="39">
        <v>0</v>
      </c>
      <c r="AH1617" s="39">
        <v>0</v>
      </c>
      <c r="AI1617" s="39">
        <v>10208.209999999999</v>
      </c>
      <c r="AJ1617" s="39">
        <v>10231.17</v>
      </c>
      <c r="AK1617" s="39">
        <v>10043.48</v>
      </c>
      <c r="AL1617" s="39">
        <v>0</v>
      </c>
      <c r="AM1617" s="39">
        <v>0</v>
      </c>
      <c r="AN1617" s="39">
        <v>0</v>
      </c>
      <c r="AO1617" s="39">
        <v>10208.209999999999</v>
      </c>
      <c r="AP1617" s="39">
        <v>10231.17</v>
      </c>
      <c r="AQ1617" s="39">
        <v>10043.48</v>
      </c>
      <c r="AR1617" s="39">
        <v>10231.17</v>
      </c>
    </row>
    <row r="1618" spans="1:44" x14ac:dyDescent="0.35">
      <c r="A1618" s="16" t="str">
        <f t="shared" si="131"/>
        <v>24</v>
      </c>
      <c r="B1618" s="19">
        <v>65763</v>
      </c>
      <c r="C1618" s="16" t="str">
        <f t="shared" si="132"/>
        <v>0000000</v>
      </c>
      <c r="D1618" s="17" t="s">
        <v>3663</v>
      </c>
      <c r="E1618" s="16" t="s">
        <v>1341</v>
      </c>
      <c r="F1618" s="16" t="s">
        <v>1324</v>
      </c>
      <c r="G1618" s="35" t="s">
        <v>1342</v>
      </c>
      <c r="H1618" s="39">
        <v>877.59</v>
      </c>
      <c r="I1618" s="39">
        <v>878.4</v>
      </c>
      <c r="J1618" s="39">
        <v>836.48</v>
      </c>
      <c r="K1618" s="39">
        <v>0</v>
      </c>
      <c r="L1618" s="39">
        <v>0</v>
      </c>
      <c r="M1618" s="39">
        <v>0</v>
      </c>
      <c r="N1618" s="39">
        <v>0</v>
      </c>
      <c r="O1618" s="39">
        <v>0</v>
      </c>
      <c r="P1618" s="39">
        <v>0</v>
      </c>
      <c r="Q1618" s="39">
        <v>0</v>
      </c>
      <c r="R1618" s="39">
        <v>0</v>
      </c>
      <c r="S1618" s="39">
        <v>0</v>
      </c>
      <c r="T1618" s="39">
        <v>0</v>
      </c>
      <c r="U1618" s="39">
        <v>0</v>
      </c>
      <c r="V1618" s="39">
        <v>0</v>
      </c>
      <c r="W1618" s="39">
        <v>0</v>
      </c>
      <c r="X1618" s="39">
        <v>0</v>
      </c>
      <c r="Y1618" s="39">
        <v>0</v>
      </c>
      <c r="Z1618" s="39">
        <v>0</v>
      </c>
      <c r="AA1618" s="39">
        <v>0</v>
      </c>
      <c r="AB1618" s="39">
        <v>0</v>
      </c>
      <c r="AC1618" s="39">
        <v>0</v>
      </c>
      <c r="AD1618" s="39">
        <v>0</v>
      </c>
      <c r="AE1618" s="39">
        <v>0</v>
      </c>
      <c r="AF1618" s="39">
        <v>0</v>
      </c>
      <c r="AG1618" s="39">
        <v>0</v>
      </c>
      <c r="AH1618" s="39">
        <v>0</v>
      </c>
      <c r="AI1618" s="39">
        <v>877.59</v>
      </c>
      <c r="AJ1618" s="39">
        <v>878.4</v>
      </c>
      <c r="AK1618" s="39">
        <v>836.48</v>
      </c>
      <c r="AL1618" s="39">
        <v>0</v>
      </c>
      <c r="AM1618" s="39">
        <v>0</v>
      </c>
      <c r="AN1618" s="39">
        <v>0</v>
      </c>
      <c r="AO1618" s="39">
        <v>877.59</v>
      </c>
      <c r="AP1618" s="39">
        <v>878.4</v>
      </c>
      <c r="AQ1618" s="39">
        <v>836.48</v>
      </c>
      <c r="AR1618" s="39">
        <v>878.4</v>
      </c>
    </row>
    <row r="1619" spans="1:44" x14ac:dyDescent="0.35">
      <c r="A1619" s="16" t="str">
        <f t="shared" si="131"/>
        <v>24</v>
      </c>
      <c r="B1619" s="19">
        <v>65771</v>
      </c>
      <c r="C1619" s="16" t="str">
        <f t="shared" si="132"/>
        <v>0000000</v>
      </c>
      <c r="D1619" s="17" t="s">
        <v>3663</v>
      </c>
      <c r="E1619" s="16" t="s">
        <v>1343</v>
      </c>
      <c r="F1619" s="16" t="s">
        <v>1324</v>
      </c>
      <c r="G1619" s="35" t="s">
        <v>1344</v>
      </c>
      <c r="H1619" s="39">
        <v>10363.98</v>
      </c>
      <c r="I1619" s="39">
        <v>10282.209999999999</v>
      </c>
      <c r="J1619" s="39">
        <v>10038.66</v>
      </c>
      <c r="K1619" s="39">
        <v>0</v>
      </c>
      <c r="L1619" s="39">
        <v>0</v>
      </c>
      <c r="M1619" s="39">
        <v>0</v>
      </c>
      <c r="N1619" s="39">
        <v>0</v>
      </c>
      <c r="O1619" s="39">
        <v>0</v>
      </c>
      <c r="P1619" s="39">
        <v>0</v>
      </c>
      <c r="Q1619" s="39">
        <v>0</v>
      </c>
      <c r="R1619" s="39">
        <v>0</v>
      </c>
      <c r="S1619" s="39">
        <v>0</v>
      </c>
      <c r="T1619" s="39">
        <v>0</v>
      </c>
      <c r="U1619" s="39">
        <v>0</v>
      </c>
      <c r="V1619" s="39">
        <v>0</v>
      </c>
      <c r="W1619" s="39">
        <v>0</v>
      </c>
      <c r="X1619" s="39">
        <v>0</v>
      </c>
      <c r="Y1619" s="39">
        <v>0</v>
      </c>
      <c r="Z1619" s="39">
        <v>0</v>
      </c>
      <c r="AA1619" s="39">
        <v>0</v>
      </c>
      <c r="AB1619" s="39">
        <v>0</v>
      </c>
      <c r="AC1619" s="39">
        <v>0</v>
      </c>
      <c r="AD1619" s="39">
        <v>0</v>
      </c>
      <c r="AE1619" s="39">
        <v>0</v>
      </c>
      <c r="AF1619" s="39">
        <v>0</v>
      </c>
      <c r="AG1619" s="39">
        <v>0</v>
      </c>
      <c r="AH1619" s="39">
        <v>0</v>
      </c>
      <c r="AI1619" s="39">
        <v>10363.98</v>
      </c>
      <c r="AJ1619" s="39">
        <v>10282.209999999999</v>
      </c>
      <c r="AK1619" s="39">
        <v>10038.66</v>
      </c>
      <c r="AL1619" s="39">
        <v>0</v>
      </c>
      <c r="AM1619" s="39">
        <v>0</v>
      </c>
      <c r="AN1619" s="39">
        <v>0</v>
      </c>
      <c r="AO1619" s="39">
        <v>10363.98</v>
      </c>
      <c r="AP1619" s="39">
        <v>10282.209999999999</v>
      </c>
      <c r="AQ1619" s="39">
        <v>10038.66</v>
      </c>
      <c r="AR1619" s="39">
        <v>10363.98</v>
      </c>
    </row>
    <row r="1620" spans="1:44" x14ac:dyDescent="0.35">
      <c r="A1620" s="16" t="str">
        <f t="shared" si="131"/>
        <v>24</v>
      </c>
      <c r="B1620" s="19">
        <v>65789</v>
      </c>
      <c r="C1620" s="16" t="str">
        <f t="shared" si="132"/>
        <v>0000000</v>
      </c>
      <c r="D1620" s="17" t="s">
        <v>3663</v>
      </c>
      <c r="E1620" s="16" t="s">
        <v>1345</v>
      </c>
      <c r="F1620" s="16" t="s">
        <v>1324</v>
      </c>
      <c r="G1620" s="35" t="s">
        <v>1346</v>
      </c>
      <c r="H1620" s="39">
        <v>10270.89</v>
      </c>
      <c r="I1620" s="39">
        <v>10340.68</v>
      </c>
      <c r="J1620" s="39">
        <v>10316.379999999999</v>
      </c>
      <c r="K1620" s="39">
        <v>0</v>
      </c>
      <c r="L1620" s="39">
        <v>0</v>
      </c>
      <c r="M1620" s="39">
        <v>0</v>
      </c>
      <c r="N1620" s="39">
        <v>0</v>
      </c>
      <c r="O1620" s="39">
        <v>0</v>
      </c>
      <c r="P1620" s="39">
        <v>0</v>
      </c>
      <c r="Q1620" s="39">
        <v>0</v>
      </c>
      <c r="R1620" s="39">
        <v>0</v>
      </c>
      <c r="S1620" s="39">
        <v>0</v>
      </c>
      <c r="T1620" s="39">
        <v>0</v>
      </c>
      <c r="U1620" s="39">
        <v>0</v>
      </c>
      <c r="V1620" s="39">
        <v>0</v>
      </c>
      <c r="W1620" s="39">
        <v>0</v>
      </c>
      <c r="X1620" s="39">
        <v>0</v>
      </c>
      <c r="Y1620" s="39">
        <v>0</v>
      </c>
      <c r="Z1620" s="39">
        <v>0</v>
      </c>
      <c r="AA1620" s="39">
        <v>0</v>
      </c>
      <c r="AB1620" s="39">
        <v>0</v>
      </c>
      <c r="AC1620" s="39">
        <v>0</v>
      </c>
      <c r="AD1620" s="39">
        <v>0</v>
      </c>
      <c r="AE1620" s="39">
        <v>0</v>
      </c>
      <c r="AF1620" s="39">
        <v>0</v>
      </c>
      <c r="AG1620" s="39">
        <v>0</v>
      </c>
      <c r="AH1620" s="39">
        <v>0</v>
      </c>
      <c r="AI1620" s="39">
        <v>10270.89</v>
      </c>
      <c r="AJ1620" s="39">
        <v>10340.68</v>
      </c>
      <c r="AK1620" s="39">
        <v>10316.379999999999</v>
      </c>
      <c r="AL1620" s="39">
        <v>0</v>
      </c>
      <c r="AM1620" s="39">
        <v>0</v>
      </c>
      <c r="AN1620" s="39">
        <v>0</v>
      </c>
      <c r="AO1620" s="39">
        <v>10270.89</v>
      </c>
      <c r="AP1620" s="39">
        <v>10340.68</v>
      </c>
      <c r="AQ1620" s="39">
        <v>10316.379999999999</v>
      </c>
      <c r="AR1620" s="39">
        <v>10340.68</v>
      </c>
    </row>
    <row r="1621" spans="1:44" x14ac:dyDescent="0.35">
      <c r="A1621" s="16" t="str">
        <f t="shared" si="131"/>
        <v>24</v>
      </c>
      <c r="B1621" s="19">
        <v>73726</v>
      </c>
      <c r="C1621" s="16" t="str">
        <f t="shared" si="132"/>
        <v>0000000</v>
      </c>
      <c r="D1621" s="17" t="s">
        <v>3663</v>
      </c>
      <c r="E1621" s="16" t="s">
        <v>1359</v>
      </c>
      <c r="F1621" s="16" t="s">
        <v>1324</v>
      </c>
      <c r="G1621" s="35" t="s">
        <v>1360</v>
      </c>
      <c r="H1621" s="39">
        <v>282.39999999999998</v>
      </c>
      <c r="I1621" s="39">
        <v>265.67</v>
      </c>
      <c r="J1621" s="39">
        <v>263.54000000000002</v>
      </c>
      <c r="K1621" s="39">
        <v>0</v>
      </c>
      <c r="L1621" s="39">
        <v>0</v>
      </c>
      <c r="M1621" s="39">
        <v>0</v>
      </c>
      <c r="N1621" s="39">
        <v>0</v>
      </c>
      <c r="O1621" s="39">
        <v>0</v>
      </c>
      <c r="P1621" s="39">
        <v>0</v>
      </c>
      <c r="Q1621" s="39">
        <v>0</v>
      </c>
      <c r="R1621" s="39">
        <v>0</v>
      </c>
      <c r="S1621" s="39">
        <v>0</v>
      </c>
      <c r="T1621" s="39">
        <v>0</v>
      </c>
      <c r="U1621" s="39">
        <v>0</v>
      </c>
      <c r="V1621" s="39">
        <v>0</v>
      </c>
      <c r="W1621" s="39">
        <v>0</v>
      </c>
      <c r="X1621" s="39">
        <v>0</v>
      </c>
      <c r="Y1621" s="39">
        <v>0</v>
      </c>
      <c r="Z1621" s="39">
        <v>0</v>
      </c>
      <c r="AA1621" s="39">
        <v>0</v>
      </c>
      <c r="AB1621" s="39">
        <v>0</v>
      </c>
      <c r="AC1621" s="39">
        <v>0</v>
      </c>
      <c r="AD1621" s="39">
        <v>0</v>
      </c>
      <c r="AE1621" s="39">
        <v>0</v>
      </c>
      <c r="AF1621" s="39">
        <v>0</v>
      </c>
      <c r="AG1621" s="39">
        <v>0</v>
      </c>
      <c r="AH1621" s="39">
        <v>0</v>
      </c>
      <c r="AI1621" s="39">
        <v>282.39999999999998</v>
      </c>
      <c r="AJ1621" s="39">
        <v>265.67</v>
      </c>
      <c r="AK1621" s="39">
        <v>263.54000000000002</v>
      </c>
      <c r="AL1621" s="39">
        <v>0</v>
      </c>
      <c r="AM1621" s="39">
        <v>0</v>
      </c>
      <c r="AN1621" s="39">
        <v>0</v>
      </c>
      <c r="AO1621" s="39">
        <v>282.39999999999998</v>
      </c>
      <c r="AP1621" s="39">
        <v>265.67</v>
      </c>
      <c r="AQ1621" s="39">
        <v>263.54000000000002</v>
      </c>
      <c r="AR1621" s="39">
        <v>282.39999999999998</v>
      </c>
    </row>
    <row r="1622" spans="1:44" x14ac:dyDescent="0.35">
      <c r="A1622" s="16" t="str">
        <f t="shared" si="131"/>
        <v>24</v>
      </c>
      <c r="B1622" s="19">
        <v>65821</v>
      </c>
      <c r="C1622" s="16" t="str">
        <f t="shared" si="132"/>
        <v>0000000</v>
      </c>
      <c r="D1622" s="17" t="s">
        <v>3663</v>
      </c>
      <c r="E1622" s="16" t="s">
        <v>1349</v>
      </c>
      <c r="F1622" s="16" t="s">
        <v>1324</v>
      </c>
      <c r="G1622" s="35" t="s">
        <v>1350</v>
      </c>
      <c r="H1622" s="39">
        <v>849.41</v>
      </c>
      <c r="I1622" s="39">
        <v>834.06</v>
      </c>
      <c r="J1622" s="39">
        <v>816.67</v>
      </c>
      <c r="K1622" s="39">
        <v>0</v>
      </c>
      <c r="L1622" s="39">
        <v>0</v>
      </c>
      <c r="M1622" s="39">
        <v>0</v>
      </c>
      <c r="N1622" s="39">
        <v>0</v>
      </c>
      <c r="O1622" s="39">
        <v>0</v>
      </c>
      <c r="P1622" s="39">
        <v>0</v>
      </c>
      <c r="Q1622" s="39">
        <v>0</v>
      </c>
      <c r="R1622" s="39">
        <v>0</v>
      </c>
      <c r="S1622" s="39">
        <v>0</v>
      </c>
      <c r="T1622" s="39">
        <v>0</v>
      </c>
      <c r="U1622" s="39">
        <v>0</v>
      </c>
      <c r="V1622" s="39">
        <v>0</v>
      </c>
      <c r="W1622" s="39">
        <v>0</v>
      </c>
      <c r="X1622" s="39">
        <v>0</v>
      </c>
      <c r="Y1622" s="39">
        <v>0</v>
      </c>
      <c r="Z1622" s="39">
        <v>0</v>
      </c>
      <c r="AA1622" s="39">
        <v>0</v>
      </c>
      <c r="AB1622" s="39">
        <v>0</v>
      </c>
      <c r="AC1622" s="39">
        <v>0</v>
      </c>
      <c r="AD1622" s="39">
        <v>0</v>
      </c>
      <c r="AE1622" s="39">
        <v>0</v>
      </c>
      <c r="AF1622" s="39">
        <v>0</v>
      </c>
      <c r="AG1622" s="39">
        <v>0</v>
      </c>
      <c r="AH1622" s="39">
        <v>0</v>
      </c>
      <c r="AI1622" s="39">
        <v>849.41</v>
      </c>
      <c r="AJ1622" s="39">
        <v>834.06</v>
      </c>
      <c r="AK1622" s="39">
        <v>816.67</v>
      </c>
      <c r="AL1622" s="39">
        <v>0</v>
      </c>
      <c r="AM1622" s="39">
        <v>0</v>
      </c>
      <c r="AN1622" s="39">
        <v>0</v>
      </c>
      <c r="AO1622" s="39">
        <v>849.41</v>
      </c>
      <c r="AP1622" s="39">
        <v>834.06</v>
      </c>
      <c r="AQ1622" s="39">
        <v>816.67</v>
      </c>
      <c r="AR1622" s="39">
        <v>849.41</v>
      </c>
    </row>
    <row r="1623" spans="1:44" x14ac:dyDescent="0.35">
      <c r="A1623" s="16" t="str">
        <f t="shared" si="131"/>
        <v>24</v>
      </c>
      <c r="B1623" s="19">
        <v>65862</v>
      </c>
      <c r="C1623" s="16" t="str">
        <f t="shared" si="132"/>
        <v>0000000</v>
      </c>
      <c r="D1623" s="17" t="s">
        <v>3663</v>
      </c>
      <c r="E1623" s="16" t="s">
        <v>1353</v>
      </c>
      <c r="F1623" s="16" t="s">
        <v>1324</v>
      </c>
      <c r="G1623" s="35" t="s">
        <v>1354</v>
      </c>
      <c r="H1623" s="39">
        <v>2854.2</v>
      </c>
      <c r="I1623" s="39">
        <v>2855.96</v>
      </c>
      <c r="J1623" s="39">
        <v>2897.4</v>
      </c>
      <c r="K1623" s="39">
        <v>0</v>
      </c>
      <c r="L1623" s="39">
        <v>0</v>
      </c>
      <c r="M1623" s="39">
        <v>0</v>
      </c>
      <c r="N1623" s="39">
        <v>0</v>
      </c>
      <c r="O1623" s="39">
        <v>0</v>
      </c>
      <c r="P1623" s="39">
        <v>0</v>
      </c>
      <c r="Q1623" s="39">
        <v>0</v>
      </c>
      <c r="R1623" s="39">
        <v>0</v>
      </c>
      <c r="S1623" s="39">
        <v>0</v>
      </c>
      <c r="T1623" s="39">
        <v>0</v>
      </c>
      <c r="U1623" s="39">
        <v>0</v>
      </c>
      <c r="V1623" s="39">
        <v>0</v>
      </c>
      <c r="W1623" s="39">
        <v>0</v>
      </c>
      <c r="X1623" s="39">
        <v>0</v>
      </c>
      <c r="Y1623" s="39">
        <v>0</v>
      </c>
      <c r="Z1623" s="39">
        <v>0</v>
      </c>
      <c r="AA1623" s="39">
        <v>0</v>
      </c>
      <c r="AB1623" s="39">
        <v>0</v>
      </c>
      <c r="AC1623" s="39">
        <v>0</v>
      </c>
      <c r="AD1623" s="39">
        <v>0</v>
      </c>
      <c r="AE1623" s="39">
        <v>0</v>
      </c>
      <c r="AF1623" s="39">
        <v>0</v>
      </c>
      <c r="AG1623" s="39">
        <v>0</v>
      </c>
      <c r="AH1623" s="39">
        <v>0</v>
      </c>
      <c r="AI1623" s="39">
        <v>2854.2</v>
      </c>
      <c r="AJ1623" s="39">
        <v>2855.96</v>
      </c>
      <c r="AK1623" s="39">
        <v>2897.4</v>
      </c>
      <c r="AL1623" s="39">
        <v>0</v>
      </c>
      <c r="AM1623" s="39">
        <v>0</v>
      </c>
      <c r="AN1623" s="39">
        <v>0</v>
      </c>
      <c r="AO1623" s="39">
        <v>2854.2</v>
      </c>
      <c r="AP1623" s="39">
        <v>2855.96</v>
      </c>
      <c r="AQ1623" s="39">
        <v>2897.4</v>
      </c>
      <c r="AR1623" s="39">
        <v>2897.4</v>
      </c>
    </row>
    <row r="1624" spans="1:44" x14ac:dyDescent="0.35">
      <c r="A1624" s="16" t="str">
        <f t="shared" si="131"/>
        <v>24</v>
      </c>
      <c r="B1624" s="19">
        <v>65870</v>
      </c>
      <c r="C1624" s="16" t="str">
        <f t="shared" si="132"/>
        <v>0000000</v>
      </c>
      <c r="D1624" s="17" t="s">
        <v>3663</v>
      </c>
      <c r="E1624" s="16" t="s">
        <v>1355</v>
      </c>
      <c r="F1624" s="16" t="s">
        <v>1324</v>
      </c>
      <c r="G1624" s="35" t="s">
        <v>1356</v>
      </c>
      <c r="H1624" s="39">
        <v>1693.8</v>
      </c>
      <c r="I1624" s="39">
        <v>1752.43</v>
      </c>
      <c r="J1624" s="39">
        <v>1762.84</v>
      </c>
      <c r="K1624" s="39">
        <v>0</v>
      </c>
      <c r="L1624" s="39">
        <v>0</v>
      </c>
      <c r="M1624" s="39">
        <v>0</v>
      </c>
      <c r="N1624" s="39">
        <v>0</v>
      </c>
      <c r="O1624" s="39">
        <v>0</v>
      </c>
      <c r="P1624" s="39">
        <v>0</v>
      </c>
      <c r="Q1624" s="39">
        <v>0</v>
      </c>
      <c r="R1624" s="39">
        <v>0</v>
      </c>
      <c r="S1624" s="39">
        <v>0</v>
      </c>
      <c r="T1624" s="39">
        <v>0</v>
      </c>
      <c r="U1624" s="39">
        <v>0</v>
      </c>
      <c r="V1624" s="39">
        <v>0</v>
      </c>
      <c r="W1624" s="39">
        <v>0</v>
      </c>
      <c r="X1624" s="39">
        <v>0</v>
      </c>
      <c r="Y1624" s="39">
        <v>0</v>
      </c>
      <c r="Z1624" s="39">
        <v>0</v>
      </c>
      <c r="AA1624" s="39">
        <v>0</v>
      </c>
      <c r="AB1624" s="39">
        <v>0</v>
      </c>
      <c r="AC1624" s="39">
        <v>0</v>
      </c>
      <c r="AD1624" s="39">
        <v>0</v>
      </c>
      <c r="AE1624" s="39">
        <v>0</v>
      </c>
      <c r="AF1624" s="39">
        <v>0</v>
      </c>
      <c r="AG1624" s="39">
        <v>0</v>
      </c>
      <c r="AH1624" s="39">
        <v>0</v>
      </c>
      <c r="AI1624" s="39">
        <v>1693.8</v>
      </c>
      <c r="AJ1624" s="39">
        <v>1752.43</v>
      </c>
      <c r="AK1624" s="39">
        <v>1762.84</v>
      </c>
      <c r="AL1624" s="39">
        <v>0</v>
      </c>
      <c r="AM1624" s="39">
        <v>0</v>
      </c>
      <c r="AN1624" s="39">
        <v>0</v>
      </c>
      <c r="AO1624" s="39">
        <v>1693.8</v>
      </c>
      <c r="AP1624" s="39">
        <v>1752.43</v>
      </c>
      <c r="AQ1624" s="39">
        <v>1762.84</v>
      </c>
      <c r="AR1624" s="39">
        <v>1762.84</v>
      </c>
    </row>
    <row r="1625" spans="1:44" x14ac:dyDescent="0.35">
      <c r="A1625" s="16" t="str">
        <f t="shared" si="131"/>
        <v>24</v>
      </c>
      <c r="B1625" s="19">
        <v>65730</v>
      </c>
      <c r="C1625" s="16" t="str">
        <f t="shared" si="132"/>
        <v>0000000</v>
      </c>
      <c r="D1625" s="17" t="s">
        <v>3663</v>
      </c>
      <c r="E1625" s="16" t="s">
        <v>1335</v>
      </c>
      <c r="F1625" s="16" t="s">
        <v>1324</v>
      </c>
      <c r="G1625" s="35" t="s">
        <v>1336</v>
      </c>
      <c r="H1625" s="39">
        <v>488.04</v>
      </c>
      <c r="I1625" s="39">
        <v>474.17</v>
      </c>
      <c r="J1625" s="39">
        <v>484.02</v>
      </c>
      <c r="K1625" s="39">
        <v>0</v>
      </c>
      <c r="L1625" s="39">
        <v>0</v>
      </c>
      <c r="M1625" s="39">
        <v>0</v>
      </c>
      <c r="N1625" s="39">
        <v>0</v>
      </c>
      <c r="O1625" s="39">
        <v>0</v>
      </c>
      <c r="P1625" s="39">
        <v>0</v>
      </c>
      <c r="Q1625" s="39">
        <v>0</v>
      </c>
      <c r="R1625" s="39">
        <v>0</v>
      </c>
      <c r="S1625" s="39">
        <v>0</v>
      </c>
      <c r="T1625" s="39">
        <v>0</v>
      </c>
      <c r="U1625" s="39">
        <v>0</v>
      </c>
      <c r="V1625" s="39">
        <v>0</v>
      </c>
      <c r="W1625" s="39">
        <v>0</v>
      </c>
      <c r="X1625" s="39">
        <v>0</v>
      </c>
      <c r="Y1625" s="39">
        <v>0</v>
      </c>
      <c r="Z1625" s="39">
        <v>0</v>
      </c>
      <c r="AA1625" s="39">
        <v>0</v>
      </c>
      <c r="AB1625" s="39">
        <v>0</v>
      </c>
      <c r="AC1625" s="39">
        <v>0</v>
      </c>
      <c r="AD1625" s="39">
        <v>0</v>
      </c>
      <c r="AE1625" s="39">
        <v>0</v>
      </c>
      <c r="AF1625" s="39">
        <v>0</v>
      </c>
      <c r="AG1625" s="39">
        <v>0</v>
      </c>
      <c r="AH1625" s="39">
        <v>0</v>
      </c>
      <c r="AI1625" s="39">
        <v>488.04</v>
      </c>
      <c r="AJ1625" s="39">
        <v>474.17</v>
      </c>
      <c r="AK1625" s="39">
        <v>484.02</v>
      </c>
      <c r="AL1625" s="39">
        <v>0</v>
      </c>
      <c r="AM1625" s="39">
        <v>0</v>
      </c>
      <c r="AN1625" s="39">
        <v>0</v>
      </c>
      <c r="AO1625" s="39">
        <v>488.04</v>
      </c>
      <c r="AP1625" s="39">
        <v>474.17</v>
      </c>
      <c r="AQ1625" s="39">
        <v>484.02</v>
      </c>
      <c r="AR1625" s="39">
        <v>488.04</v>
      </c>
    </row>
    <row r="1626" spans="1:44" x14ac:dyDescent="0.35">
      <c r="A1626" s="16" t="str">
        <f t="shared" si="131"/>
        <v>24</v>
      </c>
      <c r="B1626" s="19">
        <v>65839</v>
      </c>
      <c r="C1626" s="16" t="str">
        <f t="shared" si="132"/>
        <v>0000000</v>
      </c>
      <c r="D1626" s="17" t="s">
        <v>3663</v>
      </c>
      <c r="E1626" s="16" t="s">
        <v>1351</v>
      </c>
      <c r="F1626" s="16" t="s">
        <v>1324</v>
      </c>
      <c r="G1626" s="35" t="s">
        <v>1352</v>
      </c>
      <c r="H1626" s="39">
        <v>55.29</v>
      </c>
      <c r="I1626" s="39">
        <v>52.49</v>
      </c>
      <c r="J1626" s="39">
        <v>49.93</v>
      </c>
      <c r="K1626" s="39">
        <v>0</v>
      </c>
      <c r="L1626" s="39">
        <v>0</v>
      </c>
      <c r="M1626" s="39">
        <v>0</v>
      </c>
      <c r="N1626" s="39">
        <v>0</v>
      </c>
      <c r="O1626" s="39">
        <v>0</v>
      </c>
      <c r="P1626" s="39">
        <v>0</v>
      </c>
      <c r="Q1626" s="39">
        <v>0</v>
      </c>
      <c r="R1626" s="39">
        <v>0</v>
      </c>
      <c r="S1626" s="39">
        <v>0</v>
      </c>
      <c r="T1626" s="39">
        <v>0</v>
      </c>
      <c r="U1626" s="39">
        <v>0</v>
      </c>
      <c r="V1626" s="39">
        <v>0</v>
      </c>
      <c r="W1626" s="39">
        <v>0</v>
      </c>
      <c r="X1626" s="39">
        <v>0</v>
      </c>
      <c r="Y1626" s="39">
        <v>0</v>
      </c>
      <c r="Z1626" s="39">
        <v>0</v>
      </c>
      <c r="AA1626" s="39">
        <v>0</v>
      </c>
      <c r="AB1626" s="39">
        <v>0</v>
      </c>
      <c r="AC1626" s="39">
        <v>0</v>
      </c>
      <c r="AD1626" s="39">
        <v>0</v>
      </c>
      <c r="AE1626" s="39">
        <v>0</v>
      </c>
      <c r="AF1626" s="39">
        <v>0</v>
      </c>
      <c r="AG1626" s="39">
        <v>0</v>
      </c>
      <c r="AH1626" s="39">
        <v>0</v>
      </c>
      <c r="AI1626" s="39">
        <v>55.29</v>
      </c>
      <c r="AJ1626" s="39">
        <v>52.49</v>
      </c>
      <c r="AK1626" s="39">
        <v>49.93</v>
      </c>
      <c r="AL1626" s="39">
        <v>0</v>
      </c>
      <c r="AM1626" s="39">
        <v>0</v>
      </c>
      <c r="AN1626" s="39">
        <v>0</v>
      </c>
      <c r="AO1626" s="39">
        <v>55.29</v>
      </c>
      <c r="AP1626" s="39">
        <v>52.49</v>
      </c>
      <c r="AQ1626" s="39">
        <v>49.93</v>
      </c>
      <c r="AR1626" s="39">
        <v>55.29</v>
      </c>
    </row>
    <row r="1627" spans="1:44" x14ac:dyDescent="0.35">
      <c r="A1627" s="16" t="str">
        <f t="shared" si="131"/>
        <v>24</v>
      </c>
      <c r="B1627" s="19">
        <v>75317</v>
      </c>
      <c r="C1627" s="16" t="str">
        <f t="shared" si="132"/>
        <v>0000000</v>
      </c>
      <c r="D1627" s="17" t="s">
        <v>3663</v>
      </c>
      <c r="E1627" s="16" t="s">
        <v>1361</v>
      </c>
      <c r="F1627" s="16" t="s">
        <v>1324</v>
      </c>
      <c r="G1627" s="35" t="s">
        <v>1362</v>
      </c>
      <c r="H1627" s="39">
        <v>2076.77</v>
      </c>
      <c r="I1627" s="39">
        <v>2050.33</v>
      </c>
      <c r="J1627" s="39">
        <v>2098.79</v>
      </c>
      <c r="K1627" s="39">
        <v>0</v>
      </c>
      <c r="L1627" s="39">
        <v>0</v>
      </c>
      <c r="M1627" s="39">
        <v>0</v>
      </c>
      <c r="N1627" s="39">
        <v>0</v>
      </c>
      <c r="O1627" s="39">
        <v>0</v>
      </c>
      <c r="P1627" s="39">
        <v>0</v>
      </c>
      <c r="Q1627" s="39">
        <v>0</v>
      </c>
      <c r="R1627" s="39">
        <v>0</v>
      </c>
      <c r="S1627" s="39">
        <v>0</v>
      </c>
      <c r="T1627" s="39">
        <v>0</v>
      </c>
      <c r="U1627" s="39">
        <v>0</v>
      </c>
      <c r="V1627" s="39">
        <v>0</v>
      </c>
      <c r="W1627" s="39">
        <v>0</v>
      </c>
      <c r="X1627" s="39">
        <v>0</v>
      </c>
      <c r="Y1627" s="39">
        <v>0</v>
      </c>
      <c r="Z1627" s="39">
        <v>0</v>
      </c>
      <c r="AA1627" s="39">
        <v>0</v>
      </c>
      <c r="AB1627" s="39">
        <v>0</v>
      </c>
      <c r="AC1627" s="39">
        <v>0</v>
      </c>
      <c r="AD1627" s="39">
        <v>0</v>
      </c>
      <c r="AE1627" s="39">
        <v>0</v>
      </c>
      <c r="AF1627" s="39">
        <v>0</v>
      </c>
      <c r="AG1627" s="39">
        <v>0</v>
      </c>
      <c r="AH1627" s="39">
        <v>0</v>
      </c>
      <c r="AI1627" s="39">
        <v>2076.77</v>
      </c>
      <c r="AJ1627" s="39">
        <v>2050.33</v>
      </c>
      <c r="AK1627" s="39">
        <v>2098.79</v>
      </c>
      <c r="AL1627" s="39">
        <v>0</v>
      </c>
      <c r="AM1627" s="39">
        <v>0</v>
      </c>
      <c r="AN1627" s="39">
        <v>0</v>
      </c>
      <c r="AO1627" s="39">
        <v>2076.77</v>
      </c>
      <c r="AP1627" s="39">
        <v>2050.33</v>
      </c>
      <c r="AQ1627" s="39">
        <v>2098.79</v>
      </c>
      <c r="AR1627" s="39">
        <v>2098.79</v>
      </c>
    </row>
    <row r="1628" spans="1:44" x14ac:dyDescent="0.35">
      <c r="A1628" s="16" t="str">
        <f t="shared" si="131"/>
        <v>24</v>
      </c>
      <c r="B1628" s="19">
        <v>75366</v>
      </c>
      <c r="C1628" s="16" t="str">
        <f t="shared" si="132"/>
        <v>0000000</v>
      </c>
      <c r="D1628" s="17" t="s">
        <v>3663</v>
      </c>
      <c r="E1628" s="16" t="s">
        <v>1363</v>
      </c>
      <c r="F1628" s="16" t="s">
        <v>1324</v>
      </c>
      <c r="G1628" s="35" t="s">
        <v>1364</v>
      </c>
      <c r="H1628" s="39">
        <v>2141.17</v>
      </c>
      <c r="I1628" s="39">
        <v>2250.9</v>
      </c>
      <c r="J1628" s="39">
        <v>2225</v>
      </c>
      <c r="K1628" s="39">
        <v>0</v>
      </c>
      <c r="L1628" s="39">
        <v>0</v>
      </c>
      <c r="M1628" s="39">
        <v>0</v>
      </c>
      <c r="N1628" s="39">
        <v>0</v>
      </c>
      <c r="O1628" s="39">
        <v>0</v>
      </c>
      <c r="P1628" s="39">
        <v>0</v>
      </c>
      <c r="Q1628" s="39">
        <v>0</v>
      </c>
      <c r="R1628" s="39">
        <v>0</v>
      </c>
      <c r="S1628" s="39">
        <v>0</v>
      </c>
      <c r="T1628" s="39">
        <v>0</v>
      </c>
      <c r="U1628" s="39">
        <v>0</v>
      </c>
      <c r="V1628" s="39">
        <v>0</v>
      </c>
      <c r="W1628" s="39">
        <v>0</v>
      </c>
      <c r="X1628" s="39">
        <v>0</v>
      </c>
      <c r="Y1628" s="39">
        <v>0</v>
      </c>
      <c r="Z1628" s="39">
        <v>0</v>
      </c>
      <c r="AA1628" s="39">
        <v>0</v>
      </c>
      <c r="AB1628" s="39">
        <v>0</v>
      </c>
      <c r="AC1628" s="39">
        <v>0</v>
      </c>
      <c r="AD1628" s="39">
        <v>0</v>
      </c>
      <c r="AE1628" s="39">
        <v>0</v>
      </c>
      <c r="AF1628" s="39">
        <v>0</v>
      </c>
      <c r="AG1628" s="39">
        <v>0</v>
      </c>
      <c r="AH1628" s="39">
        <v>0</v>
      </c>
      <c r="AI1628" s="39">
        <v>2141.17</v>
      </c>
      <c r="AJ1628" s="39">
        <v>2250.9</v>
      </c>
      <c r="AK1628" s="39">
        <v>2225</v>
      </c>
      <c r="AL1628" s="39">
        <v>0</v>
      </c>
      <c r="AM1628" s="39">
        <v>0</v>
      </c>
      <c r="AN1628" s="39">
        <v>0</v>
      </c>
      <c r="AO1628" s="39">
        <v>2141.17</v>
      </c>
      <c r="AP1628" s="39">
        <v>2250.9</v>
      </c>
      <c r="AQ1628" s="39">
        <v>2225</v>
      </c>
      <c r="AR1628" s="39">
        <v>2250.9</v>
      </c>
    </row>
    <row r="1629" spans="1:44" x14ac:dyDescent="0.35">
      <c r="A1629" s="16" t="str">
        <f t="shared" si="131"/>
        <v>24</v>
      </c>
      <c r="B1629" s="19">
        <v>65813</v>
      </c>
      <c r="C1629" s="16" t="str">
        <f t="shared" si="132"/>
        <v>0000000</v>
      </c>
      <c r="D1629" s="17" t="s">
        <v>3663</v>
      </c>
      <c r="E1629" s="16" t="s">
        <v>1347</v>
      </c>
      <c r="F1629" s="16" t="s">
        <v>1324</v>
      </c>
      <c r="G1629" s="35" t="s">
        <v>1348</v>
      </c>
      <c r="H1629" s="39">
        <v>107.56</v>
      </c>
      <c r="I1629" s="39">
        <v>102.74</v>
      </c>
      <c r="J1629" s="39">
        <v>99.91</v>
      </c>
      <c r="K1629" s="39">
        <v>0</v>
      </c>
      <c r="L1629" s="39">
        <v>0</v>
      </c>
      <c r="M1629" s="39">
        <v>0</v>
      </c>
      <c r="N1629" s="39">
        <v>0</v>
      </c>
      <c r="O1629" s="39">
        <v>0</v>
      </c>
      <c r="P1629" s="39">
        <v>0</v>
      </c>
      <c r="Q1629" s="39">
        <v>0</v>
      </c>
      <c r="R1629" s="39">
        <v>0</v>
      </c>
      <c r="S1629" s="39">
        <v>0</v>
      </c>
      <c r="T1629" s="39">
        <v>0</v>
      </c>
      <c r="U1629" s="39">
        <v>0</v>
      </c>
      <c r="V1629" s="39">
        <v>0</v>
      </c>
      <c r="W1629" s="39">
        <v>0</v>
      </c>
      <c r="X1629" s="39">
        <v>0</v>
      </c>
      <c r="Y1629" s="39">
        <v>0</v>
      </c>
      <c r="Z1629" s="39">
        <v>0</v>
      </c>
      <c r="AA1629" s="39">
        <v>0</v>
      </c>
      <c r="AB1629" s="39">
        <v>0</v>
      </c>
      <c r="AC1629" s="39">
        <v>0</v>
      </c>
      <c r="AD1629" s="39">
        <v>0</v>
      </c>
      <c r="AE1629" s="39">
        <v>0</v>
      </c>
      <c r="AF1629" s="39">
        <v>0</v>
      </c>
      <c r="AG1629" s="39">
        <v>0</v>
      </c>
      <c r="AH1629" s="39">
        <v>0</v>
      </c>
      <c r="AI1629" s="39">
        <v>107.56</v>
      </c>
      <c r="AJ1629" s="39">
        <v>102.74</v>
      </c>
      <c r="AK1629" s="39">
        <v>99.91</v>
      </c>
      <c r="AL1629" s="39">
        <v>0</v>
      </c>
      <c r="AM1629" s="39">
        <v>0</v>
      </c>
      <c r="AN1629" s="39">
        <v>0</v>
      </c>
      <c r="AO1629" s="39">
        <v>107.56</v>
      </c>
      <c r="AP1629" s="39">
        <v>102.74</v>
      </c>
      <c r="AQ1629" s="39">
        <v>99.91</v>
      </c>
      <c r="AR1629" s="39">
        <v>107.56</v>
      </c>
    </row>
    <row r="1630" spans="1:44" x14ac:dyDescent="0.35">
      <c r="A1630" s="16" t="str">
        <f>TEXT(38,"00")</f>
        <v>38</v>
      </c>
      <c r="B1630" s="19">
        <v>68478</v>
      </c>
      <c r="C1630" s="16" t="str">
        <f t="shared" si="132"/>
        <v>0000000</v>
      </c>
      <c r="D1630" s="17" t="s">
        <v>3663</v>
      </c>
      <c r="E1630" s="16" t="s">
        <v>2379</v>
      </c>
      <c r="F1630" s="16" t="s">
        <v>2380</v>
      </c>
      <c r="G1630" s="35" t="s">
        <v>2380</v>
      </c>
      <c r="H1630" s="39">
        <v>45171.75</v>
      </c>
      <c r="I1630" s="39">
        <v>45304.91</v>
      </c>
      <c r="J1630" s="39">
        <v>44871.12</v>
      </c>
      <c r="K1630" s="39">
        <v>0</v>
      </c>
      <c r="L1630" s="39">
        <v>0</v>
      </c>
      <c r="M1630" s="39">
        <v>0</v>
      </c>
      <c r="N1630" s="39">
        <v>0</v>
      </c>
      <c r="O1630" s="39">
        <v>0</v>
      </c>
      <c r="P1630" s="39">
        <v>0</v>
      </c>
      <c r="Q1630" s="39">
        <v>0</v>
      </c>
      <c r="R1630" s="39">
        <v>0</v>
      </c>
      <c r="S1630" s="39">
        <v>0</v>
      </c>
      <c r="T1630" s="39">
        <v>0</v>
      </c>
      <c r="U1630" s="39">
        <v>0</v>
      </c>
      <c r="V1630" s="39">
        <v>0</v>
      </c>
      <c r="W1630" s="39">
        <v>0</v>
      </c>
      <c r="X1630" s="39">
        <v>0</v>
      </c>
      <c r="Y1630" s="39">
        <v>0</v>
      </c>
      <c r="Z1630" s="39">
        <v>0</v>
      </c>
      <c r="AA1630" s="39">
        <v>0</v>
      </c>
      <c r="AB1630" s="39">
        <v>0</v>
      </c>
      <c r="AC1630" s="39">
        <v>1095.97</v>
      </c>
      <c r="AD1630" s="39">
        <v>1139.75</v>
      </c>
      <c r="AE1630" s="39">
        <v>1148.26</v>
      </c>
      <c r="AF1630" s="39">
        <v>0</v>
      </c>
      <c r="AG1630" s="39">
        <v>0</v>
      </c>
      <c r="AH1630" s="39">
        <v>0</v>
      </c>
      <c r="AI1630" s="39">
        <v>46267.72</v>
      </c>
      <c r="AJ1630" s="39">
        <v>46444.66</v>
      </c>
      <c r="AK1630" s="39">
        <v>46019.38</v>
      </c>
      <c r="AL1630" s="39">
        <v>0</v>
      </c>
      <c r="AM1630" s="39">
        <v>0</v>
      </c>
      <c r="AN1630" s="39">
        <v>0</v>
      </c>
      <c r="AO1630" s="39">
        <v>46267.72</v>
      </c>
      <c r="AP1630" s="39">
        <v>46444.66</v>
      </c>
      <c r="AQ1630" s="39">
        <v>46019.38</v>
      </c>
      <c r="AR1630" s="39">
        <v>46444.66</v>
      </c>
    </row>
    <row r="1631" spans="1:44" x14ac:dyDescent="0.35">
      <c r="A1631" s="16" t="str">
        <f>TEXT(38,"00")</f>
        <v>38</v>
      </c>
      <c r="B1631" s="19">
        <v>10389</v>
      </c>
      <c r="C1631" s="16" t="str">
        <f t="shared" si="132"/>
        <v>0000000</v>
      </c>
      <c r="D1631" s="17" t="s">
        <v>3663</v>
      </c>
      <c r="E1631" s="16" t="s">
        <v>2381</v>
      </c>
      <c r="F1631" s="16" t="s">
        <v>2380</v>
      </c>
      <c r="G1631" s="35" t="s">
        <v>2382</v>
      </c>
      <c r="H1631" s="39">
        <v>0</v>
      </c>
      <c r="I1631" s="39">
        <v>0</v>
      </c>
      <c r="J1631" s="39">
        <v>0</v>
      </c>
      <c r="K1631" s="39">
        <v>0</v>
      </c>
      <c r="L1631" s="39">
        <v>0</v>
      </c>
      <c r="M1631" s="39">
        <v>0</v>
      </c>
      <c r="N1631" s="39">
        <v>0</v>
      </c>
      <c r="O1631" s="39">
        <v>0</v>
      </c>
      <c r="P1631" s="39">
        <v>0</v>
      </c>
      <c r="Q1631" s="39">
        <v>0</v>
      </c>
      <c r="R1631" s="39">
        <v>0</v>
      </c>
      <c r="S1631" s="39">
        <v>0</v>
      </c>
      <c r="T1631" s="39">
        <v>62.5</v>
      </c>
      <c r="U1631" s="39">
        <v>55.86</v>
      </c>
      <c r="V1631" s="39">
        <v>28.82</v>
      </c>
      <c r="W1631" s="39">
        <v>43.11</v>
      </c>
      <c r="X1631" s="39">
        <v>22.64</v>
      </c>
      <c r="Y1631" s="39">
        <v>32.92</v>
      </c>
      <c r="Z1631" s="39">
        <v>0</v>
      </c>
      <c r="AA1631" s="39">
        <v>0</v>
      </c>
      <c r="AB1631" s="39">
        <v>0</v>
      </c>
      <c r="AC1631" s="39">
        <v>0</v>
      </c>
      <c r="AD1631" s="39">
        <v>0</v>
      </c>
      <c r="AE1631" s="39">
        <v>0</v>
      </c>
      <c r="AF1631" s="39">
        <v>0</v>
      </c>
      <c r="AG1631" s="39">
        <v>0</v>
      </c>
      <c r="AH1631" s="39">
        <v>0</v>
      </c>
      <c r="AI1631" s="39">
        <v>105.61</v>
      </c>
      <c r="AJ1631" s="39">
        <v>78.5</v>
      </c>
      <c r="AK1631" s="39">
        <v>61.74</v>
      </c>
      <c r="AL1631" s="39">
        <v>0</v>
      </c>
      <c r="AM1631" s="39">
        <v>0</v>
      </c>
      <c r="AN1631" s="39">
        <v>0</v>
      </c>
      <c r="AO1631" s="39">
        <v>105.61</v>
      </c>
      <c r="AP1631" s="39">
        <v>78.5</v>
      </c>
      <c r="AQ1631" s="39">
        <v>61.74</v>
      </c>
      <c r="AR1631" s="39">
        <v>105.61</v>
      </c>
    </row>
    <row r="1632" spans="1:44" x14ac:dyDescent="0.35">
      <c r="A1632" s="16" t="str">
        <f t="shared" ref="A1632:A1655" si="133">TEXT(50,"00")</f>
        <v>50</v>
      </c>
      <c r="B1632" s="19">
        <v>10504</v>
      </c>
      <c r="C1632" s="16" t="str">
        <f t="shared" si="132"/>
        <v>0000000</v>
      </c>
      <c r="D1632" s="17" t="s">
        <v>3663</v>
      </c>
      <c r="E1632" s="16" t="s">
        <v>3160</v>
      </c>
      <c r="F1632" s="16" t="s">
        <v>3161</v>
      </c>
      <c r="G1632" s="35" t="s">
        <v>3161</v>
      </c>
      <c r="H1632" s="39">
        <v>0</v>
      </c>
      <c r="I1632" s="39">
        <v>0</v>
      </c>
      <c r="J1632" s="39">
        <v>0</v>
      </c>
      <c r="K1632" s="39">
        <v>0</v>
      </c>
      <c r="L1632" s="39">
        <v>0</v>
      </c>
      <c r="M1632" s="39">
        <v>0</v>
      </c>
      <c r="N1632" s="39">
        <v>0</v>
      </c>
      <c r="O1632" s="39">
        <v>0</v>
      </c>
      <c r="P1632" s="39">
        <v>0</v>
      </c>
      <c r="Q1632" s="39">
        <v>0</v>
      </c>
      <c r="R1632" s="39">
        <v>0</v>
      </c>
      <c r="S1632" s="39">
        <v>0</v>
      </c>
      <c r="T1632" s="39">
        <v>99.58</v>
      </c>
      <c r="U1632" s="39">
        <v>95.52</v>
      </c>
      <c r="V1632" s="39">
        <v>90.6</v>
      </c>
      <c r="W1632" s="39">
        <v>1136.57</v>
      </c>
      <c r="X1632" s="39">
        <v>1360.39</v>
      </c>
      <c r="Y1632" s="39">
        <v>1375</v>
      </c>
      <c r="Z1632" s="39">
        <v>0</v>
      </c>
      <c r="AA1632" s="39">
        <v>0</v>
      </c>
      <c r="AB1632" s="39">
        <v>0</v>
      </c>
      <c r="AC1632" s="39">
        <v>0</v>
      </c>
      <c r="AD1632" s="39">
        <v>0</v>
      </c>
      <c r="AE1632" s="39">
        <v>0</v>
      </c>
      <c r="AF1632" s="39">
        <v>0</v>
      </c>
      <c r="AG1632" s="39">
        <v>0</v>
      </c>
      <c r="AH1632" s="39">
        <v>0</v>
      </c>
      <c r="AI1632" s="39">
        <v>1236.1500000000001</v>
      </c>
      <c r="AJ1632" s="39">
        <v>1455.91</v>
      </c>
      <c r="AK1632" s="39">
        <v>1465.6</v>
      </c>
      <c r="AL1632" s="39">
        <v>0</v>
      </c>
      <c r="AM1632" s="39">
        <v>0</v>
      </c>
      <c r="AN1632" s="39">
        <v>0</v>
      </c>
      <c r="AO1632" s="39">
        <v>1236.1500000000001</v>
      </c>
      <c r="AP1632" s="39">
        <v>1455.91</v>
      </c>
      <c r="AQ1632" s="39">
        <v>1465.6</v>
      </c>
      <c r="AR1632" s="39">
        <v>1465.6</v>
      </c>
    </row>
    <row r="1633" spans="1:44" x14ac:dyDescent="0.35">
      <c r="A1633" s="16" t="str">
        <f t="shared" si="133"/>
        <v>50</v>
      </c>
      <c r="B1633" s="19">
        <v>71043</v>
      </c>
      <c r="C1633" s="16" t="str">
        <f t="shared" si="132"/>
        <v>0000000</v>
      </c>
      <c r="D1633" s="17" t="s">
        <v>3663</v>
      </c>
      <c r="E1633" s="16" t="s">
        <v>3162</v>
      </c>
      <c r="F1633" s="16" t="s">
        <v>3161</v>
      </c>
      <c r="G1633" s="35" t="s">
        <v>3163</v>
      </c>
      <c r="H1633" s="39">
        <v>12262.27</v>
      </c>
      <c r="I1633" s="39">
        <v>12512.85</v>
      </c>
      <c r="J1633" s="39">
        <v>12340.63</v>
      </c>
      <c r="K1633" s="39">
        <v>0</v>
      </c>
      <c r="L1633" s="39">
        <v>0</v>
      </c>
      <c r="M1633" s="39">
        <v>0</v>
      </c>
      <c r="N1633" s="39">
        <v>0</v>
      </c>
      <c r="O1633" s="39">
        <v>0</v>
      </c>
      <c r="P1633" s="39">
        <v>0</v>
      </c>
      <c r="Q1633" s="39">
        <v>0</v>
      </c>
      <c r="R1633" s="39">
        <v>0</v>
      </c>
      <c r="S1633" s="39">
        <v>0</v>
      </c>
      <c r="T1633" s="39">
        <v>0</v>
      </c>
      <c r="U1633" s="39">
        <v>0</v>
      </c>
      <c r="V1633" s="39">
        <v>0</v>
      </c>
      <c r="W1633" s="39">
        <v>0</v>
      </c>
      <c r="X1633" s="39">
        <v>0</v>
      </c>
      <c r="Y1633" s="39">
        <v>0</v>
      </c>
      <c r="Z1633" s="39">
        <v>0</v>
      </c>
      <c r="AA1633" s="39">
        <v>0</v>
      </c>
      <c r="AB1633" s="39">
        <v>0</v>
      </c>
      <c r="AC1633" s="39">
        <v>512.82000000000005</v>
      </c>
      <c r="AD1633" s="39">
        <v>500.87</v>
      </c>
      <c r="AE1633" s="39">
        <v>481.42</v>
      </c>
      <c r="AF1633" s="39">
        <v>0</v>
      </c>
      <c r="AG1633" s="39">
        <v>0</v>
      </c>
      <c r="AH1633" s="39">
        <v>0</v>
      </c>
      <c r="AI1633" s="39">
        <v>12775.09</v>
      </c>
      <c r="AJ1633" s="39">
        <v>13013.72</v>
      </c>
      <c r="AK1633" s="39">
        <v>12822.05</v>
      </c>
      <c r="AL1633" s="39">
        <v>0</v>
      </c>
      <c r="AM1633" s="39">
        <v>0</v>
      </c>
      <c r="AN1633" s="39">
        <v>0</v>
      </c>
      <c r="AO1633" s="39">
        <v>12775.09</v>
      </c>
      <c r="AP1633" s="39">
        <v>13013.72</v>
      </c>
      <c r="AQ1633" s="39">
        <v>12822.05</v>
      </c>
      <c r="AR1633" s="39">
        <v>13013.72</v>
      </c>
    </row>
    <row r="1634" spans="1:44" x14ac:dyDescent="0.35">
      <c r="A1634" s="16" t="str">
        <f t="shared" si="133"/>
        <v>50</v>
      </c>
      <c r="B1634" s="19">
        <v>71076</v>
      </c>
      <c r="C1634" s="16" t="str">
        <f t="shared" si="132"/>
        <v>0000000</v>
      </c>
      <c r="D1634" s="17" t="s">
        <v>3663</v>
      </c>
      <c r="E1634" s="16" t="s">
        <v>3171</v>
      </c>
      <c r="F1634" s="16" t="s">
        <v>3161</v>
      </c>
      <c r="G1634" s="35" t="s">
        <v>3172</v>
      </c>
      <c r="H1634" s="39">
        <v>2581.1799999999998</v>
      </c>
      <c r="I1634" s="39">
        <v>2583.6</v>
      </c>
      <c r="J1634" s="39">
        <v>2551.02</v>
      </c>
      <c r="K1634" s="39">
        <v>0</v>
      </c>
      <c r="L1634" s="39">
        <v>0</v>
      </c>
      <c r="M1634" s="39">
        <v>0</v>
      </c>
      <c r="N1634" s="39">
        <v>0</v>
      </c>
      <c r="O1634" s="39">
        <v>0</v>
      </c>
      <c r="P1634" s="39">
        <v>0</v>
      </c>
      <c r="Q1634" s="39">
        <v>0</v>
      </c>
      <c r="R1634" s="39">
        <v>0</v>
      </c>
      <c r="S1634" s="39">
        <v>0</v>
      </c>
      <c r="T1634" s="39">
        <v>0</v>
      </c>
      <c r="U1634" s="39">
        <v>0</v>
      </c>
      <c r="V1634" s="39">
        <v>0</v>
      </c>
      <c r="W1634" s="39">
        <v>0</v>
      </c>
      <c r="X1634" s="39">
        <v>0</v>
      </c>
      <c r="Y1634" s="39">
        <v>0</v>
      </c>
      <c r="Z1634" s="39">
        <v>0</v>
      </c>
      <c r="AA1634" s="39">
        <v>0</v>
      </c>
      <c r="AB1634" s="39">
        <v>0</v>
      </c>
      <c r="AC1634" s="39">
        <v>0</v>
      </c>
      <c r="AD1634" s="39">
        <v>0</v>
      </c>
      <c r="AE1634" s="39">
        <v>0</v>
      </c>
      <c r="AF1634" s="39">
        <v>0</v>
      </c>
      <c r="AG1634" s="39">
        <v>0</v>
      </c>
      <c r="AH1634" s="39">
        <v>0</v>
      </c>
      <c r="AI1634" s="39">
        <v>2581.1799999999998</v>
      </c>
      <c r="AJ1634" s="39">
        <v>2583.6</v>
      </c>
      <c r="AK1634" s="39">
        <v>2551.02</v>
      </c>
      <c r="AL1634" s="39">
        <v>0</v>
      </c>
      <c r="AM1634" s="39">
        <v>0</v>
      </c>
      <c r="AN1634" s="39">
        <v>0</v>
      </c>
      <c r="AO1634" s="39">
        <v>2581.1799999999998</v>
      </c>
      <c r="AP1634" s="39">
        <v>2583.6</v>
      </c>
      <c r="AQ1634" s="39">
        <v>2551.02</v>
      </c>
      <c r="AR1634" s="39">
        <v>2583.6</v>
      </c>
    </row>
    <row r="1635" spans="1:44" x14ac:dyDescent="0.35">
      <c r="A1635" s="16" t="str">
        <f t="shared" si="133"/>
        <v>50</v>
      </c>
      <c r="B1635" s="19">
        <v>73601</v>
      </c>
      <c r="C1635" s="16" t="str">
        <f t="shared" si="132"/>
        <v>0000000</v>
      </c>
      <c r="D1635" s="17" t="s">
        <v>3663</v>
      </c>
      <c r="E1635" s="16" t="s">
        <v>3209</v>
      </c>
      <c r="F1635" s="16" t="s">
        <v>3161</v>
      </c>
      <c r="G1635" s="35" t="s">
        <v>3210</v>
      </c>
      <c r="H1635" s="39">
        <v>2871</v>
      </c>
      <c r="I1635" s="39">
        <v>2943.13</v>
      </c>
      <c r="J1635" s="39">
        <v>2877.97</v>
      </c>
      <c r="K1635" s="39">
        <v>0</v>
      </c>
      <c r="L1635" s="39">
        <v>0</v>
      </c>
      <c r="M1635" s="39">
        <v>0</v>
      </c>
      <c r="N1635" s="39">
        <v>0</v>
      </c>
      <c r="O1635" s="39">
        <v>0</v>
      </c>
      <c r="P1635" s="39">
        <v>0</v>
      </c>
      <c r="Q1635" s="39">
        <v>0</v>
      </c>
      <c r="R1635" s="39">
        <v>0</v>
      </c>
      <c r="S1635" s="39">
        <v>0</v>
      </c>
      <c r="T1635" s="39">
        <v>0</v>
      </c>
      <c r="U1635" s="39">
        <v>0</v>
      </c>
      <c r="V1635" s="39">
        <v>0</v>
      </c>
      <c r="W1635" s="39">
        <v>0</v>
      </c>
      <c r="X1635" s="39">
        <v>0</v>
      </c>
      <c r="Y1635" s="39">
        <v>0</v>
      </c>
      <c r="Z1635" s="39">
        <v>0</v>
      </c>
      <c r="AA1635" s="39">
        <v>0</v>
      </c>
      <c r="AB1635" s="39">
        <v>0</v>
      </c>
      <c r="AC1635" s="39">
        <v>0</v>
      </c>
      <c r="AD1635" s="39">
        <v>0</v>
      </c>
      <c r="AE1635" s="39">
        <v>0</v>
      </c>
      <c r="AF1635" s="39">
        <v>0</v>
      </c>
      <c r="AG1635" s="39">
        <v>0</v>
      </c>
      <c r="AH1635" s="39">
        <v>0</v>
      </c>
      <c r="AI1635" s="39">
        <v>2871</v>
      </c>
      <c r="AJ1635" s="39">
        <v>2943.13</v>
      </c>
      <c r="AK1635" s="39">
        <v>2877.97</v>
      </c>
      <c r="AL1635" s="39">
        <v>0</v>
      </c>
      <c r="AM1635" s="39">
        <v>0</v>
      </c>
      <c r="AN1635" s="39">
        <v>0</v>
      </c>
      <c r="AO1635" s="39">
        <v>2871</v>
      </c>
      <c r="AP1635" s="39">
        <v>2943.13</v>
      </c>
      <c r="AQ1635" s="39">
        <v>2877.97</v>
      </c>
      <c r="AR1635" s="39">
        <v>2943.13</v>
      </c>
    </row>
    <row r="1636" spans="1:44" x14ac:dyDescent="0.35">
      <c r="A1636" s="16" t="str">
        <f t="shared" si="133"/>
        <v>50</v>
      </c>
      <c r="B1636" s="19">
        <v>75564</v>
      </c>
      <c r="C1636" s="16" t="str">
        <f t="shared" si="132"/>
        <v>0000000</v>
      </c>
      <c r="D1636" s="17" t="s">
        <v>3663</v>
      </c>
      <c r="E1636" s="16" t="s">
        <v>3215</v>
      </c>
      <c r="F1636" s="16" t="s">
        <v>3161</v>
      </c>
      <c r="G1636" s="35" t="s">
        <v>3216</v>
      </c>
      <c r="H1636" s="39">
        <v>4719.79</v>
      </c>
      <c r="I1636" s="39">
        <v>4769.6899999999996</v>
      </c>
      <c r="J1636" s="39">
        <v>4771.8999999999996</v>
      </c>
      <c r="K1636" s="39">
        <v>0</v>
      </c>
      <c r="L1636" s="39">
        <v>0</v>
      </c>
      <c r="M1636" s="39">
        <v>0</v>
      </c>
      <c r="N1636" s="39">
        <v>0</v>
      </c>
      <c r="O1636" s="39">
        <v>0</v>
      </c>
      <c r="P1636" s="39">
        <v>0</v>
      </c>
      <c r="Q1636" s="39">
        <v>0</v>
      </c>
      <c r="R1636" s="39">
        <v>0</v>
      </c>
      <c r="S1636" s="39">
        <v>0</v>
      </c>
      <c r="T1636" s="39">
        <v>0</v>
      </c>
      <c r="U1636" s="39">
        <v>0</v>
      </c>
      <c r="V1636" s="39">
        <v>0</v>
      </c>
      <c r="W1636" s="39">
        <v>0</v>
      </c>
      <c r="X1636" s="39">
        <v>0</v>
      </c>
      <c r="Y1636" s="39">
        <v>0</v>
      </c>
      <c r="Z1636" s="39">
        <v>0</v>
      </c>
      <c r="AA1636" s="39">
        <v>0</v>
      </c>
      <c r="AB1636" s="39">
        <v>0</v>
      </c>
      <c r="AC1636" s="39">
        <v>41.78</v>
      </c>
      <c r="AD1636" s="39">
        <v>46.28</v>
      </c>
      <c r="AE1636" s="39">
        <v>57.86</v>
      </c>
      <c r="AF1636" s="39">
        <v>0</v>
      </c>
      <c r="AG1636" s="39">
        <v>0</v>
      </c>
      <c r="AH1636" s="39">
        <v>0</v>
      </c>
      <c r="AI1636" s="39">
        <v>4761.57</v>
      </c>
      <c r="AJ1636" s="39">
        <v>4815.97</v>
      </c>
      <c r="AK1636" s="39">
        <v>4829.76</v>
      </c>
      <c r="AL1636" s="39">
        <v>0</v>
      </c>
      <c r="AM1636" s="39">
        <v>0</v>
      </c>
      <c r="AN1636" s="39">
        <v>0</v>
      </c>
      <c r="AO1636" s="39">
        <v>4761.57</v>
      </c>
      <c r="AP1636" s="39">
        <v>4815.97</v>
      </c>
      <c r="AQ1636" s="39">
        <v>4829.76</v>
      </c>
      <c r="AR1636" s="39">
        <v>4829.76</v>
      </c>
    </row>
    <row r="1637" spans="1:44" x14ac:dyDescent="0.35">
      <c r="A1637" s="16" t="str">
        <f t="shared" si="133"/>
        <v>50</v>
      </c>
      <c r="B1637" s="19">
        <v>71217</v>
      </c>
      <c r="C1637" s="16" t="str">
        <f t="shared" si="132"/>
        <v>0000000</v>
      </c>
      <c r="D1637" s="17" t="s">
        <v>3663</v>
      </c>
      <c r="E1637" s="16" t="s">
        <v>3195</v>
      </c>
      <c r="F1637" s="16" t="s">
        <v>3161</v>
      </c>
      <c r="G1637" s="35" t="s">
        <v>3196</v>
      </c>
      <c r="H1637" s="39">
        <v>5570</v>
      </c>
      <c r="I1637" s="39">
        <v>5665.47</v>
      </c>
      <c r="J1637" s="39">
        <v>5664.94</v>
      </c>
      <c r="K1637" s="39">
        <v>0</v>
      </c>
      <c r="L1637" s="39">
        <v>0</v>
      </c>
      <c r="M1637" s="39">
        <v>0</v>
      </c>
      <c r="N1637" s="39">
        <v>0</v>
      </c>
      <c r="O1637" s="39">
        <v>0</v>
      </c>
      <c r="P1637" s="39">
        <v>0</v>
      </c>
      <c r="Q1637" s="39">
        <v>0</v>
      </c>
      <c r="R1637" s="39">
        <v>0</v>
      </c>
      <c r="S1637" s="39">
        <v>0</v>
      </c>
      <c r="T1637" s="39">
        <v>0</v>
      </c>
      <c r="U1637" s="39">
        <v>0</v>
      </c>
      <c r="V1637" s="39">
        <v>0</v>
      </c>
      <c r="W1637" s="39">
        <v>0</v>
      </c>
      <c r="X1637" s="39">
        <v>0</v>
      </c>
      <c r="Y1637" s="39">
        <v>0</v>
      </c>
      <c r="Z1637" s="39">
        <v>0</v>
      </c>
      <c r="AA1637" s="39">
        <v>0</v>
      </c>
      <c r="AB1637" s="39">
        <v>0</v>
      </c>
      <c r="AC1637" s="39">
        <v>0</v>
      </c>
      <c r="AD1637" s="39">
        <v>0</v>
      </c>
      <c r="AE1637" s="39">
        <v>0</v>
      </c>
      <c r="AF1637" s="39">
        <v>0</v>
      </c>
      <c r="AG1637" s="39">
        <v>0</v>
      </c>
      <c r="AH1637" s="39">
        <v>0</v>
      </c>
      <c r="AI1637" s="39">
        <v>5570</v>
      </c>
      <c r="AJ1637" s="39">
        <v>5665.47</v>
      </c>
      <c r="AK1637" s="39">
        <v>5664.94</v>
      </c>
      <c r="AL1637" s="39">
        <v>0</v>
      </c>
      <c r="AM1637" s="39">
        <v>0</v>
      </c>
      <c r="AN1637" s="39">
        <v>0</v>
      </c>
      <c r="AO1637" s="39">
        <v>5570</v>
      </c>
      <c r="AP1637" s="39">
        <v>5665.47</v>
      </c>
      <c r="AQ1637" s="39">
        <v>5664.94</v>
      </c>
      <c r="AR1637" s="39">
        <v>5665.47</v>
      </c>
    </row>
    <row r="1638" spans="1:44" x14ac:dyDescent="0.35">
      <c r="A1638" s="16" t="str">
        <f t="shared" si="133"/>
        <v>50</v>
      </c>
      <c r="B1638" s="19">
        <v>75556</v>
      </c>
      <c r="C1638" s="16" t="str">
        <f t="shared" si="132"/>
        <v>0000000</v>
      </c>
      <c r="D1638" s="17" t="s">
        <v>3663</v>
      </c>
      <c r="E1638" s="16" t="s">
        <v>3213</v>
      </c>
      <c r="F1638" s="16" t="s">
        <v>3161</v>
      </c>
      <c r="G1638" s="35" t="s">
        <v>3214</v>
      </c>
      <c r="H1638" s="39">
        <v>2214.2199999999998</v>
      </c>
      <c r="I1638" s="39">
        <v>2229.71</v>
      </c>
      <c r="J1638" s="39">
        <v>2178.29</v>
      </c>
      <c r="K1638" s="39">
        <v>0</v>
      </c>
      <c r="L1638" s="39">
        <v>0</v>
      </c>
      <c r="M1638" s="39">
        <v>0</v>
      </c>
      <c r="N1638" s="39">
        <v>0</v>
      </c>
      <c r="O1638" s="39">
        <v>0</v>
      </c>
      <c r="P1638" s="39">
        <v>0</v>
      </c>
      <c r="Q1638" s="39">
        <v>0</v>
      </c>
      <c r="R1638" s="39">
        <v>0</v>
      </c>
      <c r="S1638" s="39">
        <v>0</v>
      </c>
      <c r="T1638" s="39">
        <v>0</v>
      </c>
      <c r="U1638" s="39">
        <v>0</v>
      </c>
      <c r="V1638" s="39">
        <v>0</v>
      </c>
      <c r="W1638" s="39">
        <v>0</v>
      </c>
      <c r="X1638" s="39">
        <v>0</v>
      </c>
      <c r="Y1638" s="39">
        <v>0</v>
      </c>
      <c r="Z1638" s="39">
        <v>0</v>
      </c>
      <c r="AA1638" s="39">
        <v>0</v>
      </c>
      <c r="AB1638" s="39">
        <v>0</v>
      </c>
      <c r="AC1638" s="39">
        <v>532.84</v>
      </c>
      <c r="AD1638" s="39">
        <v>543.47</v>
      </c>
      <c r="AE1638" s="39">
        <v>537.73</v>
      </c>
      <c r="AF1638" s="39">
        <v>0</v>
      </c>
      <c r="AG1638" s="39">
        <v>0</v>
      </c>
      <c r="AH1638" s="39">
        <v>0</v>
      </c>
      <c r="AI1638" s="39">
        <v>2747.06</v>
      </c>
      <c r="AJ1638" s="39">
        <v>2773.18</v>
      </c>
      <c r="AK1638" s="39">
        <v>2716.02</v>
      </c>
      <c r="AL1638" s="39">
        <v>0</v>
      </c>
      <c r="AM1638" s="39">
        <v>0</v>
      </c>
      <c r="AN1638" s="39">
        <v>0</v>
      </c>
      <c r="AO1638" s="39">
        <v>2747.06</v>
      </c>
      <c r="AP1638" s="39">
        <v>2773.18</v>
      </c>
      <c r="AQ1638" s="39">
        <v>2716.02</v>
      </c>
      <c r="AR1638" s="39">
        <v>2773.18</v>
      </c>
    </row>
    <row r="1639" spans="1:44" x14ac:dyDescent="0.35">
      <c r="A1639" s="16" t="str">
        <f t="shared" si="133"/>
        <v>50</v>
      </c>
      <c r="B1639" s="19">
        <v>71282</v>
      </c>
      <c r="C1639" s="16" t="str">
        <f t="shared" si="132"/>
        <v>0000000</v>
      </c>
      <c r="D1639" s="17" t="s">
        <v>3663</v>
      </c>
      <c r="E1639" s="16" t="s">
        <v>3203</v>
      </c>
      <c r="F1639" s="16" t="s">
        <v>3161</v>
      </c>
      <c r="G1639" s="35" t="s">
        <v>3204</v>
      </c>
      <c r="H1639" s="39">
        <v>3173.67</v>
      </c>
      <c r="I1639" s="39">
        <v>3134.48</v>
      </c>
      <c r="J1639" s="39">
        <v>3168.81</v>
      </c>
      <c r="K1639" s="39">
        <v>0</v>
      </c>
      <c r="L1639" s="39">
        <v>0</v>
      </c>
      <c r="M1639" s="39">
        <v>0</v>
      </c>
      <c r="N1639" s="39">
        <v>0</v>
      </c>
      <c r="O1639" s="39">
        <v>0</v>
      </c>
      <c r="P1639" s="39">
        <v>0</v>
      </c>
      <c r="Q1639" s="39">
        <v>0</v>
      </c>
      <c r="R1639" s="39">
        <v>0</v>
      </c>
      <c r="S1639" s="39">
        <v>0</v>
      </c>
      <c r="T1639" s="39">
        <v>0</v>
      </c>
      <c r="U1639" s="39">
        <v>0</v>
      </c>
      <c r="V1639" s="39">
        <v>0</v>
      </c>
      <c r="W1639" s="39">
        <v>0</v>
      </c>
      <c r="X1639" s="39">
        <v>0</v>
      </c>
      <c r="Y1639" s="39">
        <v>0</v>
      </c>
      <c r="Z1639" s="39">
        <v>0</v>
      </c>
      <c r="AA1639" s="39">
        <v>0</v>
      </c>
      <c r="AB1639" s="39">
        <v>0</v>
      </c>
      <c r="AC1639" s="39">
        <v>0</v>
      </c>
      <c r="AD1639" s="39">
        <v>0</v>
      </c>
      <c r="AE1639" s="39">
        <v>0</v>
      </c>
      <c r="AF1639" s="39">
        <v>0</v>
      </c>
      <c r="AG1639" s="39">
        <v>0</v>
      </c>
      <c r="AH1639" s="39">
        <v>0</v>
      </c>
      <c r="AI1639" s="39">
        <v>3173.67</v>
      </c>
      <c r="AJ1639" s="39">
        <v>3134.48</v>
      </c>
      <c r="AK1639" s="39">
        <v>3168.81</v>
      </c>
      <c r="AL1639" s="39">
        <v>0</v>
      </c>
      <c r="AM1639" s="39">
        <v>0</v>
      </c>
      <c r="AN1639" s="39">
        <v>0</v>
      </c>
      <c r="AO1639" s="39">
        <v>3173.67</v>
      </c>
      <c r="AP1639" s="39">
        <v>3134.48</v>
      </c>
      <c r="AQ1639" s="39">
        <v>3168.81</v>
      </c>
      <c r="AR1639" s="39">
        <v>3173.67</v>
      </c>
    </row>
    <row r="1640" spans="1:44" x14ac:dyDescent="0.35">
      <c r="A1640" s="16" t="str">
        <f t="shared" si="133"/>
        <v>50</v>
      </c>
      <c r="B1640" s="19">
        <v>71290</v>
      </c>
      <c r="C1640" s="16" t="str">
        <f t="shared" si="132"/>
        <v>0000000</v>
      </c>
      <c r="D1640" s="17" t="s">
        <v>3663</v>
      </c>
      <c r="E1640" s="16" t="s">
        <v>3205</v>
      </c>
      <c r="F1640" s="16" t="s">
        <v>3161</v>
      </c>
      <c r="G1640" s="35" t="s">
        <v>3206</v>
      </c>
      <c r="H1640" s="39">
        <v>7521.03</v>
      </c>
      <c r="I1640" s="39">
        <v>7614.8</v>
      </c>
      <c r="J1640" s="39">
        <v>7449.68</v>
      </c>
      <c r="K1640" s="39">
        <v>0</v>
      </c>
      <c r="L1640" s="39">
        <v>0</v>
      </c>
      <c r="M1640" s="39">
        <v>0</v>
      </c>
      <c r="N1640" s="39">
        <v>0</v>
      </c>
      <c r="O1640" s="39">
        <v>0</v>
      </c>
      <c r="P1640" s="39">
        <v>0</v>
      </c>
      <c r="Q1640" s="39">
        <v>0</v>
      </c>
      <c r="R1640" s="39">
        <v>0</v>
      </c>
      <c r="S1640" s="39">
        <v>0</v>
      </c>
      <c r="T1640" s="39">
        <v>0</v>
      </c>
      <c r="U1640" s="39">
        <v>0</v>
      </c>
      <c r="V1640" s="39">
        <v>0</v>
      </c>
      <c r="W1640" s="39">
        <v>0</v>
      </c>
      <c r="X1640" s="39">
        <v>0</v>
      </c>
      <c r="Y1640" s="39">
        <v>0</v>
      </c>
      <c r="Z1640" s="39">
        <v>0</v>
      </c>
      <c r="AA1640" s="39">
        <v>0</v>
      </c>
      <c r="AB1640" s="39">
        <v>0</v>
      </c>
      <c r="AC1640" s="39">
        <v>906.85</v>
      </c>
      <c r="AD1640" s="39">
        <v>846.95</v>
      </c>
      <c r="AE1640" s="39">
        <v>794.53</v>
      </c>
      <c r="AF1640" s="39">
        <v>0</v>
      </c>
      <c r="AG1640" s="39">
        <v>0</v>
      </c>
      <c r="AH1640" s="39">
        <v>0</v>
      </c>
      <c r="AI1640" s="39">
        <v>8427.8799999999992</v>
      </c>
      <c r="AJ1640" s="39">
        <v>8461.75</v>
      </c>
      <c r="AK1640" s="39">
        <v>8244.2099999999991</v>
      </c>
      <c r="AL1640" s="39">
        <v>0</v>
      </c>
      <c r="AM1640" s="39">
        <v>0</v>
      </c>
      <c r="AN1640" s="39">
        <v>0</v>
      </c>
      <c r="AO1640" s="39">
        <v>8427.8799999999992</v>
      </c>
      <c r="AP1640" s="39">
        <v>8461.75</v>
      </c>
      <c r="AQ1640" s="39">
        <v>8244.2099999999991</v>
      </c>
      <c r="AR1640" s="39">
        <v>8461.75</v>
      </c>
    </row>
    <row r="1641" spans="1:44" x14ac:dyDescent="0.35">
      <c r="A1641" s="16" t="str">
        <f t="shared" si="133"/>
        <v>50</v>
      </c>
      <c r="B1641" s="19">
        <v>75572</v>
      </c>
      <c r="C1641" s="16" t="str">
        <f t="shared" ref="C1641:C1658" si="134">TEXT(,"0000000")</f>
        <v>0000000</v>
      </c>
      <c r="D1641" s="17" t="s">
        <v>3663</v>
      </c>
      <c r="E1641" s="16" t="s">
        <v>3217</v>
      </c>
      <c r="F1641" s="16" t="s">
        <v>3161</v>
      </c>
      <c r="G1641" s="35" t="s">
        <v>3218</v>
      </c>
      <c r="H1641" s="39">
        <v>1614.25</v>
      </c>
      <c r="I1641" s="39">
        <v>1601.08</v>
      </c>
      <c r="J1641" s="39">
        <v>1658.39</v>
      </c>
      <c r="K1641" s="39">
        <v>0</v>
      </c>
      <c r="L1641" s="39">
        <v>0</v>
      </c>
      <c r="M1641" s="39">
        <v>0</v>
      </c>
      <c r="N1641" s="39">
        <v>0</v>
      </c>
      <c r="O1641" s="39">
        <v>0</v>
      </c>
      <c r="P1641" s="39">
        <v>0</v>
      </c>
      <c r="Q1641" s="39">
        <v>0</v>
      </c>
      <c r="R1641" s="39">
        <v>0</v>
      </c>
      <c r="S1641" s="39">
        <v>0</v>
      </c>
      <c r="T1641" s="39">
        <v>0</v>
      </c>
      <c r="U1641" s="39">
        <v>0</v>
      </c>
      <c r="V1641" s="39">
        <v>0</v>
      </c>
      <c r="W1641" s="39">
        <v>0</v>
      </c>
      <c r="X1641" s="39">
        <v>0</v>
      </c>
      <c r="Y1641" s="39">
        <v>0</v>
      </c>
      <c r="Z1641" s="39">
        <v>0</v>
      </c>
      <c r="AA1641" s="39">
        <v>0</v>
      </c>
      <c r="AB1641" s="39">
        <v>0</v>
      </c>
      <c r="AC1641" s="39">
        <v>773.68</v>
      </c>
      <c r="AD1641" s="39">
        <v>783.29</v>
      </c>
      <c r="AE1641" s="39">
        <v>763.53</v>
      </c>
      <c r="AF1641" s="39">
        <v>0</v>
      </c>
      <c r="AG1641" s="39">
        <v>0</v>
      </c>
      <c r="AH1641" s="39">
        <v>0</v>
      </c>
      <c r="AI1641" s="39">
        <v>2387.9299999999998</v>
      </c>
      <c r="AJ1641" s="39">
        <v>2384.37</v>
      </c>
      <c r="AK1641" s="39">
        <v>2421.92</v>
      </c>
      <c r="AL1641" s="39">
        <v>0</v>
      </c>
      <c r="AM1641" s="39">
        <v>0</v>
      </c>
      <c r="AN1641" s="39">
        <v>0</v>
      </c>
      <c r="AO1641" s="39">
        <v>2387.9299999999998</v>
      </c>
      <c r="AP1641" s="39">
        <v>2384.37</v>
      </c>
      <c r="AQ1641" s="39">
        <v>2421.92</v>
      </c>
      <c r="AR1641" s="39">
        <v>2421.92</v>
      </c>
    </row>
    <row r="1642" spans="1:44" x14ac:dyDescent="0.35">
      <c r="A1642" s="16" t="str">
        <f t="shared" si="133"/>
        <v>50</v>
      </c>
      <c r="B1642" s="19">
        <v>71068</v>
      </c>
      <c r="C1642" s="16" t="str">
        <f t="shared" si="134"/>
        <v>0000000</v>
      </c>
      <c r="D1642" s="17" t="s">
        <v>3663</v>
      </c>
      <c r="E1642" s="16" t="s">
        <v>3169</v>
      </c>
      <c r="F1642" s="16" t="s">
        <v>3161</v>
      </c>
      <c r="G1642" s="35" t="s">
        <v>3170</v>
      </c>
      <c r="H1642" s="39">
        <v>558.88</v>
      </c>
      <c r="I1642" s="39">
        <v>527.83000000000004</v>
      </c>
      <c r="J1642" s="39">
        <v>497.5</v>
      </c>
      <c r="K1642" s="39">
        <v>0</v>
      </c>
      <c r="L1642" s="39">
        <v>0</v>
      </c>
      <c r="M1642" s="39">
        <v>0</v>
      </c>
      <c r="N1642" s="39">
        <v>0</v>
      </c>
      <c r="O1642" s="39">
        <v>0</v>
      </c>
      <c r="P1642" s="39">
        <v>0</v>
      </c>
      <c r="Q1642" s="39">
        <v>0</v>
      </c>
      <c r="R1642" s="39">
        <v>0</v>
      </c>
      <c r="S1642" s="39">
        <v>0</v>
      </c>
      <c r="T1642" s="39">
        <v>0</v>
      </c>
      <c r="U1642" s="39">
        <v>0</v>
      </c>
      <c r="V1642" s="39">
        <v>0</v>
      </c>
      <c r="W1642" s="39">
        <v>0</v>
      </c>
      <c r="X1642" s="39">
        <v>0</v>
      </c>
      <c r="Y1642" s="39">
        <v>0</v>
      </c>
      <c r="Z1642" s="39">
        <v>0</v>
      </c>
      <c r="AA1642" s="39">
        <v>0</v>
      </c>
      <c r="AB1642" s="39">
        <v>0</v>
      </c>
      <c r="AC1642" s="39">
        <v>641.79999999999995</v>
      </c>
      <c r="AD1642" s="39">
        <v>684.05</v>
      </c>
      <c r="AE1642" s="39">
        <v>715.55</v>
      </c>
      <c r="AF1642" s="39">
        <v>0</v>
      </c>
      <c r="AG1642" s="39">
        <v>0</v>
      </c>
      <c r="AH1642" s="39">
        <v>0</v>
      </c>
      <c r="AI1642" s="39">
        <v>1200.68</v>
      </c>
      <c r="AJ1642" s="39">
        <v>1211.8800000000001</v>
      </c>
      <c r="AK1642" s="39">
        <v>1213.05</v>
      </c>
      <c r="AL1642" s="39">
        <v>0</v>
      </c>
      <c r="AM1642" s="39">
        <v>0</v>
      </c>
      <c r="AN1642" s="39">
        <v>0</v>
      </c>
      <c r="AO1642" s="39">
        <v>1200.68</v>
      </c>
      <c r="AP1642" s="39">
        <v>1211.8800000000001</v>
      </c>
      <c r="AQ1642" s="39">
        <v>1213.05</v>
      </c>
      <c r="AR1642" s="39">
        <v>1213.05</v>
      </c>
    </row>
    <row r="1643" spans="1:44" x14ac:dyDescent="0.35">
      <c r="A1643" s="16" t="str">
        <f t="shared" si="133"/>
        <v>50</v>
      </c>
      <c r="B1643" s="19">
        <v>71134</v>
      </c>
      <c r="C1643" s="16" t="str">
        <f t="shared" si="134"/>
        <v>0000000</v>
      </c>
      <c r="D1643" s="17" t="s">
        <v>3663</v>
      </c>
      <c r="E1643" s="16" t="s">
        <v>3179</v>
      </c>
      <c r="F1643" s="16" t="s">
        <v>3161</v>
      </c>
      <c r="G1643" s="35" t="s">
        <v>3180</v>
      </c>
      <c r="H1643" s="39">
        <v>677.02</v>
      </c>
      <c r="I1643" s="39">
        <v>664.5</v>
      </c>
      <c r="J1643" s="39">
        <v>657.89</v>
      </c>
      <c r="K1643" s="39">
        <v>0</v>
      </c>
      <c r="L1643" s="39">
        <v>0</v>
      </c>
      <c r="M1643" s="39">
        <v>0</v>
      </c>
      <c r="N1643" s="39">
        <v>0</v>
      </c>
      <c r="O1643" s="39">
        <v>0</v>
      </c>
      <c r="P1643" s="39">
        <v>0</v>
      </c>
      <c r="Q1643" s="39">
        <v>0</v>
      </c>
      <c r="R1643" s="39">
        <v>0</v>
      </c>
      <c r="S1643" s="39">
        <v>0</v>
      </c>
      <c r="T1643" s="39">
        <v>0</v>
      </c>
      <c r="U1643" s="39">
        <v>0</v>
      </c>
      <c r="V1643" s="39">
        <v>0</v>
      </c>
      <c r="W1643" s="39">
        <v>0</v>
      </c>
      <c r="X1643" s="39">
        <v>0</v>
      </c>
      <c r="Y1643" s="39">
        <v>0</v>
      </c>
      <c r="Z1643" s="39">
        <v>0</v>
      </c>
      <c r="AA1643" s="39">
        <v>0</v>
      </c>
      <c r="AB1643" s="39">
        <v>0</v>
      </c>
      <c r="AC1643" s="39">
        <v>340.2</v>
      </c>
      <c r="AD1643" s="39">
        <v>350.2</v>
      </c>
      <c r="AE1643" s="39">
        <v>314.36</v>
      </c>
      <c r="AF1643" s="39">
        <v>0</v>
      </c>
      <c r="AG1643" s="39">
        <v>0</v>
      </c>
      <c r="AH1643" s="39">
        <v>0</v>
      </c>
      <c r="AI1643" s="39">
        <v>1017.22</v>
      </c>
      <c r="AJ1643" s="39">
        <v>1014.7</v>
      </c>
      <c r="AK1643" s="39">
        <v>972.25</v>
      </c>
      <c r="AL1643" s="39">
        <v>0</v>
      </c>
      <c r="AM1643" s="39">
        <v>0</v>
      </c>
      <c r="AN1643" s="39">
        <v>0</v>
      </c>
      <c r="AO1643" s="39">
        <v>1017.22</v>
      </c>
      <c r="AP1643" s="39">
        <v>1014.7</v>
      </c>
      <c r="AQ1643" s="39">
        <v>972.25</v>
      </c>
      <c r="AR1643" s="39">
        <v>1017.22</v>
      </c>
    </row>
    <row r="1644" spans="1:44" x14ac:dyDescent="0.35">
      <c r="A1644" s="16" t="str">
        <f t="shared" si="133"/>
        <v>50</v>
      </c>
      <c r="B1644" s="19">
        <v>71266</v>
      </c>
      <c r="C1644" s="16" t="str">
        <f t="shared" si="134"/>
        <v>0000000</v>
      </c>
      <c r="D1644" s="17" t="s">
        <v>3663</v>
      </c>
      <c r="E1644" s="16" t="s">
        <v>3199</v>
      </c>
      <c r="F1644" s="16" t="s">
        <v>3161</v>
      </c>
      <c r="G1644" s="35" t="s">
        <v>3200</v>
      </c>
      <c r="H1644" s="39">
        <v>1934.2</v>
      </c>
      <c r="I1644" s="39">
        <v>1986.49</v>
      </c>
      <c r="J1644" s="39">
        <v>2005.55</v>
      </c>
      <c r="K1644" s="39">
        <v>0</v>
      </c>
      <c r="L1644" s="39">
        <v>0</v>
      </c>
      <c r="M1644" s="39">
        <v>0</v>
      </c>
      <c r="N1644" s="39">
        <v>0</v>
      </c>
      <c r="O1644" s="39">
        <v>0</v>
      </c>
      <c r="P1644" s="39">
        <v>0</v>
      </c>
      <c r="Q1644" s="39">
        <v>0</v>
      </c>
      <c r="R1644" s="39">
        <v>0</v>
      </c>
      <c r="S1644" s="39">
        <v>0</v>
      </c>
      <c r="T1644" s="39">
        <v>0</v>
      </c>
      <c r="U1644" s="39">
        <v>0</v>
      </c>
      <c r="V1644" s="39">
        <v>0</v>
      </c>
      <c r="W1644" s="39">
        <v>0</v>
      </c>
      <c r="X1644" s="39">
        <v>0</v>
      </c>
      <c r="Y1644" s="39">
        <v>0</v>
      </c>
      <c r="Z1644" s="39">
        <v>0</v>
      </c>
      <c r="AA1644" s="39">
        <v>0</v>
      </c>
      <c r="AB1644" s="39">
        <v>0</v>
      </c>
      <c r="AC1644" s="39">
        <v>865.88</v>
      </c>
      <c r="AD1644" s="39">
        <v>823.66</v>
      </c>
      <c r="AE1644" s="39">
        <v>769.95</v>
      </c>
      <c r="AF1644" s="39">
        <v>0</v>
      </c>
      <c r="AG1644" s="39">
        <v>0</v>
      </c>
      <c r="AH1644" s="39">
        <v>0</v>
      </c>
      <c r="AI1644" s="39">
        <v>2800.08</v>
      </c>
      <c r="AJ1644" s="39">
        <v>2810.15</v>
      </c>
      <c r="AK1644" s="39">
        <v>2775.5</v>
      </c>
      <c r="AL1644" s="39">
        <v>0</v>
      </c>
      <c r="AM1644" s="39">
        <v>0</v>
      </c>
      <c r="AN1644" s="39">
        <v>0</v>
      </c>
      <c r="AO1644" s="39">
        <v>2800.08</v>
      </c>
      <c r="AP1644" s="39">
        <v>2810.15</v>
      </c>
      <c r="AQ1644" s="39">
        <v>2775.5</v>
      </c>
      <c r="AR1644" s="39">
        <v>2810.15</v>
      </c>
    </row>
    <row r="1645" spans="1:44" x14ac:dyDescent="0.35">
      <c r="A1645" s="16" t="str">
        <f t="shared" si="133"/>
        <v>50</v>
      </c>
      <c r="B1645" s="19">
        <v>71050</v>
      </c>
      <c r="C1645" s="16" t="str">
        <f t="shared" si="134"/>
        <v>0000000</v>
      </c>
      <c r="D1645" s="17" t="s">
        <v>3663</v>
      </c>
      <c r="E1645" s="16" t="s">
        <v>3167</v>
      </c>
      <c r="F1645" s="16" t="s">
        <v>3161</v>
      </c>
      <c r="G1645" s="35" t="s">
        <v>3168</v>
      </c>
      <c r="H1645" s="39">
        <v>543.82000000000005</v>
      </c>
      <c r="I1645" s="39">
        <v>514.52</v>
      </c>
      <c r="J1645" s="39">
        <v>526.41</v>
      </c>
      <c r="K1645" s="39">
        <v>0</v>
      </c>
      <c r="L1645" s="39">
        <v>0</v>
      </c>
      <c r="M1645" s="39">
        <v>0</v>
      </c>
      <c r="N1645" s="39">
        <v>0</v>
      </c>
      <c r="O1645" s="39">
        <v>0</v>
      </c>
      <c r="P1645" s="39">
        <v>0</v>
      </c>
      <c r="Q1645" s="39">
        <v>0</v>
      </c>
      <c r="R1645" s="39">
        <v>0</v>
      </c>
      <c r="S1645" s="39">
        <v>0</v>
      </c>
      <c r="T1645" s="39">
        <v>0</v>
      </c>
      <c r="U1645" s="39">
        <v>0</v>
      </c>
      <c r="V1645" s="39">
        <v>0</v>
      </c>
      <c r="W1645" s="39">
        <v>0</v>
      </c>
      <c r="X1645" s="39">
        <v>0</v>
      </c>
      <c r="Y1645" s="39">
        <v>0</v>
      </c>
      <c r="Z1645" s="39">
        <v>0</v>
      </c>
      <c r="AA1645" s="39">
        <v>0</v>
      </c>
      <c r="AB1645" s="39">
        <v>0</v>
      </c>
      <c r="AC1645" s="39">
        <v>0</v>
      </c>
      <c r="AD1645" s="39">
        <v>0</v>
      </c>
      <c r="AE1645" s="39">
        <v>0</v>
      </c>
      <c r="AF1645" s="39">
        <v>0</v>
      </c>
      <c r="AG1645" s="39">
        <v>0</v>
      </c>
      <c r="AH1645" s="39">
        <v>0</v>
      </c>
      <c r="AI1645" s="39">
        <v>543.82000000000005</v>
      </c>
      <c r="AJ1645" s="39">
        <v>514.52</v>
      </c>
      <c r="AK1645" s="39">
        <v>526.41</v>
      </c>
      <c r="AL1645" s="39">
        <v>0</v>
      </c>
      <c r="AM1645" s="39">
        <v>0</v>
      </c>
      <c r="AN1645" s="39">
        <v>0</v>
      </c>
      <c r="AO1645" s="39">
        <v>543.82000000000005</v>
      </c>
      <c r="AP1645" s="39">
        <v>514.52</v>
      </c>
      <c r="AQ1645" s="39">
        <v>526.41</v>
      </c>
      <c r="AR1645" s="39">
        <v>543.82000000000005</v>
      </c>
    </row>
    <row r="1646" spans="1:44" x14ac:dyDescent="0.35">
      <c r="A1646" s="16" t="str">
        <f t="shared" si="133"/>
        <v>50</v>
      </c>
      <c r="B1646" s="19">
        <v>71092</v>
      </c>
      <c r="C1646" s="16" t="str">
        <f t="shared" si="134"/>
        <v>0000000</v>
      </c>
      <c r="D1646" s="17" t="s">
        <v>3663</v>
      </c>
      <c r="E1646" s="16" t="s">
        <v>3175</v>
      </c>
      <c r="F1646" s="16" t="s">
        <v>3161</v>
      </c>
      <c r="G1646" s="35" t="s">
        <v>3176</v>
      </c>
      <c r="H1646" s="39">
        <v>664.59</v>
      </c>
      <c r="I1646" s="39">
        <v>683.7</v>
      </c>
      <c r="J1646" s="39">
        <v>692.53</v>
      </c>
      <c r="K1646" s="39">
        <v>0</v>
      </c>
      <c r="L1646" s="39">
        <v>0</v>
      </c>
      <c r="M1646" s="39">
        <v>0</v>
      </c>
      <c r="N1646" s="39">
        <v>0</v>
      </c>
      <c r="O1646" s="39">
        <v>0</v>
      </c>
      <c r="P1646" s="39">
        <v>0</v>
      </c>
      <c r="Q1646" s="39">
        <v>0</v>
      </c>
      <c r="R1646" s="39">
        <v>0</v>
      </c>
      <c r="S1646" s="39">
        <v>0</v>
      </c>
      <c r="T1646" s="39">
        <v>0</v>
      </c>
      <c r="U1646" s="39">
        <v>0</v>
      </c>
      <c r="V1646" s="39">
        <v>0</v>
      </c>
      <c r="W1646" s="39">
        <v>0</v>
      </c>
      <c r="X1646" s="39">
        <v>0</v>
      </c>
      <c r="Y1646" s="39">
        <v>0</v>
      </c>
      <c r="Z1646" s="39">
        <v>0</v>
      </c>
      <c r="AA1646" s="39">
        <v>0</v>
      </c>
      <c r="AB1646" s="39">
        <v>0</v>
      </c>
      <c r="AC1646" s="39">
        <v>515.02</v>
      </c>
      <c r="AD1646" s="39">
        <v>458.01</v>
      </c>
      <c r="AE1646" s="39">
        <v>433.49</v>
      </c>
      <c r="AF1646" s="39">
        <v>0</v>
      </c>
      <c r="AG1646" s="39">
        <v>0</v>
      </c>
      <c r="AH1646" s="39">
        <v>0</v>
      </c>
      <c r="AI1646" s="39">
        <v>1179.6099999999999</v>
      </c>
      <c r="AJ1646" s="39">
        <v>1141.71</v>
      </c>
      <c r="AK1646" s="39">
        <v>1126.02</v>
      </c>
      <c r="AL1646" s="39">
        <v>0</v>
      </c>
      <c r="AM1646" s="39">
        <v>0</v>
      </c>
      <c r="AN1646" s="39">
        <v>0</v>
      </c>
      <c r="AO1646" s="39">
        <v>1179.6099999999999</v>
      </c>
      <c r="AP1646" s="39">
        <v>1141.71</v>
      </c>
      <c r="AQ1646" s="39">
        <v>1126.02</v>
      </c>
      <c r="AR1646" s="39">
        <v>1179.6099999999999</v>
      </c>
    </row>
    <row r="1647" spans="1:44" x14ac:dyDescent="0.35">
      <c r="A1647" s="16" t="str">
        <f t="shared" si="133"/>
        <v>50</v>
      </c>
      <c r="B1647" s="19">
        <v>71209</v>
      </c>
      <c r="C1647" s="16" t="str">
        <f t="shared" si="134"/>
        <v>0000000</v>
      </c>
      <c r="D1647" s="17" t="s">
        <v>3663</v>
      </c>
      <c r="E1647" s="16" t="s">
        <v>3193</v>
      </c>
      <c r="F1647" s="16" t="s">
        <v>3161</v>
      </c>
      <c r="G1647" s="35" t="s">
        <v>3194</v>
      </c>
      <c r="H1647" s="39">
        <v>55.77</v>
      </c>
      <c r="I1647" s="39">
        <v>55.95</v>
      </c>
      <c r="J1647" s="39">
        <v>65.790000000000006</v>
      </c>
      <c r="K1647" s="39">
        <v>0</v>
      </c>
      <c r="L1647" s="39">
        <v>0</v>
      </c>
      <c r="M1647" s="39">
        <v>0</v>
      </c>
      <c r="N1647" s="39">
        <v>0</v>
      </c>
      <c r="O1647" s="39">
        <v>0</v>
      </c>
      <c r="P1647" s="39">
        <v>0</v>
      </c>
      <c r="Q1647" s="39">
        <v>0</v>
      </c>
      <c r="R1647" s="39">
        <v>0</v>
      </c>
      <c r="S1647" s="39">
        <v>0</v>
      </c>
      <c r="T1647" s="39">
        <v>0</v>
      </c>
      <c r="U1647" s="39">
        <v>0</v>
      </c>
      <c r="V1647" s="39">
        <v>0</v>
      </c>
      <c r="W1647" s="39">
        <v>0</v>
      </c>
      <c r="X1647" s="39">
        <v>0</v>
      </c>
      <c r="Y1647" s="39">
        <v>0</v>
      </c>
      <c r="Z1647" s="39">
        <v>0</v>
      </c>
      <c r="AA1647" s="39">
        <v>0</v>
      </c>
      <c r="AB1647" s="39">
        <v>0</v>
      </c>
      <c r="AC1647" s="39">
        <v>113.92</v>
      </c>
      <c r="AD1647" s="39">
        <v>112.99</v>
      </c>
      <c r="AE1647" s="39">
        <v>113.55</v>
      </c>
      <c r="AF1647" s="39">
        <v>0</v>
      </c>
      <c r="AG1647" s="39">
        <v>0</v>
      </c>
      <c r="AH1647" s="39">
        <v>0</v>
      </c>
      <c r="AI1647" s="39">
        <v>169.69</v>
      </c>
      <c r="AJ1647" s="39">
        <v>168.94</v>
      </c>
      <c r="AK1647" s="39">
        <v>179.34</v>
      </c>
      <c r="AL1647" s="39">
        <v>0</v>
      </c>
      <c r="AM1647" s="39">
        <v>0</v>
      </c>
      <c r="AN1647" s="39">
        <v>0</v>
      </c>
      <c r="AO1647" s="39">
        <v>169.69</v>
      </c>
      <c r="AP1647" s="39">
        <v>168.94</v>
      </c>
      <c r="AQ1647" s="39">
        <v>179.34</v>
      </c>
      <c r="AR1647" s="39">
        <v>179.34</v>
      </c>
    </row>
    <row r="1648" spans="1:44" x14ac:dyDescent="0.35">
      <c r="A1648" s="16" t="str">
        <f t="shared" si="133"/>
        <v>50</v>
      </c>
      <c r="B1648" s="19">
        <v>71100</v>
      </c>
      <c r="C1648" s="16" t="str">
        <f t="shared" si="134"/>
        <v>0000000</v>
      </c>
      <c r="D1648" s="17" t="s">
        <v>3663</v>
      </c>
      <c r="E1648" s="16" t="s">
        <v>3177</v>
      </c>
      <c r="F1648" s="16" t="s">
        <v>3161</v>
      </c>
      <c r="G1648" s="35" t="s">
        <v>3178</v>
      </c>
      <c r="H1648" s="39">
        <v>0</v>
      </c>
      <c r="I1648" s="39">
        <v>0</v>
      </c>
      <c r="J1648" s="39">
        <v>0</v>
      </c>
      <c r="K1648" s="39">
        <v>0</v>
      </c>
      <c r="L1648" s="39">
        <v>0</v>
      </c>
      <c r="M1648" s="39">
        <v>0</v>
      </c>
      <c r="N1648" s="39">
        <v>0</v>
      </c>
      <c r="O1648" s="39">
        <v>0</v>
      </c>
      <c r="P1648" s="39">
        <v>0</v>
      </c>
      <c r="Q1648" s="39">
        <v>0</v>
      </c>
      <c r="R1648" s="39">
        <v>0</v>
      </c>
      <c r="S1648" s="39">
        <v>0</v>
      </c>
      <c r="T1648" s="39">
        <v>0</v>
      </c>
      <c r="U1648" s="39">
        <v>0</v>
      </c>
      <c r="V1648" s="39">
        <v>0</v>
      </c>
      <c r="W1648" s="39">
        <v>0</v>
      </c>
      <c r="X1648" s="39">
        <v>0</v>
      </c>
      <c r="Y1648" s="39">
        <v>0</v>
      </c>
      <c r="Z1648" s="39">
        <v>0</v>
      </c>
      <c r="AA1648" s="39">
        <v>0</v>
      </c>
      <c r="AB1648" s="39">
        <v>0</v>
      </c>
      <c r="AC1648" s="39">
        <v>1058.99</v>
      </c>
      <c r="AD1648" s="39">
        <v>1020.56</v>
      </c>
      <c r="AE1648" s="39">
        <v>948.01</v>
      </c>
      <c r="AF1648" s="39">
        <v>0</v>
      </c>
      <c r="AG1648" s="39">
        <v>0</v>
      </c>
      <c r="AH1648" s="39">
        <v>0</v>
      </c>
      <c r="AI1648" s="39">
        <v>1058.99</v>
      </c>
      <c r="AJ1648" s="39">
        <v>1020.56</v>
      </c>
      <c r="AK1648" s="39">
        <v>948.01</v>
      </c>
      <c r="AL1648" s="39">
        <v>0</v>
      </c>
      <c r="AM1648" s="39">
        <v>0</v>
      </c>
      <c r="AN1648" s="39">
        <v>0</v>
      </c>
      <c r="AO1648" s="39">
        <v>1058.99</v>
      </c>
      <c r="AP1648" s="39">
        <v>1020.56</v>
      </c>
      <c r="AQ1648" s="39">
        <v>948.01</v>
      </c>
      <c r="AR1648" s="39">
        <v>1058.99</v>
      </c>
    </row>
    <row r="1649" spans="1:44" x14ac:dyDescent="0.35">
      <c r="A1649" s="16" t="str">
        <f t="shared" si="133"/>
        <v>50</v>
      </c>
      <c r="B1649" s="19">
        <v>75549</v>
      </c>
      <c r="C1649" s="16" t="str">
        <f t="shared" si="134"/>
        <v>0000000</v>
      </c>
      <c r="D1649" s="17" t="s">
        <v>3663</v>
      </c>
      <c r="E1649" s="16" t="s">
        <v>3211</v>
      </c>
      <c r="F1649" s="16" t="s">
        <v>3161</v>
      </c>
      <c r="G1649" s="35" t="s">
        <v>3212</v>
      </c>
      <c r="H1649" s="39">
        <v>2119.85</v>
      </c>
      <c r="I1649" s="39">
        <v>2065.83</v>
      </c>
      <c r="J1649" s="39">
        <v>1994.75</v>
      </c>
      <c r="K1649" s="39">
        <v>0</v>
      </c>
      <c r="L1649" s="39">
        <v>0</v>
      </c>
      <c r="M1649" s="39">
        <v>0</v>
      </c>
      <c r="N1649" s="39">
        <v>0</v>
      </c>
      <c r="O1649" s="39">
        <v>0</v>
      </c>
      <c r="P1649" s="39">
        <v>0</v>
      </c>
      <c r="Q1649" s="39">
        <v>0</v>
      </c>
      <c r="R1649" s="39">
        <v>0</v>
      </c>
      <c r="S1649" s="39">
        <v>0</v>
      </c>
      <c r="T1649" s="39">
        <v>0</v>
      </c>
      <c r="U1649" s="39">
        <v>0</v>
      </c>
      <c r="V1649" s="39">
        <v>0</v>
      </c>
      <c r="W1649" s="39">
        <v>0</v>
      </c>
      <c r="X1649" s="39">
        <v>0</v>
      </c>
      <c r="Y1649" s="39">
        <v>0</v>
      </c>
      <c r="Z1649" s="39">
        <v>0</v>
      </c>
      <c r="AA1649" s="39">
        <v>0</v>
      </c>
      <c r="AB1649" s="39">
        <v>0</v>
      </c>
      <c r="AC1649" s="39">
        <v>0</v>
      </c>
      <c r="AD1649" s="39">
        <v>0</v>
      </c>
      <c r="AE1649" s="39">
        <v>0</v>
      </c>
      <c r="AF1649" s="39">
        <v>0</v>
      </c>
      <c r="AG1649" s="39">
        <v>0</v>
      </c>
      <c r="AH1649" s="39">
        <v>0</v>
      </c>
      <c r="AI1649" s="39">
        <v>2119.85</v>
      </c>
      <c r="AJ1649" s="39">
        <v>2065.83</v>
      </c>
      <c r="AK1649" s="39">
        <v>1994.75</v>
      </c>
      <c r="AL1649" s="39">
        <v>0</v>
      </c>
      <c r="AM1649" s="39">
        <v>0</v>
      </c>
      <c r="AN1649" s="39">
        <v>0</v>
      </c>
      <c r="AO1649" s="39">
        <v>2119.85</v>
      </c>
      <c r="AP1649" s="39">
        <v>2065.83</v>
      </c>
      <c r="AQ1649" s="39">
        <v>1994.75</v>
      </c>
      <c r="AR1649" s="39">
        <v>2119.85</v>
      </c>
    </row>
    <row r="1650" spans="1:44" x14ac:dyDescent="0.35">
      <c r="A1650" s="16" t="str">
        <f t="shared" si="133"/>
        <v>50</v>
      </c>
      <c r="B1650" s="19">
        <v>71084</v>
      </c>
      <c r="C1650" s="16" t="str">
        <f t="shared" si="134"/>
        <v>0000000</v>
      </c>
      <c r="D1650" s="17" t="s">
        <v>3663</v>
      </c>
      <c r="E1650" s="16" t="s">
        <v>3173</v>
      </c>
      <c r="F1650" s="16" t="s">
        <v>3161</v>
      </c>
      <c r="G1650" s="35" t="s">
        <v>3174</v>
      </c>
      <c r="H1650" s="39">
        <v>24.81</v>
      </c>
      <c r="I1650" s="39">
        <v>20.91</v>
      </c>
      <c r="J1650" s="39">
        <v>22.36</v>
      </c>
      <c r="K1650" s="39">
        <v>0</v>
      </c>
      <c r="L1650" s="39">
        <v>0</v>
      </c>
      <c r="M1650" s="39">
        <v>0</v>
      </c>
      <c r="N1650" s="39">
        <v>0</v>
      </c>
      <c r="O1650" s="39">
        <v>0</v>
      </c>
      <c r="P1650" s="39">
        <v>0</v>
      </c>
      <c r="Q1650" s="39">
        <v>0</v>
      </c>
      <c r="R1650" s="39">
        <v>0</v>
      </c>
      <c r="S1650" s="39">
        <v>0</v>
      </c>
      <c r="T1650" s="39">
        <v>0</v>
      </c>
      <c r="U1650" s="39">
        <v>0</v>
      </c>
      <c r="V1650" s="39">
        <v>0</v>
      </c>
      <c r="W1650" s="39">
        <v>0</v>
      </c>
      <c r="X1650" s="39">
        <v>0</v>
      </c>
      <c r="Y1650" s="39">
        <v>0</v>
      </c>
      <c r="Z1650" s="39">
        <v>0</v>
      </c>
      <c r="AA1650" s="39">
        <v>0</v>
      </c>
      <c r="AB1650" s="39">
        <v>0</v>
      </c>
      <c r="AC1650" s="39">
        <v>110.77</v>
      </c>
      <c r="AD1650" s="39">
        <v>116.14</v>
      </c>
      <c r="AE1650" s="39">
        <v>119.06</v>
      </c>
      <c r="AF1650" s="39">
        <v>0</v>
      </c>
      <c r="AG1650" s="39">
        <v>0</v>
      </c>
      <c r="AH1650" s="39">
        <v>0</v>
      </c>
      <c r="AI1650" s="39">
        <v>135.58000000000001</v>
      </c>
      <c r="AJ1650" s="39">
        <v>137.05000000000001</v>
      </c>
      <c r="AK1650" s="39">
        <v>141.41999999999999</v>
      </c>
      <c r="AL1650" s="39">
        <v>0</v>
      </c>
      <c r="AM1650" s="39">
        <v>0</v>
      </c>
      <c r="AN1650" s="39">
        <v>0</v>
      </c>
      <c r="AO1650" s="39">
        <v>135.58000000000001</v>
      </c>
      <c r="AP1650" s="39">
        <v>137.05000000000001</v>
      </c>
      <c r="AQ1650" s="39">
        <v>141.41999999999999</v>
      </c>
      <c r="AR1650" s="39">
        <v>141.41999999999999</v>
      </c>
    </row>
    <row r="1651" spans="1:44" x14ac:dyDescent="0.35">
      <c r="A1651" s="16" t="str">
        <f t="shared" si="133"/>
        <v>50</v>
      </c>
      <c r="B1651" s="19">
        <v>71142</v>
      </c>
      <c r="C1651" s="16" t="str">
        <f t="shared" si="134"/>
        <v>0000000</v>
      </c>
      <c r="D1651" s="17" t="s">
        <v>3663</v>
      </c>
      <c r="E1651" s="16" t="s">
        <v>3181</v>
      </c>
      <c r="F1651" s="16" t="s">
        <v>3161</v>
      </c>
      <c r="G1651" s="35" t="s">
        <v>3182</v>
      </c>
      <c r="H1651" s="39">
        <v>102.14</v>
      </c>
      <c r="I1651" s="39">
        <v>108.67</v>
      </c>
      <c r="J1651" s="39">
        <v>108.65</v>
      </c>
      <c r="K1651" s="39">
        <v>0</v>
      </c>
      <c r="L1651" s="39">
        <v>0</v>
      </c>
      <c r="M1651" s="39">
        <v>0</v>
      </c>
      <c r="N1651" s="39">
        <v>0</v>
      </c>
      <c r="O1651" s="39">
        <v>0</v>
      </c>
      <c r="P1651" s="39">
        <v>0</v>
      </c>
      <c r="Q1651" s="39">
        <v>0</v>
      </c>
      <c r="R1651" s="39">
        <v>0</v>
      </c>
      <c r="S1651" s="39">
        <v>0</v>
      </c>
      <c r="T1651" s="39">
        <v>0</v>
      </c>
      <c r="U1651" s="39">
        <v>0</v>
      </c>
      <c r="V1651" s="39">
        <v>0</v>
      </c>
      <c r="W1651" s="39">
        <v>0</v>
      </c>
      <c r="X1651" s="39">
        <v>0</v>
      </c>
      <c r="Y1651" s="39">
        <v>0</v>
      </c>
      <c r="Z1651" s="39">
        <v>0</v>
      </c>
      <c r="AA1651" s="39">
        <v>0</v>
      </c>
      <c r="AB1651" s="39">
        <v>0</v>
      </c>
      <c r="AC1651" s="39">
        <v>0</v>
      </c>
      <c r="AD1651" s="39">
        <v>0</v>
      </c>
      <c r="AE1651" s="39">
        <v>0</v>
      </c>
      <c r="AF1651" s="39">
        <v>0</v>
      </c>
      <c r="AG1651" s="39">
        <v>0</v>
      </c>
      <c r="AH1651" s="39">
        <v>0</v>
      </c>
      <c r="AI1651" s="39">
        <v>102.14</v>
      </c>
      <c r="AJ1651" s="39">
        <v>108.67</v>
      </c>
      <c r="AK1651" s="39">
        <v>108.65</v>
      </c>
      <c r="AL1651" s="39">
        <v>0</v>
      </c>
      <c r="AM1651" s="39">
        <v>0</v>
      </c>
      <c r="AN1651" s="39">
        <v>0</v>
      </c>
      <c r="AO1651" s="39">
        <v>102.14</v>
      </c>
      <c r="AP1651" s="39">
        <v>108.67</v>
      </c>
      <c r="AQ1651" s="39">
        <v>108.65</v>
      </c>
      <c r="AR1651" s="39">
        <v>108.67</v>
      </c>
    </row>
    <row r="1652" spans="1:44" x14ac:dyDescent="0.35">
      <c r="A1652" s="16" t="str">
        <f t="shared" si="133"/>
        <v>50</v>
      </c>
      <c r="B1652" s="19">
        <v>71233</v>
      </c>
      <c r="C1652" s="16" t="str">
        <f t="shared" si="134"/>
        <v>0000000</v>
      </c>
      <c r="D1652" s="17" t="s">
        <v>3663</v>
      </c>
      <c r="E1652" s="16" t="s">
        <v>3197</v>
      </c>
      <c r="F1652" s="16" t="s">
        <v>3161</v>
      </c>
      <c r="G1652" s="35" t="s">
        <v>3198</v>
      </c>
      <c r="H1652" s="39">
        <v>30.24</v>
      </c>
      <c r="I1652" s="39">
        <v>24.27</v>
      </c>
      <c r="J1652" s="39">
        <v>24.05</v>
      </c>
      <c r="K1652" s="39">
        <v>0</v>
      </c>
      <c r="L1652" s="39">
        <v>0</v>
      </c>
      <c r="M1652" s="39">
        <v>0</v>
      </c>
      <c r="N1652" s="39">
        <v>0</v>
      </c>
      <c r="O1652" s="39">
        <v>0</v>
      </c>
      <c r="P1652" s="39">
        <v>0</v>
      </c>
      <c r="Q1652" s="39">
        <v>0</v>
      </c>
      <c r="R1652" s="39">
        <v>0</v>
      </c>
      <c r="S1652" s="39">
        <v>0</v>
      </c>
      <c r="T1652" s="39">
        <v>0</v>
      </c>
      <c r="U1652" s="39">
        <v>0</v>
      </c>
      <c r="V1652" s="39">
        <v>0</v>
      </c>
      <c r="W1652" s="39">
        <v>0</v>
      </c>
      <c r="X1652" s="39">
        <v>0</v>
      </c>
      <c r="Y1652" s="39">
        <v>0</v>
      </c>
      <c r="Z1652" s="39">
        <v>0</v>
      </c>
      <c r="AA1652" s="39">
        <v>0</v>
      </c>
      <c r="AB1652" s="39">
        <v>0</v>
      </c>
      <c r="AC1652" s="39">
        <v>161.76</v>
      </c>
      <c r="AD1652" s="39">
        <v>164.28</v>
      </c>
      <c r="AE1652" s="39">
        <v>165.13</v>
      </c>
      <c r="AF1652" s="39">
        <v>0</v>
      </c>
      <c r="AG1652" s="39">
        <v>0</v>
      </c>
      <c r="AH1652" s="39">
        <v>0</v>
      </c>
      <c r="AI1652" s="39">
        <v>192</v>
      </c>
      <c r="AJ1652" s="39">
        <v>188.55</v>
      </c>
      <c r="AK1652" s="39">
        <v>189.18</v>
      </c>
      <c r="AL1652" s="39">
        <v>0</v>
      </c>
      <c r="AM1652" s="39">
        <v>0</v>
      </c>
      <c r="AN1652" s="39">
        <v>0</v>
      </c>
      <c r="AO1652" s="39">
        <v>192</v>
      </c>
      <c r="AP1652" s="39">
        <v>188.55</v>
      </c>
      <c r="AQ1652" s="39">
        <v>189.18</v>
      </c>
      <c r="AR1652" s="39">
        <v>192</v>
      </c>
    </row>
    <row r="1653" spans="1:44" x14ac:dyDescent="0.35">
      <c r="A1653" s="16" t="str">
        <f t="shared" si="133"/>
        <v>50</v>
      </c>
      <c r="B1653" s="19">
        <v>71274</v>
      </c>
      <c r="C1653" s="16" t="str">
        <f t="shared" si="134"/>
        <v>0000000</v>
      </c>
      <c r="D1653" s="17" t="s">
        <v>3663</v>
      </c>
      <c r="E1653" s="16" t="s">
        <v>3201</v>
      </c>
      <c r="F1653" s="16" t="s">
        <v>3161</v>
      </c>
      <c r="G1653" s="35" t="s">
        <v>3202</v>
      </c>
      <c r="H1653" s="39">
        <v>20.98</v>
      </c>
      <c r="I1653" s="39">
        <v>22.19</v>
      </c>
      <c r="J1653" s="39">
        <v>28.39</v>
      </c>
      <c r="K1653" s="39">
        <v>0</v>
      </c>
      <c r="L1653" s="39">
        <v>0</v>
      </c>
      <c r="M1653" s="39">
        <v>0</v>
      </c>
      <c r="N1653" s="39">
        <v>0</v>
      </c>
      <c r="O1653" s="39">
        <v>0</v>
      </c>
      <c r="P1653" s="39">
        <v>0</v>
      </c>
      <c r="Q1653" s="39">
        <v>0</v>
      </c>
      <c r="R1653" s="39">
        <v>0</v>
      </c>
      <c r="S1653" s="39">
        <v>0</v>
      </c>
      <c r="T1653" s="39">
        <v>0</v>
      </c>
      <c r="U1653" s="39">
        <v>0</v>
      </c>
      <c r="V1653" s="39">
        <v>0</v>
      </c>
      <c r="W1653" s="39">
        <v>0</v>
      </c>
      <c r="X1653" s="39">
        <v>0</v>
      </c>
      <c r="Y1653" s="39">
        <v>0</v>
      </c>
      <c r="Z1653" s="39">
        <v>0</v>
      </c>
      <c r="AA1653" s="39">
        <v>0</v>
      </c>
      <c r="AB1653" s="39">
        <v>0</v>
      </c>
      <c r="AC1653" s="39">
        <v>154.12</v>
      </c>
      <c r="AD1653" s="39">
        <v>145.74</v>
      </c>
      <c r="AE1653" s="39">
        <v>131.32</v>
      </c>
      <c r="AF1653" s="39">
        <v>0</v>
      </c>
      <c r="AG1653" s="39">
        <v>0</v>
      </c>
      <c r="AH1653" s="39">
        <v>0</v>
      </c>
      <c r="AI1653" s="39">
        <v>175.1</v>
      </c>
      <c r="AJ1653" s="39">
        <v>167.93</v>
      </c>
      <c r="AK1653" s="39">
        <v>159.71</v>
      </c>
      <c r="AL1653" s="39">
        <v>0</v>
      </c>
      <c r="AM1653" s="39">
        <v>0</v>
      </c>
      <c r="AN1653" s="39">
        <v>0</v>
      </c>
      <c r="AO1653" s="39">
        <v>175.1</v>
      </c>
      <c r="AP1653" s="39">
        <v>167.93</v>
      </c>
      <c r="AQ1653" s="39">
        <v>159.71</v>
      </c>
      <c r="AR1653" s="39">
        <v>175.1</v>
      </c>
    </row>
    <row r="1654" spans="1:44" x14ac:dyDescent="0.35">
      <c r="A1654" s="16" t="str">
        <f t="shared" si="133"/>
        <v>50</v>
      </c>
      <c r="B1654" s="19">
        <v>71324</v>
      </c>
      <c r="C1654" s="16" t="str">
        <f t="shared" si="134"/>
        <v>0000000</v>
      </c>
      <c r="D1654" s="17" t="s">
        <v>3663</v>
      </c>
      <c r="E1654" s="16" t="s">
        <v>3207</v>
      </c>
      <c r="F1654" s="16" t="s">
        <v>3161</v>
      </c>
      <c r="G1654" s="35" t="s">
        <v>3208</v>
      </c>
      <c r="H1654" s="39">
        <v>178.84</v>
      </c>
      <c r="I1654" s="39">
        <v>179.71</v>
      </c>
      <c r="J1654" s="39">
        <v>160.72999999999999</v>
      </c>
      <c r="K1654" s="39">
        <v>0</v>
      </c>
      <c r="L1654" s="39">
        <v>0</v>
      </c>
      <c r="M1654" s="39">
        <v>0</v>
      </c>
      <c r="N1654" s="39">
        <v>0</v>
      </c>
      <c r="O1654" s="39">
        <v>0</v>
      </c>
      <c r="P1654" s="39">
        <v>0</v>
      </c>
      <c r="Q1654" s="39">
        <v>0</v>
      </c>
      <c r="R1654" s="39">
        <v>0</v>
      </c>
      <c r="S1654" s="39">
        <v>0</v>
      </c>
      <c r="T1654" s="39">
        <v>0</v>
      </c>
      <c r="U1654" s="39">
        <v>0</v>
      </c>
      <c r="V1654" s="39">
        <v>0</v>
      </c>
      <c r="W1654" s="39">
        <v>0</v>
      </c>
      <c r="X1654" s="39">
        <v>0</v>
      </c>
      <c r="Y1654" s="39">
        <v>0</v>
      </c>
      <c r="Z1654" s="39">
        <v>0</v>
      </c>
      <c r="AA1654" s="39">
        <v>0</v>
      </c>
      <c r="AB1654" s="39">
        <v>0</v>
      </c>
      <c r="AC1654" s="39">
        <v>0</v>
      </c>
      <c r="AD1654" s="39">
        <v>0</v>
      </c>
      <c r="AE1654" s="39">
        <v>0</v>
      </c>
      <c r="AF1654" s="39">
        <v>0</v>
      </c>
      <c r="AG1654" s="39">
        <v>0</v>
      </c>
      <c r="AH1654" s="39">
        <v>0</v>
      </c>
      <c r="AI1654" s="39">
        <v>178.84</v>
      </c>
      <c r="AJ1654" s="39">
        <v>179.71</v>
      </c>
      <c r="AK1654" s="39">
        <v>160.72999999999999</v>
      </c>
      <c r="AL1654" s="39">
        <v>0</v>
      </c>
      <c r="AM1654" s="39">
        <v>0</v>
      </c>
      <c r="AN1654" s="39">
        <v>0</v>
      </c>
      <c r="AO1654" s="39">
        <v>178.84</v>
      </c>
      <c r="AP1654" s="39">
        <v>179.71</v>
      </c>
      <c r="AQ1654" s="39">
        <v>160.72999999999999</v>
      </c>
      <c r="AR1654" s="39">
        <v>179.71</v>
      </c>
    </row>
    <row r="1655" spans="1:44" x14ac:dyDescent="0.35">
      <c r="A1655" s="16" t="str">
        <f t="shared" si="133"/>
        <v>50</v>
      </c>
      <c r="B1655" s="19">
        <v>75739</v>
      </c>
      <c r="C1655" s="16" t="str">
        <f t="shared" si="134"/>
        <v>0000000</v>
      </c>
      <c r="D1655" s="17" t="s">
        <v>3663</v>
      </c>
      <c r="E1655" s="16" t="s">
        <v>3219</v>
      </c>
      <c r="F1655" s="16" t="s">
        <v>3161</v>
      </c>
      <c r="G1655" s="35" t="s">
        <v>3220</v>
      </c>
      <c r="H1655" s="39">
        <v>12601.99</v>
      </c>
      <c r="I1655" s="39">
        <v>12544.54</v>
      </c>
      <c r="J1655" s="39">
        <v>12327.5</v>
      </c>
      <c r="K1655" s="39">
        <v>0</v>
      </c>
      <c r="L1655" s="39">
        <v>0</v>
      </c>
      <c r="M1655" s="39">
        <v>0</v>
      </c>
      <c r="N1655" s="39">
        <v>0</v>
      </c>
      <c r="O1655" s="39">
        <v>0</v>
      </c>
      <c r="P1655" s="39">
        <v>0</v>
      </c>
      <c r="Q1655" s="39">
        <v>0</v>
      </c>
      <c r="R1655" s="39">
        <v>0</v>
      </c>
      <c r="S1655" s="39">
        <v>0</v>
      </c>
      <c r="T1655" s="39">
        <v>0</v>
      </c>
      <c r="U1655" s="39">
        <v>0</v>
      </c>
      <c r="V1655" s="39">
        <v>0</v>
      </c>
      <c r="W1655" s="39">
        <v>0</v>
      </c>
      <c r="X1655" s="39">
        <v>0</v>
      </c>
      <c r="Y1655" s="39">
        <v>0</v>
      </c>
      <c r="Z1655" s="39">
        <v>0</v>
      </c>
      <c r="AA1655" s="39">
        <v>0</v>
      </c>
      <c r="AB1655" s="39">
        <v>0</v>
      </c>
      <c r="AC1655" s="39">
        <v>234.24</v>
      </c>
      <c r="AD1655" s="39">
        <v>211.16</v>
      </c>
      <c r="AE1655" s="39">
        <v>199.19</v>
      </c>
      <c r="AF1655" s="39">
        <v>0</v>
      </c>
      <c r="AG1655" s="39">
        <v>0</v>
      </c>
      <c r="AH1655" s="39">
        <v>0</v>
      </c>
      <c r="AI1655" s="39">
        <v>12836.23</v>
      </c>
      <c r="AJ1655" s="39">
        <v>12755.7</v>
      </c>
      <c r="AK1655" s="39">
        <v>12526.69</v>
      </c>
      <c r="AL1655" s="39">
        <v>0</v>
      </c>
      <c r="AM1655" s="39">
        <v>0</v>
      </c>
      <c r="AN1655" s="39">
        <v>0</v>
      </c>
      <c r="AO1655" s="39">
        <v>12836.23</v>
      </c>
      <c r="AP1655" s="39">
        <v>12755.7</v>
      </c>
      <c r="AQ1655" s="39">
        <v>12526.69</v>
      </c>
      <c r="AR1655" s="39">
        <v>12836.23</v>
      </c>
    </row>
    <row r="1656" spans="1:44" x14ac:dyDescent="0.35">
      <c r="A1656" s="16" t="str">
        <f>TEXT(30,"00")</f>
        <v>30</v>
      </c>
      <c r="B1656" s="19">
        <v>73643</v>
      </c>
      <c r="C1656" s="16" t="str">
        <f t="shared" si="134"/>
        <v>0000000</v>
      </c>
      <c r="D1656" s="17" t="s">
        <v>3663</v>
      </c>
      <c r="E1656" s="16" t="s">
        <v>1617</v>
      </c>
      <c r="F1656" s="16" t="s">
        <v>1618</v>
      </c>
      <c r="G1656" s="35" t="s">
        <v>1618</v>
      </c>
      <c r="H1656" s="39">
        <v>20369.54</v>
      </c>
      <c r="I1656" s="39">
        <v>20545.36</v>
      </c>
      <c r="J1656" s="39">
        <v>20532.310000000001</v>
      </c>
      <c r="K1656" s="39">
        <v>0</v>
      </c>
      <c r="L1656" s="39">
        <v>0</v>
      </c>
      <c r="M1656" s="39">
        <v>0</v>
      </c>
      <c r="N1656" s="39">
        <v>0</v>
      </c>
      <c r="O1656" s="39">
        <v>0</v>
      </c>
      <c r="P1656" s="39">
        <v>0</v>
      </c>
      <c r="Q1656" s="39">
        <v>0</v>
      </c>
      <c r="R1656" s="39">
        <v>0</v>
      </c>
      <c r="S1656" s="39">
        <v>0</v>
      </c>
      <c r="T1656" s="39">
        <v>0</v>
      </c>
      <c r="U1656" s="39">
        <v>0</v>
      </c>
      <c r="V1656" s="39">
        <v>0</v>
      </c>
      <c r="W1656" s="39">
        <v>0</v>
      </c>
      <c r="X1656" s="39">
        <v>0</v>
      </c>
      <c r="Y1656" s="39">
        <v>0</v>
      </c>
      <c r="Z1656" s="39">
        <v>0</v>
      </c>
      <c r="AA1656" s="39">
        <v>0</v>
      </c>
      <c r="AB1656" s="39">
        <v>0</v>
      </c>
      <c r="AC1656" s="39">
        <v>0</v>
      </c>
      <c r="AD1656" s="39">
        <v>0</v>
      </c>
      <c r="AE1656" s="39">
        <v>0</v>
      </c>
      <c r="AF1656" s="39">
        <v>0</v>
      </c>
      <c r="AG1656" s="39">
        <v>0</v>
      </c>
      <c r="AH1656" s="39">
        <v>0</v>
      </c>
      <c r="AI1656" s="39">
        <v>20369.54</v>
      </c>
      <c r="AJ1656" s="39">
        <v>20545.36</v>
      </c>
      <c r="AK1656" s="39">
        <v>20532.310000000001</v>
      </c>
      <c r="AL1656" s="39">
        <v>0</v>
      </c>
      <c r="AM1656" s="39">
        <v>0</v>
      </c>
      <c r="AN1656" s="39">
        <v>0</v>
      </c>
      <c r="AO1656" s="39">
        <v>20369.54</v>
      </c>
      <c r="AP1656" s="39">
        <v>20545.36</v>
      </c>
      <c r="AQ1656" s="39">
        <v>20532.310000000001</v>
      </c>
      <c r="AR1656" s="39">
        <v>20545.36</v>
      </c>
    </row>
    <row r="1657" spans="1:44" x14ac:dyDescent="0.35">
      <c r="A1657" s="16" t="str">
        <f>TEXT(50,"00")</f>
        <v>50</v>
      </c>
      <c r="B1657" s="19">
        <v>71175</v>
      </c>
      <c r="C1657" s="16" t="str">
        <f t="shared" si="134"/>
        <v>0000000</v>
      </c>
      <c r="D1657" s="17" t="s">
        <v>3663</v>
      </c>
      <c r="E1657" s="16" t="s">
        <v>3183</v>
      </c>
      <c r="F1657" s="16" t="s">
        <v>3184</v>
      </c>
      <c r="G1657" s="35" t="s">
        <v>3184</v>
      </c>
      <c r="H1657" s="39">
        <v>14025.08</v>
      </c>
      <c r="I1657" s="39">
        <v>14146.96</v>
      </c>
      <c r="J1657" s="39">
        <v>13951.4</v>
      </c>
      <c r="K1657" s="39">
        <v>0</v>
      </c>
      <c r="L1657" s="39">
        <v>0</v>
      </c>
      <c r="M1657" s="39">
        <v>0</v>
      </c>
      <c r="N1657" s="39">
        <v>0</v>
      </c>
      <c r="O1657" s="39">
        <v>0</v>
      </c>
      <c r="P1657" s="39">
        <v>0</v>
      </c>
      <c r="Q1657" s="39">
        <v>0</v>
      </c>
      <c r="R1657" s="39">
        <v>0</v>
      </c>
      <c r="S1657" s="39">
        <v>0</v>
      </c>
      <c r="T1657" s="39">
        <v>0</v>
      </c>
      <c r="U1657" s="39">
        <v>0</v>
      </c>
      <c r="V1657" s="39">
        <v>0</v>
      </c>
      <c r="W1657" s="39">
        <v>0</v>
      </c>
      <c r="X1657" s="39">
        <v>0</v>
      </c>
      <c r="Y1657" s="39">
        <v>0</v>
      </c>
      <c r="Z1657" s="39">
        <v>0</v>
      </c>
      <c r="AA1657" s="39">
        <v>0</v>
      </c>
      <c r="AB1657" s="39">
        <v>0</v>
      </c>
      <c r="AC1657" s="39">
        <v>0</v>
      </c>
      <c r="AD1657" s="39">
        <v>0</v>
      </c>
      <c r="AE1657" s="39">
        <v>0</v>
      </c>
      <c r="AF1657" s="39">
        <v>0</v>
      </c>
      <c r="AG1657" s="39">
        <v>0</v>
      </c>
      <c r="AH1657" s="39">
        <v>0</v>
      </c>
      <c r="AI1657" s="39">
        <v>14025.08</v>
      </c>
      <c r="AJ1657" s="39">
        <v>14146.96</v>
      </c>
      <c r="AK1657" s="39">
        <v>13951.4</v>
      </c>
      <c r="AL1657" s="39">
        <v>0</v>
      </c>
      <c r="AM1657" s="39">
        <v>0</v>
      </c>
      <c r="AN1657" s="39">
        <v>0</v>
      </c>
      <c r="AO1657" s="39">
        <v>14025.08</v>
      </c>
      <c r="AP1657" s="39">
        <v>14146.96</v>
      </c>
      <c r="AQ1657" s="39">
        <v>13951.4</v>
      </c>
      <c r="AR1657" s="39">
        <v>14146.96</v>
      </c>
    </row>
    <row r="1658" spans="1:44" x14ac:dyDescent="0.35">
      <c r="A1658" s="40" t="str">
        <f>TEXT(50,"00")</f>
        <v>50</v>
      </c>
      <c r="B1658" s="41">
        <v>71167</v>
      </c>
      <c r="C1658" s="40" t="str">
        <f t="shared" si="134"/>
        <v>0000000</v>
      </c>
      <c r="D1658" s="42" t="s">
        <v>3663</v>
      </c>
      <c r="E1658" s="40" t="s">
        <v>3185</v>
      </c>
      <c r="F1658" s="40" t="s">
        <v>3184</v>
      </c>
      <c r="G1658" s="43" t="s">
        <v>3186</v>
      </c>
      <c r="H1658" s="44">
        <v>13639.8</v>
      </c>
      <c r="I1658" s="44">
        <v>13357.76</v>
      </c>
      <c r="J1658" s="44">
        <v>12953.55</v>
      </c>
      <c r="K1658" s="44">
        <v>0</v>
      </c>
      <c r="L1658" s="44">
        <v>0</v>
      </c>
      <c r="M1658" s="44">
        <v>0</v>
      </c>
      <c r="N1658" s="44">
        <v>0</v>
      </c>
      <c r="O1658" s="44">
        <v>0</v>
      </c>
      <c r="P1658" s="44">
        <v>0</v>
      </c>
      <c r="Q1658" s="44">
        <v>0</v>
      </c>
      <c r="R1658" s="44">
        <v>0</v>
      </c>
      <c r="S1658" s="44">
        <v>0</v>
      </c>
      <c r="T1658" s="44">
        <v>0</v>
      </c>
      <c r="U1658" s="44">
        <v>0</v>
      </c>
      <c r="V1658" s="44">
        <v>0</v>
      </c>
      <c r="W1658" s="44">
        <v>0</v>
      </c>
      <c r="X1658" s="44">
        <v>0</v>
      </c>
      <c r="Y1658" s="44">
        <v>0</v>
      </c>
      <c r="Z1658" s="44">
        <v>0</v>
      </c>
      <c r="AA1658" s="44">
        <v>0</v>
      </c>
      <c r="AB1658" s="44">
        <v>0</v>
      </c>
      <c r="AC1658" s="44">
        <v>0</v>
      </c>
      <c r="AD1658" s="44">
        <v>0</v>
      </c>
      <c r="AE1658" s="44">
        <v>0</v>
      </c>
      <c r="AF1658" s="44">
        <v>0</v>
      </c>
      <c r="AG1658" s="44">
        <v>0</v>
      </c>
      <c r="AH1658" s="44">
        <v>0</v>
      </c>
      <c r="AI1658" s="44">
        <v>13639.8</v>
      </c>
      <c r="AJ1658" s="44">
        <v>13357.76</v>
      </c>
      <c r="AK1658" s="44">
        <v>12953.55</v>
      </c>
      <c r="AL1658" s="44">
        <v>0</v>
      </c>
      <c r="AM1658" s="44">
        <v>0</v>
      </c>
      <c r="AN1658" s="44">
        <v>0</v>
      </c>
      <c r="AO1658" s="44">
        <v>13639.8</v>
      </c>
      <c r="AP1658" s="44">
        <v>13357.76</v>
      </c>
      <c r="AQ1658" s="44">
        <v>12953.55</v>
      </c>
      <c r="AR1658" s="44">
        <v>13639.8</v>
      </c>
    </row>
    <row r="1659" spans="1:44" s="13" customFormat="1" x14ac:dyDescent="0.35">
      <c r="A1659" s="45" t="s">
        <v>3655</v>
      </c>
      <c r="B1659" s="46"/>
      <c r="C1659" s="46"/>
      <c r="D1659" s="46"/>
      <c r="E1659" s="46"/>
      <c r="F1659" s="47"/>
      <c r="G1659" s="47"/>
      <c r="H1659" s="48">
        <f>SUM(H5:H1658)</f>
        <v>4709305.5199999977</v>
      </c>
      <c r="I1659" s="48">
        <f t="shared" ref="I1659:AR1659" si="135">SUM(I5:I1658)</f>
        <v>4746579.6500000013</v>
      </c>
      <c r="J1659" s="48">
        <f t="shared" si="135"/>
        <v>4724909.28</v>
      </c>
      <c r="K1659" s="48">
        <f t="shared" si="135"/>
        <v>126.57</v>
      </c>
      <c r="L1659" s="48">
        <f t="shared" si="135"/>
        <v>134.28</v>
      </c>
      <c r="M1659" s="48">
        <f t="shared" si="135"/>
        <v>125.76</v>
      </c>
      <c r="N1659" s="48">
        <f t="shared" si="135"/>
        <v>1397.1499999999999</v>
      </c>
      <c r="O1659" s="48">
        <f t="shared" si="135"/>
        <v>1409.89</v>
      </c>
      <c r="P1659" s="48">
        <f t="shared" si="135"/>
        <v>1351.12</v>
      </c>
      <c r="Q1659" s="48">
        <f t="shared" si="135"/>
        <v>0</v>
      </c>
      <c r="R1659" s="48">
        <f t="shared" si="135"/>
        <v>0</v>
      </c>
      <c r="S1659" s="48">
        <f t="shared" si="135"/>
        <v>0</v>
      </c>
      <c r="T1659" s="48">
        <f t="shared" si="135"/>
        <v>8611.619999999999</v>
      </c>
      <c r="U1659" s="48">
        <f t="shared" si="135"/>
        <v>9280.99</v>
      </c>
      <c r="V1659" s="48">
        <f t="shared" si="135"/>
        <v>9038.1699999999983</v>
      </c>
      <c r="W1659" s="48">
        <f t="shared" si="135"/>
        <v>24391.369999999995</v>
      </c>
      <c r="X1659" s="48">
        <f t="shared" si="135"/>
        <v>24809.960000000003</v>
      </c>
      <c r="Y1659" s="48">
        <f t="shared" si="135"/>
        <v>24049.17</v>
      </c>
      <c r="Z1659" s="48">
        <f t="shared" si="135"/>
        <v>34485.369999999995</v>
      </c>
      <c r="AA1659" s="48">
        <f t="shared" si="135"/>
        <v>31350.760000000006</v>
      </c>
      <c r="AB1659" s="48">
        <f t="shared" si="135"/>
        <v>29339.190000000006</v>
      </c>
      <c r="AC1659" s="48">
        <f t="shared" si="135"/>
        <v>648554.90999999968</v>
      </c>
      <c r="AD1659" s="48">
        <f t="shared" si="135"/>
        <v>634324.90000000026</v>
      </c>
      <c r="AE1659" s="48">
        <f t="shared" si="135"/>
        <v>608499.24</v>
      </c>
      <c r="AF1659" s="48">
        <f t="shared" si="135"/>
        <v>3571.1099999999997</v>
      </c>
      <c r="AG1659" s="48">
        <f t="shared" si="135"/>
        <v>3563.17</v>
      </c>
      <c r="AH1659" s="48">
        <f t="shared" si="135"/>
        <v>3500.6399999999994</v>
      </c>
      <c r="AI1659" s="48">
        <f t="shared" si="135"/>
        <v>6623590.689999992</v>
      </c>
      <c r="AJ1659" s="48">
        <f t="shared" si="135"/>
        <v>6659695.6200000038</v>
      </c>
      <c r="AK1659" s="48">
        <f t="shared" si="135"/>
        <v>6609459.999999987</v>
      </c>
      <c r="AL1659" s="48">
        <f t="shared" si="135"/>
        <v>0</v>
      </c>
      <c r="AM1659" s="48">
        <f t="shared" si="135"/>
        <v>-3.4106051316484809E-13</v>
      </c>
      <c r="AN1659" s="48">
        <f t="shared" si="135"/>
        <v>0</v>
      </c>
      <c r="AO1659" s="48">
        <f t="shared" si="135"/>
        <v>6623590.689999992</v>
      </c>
      <c r="AP1659" s="48">
        <f t="shared" si="135"/>
        <v>6659695.6200000029</v>
      </c>
      <c r="AQ1659" s="48">
        <f t="shared" si="135"/>
        <v>6609459.999999987</v>
      </c>
      <c r="AR1659" s="48">
        <f t="shared" si="135"/>
        <v>6736101.3399999784</v>
      </c>
    </row>
    <row r="1660" spans="1:44" customFormat="1" x14ac:dyDescent="0.35">
      <c r="A1660" s="9" t="s">
        <v>3656</v>
      </c>
      <c r="B1660" s="1"/>
      <c r="C1660" s="1"/>
      <c r="D1660" s="1"/>
      <c r="E1660" s="1"/>
    </row>
    <row r="1661" spans="1:44" customFormat="1" x14ac:dyDescent="0.35">
      <c r="A1661" s="10" t="s">
        <v>3657</v>
      </c>
      <c r="B1661" s="1"/>
      <c r="C1661" s="1"/>
      <c r="D1661" s="1"/>
      <c r="E1661" s="1"/>
    </row>
    <row r="1662" spans="1:44" customFormat="1" x14ac:dyDescent="0.35">
      <c r="A1662" s="10" t="s">
        <v>3658</v>
      </c>
      <c r="B1662" s="1"/>
      <c r="C1662" s="1"/>
      <c r="D1662" s="1"/>
      <c r="E1662" s="1"/>
    </row>
    <row r="1663" spans="1:44" customFormat="1" x14ac:dyDescent="0.35">
      <c r="A1663" s="11" t="s">
        <v>3660</v>
      </c>
      <c r="B1663" s="1"/>
      <c r="C1663" s="1"/>
      <c r="D1663" s="1"/>
      <c r="E1663" s="1"/>
    </row>
  </sheetData>
  <pageMargins left="0.7" right="0.7" top="0.75" bottom="0.75" header="0.3" footer="0.3"/>
  <pageSetup orientation="portrait" r:id="rId1"/>
  <ignoredErrors>
    <ignoredError sqref="A1656:AR1656" formula="1"/>
    <ignoredError sqref="D102" numberStoredAsText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89C59-C12A-41FA-B67C-D5EF13A3ED7E}">
  <dimension ref="A1:AR1663"/>
  <sheetViews>
    <sheetView workbookViewId="0">
      <pane ySplit="4" topLeftCell="A5" activePane="bottomLeft" state="frozen"/>
      <selection pane="bottomLeft"/>
    </sheetView>
  </sheetViews>
  <sheetFormatPr defaultColWidth="9" defaultRowHeight="15.5" x14ac:dyDescent="0.35"/>
  <cols>
    <col min="1" max="1" width="7.3828125" style="23" customWidth="1"/>
    <col min="2" max="2" width="7.921875" style="23" customWidth="1"/>
    <col min="3" max="3" width="8.61328125" style="23" customWidth="1"/>
    <col min="4" max="4" width="8.69140625" style="24" customWidth="1"/>
    <col min="5" max="5" width="8.53515625" style="23" customWidth="1"/>
    <col min="6" max="6" width="40.15234375" style="23" bestFit="1" customWidth="1"/>
    <col min="7" max="7" width="41.69140625" style="23" customWidth="1"/>
    <col min="8" max="8" width="14.07421875" style="23" customWidth="1"/>
    <col min="9" max="9" width="13.07421875" style="23" customWidth="1"/>
    <col min="10" max="10" width="16.07421875" style="23" customWidth="1"/>
    <col min="11" max="11" width="16.84375" style="23" customWidth="1"/>
    <col min="12" max="12" width="17.84375" style="23" customWidth="1"/>
    <col min="13" max="13" width="16.07421875" style="23" customWidth="1"/>
    <col min="14" max="14" width="20" style="23" customWidth="1"/>
    <col min="15" max="15" width="19.4609375" style="23" customWidth="1"/>
    <col min="16" max="16" width="18.84375" style="23" customWidth="1"/>
    <col min="17" max="17" width="16.921875" style="23" customWidth="1"/>
    <col min="18" max="18" width="16.69140625" style="23" customWidth="1"/>
    <col min="19" max="19" width="17.15234375" style="23" customWidth="1"/>
    <col min="20" max="20" width="13.921875" style="23" customWidth="1"/>
    <col min="21" max="21" width="12.69140625" style="23" customWidth="1"/>
    <col min="22" max="22" width="14.69140625" style="23" customWidth="1"/>
    <col min="23" max="23" width="16.921875" style="23" customWidth="1"/>
    <col min="24" max="24" width="16" style="23" customWidth="1"/>
    <col min="25" max="25" width="18.15234375" style="23" customWidth="1"/>
    <col min="26" max="26" width="13.69140625" style="23" customWidth="1"/>
    <col min="27" max="27" width="13.3046875" style="23" customWidth="1"/>
    <col min="28" max="28" width="16.07421875" style="23" customWidth="1"/>
    <col min="29" max="29" width="19.765625" style="23" customWidth="1"/>
    <col min="30" max="30" width="17.61328125" style="23" customWidth="1"/>
    <col min="31" max="31" width="14.53515625" style="23" customWidth="1"/>
    <col min="32" max="32" width="17.53515625" style="23" customWidth="1"/>
    <col min="33" max="33" width="17.23046875" style="23" customWidth="1"/>
    <col min="34" max="34" width="18.07421875" style="23" customWidth="1"/>
    <col min="35" max="35" width="23.765625" style="23" customWidth="1"/>
    <col min="36" max="36" width="23.69140625" style="23" customWidth="1"/>
    <col min="37" max="37" width="26.765625" style="23" customWidth="1"/>
    <col min="38" max="38" width="31.69140625" style="23" customWidth="1"/>
    <col min="39" max="39" width="29.07421875" style="23" customWidth="1"/>
    <col min="40" max="40" width="30.23046875" style="23" customWidth="1"/>
    <col min="41" max="41" width="17.53515625" style="23" customWidth="1"/>
    <col min="42" max="42" width="15.53515625" style="23" customWidth="1"/>
    <col min="43" max="43" width="18.61328125" style="23" customWidth="1"/>
    <col min="44" max="44" width="24.765625" style="23" customWidth="1"/>
    <col min="45" max="16384" width="9" style="23"/>
  </cols>
  <sheetData>
    <row r="1" spans="1:44" s="2" customFormat="1" ht="18" x14ac:dyDescent="0.4">
      <c r="A1" s="14" t="s">
        <v>3661</v>
      </c>
      <c r="B1" s="4"/>
      <c r="C1" s="4"/>
      <c r="D1" s="4"/>
      <c r="E1" s="4"/>
    </row>
    <row r="2" spans="1:44" s="2" customFormat="1" x14ac:dyDescent="0.35">
      <c r="A2" s="8" t="s">
        <v>3614</v>
      </c>
      <c r="B2" s="4"/>
      <c r="C2" s="4"/>
      <c r="D2" s="4"/>
      <c r="E2" s="4"/>
    </row>
    <row r="3" spans="1:44" s="2" customFormat="1" x14ac:dyDescent="0.35">
      <c r="A3" s="12" t="s">
        <v>3671</v>
      </c>
      <c r="B3" s="4"/>
      <c r="C3" s="4"/>
      <c r="D3" s="4"/>
      <c r="E3" s="4"/>
    </row>
    <row r="4" spans="1:44" s="4" customFormat="1" ht="100.75" customHeight="1" x14ac:dyDescent="0.35">
      <c r="A4" s="50" t="s">
        <v>3615</v>
      </c>
      <c r="B4" s="51" t="s">
        <v>3616</v>
      </c>
      <c r="C4" s="51" t="s">
        <v>3617</v>
      </c>
      <c r="D4" s="58" t="s">
        <v>3618</v>
      </c>
      <c r="E4" s="51" t="s">
        <v>3619</v>
      </c>
      <c r="F4" s="51" t="s">
        <v>3620</v>
      </c>
      <c r="G4" s="51" t="s">
        <v>3621</v>
      </c>
      <c r="H4" s="51" t="s">
        <v>3622</v>
      </c>
      <c r="I4" s="51" t="s">
        <v>3623</v>
      </c>
      <c r="J4" s="51" t="s">
        <v>3624</v>
      </c>
      <c r="K4" s="51" t="s">
        <v>3625</v>
      </c>
      <c r="L4" s="51" t="s">
        <v>3626</v>
      </c>
      <c r="M4" s="51" t="s">
        <v>3627</v>
      </c>
      <c r="N4" s="51" t="s">
        <v>3628</v>
      </c>
      <c r="O4" s="51" t="s">
        <v>3629</v>
      </c>
      <c r="P4" s="51" t="s">
        <v>3630</v>
      </c>
      <c r="Q4" s="51" t="s">
        <v>3631</v>
      </c>
      <c r="R4" s="51" t="s">
        <v>3632</v>
      </c>
      <c r="S4" s="51" t="s">
        <v>3633</v>
      </c>
      <c r="T4" s="51" t="s">
        <v>3664</v>
      </c>
      <c r="U4" s="51" t="s">
        <v>3665</v>
      </c>
      <c r="V4" s="51" t="s">
        <v>3666</v>
      </c>
      <c r="W4" s="51" t="s">
        <v>3667</v>
      </c>
      <c r="X4" s="51" t="s">
        <v>3668</v>
      </c>
      <c r="Y4" s="51" t="s">
        <v>3669</v>
      </c>
      <c r="Z4" s="51" t="s">
        <v>3634</v>
      </c>
      <c r="AA4" s="51" t="s">
        <v>3635</v>
      </c>
      <c r="AB4" s="51" t="s">
        <v>3636</v>
      </c>
      <c r="AC4" s="51" t="s">
        <v>3637</v>
      </c>
      <c r="AD4" s="51" t="s">
        <v>3638</v>
      </c>
      <c r="AE4" s="51" t="s">
        <v>3639</v>
      </c>
      <c r="AF4" s="51" t="s">
        <v>3640</v>
      </c>
      <c r="AG4" s="51" t="s">
        <v>3641</v>
      </c>
      <c r="AH4" s="51" t="s">
        <v>3642</v>
      </c>
      <c r="AI4" s="51" t="s">
        <v>3670</v>
      </c>
      <c r="AJ4" s="51" t="s">
        <v>3644</v>
      </c>
      <c r="AK4" s="51" t="s">
        <v>3645</v>
      </c>
      <c r="AL4" s="51" t="s">
        <v>3646</v>
      </c>
      <c r="AM4" s="51" t="s">
        <v>3647</v>
      </c>
      <c r="AN4" s="51" t="s">
        <v>3648</v>
      </c>
      <c r="AO4" s="51" t="s">
        <v>3649</v>
      </c>
      <c r="AP4" s="51" t="s">
        <v>3650</v>
      </c>
      <c r="AQ4" s="51" t="s">
        <v>3651</v>
      </c>
      <c r="AR4" s="52" t="s">
        <v>3652</v>
      </c>
    </row>
    <row r="5" spans="1:44" x14ac:dyDescent="0.35">
      <c r="A5" s="49" t="str">
        <f>TEXT(32,"00")</f>
        <v>32</v>
      </c>
      <c r="B5" s="27">
        <v>66969</v>
      </c>
      <c r="C5" s="25" t="str">
        <f t="shared" ref="C5:C18" si="0">TEXT(,"0000000")</f>
        <v>0000000</v>
      </c>
      <c r="D5" s="26" t="s">
        <v>3663</v>
      </c>
      <c r="E5" s="25" t="s">
        <v>1682</v>
      </c>
      <c r="F5" s="25" t="s">
        <v>1683</v>
      </c>
      <c r="G5" s="59" t="s">
        <v>1683</v>
      </c>
      <c r="H5" s="60">
        <v>1495.86</v>
      </c>
      <c r="I5" s="60">
        <v>1465.44</v>
      </c>
      <c r="J5" s="60">
        <v>1497.12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  <c r="AG5" s="60">
        <v>0</v>
      </c>
      <c r="AH5" s="60">
        <v>0</v>
      </c>
      <c r="AI5" s="60">
        <v>1495.86</v>
      </c>
      <c r="AJ5" s="60">
        <v>1465.44</v>
      </c>
      <c r="AK5" s="60">
        <v>1497.12</v>
      </c>
      <c r="AL5" s="60">
        <v>0</v>
      </c>
      <c r="AM5" s="60">
        <v>0</v>
      </c>
      <c r="AN5" s="60">
        <v>0</v>
      </c>
      <c r="AO5" s="60">
        <v>1495.86</v>
      </c>
      <c r="AP5" s="60">
        <v>1465.44</v>
      </c>
      <c r="AQ5" s="60">
        <v>1497.12</v>
      </c>
      <c r="AR5" s="61">
        <v>1497.12</v>
      </c>
    </row>
    <row r="6" spans="1:44" x14ac:dyDescent="0.35">
      <c r="A6" s="49" t="str">
        <f>TEXT(32,"00")</f>
        <v>32</v>
      </c>
      <c r="B6" s="27">
        <v>10322</v>
      </c>
      <c r="C6" s="25" t="str">
        <f t="shared" si="0"/>
        <v>0000000</v>
      </c>
      <c r="D6" s="26" t="s">
        <v>3663</v>
      </c>
      <c r="E6" s="25" t="s">
        <v>1684</v>
      </c>
      <c r="F6" s="25" t="s">
        <v>1683</v>
      </c>
      <c r="G6" s="59" t="s">
        <v>1685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9.8699999999999992</v>
      </c>
      <c r="X6" s="60">
        <v>11.17</v>
      </c>
      <c r="Y6" s="60">
        <v>20.25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9.8699999999999992</v>
      </c>
      <c r="AJ6" s="60">
        <v>11.17</v>
      </c>
      <c r="AK6" s="60">
        <v>20.25</v>
      </c>
      <c r="AL6" s="60">
        <v>0</v>
      </c>
      <c r="AM6" s="60">
        <v>0</v>
      </c>
      <c r="AN6" s="60">
        <v>0</v>
      </c>
      <c r="AO6" s="60">
        <v>9.8699999999999992</v>
      </c>
      <c r="AP6" s="60">
        <v>11.17</v>
      </c>
      <c r="AQ6" s="60">
        <v>20.25</v>
      </c>
      <c r="AR6" s="61">
        <v>20.25</v>
      </c>
    </row>
    <row r="7" spans="1:44" x14ac:dyDescent="0.35">
      <c r="A7" s="49" t="str">
        <f>TEXT(20,"00")</f>
        <v>20</v>
      </c>
      <c r="B7" s="27">
        <v>10207</v>
      </c>
      <c r="C7" s="25" t="str">
        <f t="shared" si="0"/>
        <v>0000000</v>
      </c>
      <c r="D7" s="26" t="s">
        <v>3663</v>
      </c>
      <c r="E7" s="25" t="s">
        <v>1213</v>
      </c>
      <c r="F7" s="25" t="s">
        <v>1214</v>
      </c>
      <c r="G7" s="59" t="s">
        <v>1214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37.24</v>
      </c>
      <c r="U7" s="60">
        <v>42.54</v>
      </c>
      <c r="V7" s="60">
        <v>40.450000000000003</v>
      </c>
      <c r="W7" s="60">
        <v>581.73</v>
      </c>
      <c r="X7" s="60">
        <v>575.57000000000005</v>
      </c>
      <c r="Y7" s="60">
        <v>545.35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  <c r="AG7" s="60">
        <v>0</v>
      </c>
      <c r="AH7" s="60">
        <v>0</v>
      </c>
      <c r="AI7" s="60">
        <v>618.97</v>
      </c>
      <c r="AJ7" s="60">
        <v>618.11</v>
      </c>
      <c r="AK7" s="60">
        <v>585.79999999999995</v>
      </c>
      <c r="AL7" s="60">
        <v>0</v>
      </c>
      <c r="AM7" s="60">
        <v>0</v>
      </c>
      <c r="AN7" s="60">
        <v>0</v>
      </c>
      <c r="AO7" s="60">
        <v>618.97</v>
      </c>
      <c r="AP7" s="60">
        <v>618.11</v>
      </c>
      <c r="AQ7" s="60">
        <v>585.79999999999995</v>
      </c>
      <c r="AR7" s="61">
        <v>618.97</v>
      </c>
    </row>
    <row r="8" spans="1:44" x14ac:dyDescent="0.35">
      <c r="A8" s="49" t="str">
        <f>TEXT(22,"00")</f>
        <v>22</v>
      </c>
      <c r="B8" s="27">
        <v>10223</v>
      </c>
      <c r="C8" s="25" t="str">
        <f t="shared" si="0"/>
        <v>0000000</v>
      </c>
      <c r="D8" s="26" t="s">
        <v>3663</v>
      </c>
      <c r="E8" s="25" t="s">
        <v>1290</v>
      </c>
      <c r="F8" s="25" t="s">
        <v>1214</v>
      </c>
      <c r="G8" s="59" t="s">
        <v>1291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0.73</v>
      </c>
      <c r="U8" s="60">
        <v>1.94</v>
      </c>
      <c r="V8" s="60">
        <v>0.86</v>
      </c>
      <c r="W8" s="60">
        <v>47.13</v>
      </c>
      <c r="X8" s="60">
        <v>42.99</v>
      </c>
      <c r="Y8" s="60">
        <v>31.88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>
        <v>47.86</v>
      </c>
      <c r="AJ8" s="60">
        <v>44.93</v>
      </c>
      <c r="AK8" s="60">
        <v>32.74</v>
      </c>
      <c r="AL8" s="60">
        <v>0</v>
      </c>
      <c r="AM8" s="60">
        <v>0</v>
      </c>
      <c r="AN8" s="60">
        <v>0</v>
      </c>
      <c r="AO8" s="60">
        <v>47.86</v>
      </c>
      <c r="AP8" s="60">
        <v>44.93</v>
      </c>
      <c r="AQ8" s="60">
        <v>32.74</v>
      </c>
      <c r="AR8" s="61">
        <v>47.86</v>
      </c>
    </row>
    <row r="9" spans="1:44" x14ac:dyDescent="0.35">
      <c r="A9" s="49" t="str">
        <f>TEXT(22,"00")</f>
        <v>22</v>
      </c>
      <c r="B9" s="27">
        <v>65532</v>
      </c>
      <c r="C9" s="25" t="str">
        <f t="shared" si="0"/>
        <v>0000000</v>
      </c>
      <c r="D9" s="26" t="s">
        <v>3663</v>
      </c>
      <c r="E9" s="25" t="s">
        <v>1292</v>
      </c>
      <c r="F9" s="25" t="s">
        <v>1214</v>
      </c>
      <c r="G9" s="59" t="s">
        <v>1293</v>
      </c>
      <c r="H9" s="60">
        <v>1512.54</v>
      </c>
      <c r="I9" s="60">
        <v>1471.21</v>
      </c>
      <c r="J9" s="60">
        <v>1441.05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121.08</v>
      </c>
      <c r="AD9" s="60">
        <v>122.15</v>
      </c>
      <c r="AE9" s="60">
        <v>122.16</v>
      </c>
      <c r="AF9" s="60">
        <v>0</v>
      </c>
      <c r="AG9" s="60">
        <v>0</v>
      </c>
      <c r="AH9" s="60">
        <v>0</v>
      </c>
      <c r="AI9" s="60">
        <v>1633.62</v>
      </c>
      <c r="AJ9" s="60">
        <v>1593.36</v>
      </c>
      <c r="AK9" s="60">
        <v>1563.21</v>
      </c>
      <c r="AL9" s="60">
        <v>0</v>
      </c>
      <c r="AM9" s="60">
        <v>0</v>
      </c>
      <c r="AN9" s="60">
        <v>0</v>
      </c>
      <c r="AO9" s="60">
        <v>1633.62</v>
      </c>
      <c r="AP9" s="60">
        <v>1593.36</v>
      </c>
      <c r="AQ9" s="60">
        <v>1563.21</v>
      </c>
      <c r="AR9" s="61">
        <v>1633.62</v>
      </c>
    </row>
    <row r="10" spans="1:44" x14ac:dyDescent="0.35">
      <c r="A10" s="49" t="str">
        <f t="shared" ref="A10:A24" si="1">TEXT(20,"00")</f>
        <v>20</v>
      </c>
      <c r="B10" s="27">
        <v>65185</v>
      </c>
      <c r="C10" s="25" t="str">
        <f t="shared" si="0"/>
        <v>0000000</v>
      </c>
      <c r="D10" s="26" t="s">
        <v>3663</v>
      </c>
      <c r="E10" s="25" t="s">
        <v>1217</v>
      </c>
      <c r="F10" s="25" t="s">
        <v>1214</v>
      </c>
      <c r="G10" s="59" t="s">
        <v>1218</v>
      </c>
      <c r="H10" s="60">
        <v>750.76</v>
      </c>
      <c r="I10" s="60">
        <v>772.61</v>
      </c>
      <c r="J10" s="60">
        <v>765.72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16.53</v>
      </c>
      <c r="AD10" s="60">
        <v>13.17</v>
      </c>
      <c r="AE10" s="60">
        <v>14.13</v>
      </c>
      <c r="AF10" s="60">
        <v>0</v>
      </c>
      <c r="AG10" s="60">
        <v>0</v>
      </c>
      <c r="AH10" s="60">
        <v>0</v>
      </c>
      <c r="AI10" s="60">
        <v>767.29</v>
      </c>
      <c r="AJ10" s="60">
        <v>785.78</v>
      </c>
      <c r="AK10" s="60">
        <v>779.85</v>
      </c>
      <c r="AL10" s="60">
        <v>0</v>
      </c>
      <c r="AM10" s="60">
        <v>0</v>
      </c>
      <c r="AN10" s="60">
        <v>0</v>
      </c>
      <c r="AO10" s="60">
        <v>767.29</v>
      </c>
      <c r="AP10" s="60">
        <v>785.78</v>
      </c>
      <c r="AQ10" s="60">
        <v>779.85</v>
      </c>
      <c r="AR10" s="61">
        <v>785.78</v>
      </c>
    </row>
    <row r="11" spans="1:44" x14ac:dyDescent="0.35">
      <c r="A11" s="49" t="str">
        <f t="shared" si="1"/>
        <v>20</v>
      </c>
      <c r="B11" s="27">
        <v>65243</v>
      </c>
      <c r="C11" s="25" t="str">
        <f t="shared" si="0"/>
        <v>0000000</v>
      </c>
      <c r="D11" s="26" t="s">
        <v>3663</v>
      </c>
      <c r="E11" s="25" t="s">
        <v>1223</v>
      </c>
      <c r="F11" s="25" t="s">
        <v>1214</v>
      </c>
      <c r="G11" s="59" t="s">
        <v>1224</v>
      </c>
      <c r="H11" s="60">
        <v>18639.07</v>
      </c>
      <c r="I11" s="60">
        <v>18493.91</v>
      </c>
      <c r="J11" s="60">
        <v>17661.009999999998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73.430000000000007</v>
      </c>
      <c r="AF11" s="60">
        <v>0</v>
      </c>
      <c r="AG11" s="60">
        <v>0</v>
      </c>
      <c r="AH11" s="60">
        <v>0</v>
      </c>
      <c r="AI11" s="60">
        <v>18639.07</v>
      </c>
      <c r="AJ11" s="60">
        <v>18493.91</v>
      </c>
      <c r="AK11" s="60">
        <v>17734.439999999999</v>
      </c>
      <c r="AL11" s="60">
        <v>0</v>
      </c>
      <c r="AM11" s="60">
        <v>0</v>
      </c>
      <c r="AN11" s="60">
        <v>-73.430000000000007</v>
      </c>
      <c r="AO11" s="60">
        <v>18639.07</v>
      </c>
      <c r="AP11" s="60">
        <v>18493.91</v>
      </c>
      <c r="AQ11" s="60">
        <v>17661.009999999998</v>
      </c>
      <c r="AR11" s="61">
        <v>18639.07</v>
      </c>
    </row>
    <row r="12" spans="1:44" x14ac:dyDescent="0.35">
      <c r="A12" s="49" t="str">
        <f t="shared" si="1"/>
        <v>20</v>
      </c>
      <c r="B12" s="27">
        <v>65177</v>
      </c>
      <c r="C12" s="25" t="str">
        <f t="shared" si="0"/>
        <v>0000000</v>
      </c>
      <c r="D12" s="26" t="s">
        <v>3663</v>
      </c>
      <c r="E12" s="25" t="s">
        <v>1215</v>
      </c>
      <c r="F12" s="25" t="s">
        <v>1214</v>
      </c>
      <c r="G12" s="59" t="s">
        <v>1216</v>
      </c>
      <c r="H12" s="60">
        <v>367.78</v>
      </c>
      <c r="I12" s="60">
        <v>373.26</v>
      </c>
      <c r="J12" s="60">
        <v>364.72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  <c r="AG12" s="60">
        <v>0</v>
      </c>
      <c r="AH12" s="60">
        <v>0</v>
      </c>
      <c r="AI12" s="60">
        <v>367.78</v>
      </c>
      <c r="AJ12" s="60">
        <v>373.26</v>
      </c>
      <c r="AK12" s="60">
        <v>364.72</v>
      </c>
      <c r="AL12" s="60">
        <v>0</v>
      </c>
      <c r="AM12" s="60">
        <v>0</v>
      </c>
      <c r="AN12" s="60">
        <v>0</v>
      </c>
      <c r="AO12" s="60">
        <v>367.78</v>
      </c>
      <c r="AP12" s="60">
        <v>373.26</v>
      </c>
      <c r="AQ12" s="60">
        <v>364.72</v>
      </c>
      <c r="AR12" s="61">
        <v>373.26</v>
      </c>
    </row>
    <row r="13" spans="1:44" x14ac:dyDescent="0.35">
      <c r="A13" s="49" t="str">
        <f t="shared" si="1"/>
        <v>20</v>
      </c>
      <c r="B13" s="27">
        <v>65193</v>
      </c>
      <c r="C13" s="25" t="str">
        <f t="shared" si="0"/>
        <v>0000000</v>
      </c>
      <c r="D13" s="26" t="s">
        <v>3663</v>
      </c>
      <c r="E13" s="25" t="s">
        <v>1219</v>
      </c>
      <c r="F13" s="25" t="s">
        <v>1214</v>
      </c>
      <c r="G13" s="59" t="s">
        <v>1220</v>
      </c>
      <c r="H13" s="60">
        <v>2051.3200000000002</v>
      </c>
      <c r="I13" s="60">
        <v>1994.11</v>
      </c>
      <c r="J13" s="60">
        <v>1944.04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  <c r="AG13" s="60">
        <v>0</v>
      </c>
      <c r="AH13" s="60">
        <v>0</v>
      </c>
      <c r="AI13" s="60">
        <v>2051.3200000000002</v>
      </c>
      <c r="AJ13" s="60">
        <v>1994.11</v>
      </c>
      <c r="AK13" s="60">
        <v>1944.04</v>
      </c>
      <c r="AL13" s="60">
        <v>0</v>
      </c>
      <c r="AM13" s="60">
        <v>0</v>
      </c>
      <c r="AN13" s="60">
        <v>0</v>
      </c>
      <c r="AO13" s="60">
        <v>2051.3200000000002</v>
      </c>
      <c r="AP13" s="60">
        <v>1994.11</v>
      </c>
      <c r="AQ13" s="60">
        <v>1944.04</v>
      </c>
      <c r="AR13" s="61">
        <v>2051.3200000000002</v>
      </c>
    </row>
    <row r="14" spans="1:44" x14ac:dyDescent="0.35">
      <c r="A14" s="49" t="str">
        <f t="shared" si="1"/>
        <v>20</v>
      </c>
      <c r="B14" s="27">
        <v>65201</v>
      </c>
      <c r="C14" s="25" t="str">
        <f t="shared" si="0"/>
        <v>0000000</v>
      </c>
      <c r="D14" s="26" t="s">
        <v>3663</v>
      </c>
      <c r="E14" s="25" t="s">
        <v>1221</v>
      </c>
      <c r="F14" s="25" t="s">
        <v>1214</v>
      </c>
      <c r="G14" s="59" t="s">
        <v>1222</v>
      </c>
      <c r="H14" s="60">
        <v>1023.19</v>
      </c>
      <c r="I14" s="60">
        <v>1028.04</v>
      </c>
      <c r="J14" s="60">
        <v>915.8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1023.19</v>
      </c>
      <c r="AJ14" s="60">
        <v>1028.04</v>
      </c>
      <c r="AK14" s="60">
        <v>915.8</v>
      </c>
      <c r="AL14" s="60">
        <v>0</v>
      </c>
      <c r="AM14" s="60">
        <v>0</v>
      </c>
      <c r="AN14" s="60">
        <v>0</v>
      </c>
      <c r="AO14" s="60">
        <v>1023.19</v>
      </c>
      <c r="AP14" s="60">
        <v>1028.04</v>
      </c>
      <c r="AQ14" s="60">
        <v>915.8</v>
      </c>
      <c r="AR14" s="61">
        <v>1028.04</v>
      </c>
    </row>
    <row r="15" spans="1:44" x14ac:dyDescent="0.35">
      <c r="A15" s="49" t="str">
        <f t="shared" si="1"/>
        <v>20</v>
      </c>
      <c r="B15" s="27">
        <v>65276</v>
      </c>
      <c r="C15" s="25" t="str">
        <f t="shared" si="0"/>
        <v>0000000</v>
      </c>
      <c r="D15" s="26" t="s">
        <v>3663</v>
      </c>
      <c r="E15" s="25" t="s">
        <v>1235</v>
      </c>
      <c r="F15" s="25" t="s">
        <v>1214</v>
      </c>
      <c r="G15" s="59" t="s">
        <v>1236</v>
      </c>
      <c r="H15" s="60">
        <v>75.23</v>
      </c>
      <c r="I15" s="60">
        <v>68.22</v>
      </c>
      <c r="J15" s="60">
        <v>55.66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  <c r="AG15" s="60">
        <v>0</v>
      </c>
      <c r="AH15" s="60">
        <v>0</v>
      </c>
      <c r="AI15" s="60">
        <v>75.23</v>
      </c>
      <c r="AJ15" s="60">
        <v>68.22</v>
      </c>
      <c r="AK15" s="60">
        <v>55.66</v>
      </c>
      <c r="AL15" s="60">
        <v>0</v>
      </c>
      <c r="AM15" s="60">
        <v>0</v>
      </c>
      <c r="AN15" s="60">
        <v>0</v>
      </c>
      <c r="AO15" s="60">
        <v>75.23</v>
      </c>
      <c r="AP15" s="60">
        <v>68.22</v>
      </c>
      <c r="AQ15" s="60">
        <v>55.66</v>
      </c>
      <c r="AR15" s="61">
        <v>75.23</v>
      </c>
    </row>
    <row r="16" spans="1:44" x14ac:dyDescent="0.35">
      <c r="A16" s="49" t="str">
        <f t="shared" si="1"/>
        <v>20</v>
      </c>
      <c r="B16" s="27">
        <v>75580</v>
      </c>
      <c r="C16" s="25" t="str">
        <f t="shared" si="0"/>
        <v>0000000</v>
      </c>
      <c r="D16" s="26" t="s">
        <v>3663</v>
      </c>
      <c r="E16" s="25" t="s">
        <v>1237</v>
      </c>
      <c r="F16" s="25" t="s">
        <v>1214</v>
      </c>
      <c r="G16" s="59" t="s">
        <v>1238</v>
      </c>
      <c r="H16" s="60">
        <v>2663.47</v>
      </c>
      <c r="I16" s="60">
        <v>2460.0100000000002</v>
      </c>
      <c r="J16" s="60">
        <v>2195.4899999999998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2663.47</v>
      </c>
      <c r="AJ16" s="60">
        <v>2460.0100000000002</v>
      </c>
      <c r="AK16" s="60">
        <v>2195.4899999999998</v>
      </c>
      <c r="AL16" s="60">
        <v>0</v>
      </c>
      <c r="AM16" s="60">
        <v>0</v>
      </c>
      <c r="AN16" s="60">
        <v>0</v>
      </c>
      <c r="AO16" s="60">
        <v>2663.47</v>
      </c>
      <c r="AP16" s="60">
        <v>2460.0100000000002</v>
      </c>
      <c r="AQ16" s="60">
        <v>2195.4899999999998</v>
      </c>
      <c r="AR16" s="61">
        <v>2663.47</v>
      </c>
    </row>
    <row r="17" spans="1:44" x14ac:dyDescent="0.35">
      <c r="A17" s="49" t="str">
        <f t="shared" si="1"/>
        <v>20</v>
      </c>
      <c r="B17" s="27">
        <v>75606</v>
      </c>
      <c r="C17" s="25" t="str">
        <f t="shared" si="0"/>
        <v>0000000</v>
      </c>
      <c r="D17" s="26" t="s">
        <v>3663</v>
      </c>
      <c r="E17" s="25" t="s">
        <v>1239</v>
      </c>
      <c r="F17" s="25" t="s">
        <v>1214</v>
      </c>
      <c r="G17" s="59" t="s">
        <v>1240</v>
      </c>
      <c r="H17" s="60">
        <v>947.08</v>
      </c>
      <c r="I17" s="60">
        <v>915.15</v>
      </c>
      <c r="J17" s="60">
        <v>841.73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341.06</v>
      </c>
      <c r="AD17" s="60">
        <v>408.97</v>
      </c>
      <c r="AE17" s="60">
        <v>548.35</v>
      </c>
      <c r="AF17" s="60">
        <v>0</v>
      </c>
      <c r="AG17" s="60">
        <v>0</v>
      </c>
      <c r="AH17" s="60">
        <v>0</v>
      </c>
      <c r="AI17" s="60">
        <v>1288.1400000000001</v>
      </c>
      <c r="AJ17" s="60">
        <v>1324.12</v>
      </c>
      <c r="AK17" s="60">
        <v>1390.08</v>
      </c>
      <c r="AL17" s="60">
        <v>0</v>
      </c>
      <c r="AM17" s="60">
        <v>0</v>
      </c>
      <c r="AN17" s="60">
        <v>0</v>
      </c>
      <c r="AO17" s="60">
        <v>1288.1400000000001</v>
      </c>
      <c r="AP17" s="60">
        <v>1324.12</v>
      </c>
      <c r="AQ17" s="60">
        <v>1390.08</v>
      </c>
      <c r="AR17" s="61">
        <v>1390.08</v>
      </c>
    </row>
    <row r="18" spans="1:44" x14ac:dyDescent="0.35">
      <c r="A18" s="49" t="str">
        <f t="shared" si="1"/>
        <v>20</v>
      </c>
      <c r="B18" s="27">
        <v>76414</v>
      </c>
      <c r="C18" s="25" t="str">
        <f t="shared" si="0"/>
        <v>0000000</v>
      </c>
      <c r="D18" s="26" t="s">
        <v>3663</v>
      </c>
      <c r="E18" s="25" t="s">
        <v>1241</v>
      </c>
      <c r="F18" s="25" t="s">
        <v>1214</v>
      </c>
      <c r="G18" s="59" t="s">
        <v>1242</v>
      </c>
      <c r="H18" s="60">
        <v>1253.75</v>
      </c>
      <c r="I18" s="60">
        <v>1227.55</v>
      </c>
      <c r="J18" s="60">
        <v>1165.9000000000001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1253.75</v>
      </c>
      <c r="AJ18" s="60">
        <v>1227.55</v>
      </c>
      <c r="AK18" s="60">
        <v>1165.9000000000001</v>
      </c>
      <c r="AL18" s="60">
        <v>0</v>
      </c>
      <c r="AM18" s="60">
        <v>0</v>
      </c>
      <c r="AN18" s="60">
        <v>0</v>
      </c>
      <c r="AO18" s="60">
        <v>1253.75</v>
      </c>
      <c r="AP18" s="60">
        <v>1227.55</v>
      </c>
      <c r="AQ18" s="60">
        <v>1165.9000000000001</v>
      </c>
      <c r="AR18" s="61">
        <v>1253.75</v>
      </c>
    </row>
    <row r="19" spans="1:44" x14ac:dyDescent="0.35">
      <c r="A19" s="49" t="str">
        <f t="shared" si="1"/>
        <v>20</v>
      </c>
      <c r="B19" s="27">
        <v>65243</v>
      </c>
      <c r="C19" s="25" t="str">
        <f>TEXT(107938,"0000000")</f>
        <v>0107938</v>
      </c>
      <c r="D19" s="26" t="s">
        <v>1230</v>
      </c>
      <c r="E19" s="25" t="s">
        <v>1228</v>
      </c>
      <c r="F19" s="25" t="s">
        <v>1214</v>
      </c>
      <c r="G19" s="59" t="s">
        <v>1229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639.59</v>
      </c>
      <c r="AD19" s="60">
        <v>621.83000000000004</v>
      </c>
      <c r="AE19" s="60">
        <v>574.91999999999996</v>
      </c>
      <c r="AF19" s="60">
        <v>0</v>
      </c>
      <c r="AG19" s="60">
        <v>0</v>
      </c>
      <c r="AH19" s="60">
        <v>0</v>
      </c>
      <c r="AI19" s="60">
        <v>639.59</v>
      </c>
      <c r="AJ19" s="60">
        <v>621.83000000000004</v>
      </c>
      <c r="AK19" s="60">
        <v>574.91999999999996</v>
      </c>
      <c r="AL19" s="60">
        <v>0</v>
      </c>
      <c r="AM19" s="60">
        <v>0</v>
      </c>
      <c r="AN19" s="60">
        <v>0</v>
      </c>
      <c r="AO19" s="60">
        <v>639.59</v>
      </c>
      <c r="AP19" s="60">
        <v>621.83000000000004</v>
      </c>
      <c r="AQ19" s="60">
        <v>574.91999999999996</v>
      </c>
      <c r="AR19" s="61">
        <v>639.59</v>
      </c>
    </row>
    <row r="20" spans="1:44" x14ac:dyDescent="0.35">
      <c r="A20" s="49" t="str">
        <f t="shared" si="1"/>
        <v>20</v>
      </c>
      <c r="B20" s="27">
        <v>65243</v>
      </c>
      <c r="C20" s="25" t="str">
        <f>TEXT(100016,"0000000")</f>
        <v>0100016</v>
      </c>
      <c r="D20" s="26" t="s">
        <v>1227</v>
      </c>
      <c r="E20" s="25" t="s">
        <v>1225</v>
      </c>
      <c r="F20" s="25" t="s">
        <v>1214</v>
      </c>
      <c r="G20" s="59" t="s">
        <v>1226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207.52</v>
      </c>
      <c r="AD20" s="60">
        <v>212.62</v>
      </c>
      <c r="AE20" s="60">
        <v>194.17</v>
      </c>
      <c r="AF20" s="60">
        <v>0</v>
      </c>
      <c r="AG20" s="60">
        <v>0</v>
      </c>
      <c r="AH20" s="60">
        <v>0</v>
      </c>
      <c r="AI20" s="60">
        <v>207.52</v>
      </c>
      <c r="AJ20" s="60">
        <v>212.62</v>
      </c>
      <c r="AK20" s="60">
        <v>194.17</v>
      </c>
      <c r="AL20" s="60">
        <v>0</v>
      </c>
      <c r="AM20" s="60">
        <v>0</v>
      </c>
      <c r="AN20" s="60">
        <v>0</v>
      </c>
      <c r="AO20" s="60">
        <v>207.52</v>
      </c>
      <c r="AP20" s="60">
        <v>212.62</v>
      </c>
      <c r="AQ20" s="60">
        <v>194.17</v>
      </c>
      <c r="AR20" s="61">
        <v>212.62</v>
      </c>
    </row>
    <row r="21" spans="1:44" x14ac:dyDescent="0.35">
      <c r="A21" s="49" t="str">
        <f t="shared" si="1"/>
        <v>20</v>
      </c>
      <c r="B21" s="27">
        <v>65243</v>
      </c>
      <c r="C21" s="25" t="str">
        <f>TEXT(118950,"0000000")</f>
        <v>0118950</v>
      </c>
      <c r="D21" s="27">
        <v>1058</v>
      </c>
      <c r="E21" s="25" t="s">
        <v>1231</v>
      </c>
      <c r="F21" s="25" t="s">
        <v>1214</v>
      </c>
      <c r="G21" s="59" t="s">
        <v>1232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64.42</v>
      </c>
      <c r="AD21" s="60">
        <v>76.73</v>
      </c>
      <c r="AE21" s="60">
        <v>71.819999999999993</v>
      </c>
      <c r="AF21" s="60">
        <v>0</v>
      </c>
      <c r="AG21" s="60">
        <v>0</v>
      </c>
      <c r="AH21" s="60">
        <v>0</v>
      </c>
      <c r="AI21" s="60">
        <v>64.42</v>
      </c>
      <c r="AJ21" s="60">
        <v>76.73</v>
      </c>
      <c r="AK21" s="60">
        <v>71.819999999999993</v>
      </c>
      <c r="AL21" s="60">
        <v>0</v>
      </c>
      <c r="AM21" s="60">
        <v>0</v>
      </c>
      <c r="AN21" s="60">
        <v>0</v>
      </c>
      <c r="AO21" s="60">
        <v>64.42</v>
      </c>
      <c r="AP21" s="60">
        <v>76.73</v>
      </c>
      <c r="AQ21" s="60">
        <v>71.819999999999993</v>
      </c>
      <c r="AR21" s="61">
        <v>76.73</v>
      </c>
    </row>
    <row r="22" spans="1:44" x14ac:dyDescent="0.35">
      <c r="A22" s="49" t="str">
        <f t="shared" si="1"/>
        <v>20</v>
      </c>
      <c r="B22" s="27">
        <v>76414</v>
      </c>
      <c r="C22" s="25" t="str">
        <f>TEXT(6110076,"0000000")</f>
        <v>6110076</v>
      </c>
      <c r="D22" s="26" t="s">
        <v>1248</v>
      </c>
      <c r="E22" s="25" t="s">
        <v>1246</v>
      </c>
      <c r="F22" s="25" t="s">
        <v>1214</v>
      </c>
      <c r="G22" s="59" t="s">
        <v>1247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211.53</v>
      </c>
      <c r="AD22" s="60">
        <v>200.64</v>
      </c>
      <c r="AE22" s="60">
        <v>235.49</v>
      </c>
      <c r="AF22" s="60">
        <v>0</v>
      </c>
      <c r="AG22" s="60">
        <v>0</v>
      </c>
      <c r="AH22" s="60">
        <v>0</v>
      </c>
      <c r="AI22" s="60">
        <v>211.53</v>
      </c>
      <c r="AJ22" s="60">
        <v>200.64</v>
      </c>
      <c r="AK22" s="60">
        <v>235.49</v>
      </c>
      <c r="AL22" s="60">
        <v>0</v>
      </c>
      <c r="AM22" s="60">
        <v>0</v>
      </c>
      <c r="AN22" s="60">
        <v>0</v>
      </c>
      <c r="AO22" s="60">
        <v>211.53</v>
      </c>
      <c r="AP22" s="60">
        <v>200.64</v>
      </c>
      <c r="AQ22" s="60">
        <v>235.49</v>
      </c>
      <c r="AR22" s="61">
        <v>235.49</v>
      </c>
    </row>
    <row r="23" spans="1:44" x14ac:dyDescent="0.35">
      <c r="A23" s="49" t="str">
        <f t="shared" si="1"/>
        <v>20</v>
      </c>
      <c r="B23" s="27">
        <v>76414</v>
      </c>
      <c r="C23" s="25" t="str">
        <f>TEXT(2030237,"0000000")</f>
        <v>2030237</v>
      </c>
      <c r="D23" s="26" t="s">
        <v>1245</v>
      </c>
      <c r="E23" s="25" t="s">
        <v>1243</v>
      </c>
      <c r="F23" s="25" t="s">
        <v>1214</v>
      </c>
      <c r="G23" s="59" t="s">
        <v>1244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79.5</v>
      </c>
      <c r="AD23" s="60">
        <v>87.56</v>
      </c>
      <c r="AE23" s="60">
        <v>90.76</v>
      </c>
      <c r="AF23" s="60">
        <v>0</v>
      </c>
      <c r="AG23" s="60">
        <v>0</v>
      </c>
      <c r="AH23" s="60">
        <v>0</v>
      </c>
      <c r="AI23" s="60">
        <v>79.5</v>
      </c>
      <c r="AJ23" s="60">
        <v>87.56</v>
      </c>
      <c r="AK23" s="60">
        <v>90.76</v>
      </c>
      <c r="AL23" s="60">
        <v>0</v>
      </c>
      <c r="AM23" s="60">
        <v>0</v>
      </c>
      <c r="AN23" s="60">
        <v>0</v>
      </c>
      <c r="AO23" s="60">
        <v>79.5</v>
      </c>
      <c r="AP23" s="60">
        <v>87.56</v>
      </c>
      <c r="AQ23" s="60">
        <v>90.76</v>
      </c>
      <c r="AR23" s="61">
        <v>90.76</v>
      </c>
    </row>
    <row r="24" spans="1:44" x14ac:dyDescent="0.35">
      <c r="A24" s="49" t="str">
        <f t="shared" si="1"/>
        <v>20</v>
      </c>
      <c r="B24" s="27">
        <v>65243</v>
      </c>
      <c r="C24" s="25" t="str">
        <f>TEXT(134510,"0000000")</f>
        <v>0134510</v>
      </c>
      <c r="D24" s="27">
        <v>1780</v>
      </c>
      <c r="E24" s="25" t="s">
        <v>1233</v>
      </c>
      <c r="F24" s="25" t="s">
        <v>1214</v>
      </c>
      <c r="G24" s="59" t="s">
        <v>1234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75.27</v>
      </c>
      <c r="AD24" s="60">
        <v>74.28</v>
      </c>
      <c r="AE24" s="60">
        <v>0</v>
      </c>
      <c r="AF24" s="60">
        <v>0</v>
      </c>
      <c r="AG24" s="60">
        <v>0</v>
      </c>
      <c r="AH24" s="60">
        <v>0</v>
      </c>
      <c r="AI24" s="60">
        <v>75.27</v>
      </c>
      <c r="AJ24" s="60">
        <v>74.28</v>
      </c>
      <c r="AK24" s="60">
        <v>0</v>
      </c>
      <c r="AL24" s="60">
        <v>0</v>
      </c>
      <c r="AM24" s="60">
        <v>0</v>
      </c>
      <c r="AN24" s="60">
        <v>73.430000000000007</v>
      </c>
      <c r="AO24" s="60">
        <v>75.27</v>
      </c>
      <c r="AP24" s="60">
        <v>74.28</v>
      </c>
      <c r="AQ24" s="60">
        <v>73.430000000000007</v>
      </c>
      <c r="AR24" s="61">
        <v>75.27</v>
      </c>
    </row>
    <row r="25" spans="1:44" x14ac:dyDescent="0.35">
      <c r="A25" s="49" t="str">
        <f t="shared" ref="A25:A38" si="2">TEXT(16,"00")</f>
        <v>16</v>
      </c>
      <c r="B25" s="27">
        <v>10165</v>
      </c>
      <c r="C25" s="25" t="str">
        <f t="shared" ref="C25:C56" si="3">TEXT(,"0000000")</f>
        <v>0000000</v>
      </c>
      <c r="D25" s="26" t="s">
        <v>3663</v>
      </c>
      <c r="E25" s="25" t="s">
        <v>753</v>
      </c>
      <c r="F25" s="25" t="s">
        <v>754</v>
      </c>
      <c r="G25" s="59" t="s">
        <v>754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22.79</v>
      </c>
      <c r="U25" s="60">
        <v>35.19</v>
      </c>
      <c r="V25" s="60">
        <v>27.99</v>
      </c>
      <c r="W25" s="60">
        <v>295.77999999999997</v>
      </c>
      <c r="X25" s="60">
        <v>270.35000000000002</v>
      </c>
      <c r="Y25" s="60">
        <v>228.93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  <c r="AG25" s="60">
        <v>0</v>
      </c>
      <c r="AH25" s="60">
        <v>0</v>
      </c>
      <c r="AI25" s="60">
        <v>318.57</v>
      </c>
      <c r="AJ25" s="60">
        <v>305.54000000000002</v>
      </c>
      <c r="AK25" s="60">
        <v>256.92</v>
      </c>
      <c r="AL25" s="60">
        <v>0</v>
      </c>
      <c r="AM25" s="60">
        <v>0</v>
      </c>
      <c r="AN25" s="60">
        <v>0</v>
      </c>
      <c r="AO25" s="60">
        <v>318.57</v>
      </c>
      <c r="AP25" s="60">
        <v>305.54000000000002</v>
      </c>
      <c r="AQ25" s="60">
        <v>256.92</v>
      </c>
      <c r="AR25" s="61">
        <v>318.57</v>
      </c>
    </row>
    <row r="26" spans="1:44" x14ac:dyDescent="0.35">
      <c r="A26" s="49" t="str">
        <f t="shared" si="2"/>
        <v>16</v>
      </c>
      <c r="B26" s="27">
        <v>63875</v>
      </c>
      <c r="C26" s="25" t="str">
        <f t="shared" si="3"/>
        <v>0000000</v>
      </c>
      <c r="D26" s="26" t="s">
        <v>3663</v>
      </c>
      <c r="E26" s="25" t="s">
        <v>755</v>
      </c>
      <c r="F26" s="25" t="s">
        <v>754</v>
      </c>
      <c r="G26" s="59" t="s">
        <v>756</v>
      </c>
      <c r="H26" s="60">
        <v>914.96</v>
      </c>
      <c r="I26" s="60">
        <v>911.91</v>
      </c>
      <c r="J26" s="60">
        <v>887.56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123.8</v>
      </c>
      <c r="AD26" s="60">
        <v>144.1</v>
      </c>
      <c r="AE26" s="60">
        <v>145.69999999999999</v>
      </c>
      <c r="AF26" s="60">
        <v>0</v>
      </c>
      <c r="AG26" s="60">
        <v>0</v>
      </c>
      <c r="AH26" s="60">
        <v>0</v>
      </c>
      <c r="AI26" s="60">
        <v>1038.76</v>
      </c>
      <c r="AJ26" s="60">
        <v>1056.01</v>
      </c>
      <c r="AK26" s="60">
        <v>1033.26</v>
      </c>
      <c r="AL26" s="60">
        <v>0</v>
      </c>
      <c r="AM26" s="60">
        <v>0</v>
      </c>
      <c r="AN26" s="60">
        <v>0</v>
      </c>
      <c r="AO26" s="60">
        <v>1038.76</v>
      </c>
      <c r="AP26" s="60">
        <v>1056.01</v>
      </c>
      <c r="AQ26" s="60">
        <v>1033.26</v>
      </c>
      <c r="AR26" s="61">
        <v>1056.01</v>
      </c>
    </row>
    <row r="27" spans="1:44" x14ac:dyDescent="0.35">
      <c r="A27" s="49" t="str">
        <f t="shared" si="2"/>
        <v>16</v>
      </c>
      <c r="B27" s="27">
        <v>63883</v>
      </c>
      <c r="C27" s="25" t="str">
        <f t="shared" si="3"/>
        <v>0000000</v>
      </c>
      <c r="D27" s="26" t="s">
        <v>3663</v>
      </c>
      <c r="E27" s="25" t="s">
        <v>760</v>
      </c>
      <c r="F27" s="25" t="s">
        <v>754</v>
      </c>
      <c r="G27" s="59" t="s">
        <v>761</v>
      </c>
      <c r="H27" s="60">
        <v>1539.55</v>
      </c>
      <c r="I27" s="60">
        <v>1589.24</v>
      </c>
      <c r="J27" s="60">
        <v>1598.65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  <c r="AG27" s="60">
        <v>0</v>
      </c>
      <c r="AH27" s="60">
        <v>0</v>
      </c>
      <c r="AI27" s="60">
        <v>1539.55</v>
      </c>
      <c r="AJ27" s="60">
        <v>1589.24</v>
      </c>
      <c r="AK27" s="60">
        <v>1598.65</v>
      </c>
      <c r="AL27" s="60">
        <v>0</v>
      </c>
      <c r="AM27" s="60">
        <v>0</v>
      </c>
      <c r="AN27" s="60">
        <v>0</v>
      </c>
      <c r="AO27" s="60">
        <v>1539.55</v>
      </c>
      <c r="AP27" s="60">
        <v>1589.24</v>
      </c>
      <c r="AQ27" s="60">
        <v>1598.65</v>
      </c>
      <c r="AR27" s="61">
        <v>1598.65</v>
      </c>
    </row>
    <row r="28" spans="1:44" x14ac:dyDescent="0.35">
      <c r="A28" s="49" t="str">
        <f t="shared" si="2"/>
        <v>16</v>
      </c>
      <c r="B28" s="27">
        <v>63917</v>
      </c>
      <c r="C28" s="25" t="str">
        <f t="shared" si="3"/>
        <v>0000000</v>
      </c>
      <c r="D28" s="26" t="s">
        <v>3663</v>
      </c>
      <c r="E28" s="25" t="s">
        <v>764</v>
      </c>
      <c r="F28" s="25" t="s">
        <v>754</v>
      </c>
      <c r="G28" s="59" t="s">
        <v>765</v>
      </c>
      <c r="H28" s="60">
        <v>5281.58</v>
      </c>
      <c r="I28" s="60">
        <v>5162.55</v>
      </c>
      <c r="J28" s="60">
        <v>4972.71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5281.58</v>
      </c>
      <c r="AJ28" s="60">
        <v>5162.55</v>
      </c>
      <c r="AK28" s="60">
        <v>4972.71</v>
      </c>
      <c r="AL28" s="60">
        <v>0</v>
      </c>
      <c r="AM28" s="60">
        <v>0</v>
      </c>
      <c r="AN28" s="60">
        <v>0</v>
      </c>
      <c r="AO28" s="60">
        <v>5281.58</v>
      </c>
      <c r="AP28" s="60">
        <v>5162.55</v>
      </c>
      <c r="AQ28" s="60">
        <v>4972.71</v>
      </c>
      <c r="AR28" s="61">
        <v>5281.58</v>
      </c>
    </row>
    <row r="29" spans="1:44" x14ac:dyDescent="0.35">
      <c r="A29" s="49" t="str">
        <f t="shared" si="2"/>
        <v>16</v>
      </c>
      <c r="B29" s="27">
        <v>63958</v>
      </c>
      <c r="C29" s="25" t="str">
        <f t="shared" si="3"/>
        <v>0000000</v>
      </c>
      <c r="D29" s="26" t="s">
        <v>3663</v>
      </c>
      <c r="E29" s="25" t="s">
        <v>772</v>
      </c>
      <c r="F29" s="25" t="s">
        <v>754</v>
      </c>
      <c r="G29" s="59" t="s">
        <v>773</v>
      </c>
      <c r="H29" s="60">
        <v>364.05</v>
      </c>
      <c r="I29" s="60">
        <v>352.75</v>
      </c>
      <c r="J29" s="60">
        <v>324.98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69.27</v>
      </c>
      <c r="AD29" s="60">
        <v>56.1</v>
      </c>
      <c r="AE29" s="60">
        <v>52.48</v>
      </c>
      <c r="AF29" s="60">
        <v>0</v>
      </c>
      <c r="AG29" s="60">
        <v>0</v>
      </c>
      <c r="AH29" s="60">
        <v>0</v>
      </c>
      <c r="AI29" s="60">
        <v>433.32</v>
      </c>
      <c r="AJ29" s="60">
        <v>408.85</v>
      </c>
      <c r="AK29" s="60">
        <v>377.46</v>
      </c>
      <c r="AL29" s="60">
        <v>0</v>
      </c>
      <c r="AM29" s="60">
        <v>0</v>
      </c>
      <c r="AN29" s="60">
        <v>0</v>
      </c>
      <c r="AO29" s="60">
        <v>433.32</v>
      </c>
      <c r="AP29" s="60">
        <v>408.85</v>
      </c>
      <c r="AQ29" s="60">
        <v>377.46</v>
      </c>
      <c r="AR29" s="61">
        <v>433.32</v>
      </c>
    </row>
    <row r="30" spans="1:44" x14ac:dyDescent="0.35">
      <c r="A30" s="49" t="str">
        <f t="shared" si="2"/>
        <v>16</v>
      </c>
      <c r="B30" s="27">
        <v>63974</v>
      </c>
      <c r="C30" s="25" t="str">
        <f t="shared" si="3"/>
        <v>0000000</v>
      </c>
      <c r="D30" s="26" t="s">
        <v>3663</v>
      </c>
      <c r="E30" s="25" t="s">
        <v>778</v>
      </c>
      <c r="F30" s="25" t="s">
        <v>754</v>
      </c>
      <c r="G30" s="59" t="s">
        <v>779</v>
      </c>
      <c r="H30" s="60">
        <v>2877.18</v>
      </c>
      <c r="I30" s="60">
        <v>2898.05</v>
      </c>
      <c r="J30" s="60">
        <v>2840.09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140.1</v>
      </c>
      <c r="AD30" s="60">
        <v>128.07</v>
      </c>
      <c r="AE30" s="60">
        <v>126.86</v>
      </c>
      <c r="AF30" s="60">
        <v>0</v>
      </c>
      <c r="AG30" s="60">
        <v>0</v>
      </c>
      <c r="AH30" s="60">
        <v>0</v>
      </c>
      <c r="AI30" s="60">
        <v>3017.28</v>
      </c>
      <c r="AJ30" s="60">
        <v>3026.12</v>
      </c>
      <c r="AK30" s="60">
        <v>2966.95</v>
      </c>
      <c r="AL30" s="60">
        <v>0</v>
      </c>
      <c r="AM30" s="60">
        <v>0</v>
      </c>
      <c r="AN30" s="60">
        <v>0</v>
      </c>
      <c r="AO30" s="60">
        <v>3017.28</v>
      </c>
      <c r="AP30" s="60">
        <v>3026.12</v>
      </c>
      <c r="AQ30" s="60">
        <v>2966.95</v>
      </c>
      <c r="AR30" s="61">
        <v>3026.12</v>
      </c>
    </row>
    <row r="31" spans="1:44" x14ac:dyDescent="0.35">
      <c r="A31" s="49" t="str">
        <f t="shared" si="2"/>
        <v>16</v>
      </c>
      <c r="B31" s="27">
        <v>63925</v>
      </c>
      <c r="C31" s="25" t="str">
        <f t="shared" si="3"/>
        <v>0000000</v>
      </c>
      <c r="D31" s="26" t="s">
        <v>3663</v>
      </c>
      <c r="E31" s="25" t="s">
        <v>766</v>
      </c>
      <c r="F31" s="25" t="s">
        <v>754</v>
      </c>
      <c r="G31" s="59" t="s">
        <v>767</v>
      </c>
      <c r="H31" s="60">
        <v>3736.79</v>
      </c>
      <c r="I31" s="60">
        <v>3775.26</v>
      </c>
      <c r="J31" s="60">
        <v>3592.09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130.71</v>
      </c>
      <c r="AD31" s="60">
        <v>136.09</v>
      </c>
      <c r="AE31" s="60">
        <v>115.51</v>
      </c>
      <c r="AF31" s="60">
        <v>0</v>
      </c>
      <c r="AG31" s="60">
        <v>0</v>
      </c>
      <c r="AH31" s="60">
        <v>0</v>
      </c>
      <c r="AI31" s="60">
        <v>3867.5</v>
      </c>
      <c r="AJ31" s="60">
        <v>3911.35</v>
      </c>
      <c r="AK31" s="60">
        <v>3707.6</v>
      </c>
      <c r="AL31" s="60">
        <v>0</v>
      </c>
      <c r="AM31" s="60">
        <v>0</v>
      </c>
      <c r="AN31" s="60">
        <v>0</v>
      </c>
      <c r="AO31" s="60">
        <v>3867.5</v>
      </c>
      <c r="AP31" s="60">
        <v>3911.35</v>
      </c>
      <c r="AQ31" s="60">
        <v>3707.6</v>
      </c>
      <c r="AR31" s="61">
        <v>3911.35</v>
      </c>
    </row>
    <row r="32" spans="1:44" x14ac:dyDescent="0.35">
      <c r="A32" s="49" t="str">
        <f t="shared" si="2"/>
        <v>16</v>
      </c>
      <c r="B32" s="27">
        <v>63982</v>
      </c>
      <c r="C32" s="25" t="str">
        <f t="shared" si="3"/>
        <v>0000000</v>
      </c>
      <c r="D32" s="26" t="s">
        <v>3663</v>
      </c>
      <c r="E32" s="25" t="s">
        <v>780</v>
      </c>
      <c r="F32" s="25" t="s">
        <v>754</v>
      </c>
      <c r="G32" s="59" t="s">
        <v>781</v>
      </c>
      <c r="H32" s="60">
        <v>1805.14</v>
      </c>
      <c r="I32" s="60">
        <v>1818.03</v>
      </c>
      <c r="J32" s="60">
        <v>1750.7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371.99</v>
      </c>
      <c r="AD32" s="60">
        <v>367.83</v>
      </c>
      <c r="AE32" s="60">
        <v>346.02</v>
      </c>
      <c r="AF32" s="60">
        <v>0</v>
      </c>
      <c r="AG32" s="60">
        <v>0</v>
      </c>
      <c r="AH32" s="60">
        <v>0</v>
      </c>
      <c r="AI32" s="60">
        <v>2177.13</v>
      </c>
      <c r="AJ32" s="60">
        <v>2185.86</v>
      </c>
      <c r="AK32" s="60">
        <v>2096.7199999999998</v>
      </c>
      <c r="AL32" s="60">
        <v>0</v>
      </c>
      <c r="AM32" s="60">
        <v>0</v>
      </c>
      <c r="AN32" s="60">
        <v>0</v>
      </c>
      <c r="AO32" s="60">
        <v>2177.13</v>
      </c>
      <c r="AP32" s="60">
        <v>2185.86</v>
      </c>
      <c r="AQ32" s="60">
        <v>2096.7199999999998</v>
      </c>
      <c r="AR32" s="61">
        <v>2185.86</v>
      </c>
    </row>
    <row r="33" spans="1:44" x14ac:dyDescent="0.35">
      <c r="A33" s="49" t="str">
        <f t="shared" si="2"/>
        <v>16</v>
      </c>
      <c r="B33" s="27">
        <v>63891</v>
      </c>
      <c r="C33" s="25" t="str">
        <f t="shared" si="3"/>
        <v>0000000</v>
      </c>
      <c r="D33" s="26" t="s">
        <v>3663</v>
      </c>
      <c r="E33" s="25" t="s">
        <v>762</v>
      </c>
      <c r="F33" s="25" t="s">
        <v>754</v>
      </c>
      <c r="G33" s="59" t="s">
        <v>763</v>
      </c>
      <c r="H33" s="60">
        <v>2960.32</v>
      </c>
      <c r="I33" s="60">
        <v>2992.32</v>
      </c>
      <c r="J33" s="60">
        <v>2798.89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  <c r="AG33" s="60">
        <v>0</v>
      </c>
      <c r="AH33" s="60">
        <v>0</v>
      </c>
      <c r="AI33" s="60">
        <v>2960.32</v>
      </c>
      <c r="AJ33" s="60">
        <v>2992.32</v>
      </c>
      <c r="AK33" s="60">
        <v>2798.89</v>
      </c>
      <c r="AL33" s="60">
        <v>0</v>
      </c>
      <c r="AM33" s="60">
        <v>0</v>
      </c>
      <c r="AN33" s="60">
        <v>0</v>
      </c>
      <c r="AO33" s="60">
        <v>2960.32</v>
      </c>
      <c r="AP33" s="60">
        <v>2992.32</v>
      </c>
      <c r="AQ33" s="60">
        <v>2798.89</v>
      </c>
      <c r="AR33" s="61">
        <v>2992.32</v>
      </c>
    </row>
    <row r="34" spans="1:44" x14ac:dyDescent="0.35">
      <c r="A34" s="49" t="str">
        <f t="shared" si="2"/>
        <v>16</v>
      </c>
      <c r="B34" s="27">
        <v>73932</v>
      </c>
      <c r="C34" s="25" t="str">
        <f t="shared" si="3"/>
        <v>0000000</v>
      </c>
      <c r="D34" s="26" t="s">
        <v>3663</v>
      </c>
      <c r="E34" s="25" t="s">
        <v>783</v>
      </c>
      <c r="F34" s="25" t="s">
        <v>754</v>
      </c>
      <c r="G34" s="59" t="s">
        <v>784</v>
      </c>
      <c r="H34" s="60">
        <v>2504.3000000000002</v>
      </c>
      <c r="I34" s="60">
        <v>2487.36</v>
      </c>
      <c r="J34" s="60">
        <v>2385.11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  <c r="AG34" s="60">
        <v>0</v>
      </c>
      <c r="AH34" s="60">
        <v>0</v>
      </c>
      <c r="AI34" s="60">
        <v>2504.3000000000002</v>
      </c>
      <c r="AJ34" s="60">
        <v>2487.36</v>
      </c>
      <c r="AK34" s="60">
        <v>2385.11</v>
      </c>
      <c r="AL34" s="60">
        <v>0</v>
      </c>
      <c r="AM34" s="60">
        <v>0</v>
      </c>
      <c r="AN34" s="60">
        <v>0</v>
      </c>
      <c r="AO34" s="60">
        <v>2504.3000000000002</v>
      </c>
      <c r="AP34" s="60">
        <v>2487.36</v>
      </c>
      <c r="AQ34" s="60">
        <v>2385.11</v>
      </c>
      <c r="AR34" s="61">
        <v>2504.3000000000002</v>
      </c>
    </row>
    <row r="35" spans="1:44" x14ac:dyDescent="0.35">
      <c r="A35" s="49" t="str">
        <f t="shared" si="2"/>
        <v>16</v>
      </c>
      <c r="B35" s="27">
        <v>63941</v>
      </c>
      <c r="C35" s="25" t="str">
        <f t="shared" si="3"/>
        <v>0000000</v>
      </c>
      <c r="D35" s="26" t="s">
        <v>3663</v>
      </c>
      <c r="E35" s="25" t="s">
        <v>770</v>
      </c>
      <c r="F35" s="25" t="s">
        <v>754</v>
      </c>
      <c r="G35" s="59" t="s">
        <v>771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810.56</v>
      </c>
      <c r="AD35" s="60">
        <v>782.52</v>
      </c>
      <c r="AE35" s="60">
        <v>769.68</v>
      </c>
      <c r="AF35" s="60">
        <v>0</v>
      </c>
      <c r="AG35" s="60">
        <v>0</v>
      </c>
      <c r="AH35" s="60">
        <v>0</v>
      </c>
      <c r="AI35" s="60">
        <v>810.56</v>
      </c>
      <c r="AJ35" s="60">
        <v>782.52</v>
      </c>
      <c r="AK35" s="60">
        <v>769.68</v>
      </c>
      <c r="AL35" s="60">
        <v>0</v>
      </c>
      <c r="AM35" s="60">
        <v>0</v>
      </c>
      <c r="AN35" s="60">
        <v>0</v>
      </c>
      <c r="AO35" s="60">
        <v>810.56</v>
      </c>
      <c r="AP35" s="60">
        <v>782.52</v>
      </c>
      <c r="AQ35" s="60">
        <v>769.68</v>
      </c>
      <c r="AR35" s="61">
        <v>810.56</v>
      </c>
    </row>
    <row r="36" spans="1:44" x14ac:dyDescent="0.35">
      <c r="A36" s="49" t="str">
        <f t="shared" si="2"/>
        <v>16</v>
      </c>
      <c r="B36" s="27">
        <v>63966</v>
      </c>
      <c r="C36" s="25" t="str">
        <f t="shared" si="3"/>
        <v>0000000</v>
      </c>
      <c r="D36" s="26" t="s">
        <v>3663</v>
      </c>
      <c r="E36" s="25" t="s">
        <v>776</v>
      </c>
      <c r="F36" s="25" t="s">
        <v>754</v>
      </c>
      <c r="G36" s="59" t="s">
        <v>777</v>
      </c>
      <c r="H36" s="60">
        <v>233.55</v>
      </c>
      <c r="I36" s="60">
        <v>219.59</v>
      </c>
      <c r="J36" s="60">
        <v>215.22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233.55</v>
      </c>
      <c r="AJ36" s="60">
        <v>219.59</v>
      </c>
      <c r="AK36" s="60">
        <v>215.22</v>
      </c>
      <c r="AL36" s="60">
        <v>0</v>
      </c>
      <c r="AM36" s="60">
        <v>0</v>
      </c>
      <c r="AN36" s="60">
        <v>0</v>
      </c>
      <c r="AO36" s="60">
        <v>233.55</v>
      </c>
      <c r="AP36" s="60">
        <v>219.59</v>
      </c>
      <c r="AQ36" s="60">
        <v>215.22</v>
      </c>
      <c r="AR36" s="61">
        <v>233.55</v>
      </c>
    </row>
    <row r="37" spans="1:44" x14ac:dyDescent="0.35">
      <c r="A37" s="49" t="str">
        <f t="shared" si="2"/>
        <v>16</v>
      </c>
      <c r="B37" s="27">
        <v>63990</v>
      </c>
      <c r="C37" s="25" t="str">
        <f t="shared" si="3"/>
        <v>0000000</v>
      </c>
      <c r="D37" s="26" t="s">
        <v>3663</v>
      </c>
      <c r="E37" s="25" t="s">
        <v>782</v>
      </c>
      <c r="F37" s="25" t="s">
        <v>754</v>
      </c>
      <c r="G37" s="59" t="s">
        <v>229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1569.93</v>
      </c>
      <c r="AD37" s="60">
        <v>1489.3</v>
      </c>
      <c r="AE37" s="60">
        <v>1402.04</v>
      </c>
      <c r="AF37" s="60">
        <v>0</v>
      </c>
      <c r="AG37" s="60">
        <v>0</v>
      </c>
      <c r="AH37" s="60">
        <v>0</v>
      </c>
      <c r="AI37" s="60">
        <v>1569.93</v>
      </c>
      <c r="AJ37" s="60">
        <v>1489.3</v>
      </c>
      <c r="AK37" s="60">
        <v>1402.04</v>
      </c>
      <c r="AL37" s="60">
        <v>0</v>
      </c>
      <c r="AM37" s="60">
        <v>0</v>
      </c>
      <c r="AN37" s="60">
        <v>0</v>
      </c>
      <c r="AO37" s="60">
        <v>1569.93</v>
      </c>
      <c r="AP37" s="60">
        <v>1489.3</v>
      </c>
      <c r="AQ37" s="60">
        <v>1402.04</v>
      </c>
      <c r="AR37" s="61">
        <v>1569.93</v>
      </c>
    </row>
    <row r="38" spans="1:44" x14ac:dyDescent="0.35">
      <c r="A38" s="49" t="str">
        <f t="shared" si="2"/>
        <v>16</v>
      </c>
      <c r="B38" s="27">
        <v>63933</v>
      </c>
      <c r="C38" s="25" t="str">
        <f t="shared" si="3"/>
        <v>0000000</v>
      </c>
      <c r="D38" s="26" t="s">
        <v>3663</v>
      </c>
      <c r="E38" s="25" t="s">
        <v>768</v>
      </c>
      <c r="F38" s="25" t="s">
        <v>754</v>
      </c>
      <c r="G38" s="59" t="s">
        <v>769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353.47</v>
      </c>
      <c r="AD38" s="60">
        <v>371.94</v>
      </c>
      <c r="AE38" s="60">
        <v>380.36</v>
      </c>
      <c r="AF38" s="60">
        <v>0</v>
      </c>
      <c r="AG38" s="60">
        <v>0</v>
      </c>
      <c r="AH38" s="60">
        <v>0</v>
      </c>
      <c r="AI38" s="60">
        <v>353.47</v>
      </c>
      <c r="AJ38" s="60">
        <v>371.94</v>
      </c>
      <c r="AK38" s="60">
        <v>380.36</v>
      </c>
      <c r="AL38" s="60">
        <v>0</v>
      </c>
      <c r="AM38" s="60">
        <v>0</v>
      </c>
      <c r="AN38" s="60">
        <v>0</v>
      </c>
      <c r="AO38" s="60">
        <v>353.47</v>
      </c>
      <c r="AP38" s="60">
        <v>371.94</v>
      </c>
      <c r="AQ38" s="60">
        <v>380.36</v>
      </c>
      <c r="AR38" s="61">
        <v>380.36</v>
      </c>
    </row>
    <row r="39" spans="1:44" x14ac:dyDescent="0.35">
      <c r="A39" s="49" t="str">
        <f>TEXT(6,"00")</f>
        <v>06</v>
      </c>
      <c r="B39" s="27">
        <v>10066</v>
      </c>
      <c r="C39" s="25" t="str">
        <f t="shared" si="3"/>
        <v>0000000</v>
      </c>
      <c r="D39" s="26" t="s">
        <v>3663</v>
      </c>
      <c r="E39" s="25" t="s">
        <v>245</v>
      </c>
      <c r="F39" s="25" t="s">
        <v>246</v>
      </c>
      <c r="G39" s="59" t="s">
        <v>246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21.09</v>
      </c>
      <c r="U39" s="60">
        <v>16.28</v>
      </c>
      <c r="V39" s="60">
        <v>9.59</v>
      </c>
      <c r="W39" s="60">
        <v>20.14</v>
      </c>
      <c r="X39" s="60">
        <v>22.53</v>
      </c>
      <c r="Y39" s="60">
        <v>17.3</v>
      </c>
      <c r="Z39" s="60">
        <v>0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  <c r="AG39" s="60">
        <v>0</v>
      </c>
      <c r="AH39" s="60">
        <v>0</v>
      </c>
      <c r="AI39" s="60">
        <v>41.23</v>
      </c>
      <c r="AJ39" s="60">
        <v>38.81</v>
      </c>
      <c r="AK39" s="60">
        <v>26.89</v>
      </c>
      <c r="AL39" s="60">
        <v>0</v>
      </c>
      <c r="AM39" s="60">
        <v>0</v>
      </c>
      <c r="AN39" s="60">
        <v>0</v>
      </c>
      <c r="AO39" s="60">
        <v>41.23</v>
      </c>
      <c r="AP39" s="60">
        <v>38.81</v>
      </c>
      <c r="AQ39" s="60">
        <v>26.89</v>
      </c>
      <c r="AR39" s="61">
        <v>41.23</v>
      </c>
    </row>
    <row r="40" spans="1:44" x14ac:dyDescent="0.35">
      <c r="A40" s="49" t="str">
        <f>TEXT(6,"00")</f>
        <v>06</v>
      </c>
      <c r="B40" s="27">
        <v>61598</v>
      </c>
      <c r="C40" s="25" t="str">
        <f t="shared" si="3"/>
        <v>0000000</v>
      </c>
      <c r="D40" s="26" t="s">
        <v>3663</v>
      </c>
      <c r="E40" s="25" t="s">
        <v>247</v>
      </c>
      <c r="F40" s="25" t="s">
        <v>246</v>
      </c>
      <c r="G40" s="59" t="s">
        <v>248</v>
      </c>
      <c r="H40" s="60">
        <v>1384.96</v>
      </c>
      <c r="I40" s="60">
        <v>1407.75</v>
      </c>
      <c r="J40" s="60">
        <v>1405.58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0</v>
      </c>
      <c r="AI40" s="60">
        <v>1384.96</v>
      </c>
      <c r="AJ40" s="60">
        <v>1407.75</v>
      </c>
      <c r="AK40" s="60">
        <v>1405.58</v>
      </c>
      <c r="AL40" s="60">
        <v>0</v>
      </c>
      <c r="AM40" s="60">
        <v>0</v>
      </c>
      <c r="AN40" s="60">
        <v>0</v>
      </c>
      <c r="AO40" s="60">
        <v>1384.96</v>
      </c>
      <c r="AP40" s="60">
        <v>1407.75</v>
      </c>
      <c r="AQ40" s="60">
        <v>1405.58</v>
      </c>
      <c r="AR40" s="61">
        <v>1407.75</v>
      </c>
    </row>
    <row r="41" spans="1:44" x14ac:dyDescent="0.35">
      <c r="A41" s="49" t="str">
        <f>TEXT(6,"00")</f>
        <v>06</v>
      </c>
      <c r="B41" s="27">
        <v>61606</v>
      </c>
      <c r="C41" s="25" t="str">
        <f t="shared" si="3"/>
        <v>0000000</v>
      </c>
      <c r="D41" s="26" t="s">
        <v>3663</v>
      </c>
      <c r="E41" s="25" t="s">
        <v>249</v>
      </c>
      <c r="F41" s="25" t="s">
        <v>246</v>
      </c>
      <c r="G41" s="59" t="s">
        <v>250</v>
      </c>
      <c r="H41" s="60">
        <v>332.73</v>
      </c>
      <c r="I41" s="60">
        <v>320.02</v>
      </c>
      <c r="J41" s="60">
        <v>325.5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  <c r="AG41" s="60">
        <v>0</v>
      </c>
      <c r="AH41" s="60">
        <v>0</v>
      </c>
      <c r="AI41" s="60">
        <v>332.73</v>
      </c>
      <c r="AJ41" s="60">
        <v>320.02</v>
      </c>
      <c r="AK41" s="60">
        <v>325.5</v>
      </c>
      <c r="AL41" s="60">
        <v>0</v>
      </c>
      <c r="AM41" s="60">
        <v>0</v>
      </c>
      <c r="AN41" s="60">
        <v>0</v>
      </c>
      <c r="AO41" s="60">
        <v>332.73</v>
      </c>
      <c r="AP41" s="60">
        <v>320.02</v>
      </c>
      <c r="AQ41" s="60">
        <v>325.5</v>
      </c>
      <c r="AR41" s="61">
        <v>332.73</v>
      </c>
    </row>
    <row r="42" spans="1:44" x14ac:dyDescent="0.35">
      <c r="A42" s="49" t="str">
        <f>TEXT(6,"00")</f>
        <v>06</v>
      </c>
      <c r="B42" s="27">
        <v>61614</v>
      </c>
      <c r="C42" s="25" t="str">
        <f t="shared" si="3"/>
        <v>0000000</v>
      </c>
      <c r="D42" s="26" t="s">
        <v>3663</v>
      </c>
      <c r="E42" s="25" t="s">
        <v>251</v>
      </c>
      <c r="F42" s="25" t="s">
        <v>246</v>
      </c>
      <c r="G42" s="59" t="s">
        <v>252</v>
      </c>
      <c r="H42" s="60">
        <v>1394.82</v>
      </c>
      <c r="I42" s="60">
        <v>1389.25</v>
      </c>
      <c r="J42" s="60">
        <v>1364.23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0">
        <v>0</v>
      </c>
      <c r="AF42" s="60">
        <v>0</v>
      </c>
      <c r="AG42" s="60">
        <v>0</v>
      </c>
      <c r="AH42" s="60">
        <v>0</v>
      </c>
      <c r="AI42" s="60">
        <v>1394.82</v>
      </c>
      <c r="AJ42" s="60">
        <v>1389.25</v>
      </c>
      <c r="AK42" s="60">
        <v>1364.23</v>
      </c>
      <c r="AL42" s="60">
        <v>0</v>
      </c>
      <c r="AM42" s="60">
        <v>0</v>
      </c>
      <c r="AN42" s="60">
        <v>0</v>
      </c>
      <c r="AO42" s="60">
        <v>1394.82</v>
      </c>
      <c r="AP42" s="60">
        <v>1389.25</v>
      </c>
      <c r="AQ42" s="60">
        <v>1364.23</v>
      </c>
      <c r="AR42" s="61">
        <v>1394.82</v>
      </c>
    </row>
    <row r="43" spans="1:44" x14ac:dyDescent="0.35">
      <c r="A43" s="49" t="str">
        <f>TEXT(6,"00")</f>
        <v>06</v>
      </c>
      <c r="B43" s="27">
        <v>61622</v>
      </c>
      <c r="C43" s="25" t="str">
        <f t="shared" si="3"/>
        <v>0000000</v>
      </c>
      <c r="D43" s="26" t="s">
        <v>3663</v>
      </c>
      <c r="E43" s="25" t="s">
        <v>253</v>
      </c>
      <c r="F43" s="25" t="s">
        <v>246</v>
      </c>
      <c r="G43" s="59" t="s">
        <v>254</v>
      </c>
      <c r="H43" s="60">
        <v>1216.49</v>
      </c>
      <c r="I43" s="60">
        <v>1197.74</v>
      </c>
      <c r="J43" s="60">
        <v>1182.51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  <c r="AG43" s="60">
        <v>0</v>
      </c>
      <c r="AH43" s="60">
        <v>0</v>
      </c>
      <c r="AI43" s="60">
        <v>1216.49</v>
      </c>
      <c r="AJ43" s="60">
        <v>1197.74</v>
      </c>
      <c r="AK43" s="60">
        <v>1182.51</v>
      </c>
      <c r="AL43" s="60">
        <v>0</v>
      </c>
      <c r="AM43" s="60">
        <v>0</v>
      </c>
      <c r="AN43" s="60">
        <v>0</v>
      </c>
      <c r="AO43" s="60">
        <v>1216.49</v>
      </c>
      <c r="AP43" s="60">
        <v>1197.74</v>
      </c>
      <c r="AQ43" s="60">
        <v>1182.51</v>
      </c>
      <c r="AR43" s="61">
        <v>1216.49</v>
      </c>
    </row>
    <row r="44" spans="1:44" x14ac:dyDescent="0.35">
      <c r="A44" s="49" t="str">
        <f t="shared" ref="A44:A57" si="4">TEXT(52,"00")</f>
        <v>52</v>
      </c>
      <c r="B44" s="27">
        <v>10520</v>
      </c>
      <c r="C44" s="25" t="str">
        <f t="shared" si="3"/>
        <v>0000000</v>
      </c>
      <c r="D44" s="26" t="s">
        <v>3663</v>
      </c>
      <c r="E44" s="25" t="s">
        <v>3262</v>
      </c>
      <c r="F44" s="25" t="s">
        <v>3263</v>
      </c>
      <c r="G44" s="59" t="s">
        <v>3263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27.38</v>
      </c>
      <c r="U44" s="60">
        <v>20.94</v>
      </c>
      <c r="V44" s="60">
        <v>19.45</v>
      </c>
      <c r="W44" s="60">
        <v>108.23</v>
      </c>
      <c r="X44" s="60">
        <v>101.91</v>
      </c>
      <c r="Y44" s="60">
        <v>125.24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135.61000000000001</v>
      </c>
      <c r="AJ44" s="60">
        <v>122.85</v>
      </c>
      <c r="AK44" s="60">
        <v>144.69</v>
      </c>
      <c r="AL44" s="60">
        <v>0</v>
      </c>
      <c r="AM44" s="60">
        <v>0</v>
      </c>
      <c r="AN44" s="60">
        <v>0</v>
      </c>
      <c r="AO44" s="60">
        <v>135.61000000000001</v>
      </c>
      <c r="AP44" s="60">
        <v>122.85</v>
      </c>
      <c r="AQ44" s="60">
        <v>144.69</v>
      </c>
      <c r="AR44" s="61">
        <v>144.69</v>
      </c>
    </row>
    <row r="45" spans="1:44" x14ac:dyDescent="0.35">
      <c r="A45" s="49" t="str">
        <f t="shared" si="4"/>
        <v>52</v>
      </c>
      <c r="B45" s="27">
        <v>71472</v>
      </c>
      <c r="C45" s="25" t="str">
        <f t="shared" si="3"/>
        <v>0000000</v>
      </c>
      <c r="D45" s="26" t="s">
        <v>3663</v>
      </c>
      <c r="E45" s="25" t="s">
        <v>3264</v>
      </c>
      <c r="F45" s="25" t="s">
        <v>3263</v>
      </c>
      <c r="G45" s="59" t="s">
        <v>3265</v>
      </c>
      <c r="H45" s="60">
        <v>661.07</v>
      </c>
      <c r="I45" s="60">
        <v>666.5</v>
      </c>
      <c r="J45" s="60">
        <v>700.29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208.94</v>
      </c>
      <c r="AD45" s="60">
        <v>214.87</v>
      </c>
      <c r="AE45" s="60">
        <v>212.22</v>
      </c>
      <c r="AF45" s="60">
        <v>0</v>
      </c>
      <c r="AG45" s="60">
        <v>0</v>
      </c>
      <c r="AH45" s="60">
        <v>0</v>
      </c>
      <c r="AI45" s="60">
        <v>870.01</v>
      </c>
      <c r="AJ45" s="60">
        <v>881.37</v>
      </c>
      <c r="AK45" s="60">
        <v>912.51</v>
      </c>
      <c r="AL45" s="60">
        <v>0</v>
      </c>
      <c r="AM45" s="60">
        <v>0</v>
      </c>
      <c r="AN45" s="60">
        <v>0</v>
      </c>
      <c r="AO45" s="60">
        <v>870.01</v>
      </c>
      <c r="AP45" s="60">
        <v>881.37</v>
      </c>
      <c r="AQ45" s="60">
        <v>912.51</v>
      </c>
      <c r="AR45" s="61">
        <v>912.51</v>
      </c>
    </row>
    <row r="46" spans="1:44" x14ac:dyDescent="0.35">
      <c r="A46" s="49" t="str">
        <f t="shared" si="4"/>
        <v>52</v>
      </c>
      <c r="B46" s="27">
        <v>71498</v>
      </c>
      <c r="C46" s="25" t="str">
        <f t="shared" si="3"/>
        <v>0000000</v>
      </c>
      <c r="D46" s="26" t="s">
        <v>3663</v>
      </c>
      <c r="E46" s="25" t="s">
        <v>3266</v>
      </c>
      <c r="F46" s="25" t="s">
        <v>3263</v>
      </c>
      <c r="G46" s="59" t="s">
        <v>3267</v>
      </c>
      <c r="H46" s="60">
        <v>1870.78</v>
      </c>
      <c r="I46" s="60">
        <v>1857.74</v>
      </c>
      <c r="J46" s="60">
        <v>1801.32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1870.78</v>
      </c>
      <c r="AJ46" s="60">
        <v>1857.74</v>
      </c>
      <c r="AK46" s="60">
        <v>1801.32</v>
      </c>
      <c r="AL46" s="60">
        <v>0</v>
      </c>
      <c r="AM46" s="60">
        <v>0</v>
      </c>
      <c r="AN46" s="60">
        <v>0</v>
      </c>
      <c r="AO46" s="60">
        <v>1870.78</v>
      </c>
      <c r="AP46" s="60">
        <v>1857.74</v>
      </c>
      <c r="AQ46" s="60">
        <v>1801.32</v>
      </c>
      <c r="AR46" s="61">
        <v>1870.78</v>
      </c>
    </row>
    <row r="47" spans="1:44" x14ac:dyDescent="0.35">
      <c r="A47" s="49" t="str">
        <f t="shared" si="4"/>
        <v>52</v>
      </c>
      <c r="B47" s="27">
        <v>71506</v>
      </c>
      <c r="C47" s="25" t="str">
        <f t="shared" si="3"/>
        <v>0000000</v>
      </c>
      <c r="D47" s="26" t="s">
        <v>3663</v>
      </c>
      <c r="E47" s="25" t="s">
        <v>3268</v>
      </c>
      <c r="F47" s="25" t="s">
        <v>3263</v>
      </c>
      <c r="G47" s="59" t="s">
        <v>3269</v>
      </c>
      <c r="H47" s="60">
        <v>975.41</v>
      </c>
      <c r="I47" s="60">
        <v>1031.02</v>
      </c>
      <c r="J47" s="60">
        <v>1012.22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975.41</v>
      </c>
      <c r="AJ47" s="60">
        <v>1031.02</v>
      </c>
      <c r="AK47" s="60">
        <v>1012.22</v>
      </c>
      <c r="AL47" s="60">
        <v>0</v>
      </c>
      <c r="AM47" s="60">
        <v>0</v>
      </c>
      <c r="AN47" s="60">
        <v>0</v>
      </c>
      <c r="AO47" s="60">
        <v>975.41</v>
      </c>
      <c r="AP47" s="60">
        <v>1031.02</v>
      </c>
      <c r="AQ47" s="60">
        <v>1012.22</v>
      </c>
      <c r="AR47" s="61">
        <v>1031.02</v>
      </c>
    </row>
    <row r="48" spans="1:44" x14ac:dyDescent="0.35">
      <c r="A48" s="49" t="str">
        <f t="shared" si="4"/>
        <v>52</v>
      </c>
      <c r="B48" s="27">
        <v>71522</v>
      </c>
      <c r="C48" s="25" t="str">
        <f t="shared" si="3"/>
        <v>0000000</v>
      </c>
      <c r="D48" s="26" t="s">
        <v>3663</v>
      </c>
      <c r="E48" s="25" t="s">
        <v>3270</v>
      </c>
      <c r="F48" s="25" t="s">
        <v>3263</v>
      </c>
      <c r="G48" s="59" t="s">
        <v>3271</v>
      </c>
      <c r="H48" s="60">
        <v>978.2</v>
      </c>
      <c r="I48" s="60">
        <v>954.49</v>
      </c>
      <c r="J48" s="60">
        <v>925.58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158.31</v>
      </c>
      <c r="AD48" s="60">
        <v>144.79</v>
      </c>
      <c r="AE48" s="60">
        <v>127.62</v>
      </c>
      <c r="AF48" s="60">
        <v>0</v>
      </c>
      <c r="AG48" s="60">
        <v>0</v>
      </c>
      <c r="AH48" s="60">
        <v>0</v>
      </c>
      <c r="AI48" s="60">
        <v>1136.51</v>
      </c>
      <c r="AJ48" s="60">
        <v>1099.28</v>
      </c>
      <c r="AK48" s="60">
        <v>1053.2</v>
      </c>
      <c r="AL48" s="60">
        <v>0</v>
      </c>
      <c r="AM48" s="60">
        <v>0</v>
      </c>
      <c r="AN48" s="60">
        <v>0</v>
      </c>
      <c r="AO48" s="60">
        <v>1136.51</v>
      </c>
      <c r="AP48" s="60">
        <v>1099.28</v>
      </c>
      <c r="AQ48" s="60">
        <v>1053.2</v>
      </c>
      <c r="AR48" s="61">
        <v>1136.51</v>
      </c>
    </row>
    <row r="49" spans="1:44" x14ac:dyDescent="0.35">
      <c r="A49" s="49" t="str">
        <f t="shared" si="4"/>
        <v>52</v>
      </c>
      <c r="B49" s="27">
        <v>71621</v>
      </c>
      <c r="C49" s="25" t="str">
        <f t="shared" si="3"/>
        <v>0000000</v>
      </c>
      <c r="D49" s="26" t="s">
        <v>3663</v>
      </c>
      <c r="E49" s="25" t="s">
        <v>3282</v>
      </c>
      <c r="F49" s="25" t="s">
        <v>3263</v>
      </c>
      <c r="G49" s="59" t="s">
        <v>3283</v>
      </c>
      <c r="H49" s="60">
        <v>1744.23</v>
      </c>
      <c r="I49" s="60">
        <v>1683.57</v>
      </c>
      <c r="J49" s="60">
        <v>1603.93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>
        <v>0</v>
      </c>
      <c r="AI49" s="60">
        <v>1744.23</v>
      </c>
      <c r="AJ49" s="60">
        <v>1683.57</v>
      </c>
      <c r="AK49" s="60">
        <v>1603.93</v>
      </c>
      <c r="AL49" s="60">
        <v>0</v>
      </c>
      <c r="AM49" s="60">
        <v>0</v>
      </c>
      <c r="AN49" s="60">
        <v>0</v>
      </c>
      <c r="AO49" s="60">
        <v>1744.23</v>
      </c>
      <c r="AP49" s="60">
        <v>1683.57</v>
      </c>
      <c r="AQ49" s="60">
        <v>1603.93</v>
      </c>
      <c r="AR49" s="61">
        <v>1744.23</v>
      </c>
    </row>
    <row r="50" spans="1:44" x14ac:dyDescent="0.35">
      <c r="A50" s="49" t="str">
        <f t="shared" si="4"/>
        <v>52</v>
      </c>
      <c r="B50" s="27">
        <v>71639</v>
      </c>
      <c r="C50" s="25" t="str">
        <f t="shared" si="3"/>
        <v>0000000</v>
      </c>
      <c r="D50" s="26" t="s">
        <v>3663</v>
      </c>
      <c r="E50" s="25" t="s">
        <v>3284</v>
      </c>
      <c r="F50" s="25" t="s">
        <v>3263</v>
      </c>
      <c r="G50" s="59" t="s">
        <v>3285</v>
      </c>
      <c r="H50" s="60">
        <v>1569.47</v>
      </c>
      <c r="I50" s="60">
        <v>1577.82</v>
      </c>
      <c r="J50" s="60">
        <v>1518.22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1569.47</v>
      </c>
      <c r="AJ50" s="60">
        <v>1577.82</v>
      </c>
      <c r="AK50" s="60">
        <v>1518.22</v>
      </c>
      <c r="AL50" s="60">
        <v>0</v>
      </c>
      <c r="AM50" s="60">
        <v>0</v>
      </c>
      <c r="AN50" s="60">
        <v>0</v>
      </c>
      <c r="AO50" s="60">
        <v>1569.47</v>
      </c>
      <c r="AP50" s="60">
        <v>1577.82</v>
      </c>
      <c r="AQ50" s="60">
        <v>1518.22</v>
      </c>
      <c r="AR50" s="61">
        <v>1577.82</v>
      </c>
    </row>
    <row r="51" spans="1:44" x14ac:dyDescent="0.35">
      <c r="A51" s="49" t="str">
        <f t="shared" si="4"/>
        <v>52</v>
      </c>
      <c r="B51" s="27">
        <v>71548</v>
      </c>
      <c r="C51" s="25" t="str">
        <f t="shared" si="3"/>
        <v>0000000</v>
      </c>
      <c r="D51" s="26" t="s">
        <v>3663</v>
      </c>
      <c r="E51" s="25" t="s">
        <v>3274</v>
      </c>
      <c r="F51" s="25" t="s">
        <v>3263</v>
      </c>
      <c r="G51" s="59" t="s">
        <v>3275</v>
      </c>
      <c r="H51" s="60">
        <v>381.26</v>
      </c>
      <c r="I51" s="60">
        <v>362.57</v>
      </c>
      <c r="J51" s="60">
        <v>355.64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381.26</v>
      </c>
      <c r="AJ51" s="60">
        <v>362.57</v>
      </c>
      <c r="AK51" s="60">
        <v>355.64</v>
      </c>
      <c r="AL51" s="60">
        <v>0</v>
      </c>
      <c r="AM51" s="60">
        <v>0</v>
      </c>
      <c r="AN51" s="60">
        <v>0</v>
      </c>
      <c r="AO51" s="60">
        <v>381.26</v>
      </c>
      <c r="AP51" s="60">
        <v>362.57</v>
      </c>
      <c r="AQ51" s="60">
        <v>355.64</v>
      </c>
      <c r="AR51" s="61">
        <v>381.26</v>
      </c>
    </row>
    <row r="52" spans="1:44" x14ac:dyDescent="0.35">
      <c r="A52" s="49" t="str">
        <f t="shared" si="4"/>
        <v>52</v>
      </c>
      <c r="B52" s="27">
        <v>71571</v>
      </c>
      <c r="C52" s="25" t="str">
        <f t="shared" si="3"/>
        <v>0000000</v>
      </c>
      <c r="D52" s="26" t="s">
        <v>3663</v>
      </c>
      <c r="E52" s="25" t="s">
        <v>3280</v>
      </c>
      <c r="F52" s="25" t="s">
        <v>3263</v>
      </c>
      <c r="G52" s="59" t="s">
        <v>3281</v>
      </c>
      <c r="H52" s="60">
        <v>488.23</v>
      </c>
      <c r="I52" s="60">
        <v>489.59</v>
      </c>
      <c r="J52" s="60">
        <v>501.93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  <c r="AG52" s="60">
        <v>0</v>
      </c>
      <c r="AH52" s="60">
        <v>0</v>
      </c>
      <c r="AI52" s="60">
        <v>488.23</v>
      </c>
      <c r="AJ52" s="60">
        <v>489.59</v>
      </c>
      <c r="AK52" s="60">
        <v>501.93</v>
      </c>
      <c r="AL52" s="60">
        <v>0</v>
      </c>
      <c r="AM52" s="60">
        <v>0</v>
      </c>
      <c r="AN52" s="60">
        <v>0</v>
      </c>
      <c r="AO52" s="60">
        <v>488.23</v>
      </c>
      <c r="AP52" s="60">
        <v>489.59</v>
      </c>
      <c r="AQ52" s="60">
        <v>501.93</v>
      </c>
      <c r="AR52" s="61">
        <v>501.93</v>
      </c>
    </row>
    <row r="53" spans="1:44" x14ac:dyDescent="0.35">
      <c r="A53" s="49" t="str">
        <f t="shared" si="4"/>
        <v>52</v>
      </c>
      <c r="B53" s="27">
        <v>71530</v>
      </c>
      <c r="C53" s="25" t="str">
        <f t="shared" si="3"/>
        <v>0000000</v>
      </c>
      <c r="D53" s="26" t="s">
        <v>3663</v>
      </c>
      <c r="E53" s="25" t="s">
        <v>3272</v>
      </c>
      <c r="F53" s="25" t="s">
        <v>3263</v>
      </c>
      <c r="G53" s="59" t="s">
        <v>3273</v>
      </c>
      <c r="H53" s="60">
        <v>35.049999999999997</v>
      </c>
      <c r="I53" s="60">
        <v>44.38</v>
      </c>
      <c r="J53" s="60">
        <v>41.79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35.049999999999997</v>
      </c>
      <c r="AJ53" s="60">
        <v>44.38</v>
      </c>
      <c r="AK53" s="60">
        <v>41.79</v>
      </c>
      <c r="AL53" s="60">
        <v>0</v>
      </c>
      <c r="AM53" s="60">
        <v>0</v>
      </c>
      <c r="AN53" s="60">
        <v>0</v>
      </c>
      <c r="AO53" s="60">
        <v>35.049999999999997</v>
      </c>
      <c r="AP53" s="60">
        <v>44.38</v>
      </c>
      <c r="AQ53" s="60">
        <v>41.79</v>
      </c>
      <c r="AR53" s="61">
        <v>44.38</v>
      </c>
    </row>
    <row r="54" spans="1:44" x14ac:dyDescent="0.35">
      <c r="A54" s="49" t="str">
        <f t="shared" si="4"/>
        <v>52</v>
      </c>
      <c r="B54" s="27">
        <v>71555</v>
      </c>
      <c r="C54" s="25" t="str">
        <f t="shared" si="3"/>
        <v>0000000</v>
      </c>
      <c r="D54" s="26" t="s">
        <v>3663</v>
      </c>
      <c r="E54" s="25" t="s">
        <v>3276</v>
      </c>
      <c r="F54" s="25" t="s">
        <v>3263</v>
      </c>
      <c r="G54" s="59" t="s">
        <v>3277</v>
      </c>
      <c r="H54" s="60">
        <v>97.44</v>
      </c>
      <c r="I54" s="60">
        <v>99.56</v>
      </c>
      <c r="J54" s="60">
        <v>96.11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  <c r="AG54" s="60">
        <v>0</v>
      </c>
      <c r="AH54" s="60">
        <v>0</v>
      </c>
      <c r="AI54" s="60">
        <v>97.44</v>
      </c>
      <c r="AJ54" s="60">
        <v>99.56</v>
      </c>
      <c r="AK54" s="60">
        <v>96.11</v>
      </c>
      <c r="AL54" s="60">
        <v>0</v>
      </c>
      <c r="AM54" s="60">
        <v>0</v>
      </c>
      <c r="AN54" s="60">
        <v>0</v>
      </c>
      <c r="AO54" s="60">
        <v>97.44</v>
      </c>
      <c r="AP54" s="60">
        <v>99.56</v>
      </c>
      <c r="AQ54" s="60">
        <v>96.11</v>
      </c>
      <c r="AR54" s="61">
        <v>99.56</v>
      </c>
    </row>
    <row r="55" spans="1:44" x14ac:dyDescent="0.35">
      <c r="A55" s="49" t="str">
        <f t="shared" si="4"/>
        <v>52</v>
      </c>
      <c r="B55" s="27">
        <v>71563</v>
      </c>
      <c r="C55" s="25" t="str">
        <f t="shared" si="3"/>
        <v>0000000</v>
      </c>
      <c r="D55" s="26" t="s">
        <v>3663</v>
      </c>
      <c r="E55" s="25" t="s">
        <v>3278</v>
      </c>
      <c r="F55" s="25" t="s">
        <v>3263</v>
      </c>
      <c r="G55" s="59" t="s">
        <v>3279</v>
      </c>
      <c r="H55" s="60">
        <v>349.42</v>
      </c>
      <c r="I55" s="60">
        <v>334.46</v>
      </c>
      <c r="J55" s="60">
        <v>341.33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0">
        <v>0</v>
      </c>
      <c r="AF55" s="60">
        <v>0</v>
      </c>
      <c r="AG55" s="60">
        <v>0</v>
      </c>
      <c r="AH55" s="60">
        <v>0</v>
      </c>
      <c r="AI55" s="60">
        <v>349.42</v>
      </c>
      <c r="AJ55" s="60">
        <v>334.46</v>
      </c>
      <c r="AK55" s="60">
        <v>341.33</v>
      </c>
      <c r="AL55" s="60">
        <v>0</v>
      </c>
      <c r="AM55" s="60">
        <v>0</v>
      </c>
      <c r="AN55" s="60">
        <v>0</v>
      </c>
      <c r="AO55" s="60">
        <v>349.42</v>
      </c>
      <c r="AP55" s="60">
        <v>334.46</v>
      </c>
      <c r="AQ55" s="60">
        <v>341.33</v>
      </c>
      <c r="AR55" s="61">
        <v>349.42</v>
      </c>
    </row>
    <row r="56" spans="1:44" x14ac:dyDescent="0.35">
      <c r="A56" s="49" t="str">
        <f t="shared" si="4"/>
        <v>52</v>
      </c>
      <c r="B56" s="27">
        <v>71647</v>
      </c>
      <c r="C56" s="25" t="str">
        <f t="shared" si="3"/>
        <v>0000000</v>
      </c>
      <c r="D56" s="26" t="s">
        <v>3663</v>
      </c>
      <c r="E56" s="25" t="s">
        <v>3286</v>
      </c>
      <c r="F56" s="25" t="s">
        <v>3263</v>
      </c>
      <c r="G56" s="59" t="s">
        <v>3287</v>
      </c>
      <c r="H56" s="60">
        <v>182.2</v>
      </c>
      <c r="I56" s="60">
        <v>171.64</v>
      </c>
      <c r="J56" s="60">
        <v>158.36000000000001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0">
        <v>0</v>
      </c>
      <c r="AF56" s="60">
        <v>0</v>
      </c>
      <c r="AG56" s="60">
        <v>0</v>
      </c>
      <c r="AH56" s="60">
        <v>0</v>
      </c>
      <c r="AI56" s="60">
        <v>182.2</v>
      </c>
      <c r="AJ56" s="60">
        <v>171.64</v>
      </c>
      <c r="AK56" s="60">
        <v>158.36000000000001</v>
      </c>
      <c r="AL56" s="60">
        <v>0</v>
      </c>
      <c r="AM56" s="60">
        <v>0</v>
      </c>
      <c r="AN56" s="60">
        <v>0</v>
      </c>
      <c r="AO56" s="60">
        <v>182.2</v>
      </c>
      <c r="AP56" s="60">
        <v>171.64</v>
      </c>
      <c r="AQ56" s="60">
        <v>158.36000000000001</v>
      </c>
      <c r="AR56" s="61">
        <v>182.2</v>
      </c>
    </row>
    <row r="57" spans="1:44" x14ac:dyDescent="0.35">
      <c r="A57" s="49" t="str">
        <f t="shared" si="4"/>
        <v>52</v>
      </c>
      <c r="B57" s="27">
        <v>71654</v>
      </c>
      <c r="C57" s="25" t="str">
        <f t="shared" ref="C57:C88" si="5">TEXT(,"0000000")</f>
        <v>0000000</v>
      </c>
      <c r="D57" s="26" t="s">
        <v>3663</v>
      </c>
      <c r="E57" s="25" t="s">
        <v>3288</v>
      </c>
      <c r="F57" s="25" t="s">
        <v>3263</v>
      </c>
      <c r="G57" s="59" t="s">
        <v>3289</v>
      </c>
      <c r="H57" s="60">
        <v>251.45</v>
      </c>
      <c r="I57" s="60">
        <v>228.94</v>
      </c>
      <c r="J57" s="60">
        <v>213.94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0">
        <v>0</v>
      </c>
      <c r="AF57" s="60">
        <v>0</v>
      </c>
      <c r="AG57" s="60">
        <v>0</v>
      </c>
      <c r="AH57" s="60">
        <v>0</v>
      </c>
      <c r="AI57" s="60">
        <v>251.45</v>
      </c>
      <c r="AJ57" s="60">
        <v>228.94</v>
      </c>
      <c r="AK57" s="60">
        <v>213.94</v>
      </c>
      <c r="AL57" s="60">
        <v>0</v>
      </c>
      <c r="AM57" s="60">
        <v>0</v>
      </c>
      <c r="AN57" s="60">
        <v>0</v>
      </c>
      <c r="AO57" s="60">
        <v>251.45</v>
      </c>
      <c r="AP57" s="60">
        <v>228.94</v>
      </c>
      <c r="AQ57" s="60">
        <v>213.94</v>
      </c>
      <c r="AR57" s="61">
        <v>251.45</v>
      </c>
    </row>
    <row r="58" spans="1:44" x14ac:dyDescent="0.35">
      <c r="A58" s="49" t="str">
        <f>TEXT(15,"00")</f>
        <v>15</v>
      </c>
      <c r="B58" s="27">
        <v>63529</v>
      </c>
      <c r="C58" s="25" t="str">
        <f t="shared" si="5"/>
        <v>0000000</v>
      </c>
      <c r="D58" s="26" t="s">
        <v>3663</v>
      </c>
      <c r="E58" s="25" t="s">
        <v>681</v>
      </c>
      <c r="F58" s="25" t="s">
        <v>682</v>
      </c>
      <c r="G58" s="59" t="s">
        <v>682</v>
      </c>
      <c r="H58" s="60">
        <v>39617.360000000001</v>
      </c>
      <c r="I58" s="60">
        <v>39071.75</v>
      </c>
      <c r="J58" s="60">
        <v>38357.75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509.07</v>
      </c>
      <c r="AD58" s="60">
        <v>552.53</v>
      </c>
      <c r="AE58" s="60">
        <v>365.78</v>
      </c>
      <c r="AF58" s="60">
        <v>0</v>
      </c>
      <c r="AG58" s="60">
        <v>0</v>
      </c>
      <c r="AH58" s="60">
        <v>0</v>
      </c>
      <c r="AI58" s="60">
        <v>40126.43</v>
      </c>
      <c r="AJ58" s="60">
        <v>39624.28</v>
      </c>
      <c r="AK58" s="60">
        <v>38723.53</v>
      </c>
      <c r="AL58" s="60">
        <v>0</v>
      </c>
      <c r="AM58" s="60">
        <v>0</v>
      </c>
      <c r="AN58" s="60">
        <v>0</v>
      </c>
      <c r="AO58" s="60">
        <v>40126.43</v>
      </c>
      <c r="AP58" s="60">
        <v>39624.28</v>
      </c>
      <c r="AQ58" s="60">
        <v>38723.53</v>
      </c>
      <c r="AR58" s="61">
        <v>40126.43</v>
      </c>
    </row>
    <row r="59" spans="1:44" x14ac:dyDescent="0.35">
      <c r="A59" s="49" t="str">
        <f t="shared" ref="A59:A73" si="6">TEXT(56,"00")</f>
        <v>56</v>
      </c>
      <c r="B59" s="27">
        <v>10561</v>
      </c>
      <c r="C59" s="25" t="str">
        <f t="shared" si="5"/>
        <v>0000000</v>
      </c>
      <c r="D59" s="26" t="s">
        <v>3663</v>
      </c>
      <c r="E59" s="25" t="s">
        <v>1006</v>
      </c>
      <c r="F59" s="25" t="s">
        <v>1007</v>
      </c>
      <c r="G59" s="59" t="s">
        <v>1007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126.55</v>
      </c>
      <c r="U59" s="60">
        <v>116.19</v>
      </c>
      <c r="V59" s="60">
        <v>93.51</v>
      </c>
      <c r="W59" s="60">
        <v>408.77</v>
      </c>
      <c r="X59" s="60">
        <v>438.62</v>
      </c>
      <c r="Y59" s="60">
        <v>411.43</v>
      </c>
      <c r="Z59" s="60">
        <v>403.16</v>
      </c>
      <c r="AA59" s="60">
        <v>374.59</v>
      </c>
      <c r="AB59" s="60">
        <v>359.07</v>
      </c>
      <c r="AC59" s="60">
        <v>0</v>
      </c>
      <c r="AD59" s="60">
        <v>0</v>
      </c>
      <c r="AE59" s="60">
        <v>0</v>
      </c>
      <c r="AF59" s="60">
        <v>0</v>
      </c>
      <c r="AG59" s="60">
        <v>0</v>
      </c>
      <c r="AH59" s="60">
        <v>0</v>
      </c>
      <c r="AI59" s="60">
        <v>938.48</v>
      </c>
      <c r="AJ59" s="60">
        <v>929.4</v>
      </c>
      <c r="AK59" s="60">
        <v>864.01</v>
      </c>
      <c r="AL59" s="60">
        <v>0</v>
      </c>
      <c r="AM59" s="60">
        <v>0</v>
      </c>
      <c r="AN59" s="60">
        <v>0</v>
      </c>
      <c r="AO59" s="60">
        <v>938.48</v>
      </c>
      <c r="AP59" s="60">
        <v>929.4</v>
      </c>
      <c r="AQ59" s="60">
        <v>864.01</v>
      </c>
      <c r="AR59" s="61">
        <v>938.48</v>
      </c>
    </row>
    <row r="60" spans="1:44" x14ac:dyDescent="0.35">
      <c r="A60" s="49" t="str">
        <f t="shared" si="6"/>
        <v>56</v>
      </c>
      <c r="B60" s="27">
        <v>72447</v>
      </c>
      <c r="C60" s="25" t="str">
        <f t="shared" si="5"/>
        <v>0000000</v>
      </c>
      <c r="D60" s="26" t="s">
        <v>3663</v>
      </c>
      <c r="E60" s="25" t="s">
        <v>3439</v>
      </c>
      <c r="F60" s="25" t="s">
        <v>1007</v>
      </c>
      <c r="G60" s="59" t="s">
        <v>3440</v>
      </c>
      <c r="H60" s="60">
        <v>447.75</v>
      </c>
      <c r="I60" s="60">
        <v>432.98</v>
      </c>
      <c r="J60" s="60">
        <v>428.39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0</v>
      </c>
      <c r="AG60" s="60">
        <v>0</v>
      </c>
      <c r="AH60" s="60">
        <v>0</v>
      </c>
      <c r="AI60" s="60">
        <v>447.75</v>
      </c>
      <c r="AJ60" s="60">
        <v>432.98</v>
      </c>
      <c r="AK60" s="60">
        <v>428.39</v>
      </c>
      <c r="AL60" s="60">
        <v>0</v>
      </c>
      <c r="AM60" s="60">
        <v>0</v>
      </c>
      <c r="AN60" s="60">
        <v>0</v>
      </c>
      <c r="AO60" s="60">
        <v>447.75</v>
      </c>
      <c r="AP60" s="60">
        <v>432.98</v>
      </c>
      <c r="AQ60" s="60">
        <v>428.39</v>
      </c>
      <c r="AR60" s="61">
        <v>447.75</v>
      </c>
    </row>
    <row r="61" spans="1:44" x14ac:dyDescent="0.35">
      <c r="A61" s="49" t="str">
        <f t="shared" si="6"/>
        <v>56</v>
      </c>
      <c r="B61" s="27">
        <v>73759</v>
      </c>
      <c r="C61" s="25" t="str">
        <f t="shared" si="5"/>
        <v>0000000</v>
      </c>
      <c r="D61" s="26" t="s">
        <v>3663</v>
      </c>
      <c r="E61" s="25" t="s">
        <v>3468</v>
      </c>
      <c r="F61" s="25" t="s">
        <v>1007</v>
      </c>
      <c r="G61" s="59" t="s">
        <v>3469</v>
      </c>
      <c r="H61" s="60">
        <v>15119.93</v>
      </c>
      <c r="I61" s="60">
        <v>15321.89</v>
      </c>
      <c r="J61" s="60">
        <v>15751.3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735.96</v>
      </c>
      <c r="AD61" s="60">
        <v>718.51</v>
      </c>
      <c r="AE61" s="60">
        <v>767.71</v>
      </c>
      <c r="AF61" s="60">
        <v>0</v>
      </c>
      <c r="AG61" s="60">
        <v>0</v>
      </c>
      <c r="AH61" s="60">
        <v>0</v>
      </c>
      <c r="AI61" s="60">
        <v>15855.89</v>
      </c>
      <c r="AJ61" s="60">
        <v>16040.4</v>
      </c>
      <c r="AK61" s="60">
        <v>16519.009999999998</v>
      </c>
      <c r="AL61" s="60">
        <v>0</v>
      </c>
      <c r="AM61" s="60">
        <v>0</v>
      </c>
      <c r="AN61" s="60">
        <v>0</v>
      </c>
      <c r="AO61" s="60">
        <v>15855.89</v>
      </c>
      <c r="AP61" s="60">
        <v>16040.4</v>
      </c>
      <c r="AQ61" s="60">
        <v>16519.009999999998</v>
      </c>
      <c r="AR61" s="61">
        <v>16519.009999999998</v>
      </c>
    </row>
    <row r="62" spans="1:44" x14ac:dyDescent="0.35">
      <c r="A62" s="49" t="str">
        <f t="shared" si="6"/>
        <v>56</v>
      </c>
      <c r="B62" s="27">
        <v>72462</v>
      </c>
      <c r="C62" s="25" t="str">
        <f t="shared" si="5"/>
        <v>0000000</v>
      </c>
      <c r="D62" s="26" t="s">
        <v>3663</v>
      </c>
      <c r="E62" s="25" t="s">
        <v>3443</v>
      </c>
      <c r="F62" s="25" t="s">
        <v>1007</v>
      </c>
      <c r="G62" s="59" t="s">
        <v>3444</v>
      </c>
      <c r="H62" s="60">
        <v>6460.26</v>
      </c>
      <c r="I62" s="60">
        <v>6594.64</v>
      </c>
      <c r="J62" s="60">
        <v>6611.89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0</v>
      </c>
      <c r="AH62" s="60">
        <v>0</v>
      </c>
      <c r="AI62" s="60">
        <v>6460.26</v>
      </c>
      <c r="AJ62" s="60">
        <v>6594.64</v>
      </c>
      <c r="AK62" s="60">
        <v>6611.89</v>
      </c>
      <c r="AL62" s="60">
        <v>0</v>
      </c>
      <c r="AM62" s="60">
        <v>0</v>
      </c>
      <c r="AN62" s="60">
        <v>0</v>
      </c>
      <c r="AO62" s="60">
        <v>6460.26</v>
      </c>
      <c r="AP62" s="60">
        <v>6594.64</v>
      </c>
      <c r="AQ62" s="60">
        <v>6611.89</v>
      </c>
      <c r="AR62" s="61">
        <v>6611.89</v>
      </c>
    </row>
    <row r="63" spans="1:44" x14ac:dyDescent="0.35">
      <c r="A63" s="49" t="str">
        <f t="shared" si="6"/>
        <v>56</v>
      </c>
      <c r="B63" s="27">
        <v>72470</v>
      </c>
      <c r="C63" s="25" t="str">
        <f t="shared" si="5"/>
        <v>0000000</v>
      </c>
      <c r="D63" s="26" t="s">
        <v>3663</v>
      </c>
      <c r="E63" s="25" t="s">
        <v>3445</v>
      </c>
      <c r="F63" s="25" t="s">
        <v>1007</v>
      </c>
      <c r="G63" s="59" t="s">
        <v>3446</v>
      </c>
      <c r="H63" s="60">
        <v>537.85</v>
      </c>
      <c r="I63" s="60">
        <v>517.01</v>
      </c>
      <c r="J63" s="60">
        <v>532.80999999999995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492.17</v>
      </c>
      <c r="AD63" s="60">
        <v>441.44</v>
      </c>
      <c r="AE63" s="60">
        <v>515.44000000000005</v>
      </c>
      <c r="AF63" s="60">
        <v>0</v>
      </c>
      <c r="AG63" s="60">
        <v>0</v>
      </c>
      <c r="AH63" s="60">
        <v>0</v>
      </c>
      <c r="AI63" s="60">
        <v>1030.02</v>
      </c>
      <c r="AJ63" s="60">
        <v>958.45</v>
      </c>
      <c r="AK63" s="60">
        <v>1048.25</v>
      </c>
      <c r="AL63" s="60">
        <v>0</v>
      </c>
      <c r="AM63" s="60">
        <v>0</v>
      </c>
      <c r="AN63" s="60">
        <v>0</v>
      </c>
      <c r="AO63" s="60">
        <v>1030.02</v>
      </c>
      <c r="AP63" s="60">
        <v>958.45</v>
      </c>
      <c r="AQ63" s="60">
        <v>1048.25</v>
      </c>
      <c r="AR63" s="61">
        <v>1048.25</v>
      </c>
    </row>
    <row r="64" spans="1:44" x14ac:dyDescent="0.35">
      <c r="A64" s="49" t="str">
        <f t="shared" si="6"/>
        <v>56</v>
      </c>
      <c r="B64" s="27">
        <v>72512</v>
      </c>
      <c r="C64" s="25" t="str">
        <f t="shared" si="5"/>
        <v>0000000</v>
      </c>
      <c r="D64" s="26" t="s">
        <v>3663</v>
      </c>
      <c r="E64" s="25" t="s">
        <v>3449</v>
      </c>
      <c r="F64" s="25" t="s">
        <v>1007</v>
      </c>
      <c r="G64" s="59" t="s">
        <v>1590</v>
      </c>
      <c r="H64" s="60">
        <v>1947.76</v>
      </c>
      <c r="I64" s="60">
        <v>2009.28</v>
      </c>
      <c r="J64" s="60">
        <v>2020.47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  <c r="AG64" s="60">
        <v>0</v>
      </c>
      <c r="AH64" s="60">
        <v>0</v>
      </c>
      <c r="AI64" s="60">
        <v>1947.76</v>
      </c>
      <c r="AJ64" s="60">
        <v>2009.28</v>
      </c>
      <c r="AK64" s="60">
        <v>2020.47</v>
      </c>
      <c r="AL64" s="60">
        <v>0</v>
      </c>
      <c r="AM64" s="60">
        <v>0</v>
      </c>
      <c r="AN64" s="60">
        <v>0</v>
      </c>
      <c r="AO64" s="60">
        <v>1947.76</v>
      </c>
      <c r="AP64" s="60">
        <v>2009.28</v>
      </c>
      <c r="AQ64" s="60">
        <v>2020.47</v>
      </c>
      <c r="AR64" s="61">
        <v>2020.47</v>
      </c>
    </row>
    <row r="65" spans="1:44" x14ac:dyDescent="0.35">
      <c r="A65" s="49" t="str">
        <f t="shared" si="6"/>
        <v>56</v>
      </c>
      <c r="B65" s="27">
        <v>72538</v>
      </c>
      <c r="C65" s="25" t="str">
        <f t="shared" si="5"/>
        <v>0000000</v>
      </c>
      <c r="D65" s="26" t="s">
        <v>3663</v>
      </c>
      <c r="E65" s="25" t="s">
        <v>3452</v>
      </c>
      <c r="F65" s="25" t="s">
        <v>1007</v>
      </c>
      <c r="G65" s="59" t="s">
        <v>3453</v>
      </c>
      <c r="H65" s="60">
        <v>12575.7</v>
      </c>
      <c r="I65" s="60">
        <v>13006.33</v>
      </c>
      <c r="J65" s="60">
        <v>13088.88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0</v>
      </c>
      <c r="AE65" s="60">
        <v>0</v>
      </c>
      <c r="AF65" s="60">
        <v>0</v>
      </c>
      <c r="AG65" s="60">
        <v>0</v>
      </c>
      <c r="AH65" s="60">
        <v>0</v>
      </c>
      <c r="AI65" s="60">
        <v>12575.7</v>
      </c>
      <c r="AJ65" s="60">
        <v>13006.33</v>
      </c>
      <c r="AK65" s="60">
        <v>13088.88</v>
      </c>
      <c r="AL65" s="60">
        <v>0</v>
      </c>
      <c r="AM65" s="60">
        <v>0</v>
      </c>
      <c r="AN65" s="60">
        <v>0</v>
      </c>
      <c r="AO65" s="60">
        <v>12575.7</v>
      </c>
      <c r="AP65" s="60">
        <v>13006.33</v>
      </c>
      <c r="AQ65" s="60">
        <v>13088.88</v>
      </c>
      <c r="AR65" s="61">
        <v>13088.88</v>
      </c>
    </row>
    <row r="66" spans="1:44" x14ac:dyDescent="0.35">
      <c r="A66" s="49" t="str">
        <f t="shared" si="6"/>
        <v>56</v>
      </c>
      <c r="B66" s="27">
        <v>72553</v>
      </c>
      <c r="C66" s="25" t="str">
        <f t="shared" si="5"/>
        <v>0000000</v>
      </c>
      <c r="D66" s="26" t="s">
        <v>3663</v>
      </c>
      <c r="E66" s="25" t="s">
        <v>3456</v>
      </c>
      <c r="F66" s="25" t="s">
        <v>1007</v>
      </c>
      <c r="G66" s="59" t="s">
        <v>3457</v>
      </c>
      <c r="H66" s="60">
        <v>5491.73</v>
      </c>
      <c r="I66" s="60">
        <v>5386.5</v>
      </c>
      <c r="J66" s="60">
        <v>5405.44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1091.76</v>
      </c>
      <c r="AD66" s="60">
        <v>930.23</v>
      </c>
      <c r="AE66" s="60">
        <v>964.34</v>
      </c>
      <c r="AF66" s="60">
        <v>0</v>
      </c>
      <c r="AG66" s="60">
        <v>0</v>
      </c>
      <c r="AH66" s="60">
        <v>0</v>
      </c>
      <c r="AI66" s="60">
        <v>6583.49</v>
      </c>
      <c r="AJ66" s="60">
        <v>6316.73</v>
      </c>
      <c r="AK66" s="60">
        <v>6369.78</v>
      </c>
      <c r="AL66" s="60">
        <v>0</v>
      </c>
      <c r="AM66" s="60">
        <v>0</v>
      </c>
      <c r="AN66" s="60">
        <v>0</v>
      </c>
      <c r="AO66" s="60">
        <v>6583.49</v>
      </c>
      <c r="AP66" s="60">
        <v>6316.73</v>
      </c>
      <c r="AQ66" s="60">
        <v>6369.78</v>
      </c>
      <c r="AR66" s="61">
        <v>6583.49</v>
      </c>
    </row>
    <row r="67" spans="1:44" x14ac:dyDescent="0.35">
      <c r="A67" s="49" t="str">
        <f t="shared" si="6"/>
        <v>56</v>
      </c>
      <c r="B67" s="27">
        <v>72561</v>
      </c>
      <c r="C67" s="25" t="str">
        <f t="shared" si="5"/>
        <v>0000000</v>
      </c>
      <c r="D67" s="26" t="s">
        <v>3663</v>
      </c>
      <c r="E67" s="25" t="s">
        <v>3458</v>
      </c>
      <c r="F67" s="25" t="s">
        <v>1007</v>
      </c>
      <c r="G67" s="59" t="s">
        <v>3459</v>
      </c>
      <c r="H67" s="60">
        <v>4882.46</v>
      </c>
      <c r="I67" s="60">
        <v>4766.33</v>
      </c>
      <c r="J67" s="60">
        <v>4713.2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  <c r="AG67" s="60">
        <v>0</v>
      </c>
      <c r="AH67" s="60">
        <v>0</v>
      </c>
      <c r="AI67" s="60">
        <v>4882.46</v>
      </c>
      <c r="AJ67" s="60">
        <v>4766.33</v>
      </c>
      <c r="AK67" s="60">
        <v>4713.2</v>
      </c>
      <c r="AL67" s="60">
        <v>0</v>
      </c>
      <c r="AM67" s="60">
        <v>0</v>
      </c>
      <c r="AN67" s="60">
        <v>0</v>
      </c>
      <c r="AO67" s="60">
        <v>4882.46</v>
      </c>
      <c r="AP67" s="60">
        <v>4766.33</v>
      </c>
      <c r="AQ67" s="60">
        <v>4713.2</v>
      </c>
      <c r="AR67" s="61">
        <v>4882.46</v>
      </c>
    </row>
    <row r="68" spans="1:44" x14ac:dyDescent="0.35">
      <c r="A68" s="49" t="str">
        <f t="shared" si="6"/>
        <v>56</v>
      </c>
      <c r="B68" s="27">
        <v>72611</v>
      </c>
      <c r="C68" s="25" t="str">
        <f t="shared" si="5"/>
        <v>0000000</v>
      </c>
      <c r="D68" s="26" t="s">
        <v>3663</v>
      </c>
      <c r="E68" s="25" t="s">
        <v>3464</v>
      </c>
      <c r="F68" s="25" t="s">
        <v>1007</v>
      </c>
      <c r="G68" s="59" t="s">
        <v>3465</v>
      </c>
      <c r="H68" s="60">
        <v>204.25</v>
      </c>
      <c r="I68" s="60">
        <v>218.62</v>
      </c>
      <c r="J68" s="60">
        <v>219.92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  <c r="AG68" s="60">
        <v>0</v>
      </c>
      <c r="AH68" s="60">
        <v>0</v>
      </c>
      <c r="AI68" s="60">
        <v>204.25</v>
      </c>
      <c r="AJ68" s="60">
        <v>218.62</v>
      </c>
      <c r="AK68" s="60">
        <v>219.92</v>
      </c>
      <c r="AL68" s="60">
        <v>0</v>
      </c>
      <c r="AM68" s="60">
        <v>0</v>
      </c>
      <c r="AN68" s="60">
        <v>0</v>
      </c>
      <c r="AO68" s="60">
        <v>204.25</v>
      </c>
      <c r="AP68" s="60">
        <v>218.62</v>
      </c>
      <c r="AQ68" s="60">
        <v>219.92</v>
      </c>
      <c r="AR68" s="61">
        <v>219.92</v>
      </c>
    </row>
    <row r="69" spans="1:44" x14ac:dyDescent="0.35">
      <c r="A69" s="49" t="str">
        <f t="shared" si="6"/>
        <v>56</v>
      </c>
      <c r="B69" s="27">
        <v>72546</v>
      </c>
      <c r="C69" s="25" t="str">
        <f t="shared" si="5"/>
        <v>0000000</v>
      </c>
      <c r="D69" s="26" t="s">
        <v>3663</v>
      </c>
      <c r="E69" s="25" t="s">
        <v>3454</v>
      </c>
      <c r="F69" s="25" t="s">
        <v>1007</v>
      </c>
      <c r="G69" s="59" t="s">
        <v>3455</v>
      </c>
      <c r="H69" s="60">
        <v>14720.48</v>
      </c>
      <c r="I69" s="60">
        <v>15282.59</v>
      </c>
      <c r="J69" s="60">
        <v>15526.66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789.27</v>
      </c>
      <c r="AD69" s="60">
        <v>780.15</v>
      </c>
      <c r="AE69" s="60">
        <v>777.36</v>
      </c>
      <c r="AF69" s="60">
        <v>0</v>
      </c>
      <c r="AG69" s="60">
        <v>0</v>
      </c>
      <c r="AH69" s="60">
        <v>0</v>
      </c>
      <c r="AI69" s="60">
        <v>15509.75</v>
      </c>
      <c r="AJ69" s="60">
        <v>16062.74</v>
      </c>
      <c r="AK69" s="60">
        <v>16304.02</v>
      </c>
      <c r="AL69" s="60">
        <v>0</v>
      </c>
      <c r="AM69" s="60">
        <v>0</v>
      </c>
      <c r="AN69" s="60">
        <v>0</v>
      </c>
      <c r="AO69" s="60">
        <v>15509.75</v>
      </c>
      <c r="AP69" s="60">
        <v>16062.74</v>
      </c>
      <c r="AQ69" s="60">
        <v>16304.02</v>
      </c>
      <c r="AR69" s="61">
        <v>16304.02</v>
      </c>
    </row>
    <row r="70" spans="1:44" x14ac:dyDescent="0.35">
      <c r="A70" s="49" t="str">
        <f t="shared" si="6"/>
        <v>56</v>
      </c>
      <c r="B70" s="27">
        <v>72454</v>
      </c>
      <c r="C70" s="25" t="str">
        <f t="shared" si="5"/>
        <v>0000000</v>
      </c>
      <c r="D70" s="26" t="s">
        <v>3663</v>
      </c>
      <c r="E70" s="25" t="s">
        <v>3441</v>
      </c>
      <c r="F70" s="25" t="s">
        <v>1007</v>
      </c>
      <c r="G70" s="59" t="s">
        <v>3442</v>
      </c>
      <c r="H70" s="60">
        <v>3443.22</v>
      </c>
      <c r="I70" s="60">
        <v>3466.07</v>
      </c>
      <c r="J70" s="60">
        <v>3353.08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  <c r="AG70" s="60">
        <v>0</v>
      </c>
      <c r="AH70" s="60">
        <v>0</v>
      </c>
      <c r="AI70" s="60">
        <v>3443.22</v>
      </c>
      <c r="AJ70" s="60">
        <v>3466.07</v>
      </c>
      <c r="AK70" s="60">
        <v>3353.08</v>
      </c>
      <c r="AL70" s="60">
        <v>0</v>
      </c>
      <c r="AM70" s="60">
        <v>0</v>
      </c>
      <c r="AN70" s="60">
        <v>0</v>
      </c>
      <c r="AO70" s="60">
        <v>3443.22</v>
      </c>
      <c r="AP70" s="60">
        <v>3466.07</v>
      </c>
      <c r="AQ70" s="60">
        <v>3353.08</v>
      </c>
      <c r="AR70" s="61">
        <v>3466.07</v>
      </c>
    </row>
    <row r="71" spans="1:44" x14ac:dyDescent="0.35">
      <c r="A71" s="49" t="str">
        <f t="shared" si="6"/>
        <v>56</v>
      </c>
      <c r="B71" s="27">
        <v>72520</v>
      </c>
      <c r="C71" s="25" t="str">
        <f t="shared" si="5"/>
        <v>0000000</v>
      </c>
      <c r="D71" s="26" t="s">
        <v>3663</v>
      </c>
      <c r="E71" s="25" t="s">
        <v>3450</v>
      </c>
      <c r="F71" s="25" t="s">
        <v>1007</v>
      </c>
      <c r="G71" s="59" t="s">
        <v>3451</v>
      </c>
      <c r="H71" s="60">
        <v>1900.3</v>
      </c>
      <c r="I71" s="60">
        <v>1974.11</v>
      </c>
      <c r="J71" s="60">
        <v>2046.72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46.01</v>
      </c>
      <c r="AD71" s="60">
        <v>50.84</v>
      </c>
      <c r="AE71" s="60">
        <v>51.64</v>
      </c>
      <c r="AF71" s="60">
        <v>0</v>
      </c>
      <c r="AG71" s="60">
        <v>0</v>
      </c>
      <c r="AH71" s="60">
        <v>0</v>
      </c>
      <c r="AI71" s="60">
        <v>1946.31</v>
      </c>
      <c r="AJ71" s="60">
        <v>2024.95</v>
      </c>
      <c r="AK71" s="60">
        <v>2098.36</v>
      </c>
      <c r="AL71" s="60">
        <v>0</v>
      </c>
      <c r="AM71" s="60">
        <v>0</v>
      </c>
      <c r="AN71" s="60">
        <v>0</v>
      </c>
      <c r="AO71" s="60">
        <v>1946.31</v>
      </c>
      <c r="AP71" s="60">
        <v>2024.95</v>
      </c>
      <c r="AQ71" s="60">
        <v>2098.36</v>
      </c>
      <c r="AR71" s="61">
        <v>2098.36</v>
      </c>
    </row>
    <row r="72" spans="1:44" x14ac:dyDescent="0.35">
      <c r="A72" s="49" t="str">
        <f t="shared" si="6"/>
        <v>56</v>
      </c>
      <c r="B72" s="27">
        <v>73874</v>
      </c>
      <c r="C72" s="25" t="str">
        <f t="shared" si="5"/>
        <v>0000000</v>
      </c>
      <c r="D72" s="26" t="s">
        <v>3663</v>
      </c>
      <c r="E72" s="25" t="s">
        <v>3470</v>
      </c>
      <c r="F72" s="25" t="s">
        <v>1007</v>
      </c>
      <c r="G72" s="59" t="s">
        <v>3471</v>
      </c>
      <c r="H72" s="60">
        <v>4181.13</v>
      </c>
      <c r="I72" s="60">
        <v>4066.43</v>
      </c>
      <c r="J72" s="60">
        <v>4170.45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  <c r="AG72" s="60">
        <v>0</v>
      </c>
      <c r="AH72" s="60">
        <v>0</v>
      </c>
      <c r="AI72" s="60">
        <v>4181.13</v>
      </c>
      <c r="AJ72" s="60">
        <v>4066.43</v>
      </c>
      <c r="AK72" s="60">
        <v>4170.45</v>
      </c>
      <c r="AL72" s="60">
        <v>0</v>
      </c>
      <c r="AM72" s="60">
        <v>0</v>
      </c>
      <c r="AN72" s="60">
        <v>0</v>
      </c>
      <c r="AO72" s="60">
        <v>4181.13</v>
      </c>
      <c r="AP72" s="60">
        <v>4066.43</v>
      </c>
      <c r="AQ72" s="60">
        <v>4170.45</v>
      </c>
      <c r="AR72" s="61">
        <v>4181.13</v>
      </c>
    </row>
    <row r="73" spans="1:44" x14ac:dyDescent="0.35">
      <c r="A73" s="49" t="str">
        <f t="shared" si="6"/>
        <v>56</v>
      </c>
      <c r="B73" s="27">
        <v>72652</v>
      </c>
      <c r="C73" s="25" t="str">
        <f t="shared" si="5"/>
        <v>0000000</v>
      </c>
      <c r="D73" s="26" t="s">
        <v>3663</v>
      </c>
      <c r="E73" s="25" t="s">
        <v>3466</v>
      </c>
      <c r="F73" s="25" t="s">
        <v>1007</v>
      </c>
      <c r="G73" s="59" t="s">
        <v>3467</v>
      </c>
      <c r="H73" s="60">
        <v>13577.49</v>
      </c>
      <c r="I73" s="60">
        <v>13736.9</v>
      </c>
      <c r="J73" s="60">
        <v>13905.9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420.5</v>
      </c>
      <c r="AD73" s="60">
        <v>407.44</v>
      </c>
      <c r="AE73" s="60">
        <v>414.93</v>
      </c>
      <c r="AF73" s="60">
        <v>0</v>
      </c>
      <c r="AG73" s="60">
        <v>0</v>
      </c>
      <c r="AH73" s="60">
        <v>0</v>
      </c>
      <c r="AI73" s="60">
        <v>13997.99</v>
      </c>
      <c r="AJ73" s="60">
        <v>14144.34</v>
      </c>
      <c r="AK73" s="60">
        <v>14320.83</v>
      </c>
      <c r="AL73" s="60">
        <v>0</v>
      </c>
      <c r="AM73" s="60">
        <v>0</v>
      </c>
      <c r="AN73" s="60">
        <v>0</v>
      </c>
      <c r="AO73" s="60">
        <v>13997.99</v>
      </c>
      <c r="AP73" s="60">
        <v>14144.34</v>
      </c>
      <c r="AQ73" s="60">
        <v>14320.83</v>
      </c>
      <c r="AR73" s="61">
        <v>14320.83</v>
      </c>
    </row>
    <row r="74" spans="1:44" x14ac:dyDescent="0.35">
      <c r="A74" s="49" t="str">
        <f>TEXT(19,"00")</f>
        <v>19</v>
      </c>
      <c r="B74" s="27">
        <v>64683</v>
      </c>
      <c r="C74" s="25" t="str">
        <f t="shared" si="5"/>
        <v>0000000</v>
      </c>
      <c r="D74" s="26" t="s">
        <v>3663</v>
      </c>
      <c r="E74" s="25" t="s">
        <v>1008</v>
      </c>
      <c r="F74" s="25" t="s">
        <v>1007</v>
      </c>
      <c r="G74" s="59" t="s">
        <v>1009</v>
      </c>
      <c r="H74" s="60">
        <v>9079.58</v>
      </c>
      <c r="I74" s="60">
        <v>9091.92</v>
      </c>
      <c r="J74" s="60">
        <v>9487.81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  <c r="AG74" s="60">
        <v>0</v>
      </c>
      <c r="AH74" s="60">
        <v>0</v>
      </c>
      <c r="AI74" s="60">
        <v>9079.58</v>
      </c>
      <c r="AJ74" s="60">
        <v>9091.92</v>
      </c>
      <c r="AK74" s="60">
        <v>9487.81</v>
      </c>
      <c r="AL74" s="60">
        <v>0</v>
      </c>
      <c r="AM74" s="60">
        <v>0</v>
      </c>
      <c r="AN74" s="60">
        <v>0</v>
      </c>
      <c r="AO74" s="60">
        <v>9079.58</v>
      </c>
      <c r="AP74" s="60">
        <v>9091.92</v>
      </c>
      <c r="AQ74" s="60">
        <v>9487.81</v>
      </c>
      <c r="AR74" s="61">
        <v>9487.81</v>
      </c>
    </row>
    <row r="75" spans="1:44" x14ac:dyDescent="0.35">
      <c r="A75" s="49" t="str">
        <f>TEXT(56,"00")</f>
        <v>56</v>
      </c>
      <c r="B75" s="27">
        <v>73940</v>
      </c>
      <c r="C75" s="25" t="str">
        <f t="shared" si="5"/>
        <v>0000000</v>
      </c>
      <c r="D75" s="26" t="s">
        <v>3663</v>
      </c>
      <c r="E75" s="25" t="s">
        <v>3472</v>
      </c>
      <c r="F75" s="25" t="s">
        <v>1007</v>
      </c>
      <c r="G75" s="59" t="s">
        <v>3473</v>
      </c>
      <c r="H75" s="60">
        <v>5405.21</v>
      </c>
      <c r="I75" s="60">
        <v>5381.23</v>
      </c>
      <c r="J75" s="60">
        <v>5378.47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178.9</v>
      </c>
      <c r="AD75" s="60">
        <v>184.99</v>
      </c>
      <c r="AE75" s="60">
        <v>176.4</v>
      </c>
      <c r="AF75" s="60">
        <v>0</v>
      </c>
      <c r="AG75" s="60">
        <v>0</v>
      </c>
      <c r="AH75" s="60">
        <v>0</v>
      </c>
      <c r="AI75" s="60">
        <v>5584.11</v>
      </c>
      <c r="AJ75" s="60">
        <v>5566.22</v>
      </c>
      <c r="AK75" s="60">
        <v>5554.87</v>
      </c>
      <c r="AL75" s="60">
        <v>0</v>
      </c>
      <c r="AM75" s="60">
        <v>0</v>
      </c>
      <c r="AN75" s="60">
        <v>0</v>
      </c>
      <c r="AO75" s="60">
        <v>5584.11</v>
      </c>
      <c r="AP75" s="60">
        <v>5566.22</v>
      </c>
      <c r="AQ75" s="60">
        <v>5554.87</v>
      </c>
      <c r="AR75" s="61">
        <v>5584.11</v>
      </c>
    </row>
    <row r="76" spans="1:44" x14ac:dyDescent="0.35">
      <c r="A76" s="49" t="str">
        <f>TEXT(56,"00")</f>
        <v>56</v>
      </c>
      <c r="B76" s="27">
        <v>72603</v>
      </c>
      <c r="C76" s="25" t="str">
        <f t="shared" si="5"/>
        <v>0000000</v>
      </c>
      <c r="D76" s="26" t="s">
        <v>3663</v>
      </c>
      <c r="E76" s="25" t="s">
        <v>3462</v>
      </c>
      <c r="F76" s="25" t="s">
        <v>1007</v>
      </c>
      <c r="G76" s="59" t="s">
        <v>3463</v>
      </c>
      <c r="H76" s="60">
        <v>14510.08</v>
      </c>
      <c r="I76" s="60">
        <v>14551.19</v>
      </c>
      <c r="J76" s="60">
        <v>14455.67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  <c r="AG76" s="60">
        <v>0</v>
      </c>
      <c r="AH76" s="60">
        <v>0</v>
      </c>
      <c r="AI76" s="60">
        <v>14510.08</v>
      </c>
      <c r="AJ76" s="60">
        <v>14551.19</v>
      </c>
      <c r="AK76" s="60">
        <v>14455.67</v>
      </c>
      <c r="AL76" s="60">
        <v>0</v>
      </c>
      <c r="AM76" s="60">
        <v>0</v>
      </c>
      <c r="AN76" s="60">
        <v>0</v>
      </c>
      <c r="AO76" s="60">
        <v>14510.08</v>
      </c>
      <c r="AP76" s="60">
        <v>14551.19</v>
      </c>
      <c r="AQ76" s="60">
        <v>14455.67</v>
      </c>
      <c r="AR76" s="61">
        <v>14551.19</v>
      </c>
    </row>
    <row r="77" spans="1:44" x14ac:dyDescent="0.35">
      <c r="A77" s="49" t="str">
        <f>TEXT(56,"00")</f>
        <v>56</v>
      </c>
      <c r="B77" s="27">
        <v>72504</v>
      </c>
      <c r="C77" s="25" t="str">
        <f t="shared" si="5"/>
        <v>0000000</v>
      </c>
      <c r="D77" s="26" t="s">
        <v>3663</v>
      </c>
      <c r="E77" s="25" t="s">
        <v>3447</v>
      </c>
      <c r="F77" s="25" t="s">
        <v>1007</v>
      </c>
      <c r="G77" s="59" t="s">
        <v>3448</v>
      </c>
      <c r="H77" s="60">
        <v>178.01</v>
      </c>
      <c r="I77" s="60">
        <v>168.28</v>
      </c>
      <c r="J77" s="60">
        <v>152.44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  <c r="AG77" s="60">
        <v>0</v>
      </c>
      <c r="AH77" s="60">
        <v>0</v>
      </c>
      <c r="AI77" s="60">
        <v>178.01</v>
      </c>
      <c r="AJ77" s="60">
        <v>168.28</v>
      </c>
      <c r="AK77" s="60">
        <v>152.44</v>
      </c>
      <c r="AL77" s="60">
        <v>0</v>
      </c>
      <c r="AM77" s="60">
        <v>0</v>
      </c>
      <c r="AN77" s="60">
        <v>0</v>
      </c>
      <c r="AO77" s="60">
        <v>178.01</v>
      </c>
      <c r="AP77" s="60">
        <v>168.28</v>
      </c>
      <c r="AQ77" s="60">
        <v>152.44</v>
      </c>
      <c r="AR77" s="61">
        <v>178.01</v>
      </c>
    </row>
    <row r="78" spans="1:44" x14ac:dyDescent="0.35">
      <c r="A78" s="49" t="str">
        <f>TEXT(56,"00")</f>
        <v>56</v>
      </c>
      <c r="B78" s="27">
        <v>72579</v>
      </c>
      <c r="C78" s="25" t="str">
        <f t="shared" si="5"/>
        <v>0000000</v>
      </c>
      <c r="D78" s="26" t="s">
        <v>3663</v>
      </c>
      <c r="E78" s="25" t="s">
        <v>3460</v>
      </c>
      <c r="F78" s="25" t="s">
        <v>1007</v>
      </c>
      <c r="G78" s="59" t="s">
        <v>3461</v>
      </c>
      <c r="H78" s="60">
        <v>51.02</v>
      </c>
      <c r="I78" s="60">
        <v>53.09</v>
      </c>
      <c r="J78" s="60">
        <v>51.97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  <c r="AG78" s="60">
        <v>0</v>
      </c>
      <c r="AH78" s="60">
        <v>0</v>
      </c>
      <c r="AI78" s="60">
        <v>51.02</v>
      </c>
      <c r="AJ78" s="60">
        <v>53.09</v>
      </c>
      <c r="AK78" s="60">
        <v>51.97</v>
      </c>
      <c r="AL78" s="60">
        <v>0</v>
      </c>
      <c r="AM78" s="60">
        <v>0</v>
      </c>
      <c r="AN78" s="60">
        <v>0</v>
      </c>
      <c r="AO78" s="60">
        <v>51.02</v>
      </c>
      <c r="AP78" s="60">
        <v>53.09</v>
      </c>
      <c r="AQ78" s="60">
        <v>51.97</v>
      </c>
      <c r="AR78" s="61">
        <v>53.09</v>
      </c>
    </row>
    <row r="79" spans="1:44" x14ac:dyDescent="0.35">
      <c r="A79" s="49" t="str">
        <f>TEXT(56,"00")</f>
        <v>56</v>
      </c>
      <c r="B79" s="27">
        <v>76828</v>
      </c>
      <c r="C79" s="25" t="str">
        <f t="shared" si="5"/>
        <v>0000000</v>
      </c>
      <c r="D79" s="26" t="s">
        <v>3663</v>
      </c>
      <c r="E79" s="25" t="s">
        <v>3474</v>
      </c>
      <c r="F79" s="25" t="s">
        <v>1007</v>
      </c>
      <c r="G79" s="59" t="s">
        <v>3475</v>
      </c>
      <c r="H79" s="60">
        <v>4328.8900000000003</v>
      </c>
      <c r="I79" s="60">
        <v>4386.6400000000003</v>
      </c>
      <c r="J79" s="60">
        <v>4508.49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  <c r="AG79" s="60">
        <v>0</v>
      </c>
      <c r="AH79" s="60">
        <v>0</v>
      </c>
      <c r="AI79" s="60">
        <v>4328.8900000000003</v>
      </c>
      <c r="AJ79" s="60">
        <v>4386.6400000000003</v>
      </c>
      <c r="AK79" s="60">
        <v>4508.49</v>
      </c>
      <c r="AL79" s="60">
        <v>0</v>
      </c>
      <c r="AM79" s="60">
        <v>0</v>
      </c>
      <c r="AN79" s="60">
        <v>0</v>
      </c>
      <c r="AO79" s="60">
        <v>4328.8900000000003</v>
      </c>
      <c r="AP79" s="60">
        <v>4386.6400000000003</v>
      </c>
      <c r="AQ79" s="60">
        <v>4508.49</v>
      </c>
      <c r="AR79" s="61">
        <v>4508.49</v>
      </c>
    </row>
    <row r="80" spans="1:44" x14ac:dyDescent="0.35">
      <c r="A80" s="49" t="str">
        <f t="shared" ref="A80:A89" si="7">TEXT(53,"00")</f>
        <v>53</v>
      </c>
      <c r="B80" s="27">
        <v>10538</v>
      </c>
      <c r="C80" s="25" t="str">
        <f t="shared" si="5"/>
        <v>0000000</v>
      </c>
      <c r="D80" s="26" t="s">
        <v>3663</v>
      </c>
      <c r="E80" s="25" t="s">
        <v>3290</v>
      </c>
      <c r="F80" s="25" t="s">
        <v>3291</v>
      </c>
      <c r="G80" s="59" t="s">
        <v>3291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12.02</v>
      </c>
      <c r="U80" s="60">
        <v>12.94</v>
      </c>
      <c r="V80" s="60">
        <v>11.23</v>
      </c>
      <c r="W80" s="60">
        <v>68.73</v>
      </c>
      <c r="X80" s="60">
        <v>59.81</v>
      </c>
      <c r="Y80" s="60">
        <v>60.72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  <c r="AG80" s="60">
        <v>0</v>
      </c>
      <c r="AH80" s="60">
        <v>0</v>
      </c>
      <c r="AI80" s="60">
        <v>80.75</v>
      </c>
      <c r="AJ80" s="60">
        <v>72.75</v>
      </c>
      <c r="AK80" s="60">
        <v>71.95</v>
      </c>
      <c r="AL80" s="60">
        <v>0</v>
      </c>
      <c r="AM80" s="60">
        <v>0</v>
      </c>
      <c r="AN80" s="60">
        <v>0</v>
      </c>
      <c r="AO80" s="60">
        <v>80.75</v>
      </c>
      <c r="AP80" s="60">
        <v>72.75</v>
      </c>
      <c r="AQ80" s="60">
        <v>71.95</v>
      </c>
      <c r="AR80" s="61">
        <v>80.75</v>
      </c>
    </row>
    <row r="81" spans="1:44" x14ac:dyDescent="0.35">
      <c r="A81" s="49" t="str">
        <f t="shared" si="7"/>
        <v>53</v>
      </c>
      <c r="B81" s="27">
        <v>71662</v>
      </c>
      <c r="C81" s="25" t="str">
        <f t="shared" si="5"/>
        <v>0000000</v>
      </c>
      <c r="D81" s="26" t="s">
        <v>3663</v>
      </c>
      <c r="E81" s="25" t="s">
        <v>3292</v>
      </c>
      <c r="F81" s="25" t="s">
        <v>3291</v>
      </c>
      <c r="G81" s="59" t="s">
        <v>3293</v>
      </c>
      <c r="H81" s="60">
        <v>82.32</v>
      </c>
      <c r="I81" s="60">
        <v>85.23</v>
      </c>
      <c r="J81" s="60">
        <v>62.04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  <c r="AG81" s="60">
        <v>0</v>
      </c>
      <c r="AH81" s="60">
        <v>0</v>
      </c>
      <c r="AI81" s="60">
        <v>82.32</v>
      </c>
      <c r="AJ81" s="60">
        <v>85.23</v>
      </c>
      <c r="AK81" s="60">
        <v>62.04</v>
      </c>
      <c r="AL81" s="60">
        <v>0</v>
      </c>
      <c r="AM81" s="60">
        <v>0</v>
      </c>
      <c r="AN81" s="60">
        <v>0</v>
      </c>
      <c r="AO81" s="60">
        <v>82.32</v>
      </c>
      <c r="AP81" s="60">
        <v>85.23</v>
      </c>
      <c r="AQ81" s="60">
        <v>62.04</v>
      </c>
      <c r="AR81" s="61">
        <v>85.23</v>
      </c>
    </row>
    <row r="82" spans="1:44" x14ac:dyDescent="0.35">
      <c r="A82" s="49" t="str">
        <f t="shared" si="7"/>
        <v>53</v>
      </c>
      <c r="B82" s="27">
        <v>71670</v>
      </c>
      <c r="C82" s="25" t="str">
        <f t="shared" si="5"/>
        <v>0000000</v>
      </c>
      <c r="D82" s="26" t="s">
        <v>3663</v>
      </c>
      <c r="E82" s="25" t="s">
        <v>3294</v>
      </c>
      <c r="F82" s="25" t="s">
        <v>3291</v>
      </c>
      <c r="G82" s="59" t="s">
        <v>3295</v>
      </c>
      <c r="H82" s="60">
        <v>7.38</v>
      </c>
      <c r="I82" s="60">
        <v>7.42</v>
      </c>
      <c r="J82" s="60">
        <v>9.3699999999999992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  <c r="AG82" s="60">
        <v>0</v>
      </c>
      <c r="AH82" s="60">
        <v>0</v>
      </c>
      <c r="AI82" s="60">
        <v>7.38</v>
      </c>
      <c r="AJ82" s="60">
        <v>7.42</v>
      </c>
      <c r="AK82" s="60">
        <v>9.3699999999999992</v>
      </c>
      <c r="AL82" s="60">
        <v>0</v>
      </c>
      <c r="AM82" s="60">
        <v>0</v>
      </c>
      <c r="AN82" s="60">
        <v>0</v>
      </c>
      <c r="AO82" s="60">
        <v>7.38</v>
      </c>
      <c r="AP82" s="60">
        <v>7.42</v>
      </c>
      <c r="AQ82" s="60">
        <v>9.3699999999999992</v>
      </c>
      <c r="AR82" s="61">
        <v>9.3699999999999992</v>
      </c>
    </row>
    <row r="83" spans="1:44" x14ac:dyDescent="0.35">
      <c r="A83" s="49" t="str">
        <f t="shared" si="7"/>
        <v>53</v>
      </c>
      <c r="B83" s="27">
        <v>71696</v>
      </c>
      <c r="C83" s="25" t="str">
        <f t="shared" si="5"/>
        <v>0000000</v>
      </c>
      <c r="D83" s="26" t="s">
        <v>3663</v>
      </c>
      <c r="E83" s="25" t="s">
        <v>3296</v>
      </c>
      <c r="F83" s="25" t="s">
        <v>3291</v>
      </c>
      <c r="G83" s="59" t="s">
        <v>3297</v>
      </c>
      <c r="H83" s="60">
        <v>159.54</v>
      </c>
      <c r="I83" s="60">
        <v>155.72999999999999</v>
      </c>
      <c r="J83" s="60">
        <v>154.05000000000001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  <c r="AG83" s="60">
        <v>0</v>
      </c>
      <c r="AH83" s="60">
        <v>0</v>
      </c>
      <c r="AI83" s="60">
        <v>159.54</v>
      </c>
      <c r="AJ83" s="60">
        <v>155.72999999999999</v>
      </c>
      <c r="AK83" s="60">
        <v>154.05000000000001</v>
      </c>
      <c r="AL83" s="60">
        <v>0</v>
      </c>
      <c r="AM83" s="60">
        <v>0</v>
      </c>
      <c r="AN83" s="60">
        <v>0</v>
      </c>
      <c r="AO83" s="60">
        <v>159.54</v>
      </c>
      <c r="AP83" s="60">
        <v>155.72999999999999</v>
      </c>
      <c r="AQ83" s="60">
        <v>154.05000000000001</v>
      </c>
      <c r="AR83" s="61">
        <v>159.54</v>
      </c>
    </row>
    <row r="84" spans="1:44" x14ac:dyDescent="0.35">
      <c r="A84" s="49" t="str">
        <f t="shared" si="7"/>
        <v>53</v>
      </c>
      <c r="B84" s="27">
        <v>71738</v>
      </c>
      <c r="C84" s="25" t="str">
        <f t="shared" si="5"/>
        <v>0000000</v>
      </c>
      <c r="D84" s="26" t="s">
        <v>3663</v>
      </c>
      <c r="E84" s="25" t="s">
        <v>3298</v>
      </c>
      <c r="F84" s="25" t="s">
        <v>3291</v>
      </c>
      <c r="G84" s="59" t="s">
        <v>3299</v>
      </c>
      <c r="H84" s="60">
        <v>70.78</v>
      </c>
      <c r="I84" s="60">
        <v>60.26</v>
      </c>
      <c r="J84" s="60">
        <v>67.150000000000006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  <c r="AG84" s="60">
        <v>0</v>
      </c>
      <c r="AH84" s="60">
        <v>0</v>
      </c>
      <c r="AI84" s="60">
        <v>70.78</v>
      </c>
      <c r="AJ84" s="60">
        <v>60.26</v>
      </c>
      <c r="AK84" s="60">
        <v>67.150000000000006</v>
      </c>
      <c r="AL84" s="60">
        <v>0</v>
      </c>
      <c r="AM84" s="60">
        <v>0</v>
      </c>
      <c r="AN84" s="60">
        <v>0</v>
      </c>
      <c r="AO84" s="60">
        <v>70.78</v>
      </c>
      <c r="AP84" s="60">
        <v>60.26</v>
      </c>
      <c r="AQ84" s="60">
        <v>67.150000000000006</v>
      </c>
      <c r="AR84" s="61">
        <v>70.78</v>
      </c>
    </row>
    <row r="85" spans="1:44" x14ac:dyDescent="0.35">
      <c r="A85" s="49" t="str">
        <f t="shared" si="7"/>
        <v>53</v>
      </c>
      <c r="B85" s="27">
        <v>71746</v>
      </c>
      <c r="C85" s="25" t="str">
        <f t="shared" si="5"/>
        <v>0000000</v>
      </c>
      <c r="D85" s="26" t="s">
        <v>3663</v>
      </c>
      <c r="E85" s="25" t="s">
        <v>3300</v>
      </c>
      <c r="F85" s="25" t="s">
        <v>3291</v>
      </c>
      <c r="G85" s="59" t="s">
        <v>3301</v>
      </c>
      <c r="H85" s="60">
        <v>65.66</v>
      </c>
      <c r="I85" s="60">
        <v>63.04</v>
      </c>
      <c r="J85" s="60">
        <v>55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  <c r="AG85" s="60">
        <v>0</v>
      </c>
      <c r="AH85" s="60">
        <v>0</v>
      </c>
      <c r="AI85" s="60">
        <v>65.66</v>
      </c>
      <c r="AJ85" s="60">
        <v>63.04</v>
      </c>
      <c r="AK85" s="60">
        <v>55</v>
      </c>
      <c r="AL85" s="60">
        <v>0</v>
      </c>
      <c r="AM85" s="60">
        <v>0</v>
      </c>
      <c r="AN85" s="60">
        <v>0</v>
      </c>
      <c r="AO85" s="60">
        <v>65.66</v>
      </c>
      <c r="AP85" s="60">
        <v>63.04</v>
      </c>
      <c r="AQ85" s="60">
        <v>55</v>
      </c>
      <c r="AR85" s="61">
        <v>65.66</v>
      </c>
    </row>
    <row r="86" spans="1:44" x14ac:dyDescent="0.35">
      <c r="A86" s="49" t="str">
        <f t="shared" si="7"/>
        <v>53</v>
      </c>
      <c r="B86" s="27">
        <v>71761</v>
      </c>
      <c r="C86" s="25" t="str">
        <f t="shared" si="5"/>
        <v>0000000</v>
      </c>
      <c r="D86" s="26" t="s">
        <v>3663</v>
      </c>
      <c r="E86" s="25" t="s">
        <v>3302</v>
      </c>
      <c r="F86" s="25" t="s">
        <v>3291</v>
      </c>
      <c r="G86" s="59" t="s">
        <v>3303</v>
      </c>
      <c r="H86" s="60">
        <v>12.16</v>
      </c>
      <c r="I86" s="60">
        <v>10.43</v>
      </c>
      <c r="J86" s="60">
        <v>8.4600000000000009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  <c r="AG86" s="60">
        <v>0</v>
      </c>
      <c r="AH86" s="60">
        <v>0</v>
      </c>
      <c r="AI86" s="60">
        <v>12.16</v>
      </c>
      <c r="AJ86" s="60">
        <v>10.43</v>
      </c>
      <c r="AK86" s="60">
        <v>8.4600000000000009</v>
      </c>
      <c r="AL86" s="60">
        <v>0</v>
      </c>
      <c r="AM86" s="60">
        <v>0</v>
      </c>
      <c r="AN86" s="60">
        <v>0</v>
      </c>
      <c r="AO86" s="60">
        <v>12.16</v>
      </c>
      <c r="AP86" s="60">
        <v>10.43</v>
      </c>
      <c r="AQ86" s="60">
        <v>8.4600000000000009</v>
      </c>
      <c r="AR86" s="61">
        <v>12.16</v>
      </c>
    </row>
    <row r="87" spans="1:44" x14ac:dyDescent="0.35">
      <c r="A87" s="49" t="str">
        <f t="shared" si="7"/>
        <v>53</v>
      </c>
      <c r="B87" s="27">
        <v>73833</v>
      </c>
      <c r="C87" s="25" t="str">
        <f t="shared" si="5"/>
        <v>0000000</v>
      </c>
      <c r="D87" s="26" t="s">
        <v>3663</v>
      </c>
      <c r="E87" s="25" t="s">
        <v>3304</v>
      </c>
      <c r="F87" s="25" t="s">
        <v>3291</v>
      </c>
      <c r="G87" s="59" t="s">
        <v>3305</v>
      </c>
      <c r="H87" s="60">
        <v>71.42</v>
      </c>
      <c r="I87" s="60">
        <v>77.64</v>
      </c>
      <c r="J87" s="60">
        <v>81.31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  <c r="AG87" s="60">
        <v>0</v>
      </c>
      <c r="AH87" s="60">
        <v>0</v>
      </c>
      <c r="AI87" s="60">
        <v>71.42</v>
      </c>
      <c r="AJ87" s="60">
        <v>77.64</v>
      </c>
      <c r="AK87" s="60">
        <v>81.31</v>
      </c>
      <c r="AL87" s="60">
        <v>0</v>
      </c>
      <c r="AM87" s="60">
        <v>0</v>
      </c>
      <c r="AN87" s="60">
        <v>0</v>
      </c>
      <c r="AO87" s="60">
        <v>71.42</v>
      </c>
      <c r="AP87" s="60">
        <v>77.64</v>
      </c>
      <c r="AQ87" s="60">
        <v>81.31</v>
      </c>
      <c r="AR87" s="61">
        <v>81.31</v>
      </c>
    </row>
    <row r="88" spans="1:44" x14ac:dyDescent="0.35">
      <c r="A88" s="49" t="str">
        <f t="shared" si="7"/>
        <v>53</v>
      </c>
      <c r="B88" s="27">
        <v>75028</v>
      </c>
      <c r="C88" s="25" t="str">
        <f t="shared" si="5"/>
        <v>0000000</v>
      </c>
      <c r="D88" s="26" t="s">
        <v>3663</v>
      </c>
      <c r="E88" s="25" t="s">
        <v>3306</v>
      </c>
      <c r="F88" s="25" t="s">
        <v>3291</v>
      </c>
      <c r="G88" s="59" t="s">
        <v>3307</v>
      </c>
      <c r="H88" s="60">
        <v>317.67</v>
      </c>
      <c r="I88" s="60">
        <v>307.22000000000003</v>
      </c>
      <c r="J88" s="60">
        <v>279.83999999999997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  <c r="AG88" s="60">
        <v>0</v>
      </c>
      <c r="AH88" s="60">
        <v>0</v>
      </c>
      <c r="AI88" s="60">
        <v>317.67</v>
      </c>
      <c r="AJ88" s="60">
        <v>307.22000000000003</v>
      </c>
      <c r="AK88" s="60">
        <v>279.83999999999997</v>
      </c>
      <c r="AL88" s="60">
        <v>0</v>
      </c>
      <c r="AM88" s="60">
        <v>0</v>
      </c>
      <c r="AN88" s="60">
        <v>0</v>
      </c>
      <c r="AO88" s="60">
        <v>317.67</v>
      </c>
      <c r="AP88" s="60">
        <v>307.22000000000003</v>
      </c>
      <c r="AQ88" s="60">
        <v>279.83999999999997</v>
      </c>
      <c r="AR88" s="61">
        <v>317.67</v>
      </c>
    </row>
    <row r="89" spans="1:44" x14ac:dyDescent="0.35">
      <c r="A89" s="49" t="str">
        <f t="shared" si="7"/>
        <v>53</v>
      </c>
      <c r="B89" s="27">
        <v>76513</v>
      </c>
      <c r="C89" s="25" t="str">
        <f t="shared" ref="C89:C100" si="8">TEXT(,"0000000")</f>
        <v>0000000</v>
      </c>
      <c r="D89" s="26" t="s">
        <v>3663</v>
      </c>
      <c r="E89" s="25" t="s">
        <v>3308</v>
      </c>
      <c r="F89" s="25" t="s">
        <v>3291</v>
      </c>
      <c r="G89" s="59" t="s">
        <v>3309</v>
      </c>
      <c r="H89" s="60">
        <v>610.49</v>
      </c>
      <c r="I89" s="60">
        <v>616.09</v>
      </c>
      <c r="J89" s="60">
        <v>581.30999999999995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  <c r="AG89" s="60">
        <v>0</v>
      </c>
      <c r="AH89" s="60">
        <v>0</v>
      </c>
      <c r="AI89" s="60">
        <v>610.49</v>
      </c>
      <c r="AJ89" s="60">
        <v>616.09</v>
      </c>
      <c r="AK89" s="60">
        <v>581.30999999999995</v>
      </c>
      <c r="AL89" s="60">
        <v>0</v>
      </c>
      <c r="AM89" s="60">
        <v>0</v>
      </c>
      <c r="AN89" s="60">
        <v>0</v>
      </c>
      <c r="AO89" s="60">
        <v>610.49</v>
      </c>
      <c r="AP89" s="60">
        <v>616.09</v>
      </c>
      <c r="AQ89" s="60">
        <v>581.30999999999995</v>
      </c>
      <c r="AR89" s="61">
        <v>616.09</v>
      </c>
    </row>
    <row r="90" spans="1:44" x14ac:dyDescent="0.35">
      <c r="A90" s="49" t="str">
        <f t="shared" ref="A90:A102" si="9">TEXT(40,"00")</f>
        <v>40</v>
      </c>
      <c r="B90" s="27">
        <v>10405</v>
      </c>
      <c r="C90" s="25" t="str">
        <f t="shared" si="8"/>
        <v>0000000</v>
      </c>
      <c r="D90" s="26" t="s">
        <v>3663</v>
      </c>
      <c r="E90" s="25" t="s">
        <v>2511</v>
      </c>
      <c r="F90" s="25" t="s">
        <v>2512</v>
      </c>
      <c r="G90" s="59" t="s">
        <v>2512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79.63</v>
      </c>
      <c r="U90" s="60">
        <v>61.17</v>
      </c>
      <c r="V90" s="60">
        <v>50.09</v>
      </c>
      <c r="W90" s="60">
        <v>17.78</v>
      </c>
      <c r="X90" s="60">
        <v>14.14</v>
      </c>
      <c r="Y90" s="60">
        <v>15.4</v>
      </c>
      <c r="Z90" s="60">
        <v>242.03</v>
      </c>
      <c r="AA90" s="60">
        <v>199.82</v>
      </c>
      <c r="AB90" s="60">
        <v>163.72</v>
      </c>
      <c r="AC90" s="60">
        <v>0</v>
      </c>
      <c r="AD90" s="60">
        <v>0</v>
      </c>
      <c r="AE90" s="60">
        <v>0</v>
      </c>
      <c r="AF90" s="60">
        <v>0</v>
      </c>
      <c r="AG90" s="60">
        <v>0</v>
      </c>
      <c r="AH90" s="60">
        <v>0</v>
      </c>
      <c r="AI90" s="60">
        <v>339.44</v>
      </c>
      <c r="AJ90" s="60">
        <v>275.13</v>
      </c>
      <c r="AK90" s="60">
        <v>229.21</v>
      </c>
      <c r="AL90" s="60">
        <v>0</v>
      </c>
      <c r="AM90" s="60">
        <v>0</v>
      </c>
      <c r="AN90" s="60">
        <v>0</v>
      </c>
      <c r="AO90" s="60">
        <v>339.44</v>
      </c>
      <c r="AP90" s="60">
        <v>275.13</v>
      </c>
      <c r="AQ90" s="60">
        <v>229.21</v>
      </c>
      <c r="AR90" s="61">
        <v>339.44</v>
      </c>
    </row>
    <row r="91" spans="1:44" x14ac:dyDescent="0.35">
      <c r="A91" s="49" t="str">
        <f t="shared" si="9"/>
        <v>40</v>
      </c>
      <c r="B91" s="27">
        <v>68726</v>
      </c>
      <c r="C91" s="25" t="str">
        <f t="shared" si="8"/>
        <v>0000000</v>
      </c>
      <c r="D91" s="26" t="s">
        <v>3663</v>
      </c>
      <c r="E91" s="25" t="s">
        <v>2517</v>
      </c>
      <c r="F91" s="25" t="s">
        <v>2512</v>
      </c>
      <c r="G91" s="59" t="s">
        <v>2518</v>
      </c>
      <c r="H91" s="60">
        <v>169.38</v>
      </c>
      <c r="I91" s="60">
        <v>158.13999999999999</v>
      </c>
      <c r="J91" s="60">
        <v>159.49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  <c r="AG91" s="60">
        <v>0</v>
      </c>
      <c r="AH91" s="60">
        <v>0</v>
      </c>
      <c r="AI91" s="60">
        <v>169.38</v>
      </c>
      <c r="AJ91" s="60">
        <v>158.13999999999999</v>
      </c>
      <c r="AK91" s="60">
        <v>159.49</v>
      </c>
      <c r="AL91" s="60">
        <v>0</v>
      </c>
      <c r="AM91" s="60">
        <v>0</v>
      </c>
      <c r="AN91" s="60">
        <v>0</v>
      </c>
      <c r="AO91" s="60">
        <v>169.38</v>
      </c>
      <c r="AP91" s="60">
        <v>158.13999999999999</v>
      </c>
      <c r="AQ91" s="60">
        <v>159.49</v>
      </c>
      <c r="AR91" s="61">
        <v>169.38</v>
      </c>
    </row>
    <row r="92" spans="1:44" x14ac:dyDescent="0.35">
      <c r="A92" s="49" t="str">
        <f t="shared" si="9"/>
        <v>40</v>
      </c>
      <c r="B92" s="27">
        <v>68825</v>
      </c>
      <c r="C92" s="25" t="str">
        <f t="shared" si="8"/>
        <v>0000000</v>
      </c>
      <c r="D92" s="26" t="s">
        <v>3663</v>
      </c>
      <c r="E92" s="25" t="s">
        <v>2528</v>
      </c>
      <c r="F92" s="25" t="s">
        <v>2512</v>
      </c>
      <c r="G92" s="59" t="s">
        <v>2529</v>
      </c>
      <c r="H92" s="60">
        <v>608.55999999999995</v>
      </c>
      <c r="I92" s="60">
        <v>595.89</v>
      </c>
      <c r="J92" s="60">
        <v>567.66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  <c r="AG92" s="60">
        <v>0</v>
      </c>
      <c r="AH92" s="60">
        <v>0</v>
      </c>
      <c r="AI92" s="60">
        <v>608.55999999999995</v>
      </c>
      <c r="AJ92" s="60">
        <v>595.89</v>
      </c>
      <c r="AK92" s="60">
        <v>567.66</v>
      </c>
      <c r="AL92" s="60">
        <v>0</v>
      </c>
      <c r="AM92" s="60">
        <v>0</v>
      </c>
      <c r="AN92" s="60">
        <v>0</v>
      </c>
      <c r="AO92" s="60">
        <v>608.55999999999995</v>
      </c>
      <c r="AP92" s="60">
        <v>595.89</v>
      </c>
      <c r="AQ92" s="60">
        <v>567.66</v>
      </c>
      <c r="AR92" s="61">
        <v>608.55999999999995</v>
      </c>
    </row>
    <row r="93" spans="1:44" x14ac:dyDescent="0.35">
      <c r="A93" s="49" t="str">
        <f t="shared" si="9"/>
        <v>40</v>
      </c>
      <c r="B93" s="27">
        <v>68791</v>
      </c>
      <c r="C93" s="25" t="str">
        <f t="shared" si="8"/>
        <v>0000000</v>
      </c>
      <c r="D93" s="26" t="s">
        <v>3663</v>
      </c>
      <c r="E93" s="25" t="s">
        <v>2521</v>
      </c>
      <c r="F93" s="25" t="s">
        <v>2512</v>
      </c>
      <c r="G93" s="59" t="s">
        <v>2522</v>
      </c>
      <c r="H93" s="60">
        <v>50.03</v>
      </c>
      <c r="I93" s="60">
        <v>51.73</v>
      </c>
      <c r="J93" s="60">
        <v>48.74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  <c r="AG93" s="60">
        <v>0</v>
      </c>
      <c r="AH93" s="60">
        <v>0</v>
      </c>
      <c r="AI93" s="60">
        <v>50.03</v>
      </c>
      <c r="AJ93" s="60">
        <v>51.73</v>
      </c>
      <c r="AK93" s="60">
        <v>48.74</v>
      </c>
      <c r="AL93" s="60">
        <v>0</v>
      </c>
      <c r="AM93" s="60">
        <v>0</v>
      </c>
      <c r="AN93" s="60">
        <v>0</v>
      </c>
      <c r="AO93" s="60">
        <v>50.03</v>
      </c>
      <c r="AP93" s="60">
        <v>51.73</v>
      </c>
      <c r="AQ93" s="60">
        <v>48.74</v>
      </c>
      <c r="AR93" s="61">
        <v>51.73</v>
      </c>
    </row>
    <row r="94" spans="1:44" x14ac:dyDescent="0.35">
      <c r="A94" s="49" t="str">
        <f t="shared" si="9"/>
        <v>40</v>
      </c>
      <c r="B94" s="27">
        <v>68700</v>
      </c>
      <c r="C94" s="25" t="str">
        <f t="shared" si="8"/>
        <v>0000000</v>
      </c>
      <c r="D94" s="26" t="s">
        <v>3663</v>
      </c>
      <c r="E94" s="25" t="s">
        <v>2515</v>
      </c>
      <c r="F94" s="25" t="s">
        <v>2512</v>
      </c>
      <c r="G94" s="59" t="s">
        <v>2516</v>
      </c>
      <c r="H94" s="60">
        <v>4049.91</v>
      </c>
      <c r="I94" s="60">
        <v>4006.62</v>
      </c>
      <c r="J94" s="60">
        <v>3946.84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  <c r="AG94" s="60">
        <v>0</v>
      </c>
      <c r="AH94" s="60">
        <v>0</v>
      </c>
      <c r="AI94" s="60">
        <v>4049.91</v>
      </c>
      <c r="AJ94" s="60">
        <v>4006.62</v>
      </c>
      <c r="AK94" s="60">
        <v>3946.84</v>
      </c>
      <c r="AL94" s="60">
        <v>0</v>
      </c>
      <c r="AM94" s="60">
        <v>0</v>
      </c>
      <c r="AN94" s="60">
        <v>0</v>
      </c>
      <c r="AO94" s="60">
        <v>4049.91</v>
      </c>
      <c r="AP94" s="60">
        <v>4006.62</v>
      </c>
      <c r="AQ94" s="60">
        <v>3946.84</v>
      </c>
      <c r="AR94" s="61">
        <v>4049.91</v>
      </c>
    </row>
    <row r="95" spans="1:44" x14ac:dyDescent="0.35">
      <c r="A95" s="49" t="str">
        <f t="shared" si="9"/>
        <v>40</v>
      </c>
      <c r="B95" s="27">
        <v>68759</v>
      </c>
      <c r="C95" s="25" t="str">
        <f t="shared" si="8"/>
        <v>0000000</v>
      </c>
      <c r="D95" s="26" t="s">
        <v>3663</v>
      </c>
      <c r="E95" s="25" t="s">
        <v>2519</v>
      </c>
      <c r="F95" s="25" t="s">
        <v>2512</v>
      </c>
      <c r="G95" s="59" t="s">
        <v>2520</v>
      </c>
      <c r="H95" s="60">
        <v>9093.19</v>
      </c>
      <c r="I95" s="60">
        <v>8897.5400000000009</v>
      </c>
      <c r="J95" s="60">
        <v>8999.7000000000007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  <c r="AG95" s="60">
        <v>0</v>
      </c>
      <c r="AH95" s="60">
        <v>0</v>
      </c>
      <c r="AI95" s="60">
        <v>9093.19</v>
      </c>
      <c r="AJ95" s="60">
        <v>8897.5400000000009</v>
      </c>
      <c r="AK95" s="60">
        <v>8999.7000000000007</v>
      </c>
      <c r="AL95" s="60">
        <v>0</v>
      </c>
      <c r="AM95" s="60">
        <v>0</v>
      </c>
      <c r="AN95" s="60">
        <v>0</v>
      </c>
      <c r="AO95" s="60">
        <v>9093.19</v>
      </c>
      <c r="AP95" s="60">
        <v>8897.5400000000009</v>
      </c>
      <c r="AQ95" s="60">
        <v>8999.7000000000007</v>
      </c>
      <c r="AR95" s="61">
        <v>9093.19</v>
      </c>
    </row>
    <row r="96" spans="1:44" x14ac:dyDescent="0.35">
      <c r="A96" s="49" t="str">
        <f t="shared" si="9"/>
        <v>40</v>
      </c>
      <c r="B96" s="27">
        <v>68809</v>
      </c>
      <c r="C96" s="25" t="str">
        <f t="shared" si="8"/>
        <v>0000000</v>
      </c>
      <c r="D96" s="26" t="s">
        <v>3663</v>
      </c>
      <c r="E96" s="25" t="s">
        <v>2523</v>
      </c>
      <c r="F96" s="25" t="s">
        <v>2512</v>
      </c>
      <c r="G96" s="59" t="s">
        <v>2524</v>
      </c>
      <c r="H96" s="60">
        <v>7094.02</v>
      </c>
      <c r="I96" s="60">
        <v>6953.48</v>
      </c>
      <c r="J96" s="60">
        <v>6797.5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  <c r="AG96" s="60">
        <v>0</v>
      </c>
      <c r="AH96" s="60">
        <v>0</v>
      </c>
      <c r="AI96" s="60">
        <v>7094.02</v>
      </c>
      <c r="AJ96" s="60">
        <v>6953.48</v>
      </c>
      <c r="AK96" s="60">
        <v>6797.5</v>
      </c>
      <c r="AL96" s="60">
        <v>0</v>
      </c>
      <c r="AM96" s="60">
        <v>0</v>
      </c>
      <c r="AN96" s="60">
        <v>0</v>
      </c>
      <c r="AO96" s="60">
        <v>7094.02</v>
      </c>
      <c r="AP96" s="60">
        <v>6953.48</v>
      </c>
      <c r="AQ96" s="60">
        <v>6797.5</v>
      </c>
      <c r="AR96" s="61">
        <v>7094.02</v>
      </c>
    </row>
    <row r="97" spans="1:44" x14ac:dyDescent="0.35">
      <c r="A97" s="49" t="str">
        <f t="shared" si="9"/>
        <v>40</v>
      </c>
      <c r="B97" s="27">
        <v>68833</v>
      </c>
      <c r="C97" s="25" t="str">
        <f t="shared" si="8"/>
        <v>0000000</v>
      </c>
      <c r="D97" s="26" t="s">
        <v>3663</v>
      </c>
      <c r="E97" s="25" t="s">
        <v>2530</v>
      </c>
      <c r="F97" s="25" t="s">
        <v>2512</v>
      </c>
      <c r="G97" s="59" t="s">
        <v>2531</v>
      </c>
      <c r="H97" s="60">
        <v>237.2</v>
      </c>
      <c r="I97" s="60">
        <v>244.32</v>
      </c>
      <c r="J97" s="60">
        <v>248.12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  <c r="AG97" s="60">
        <v>0</v>
      </c>
      <c r="AH97" s="60">
        <v>0</v>
      </c>
      <c r="AI97" s="60">
        <v>237.2</v>
      </c>
      <c r="AJ97" s="60">
        <v>244.32</v>
      </c>
      <c r="AK97" s="60">
        <v>248.12</v>
      </c>
      <c r="AL97" s="60">
        <v>0</v>
      </c>
      <c r="AM97" s="60">
        <v>0</v>
      </c>
      <c r="AN97" s="60">
        <v>0</v>
      </c>
      <c r="AO97" s="60">
        <v>237.2</v>
      </c>
      <c r="AP97" s="60">
        <v>244.32</v>
      </c>
      <c r="AQ97" s="60">
        <v>248.12</v>
      </c>
      <c r="AR97" s="61">
        <v>248.12</v>
      </c>
    </row>
    <row r="98" spans="1:44" x14ac:dyDescent="0.35">
      <c r="A98" s="49" t="str">
        <f t="shared" si="9"/>
        <v>40</v>
      </c>
      <c r="B98" s="27">
        <v>68841</v>
      </c>
      <c r="C98" s="25" t="str">
        <f t="shared" si="8"/>
        <v>0000000</v>
      </c>
      <c r="D98" s="26" t="s">
        <v>3663</v>
      </c>
      <c r="E98" s="25" t="s">
        <v>2532</v>
      </c>
      <c r="F98" s="25" t="s">
        <v>2512</v>
      </c>
      <c r="G98" s="59" t="s">
        <v>2533</v>
      </c>
      <c r="H98" s="60">
        <v>2134.79</v>
      </c>
      <c r="I98" s="60">
        <v>2119.2800000000002</v>
      </c>
      <c r="J98" s="60">
        <v>2155.84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  <c r="AG98" s="60">
        <v>0</v>
      </c>
      <c r="AH98" s="60">
        <v>0</v>
      </c>
      <c r="AI98" s="60">
        <v>2134.79</v>
      </c>
      <c r="AJ98" s="60">
        <v>2119.2800000000002</v>
      </c>
      <c r="AK98" s="60">
        <v>2155.84</v>
      </c>
      <c r="AL98" s="60">
        <v>0</v>
      </c>
      <c r="AM98" s="60">
        <v>0</v>
      </c>
      <c r="AN98" s="60">
        <v>0</v>
      </c>
      <c r="AO98" s="60">
        <v>2134.79</v>
      </c>
      <c r="AP98" s="60">
        <v>2119.2800000000002</v>
      </c>
      <c r="AQ98" s="60">
        <v>2155.84</v>
      </c>
      <c r="AR98" s="61">
        <v>2155.84</v>
      </c>
    </row>
    <row r="99" spans="1:44" x14ac:dyDescent="0.35">
      <c r="A99" s="49" t="str">
        <f t="shared" si="9"/>
        <v>40</v>
      </c>
      <c r="B99" s="27">
        <v>75465</v>
      </c>
      <c r="C99" s="25" t="str">
        <f t="shared" si="8"/>
        <v>0000000</v>
      </c>
      <c r="D99" s="26" t="s">
        <v>3663</v>
      </c>
      <c r="E99" s="25" t="s">
        <v>2536</v>
      </c>
      <c r="F99" s="25" t="s">
        <v>2512</v>
      </c>
      <c r="G99" s="59" t="s">
        <v>2537</v>
      </c>
      <c r="H99" s="60">
        <v>455.72</v>
      </c>
      <c r="I99" s="60">
        <v>445.27</v>
      </c>
      <c r="J99" s="60">
        <v>457.65</v>
      </c>
      <c r="K99" s="60">
        <v>0</v>
      </c>
      <c r="L99" s="60">
        <v>0</v>
      </c>
      <c r="M99" s="60">
        <v>0</v>
      </c>
      <c r="N99" s="60">
        <v>0</v>
      </c>
      <c r="O99" s="60">
        <v>0</v>
      </c>
      <c r="P99" s="60">
        <v>0</v>
      </c>
      <c r="Q99" s="60">
        <v>0</v>
      </c>
      <c r="R99" s="60">
        <v>0</v>
      </c>
      <c r="S99" s="60">
        <v>0</v>
      </c>
      <c r="T99" s="60">
        <v>0</v>
      </c>
      <c r="U99" s="60">
        <v>0</v>
      </c>
      <c r="V99" s="60">
        <v>0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60">
        <v>0</v>
      </c>
      <c r="AC99" s="60">
        <v>0</v>
      </c>
      <c r="AD99" s="60">
        <v>0</v>
      </c>
      <c r="AE99" s="60">
        <v>0</v>
      </c>
      <c r="AF99" s="60">
        <v>0</v>
      </c>
      <c r="AG99" s="60">
        <v>0</v>
      </c>
      <c r="AH99" s="60">
        <v>0</v>
      </c>
      <c r="AI99" s="60">
        <v>455.72</v>
      </c>
      <c r="AJ99" s="60">
        <v>445.27</v>
      </c>
      <c r="AK99" s="60">
        <v>457.65</v>
      </c>
      <c r="AL99" s="60">
        <v>0</v>
      </c>
      <c r="AM99" s="60">
        <v>0</v>
      </c>
      <c r="AN99" s="60">
        <v>0</v>
      </c>
      <c r="AO99" s="60">
        <v>455.72</v>
      </c>
      <c r="AP99" s="60">
        <v>445.27</v>
      </c>
      <c r="AQ99" s="60">
        <v>457.65</v>
      </c>
      <c r="AR99" s="61">
        <v>457.65</v>
      </c>
    </row>
    <row r="100" spans="1:44" x14ac:dyDescent="0.35">
      <c r="A100" s="49" t="str">
        <f t="shared" si="9"/>
        <v>40</v>
      </c>
      <c r="B100" s="27">
        <v>75457</v>
      </c>
      <c r="C100" s="25" t="str">
        <f t="shared" si="8"/>
        <v>0000000</v>
      </c>
      <c r="D100" s="26" t="s">
        <v>3663</v>
      </c>
      <c r="E100" s="25" t="s">
        <v>2534</v>
      </c>
      <c r="F100" s="25" t="s">
        <v>2512</v>
      </c>
      <c r="G100" s="59" t="s">
        <v>2535</v>
      </c>
      <c r="H100" s="60">
        <v>5899.86</v>
      </c>
      <c r="I100" s="60">
        <v>5789.31</v>
      </c>
      <c r="J100" s="60">
        <v>5832.94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60">
        <v>0</v>
      </c>
      <c r="AC100" s="60">
        <v>0</v>
      </c>
      <c r="AD100" s="60">
        <v>0</v>
      </c>
      <c r="AE100" s="60">
        <v>0</v>
      </c>
      <c r="AF100" s="60">
        <v>0</v>
      </c>
      <c r="AG100" s="60">
        <v>0</v>
      </c>
      <c r="AH100" s="60">
        <v>0</v>
      </c>
      <c r="AI100" s="60">
        <v>5899.86</v>
      </c>
      <c r="AJ100" s="60">
        <v>5789.31</v>
      </c>
      <c r="AK100" s="60">
        <v>5832.94</v>
      </c>
      <c r="AL100" s="60">
        <v>0</v>
      </c>
      <c r="AM100" s="60">
        <v>0</v>
      </c>
      <c r="AN100" s="60">
        <v>0</v>
      </c>
      <c r="AO100" s="60">
        <v>5899.86</v>
      </c>
      <c r="AP100" s="60">
        <v>5789.31</v>
      </c>
      <c r="AQ100" s="60">
        <v>5832.94</v>
      </c>
      <c r="AR100" s="61">
        <v>5899.86</v>
      </c>
    </row>
    <row r="101" spans="1:44" x14ac:dyDescent="0.35">
      <c r="A101" s="49" t="str">
        <f t="shared" si="9"/>
        <v>40</v>
      </c>
      <c r="B101" s="27">
        <v>10405</v>
      </c>
      <c r="C101" s="25" t="str">
        <f>TEXT(125807,"0000000")</f>
        <v>0125807</v>
      </c>
      <c r="D101" s="27">
        <v>1395</v>
      </c>
      <c r="E101" s="25" t="s">
        <v>2513</v>
      </c>
      <c r="F101" s="25" t="s">
        <v>2512</v>
      </c>
      <c r="G101" s="59" t="s">
        <v>2514</v>
      </c>
      <c r="H101" s="60">
        <v>0</v>
      </c>
      <c r="I101" s="60">
        <v>0</v>
      </c>
      <c r="J101" s="60">
        <v>0</v>
      </c>
      <c r="K101" s="60">
        <v>0</v>
      </c>
      <c r="L101" s="60">
        <v>0</v>
      </c>
      <c r="M101" s="60">
        <v>0</v>
      </c>
      <c r="N101" s="60">
        <v>0</v>
      </c>
      <c r="O101" s="60">
        <v>0</v>
      </c>
      <c r="P101" s="60">
        <v>0</v>
      </c>
      <c r="Q101" s="60">
        <v>0</v>
      </c>
      <c r="R101" s="60">
        <v>0</v>
      </c>
      <c r="S101" s="60">
        <v>0</v>
      </c>
      <c r="T101" s="60">
        <v>0</v>
      </c>
      <c r="U101" s="60">
        <v>0</v>
      </c>
      <c r="V101" s="60">
        <v>0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60">
        <v>0</v>
      </c>
      <c r="AC101" s="60">
        <v>437.34</v>
      </c>
      <c r="AD101" s="60">
        <v>428.08</v>
      </c>
      <c r="AE101" s="60">
        <v>362.04</v>
      </c>
      <c r="AF101" s="60">
        <v>0</v>
      </c>
      <c r="AG101" s="60">
        <v>0</v>
      </c>
      <c r="AH101" s="60">
        <v>0</v>
      </c>
      <c r="AI101" s="60">
        <v>437.34</v>
      </c>
      <c r="AJ101" s="60">
        <v>428.08</v>
      </c>
      <c r="AK101" s="60">
        <v>362.04</v>
      </c>
      <c r="AL101" s="60">
        <v>0</v>
      </c>
      <c r="AM101" s="60">
        <v>0</v>
      </c>
      <c r="AN101" s="60">
        <v>0</v>
      </c>
      <c r="AO101" s="60">
        <v>437.34</v>
      </c>
      <c r="AP101" s="60">
        <v>428.08</v>
      </c>
      <c r="AQ101" s="60">
        <v>362.04</v>
      </c>
      <c r="AR101" s="61">
        <v>437.34</v>
      </c>
    </row>
    <row r="102" spans="1:44" x14ac:dyDescent="0.35">
      <c r="A102" s="49" t="str">
        <f t="shared" si="9"/>
        <v>40</v>
      </c>
      <c r="B102" s="27">
        <v>68809</v>
      </c>
      <c r="C102" s="25" t="str">
        <f>TEXT(6043194,"0000000")</f>
        <v>6043194</v>
      </c>
      <c r="D102" s="26" t="s">
        <v>2527</v>
      </c>
      <c r="E102" s="25" t="s">
        <v>2525</v>
      </c>
      <c r="F102" s="25" t="s">
        <v>2512</v>
      </c>
      <c r="G102" s="59" t="s">
        <v>2526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60">
        <v>0</v>
      </c>
      <c r="AC102" s="60">
        <v>155.88</v>
      </c>
      <c r="AD102" s="60">
        <v>150.88999999999999</v>
      </c>
      <c r="AE102" s="60">
        <v>150.75</v>
      </c>
      <c r="AF102" s="60">
        <v>0</v>
      </c>
      <c r="AG102" s="60">
        <v>0</v>
      </c>
      <c r="AH102" s="60">
        <v>0</v>
      </c>
      <c r="AI102" s="60">
        <v>155.88</v>
      </c>
      <c r="AJ102" s="60">
        <v>150.88999999999999</v>
      </c>
      <c r="AK102" s="60">
        <v>150.75</v>
      </c>
      <c r="AL102" s="60">
        <v>0</v>
      </c>
      <c r="AM102" s="60">
        <v>0</v>
      </c>
      <c r="AN102" s="60">
        <v>0</v>
      </c>
      <c r="AO102" s="60">
        <v>155.88</v>
      </c>
      <c r="AP102" s="60">
        <v>150.88999999999999</v>
      </c>
      <c r="AQ102" s="60">
        <v>150.75</v>
      </c>
      <c r="AR102" s="61">
        <v>155.88</v>
      </c>
    </row>
    <row r="103" spans="1:44" x14ac:dyDescent="0.35">
      <c r="A103" s="49" t="str">
        <f t="shared" ref="A103:A115" si="10">TEXT(18,"00")</f>
        <v>18</v>
      </c>
      <c r="B103" s="27">
        <v>10181</v>
      </c>
      <c r="C103" s="25" t="str">
        <f t="shared" ref="C103:C113" si="11">TEXT(,"0000000")</f>
        <v>0000000</v>
      </c>
      <c r="D103" s="26" t="s">
        <v>3663</v>
      </c>
      <c r="E103" s="25" t="s">
        <v>801</v>
      </c>
      <c r="F103" s="25" t="s">
        <v>802</v>
      </c>
      <c r="G103" s="59" t="s">
        <v>802</v>
      </c>
      <c r="H103" s="60">
        <v>0</v>
      </c>
      <c r="I103" s="60">
        <v>0</v>
      </c>
      <c r="J103" s="60">
        <v>0</v>
      </c>
      <c r="K103" s="60">
        <v>0</v>
      </c>
      <c r="L103" s="60">
        <v>0</v>
      </c>
      <c r="M103" s="60">
        <v>0</v>
      </c>
      <c r="N103" s="60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0</v>
      </c>
      <c r="U103" s="60">
        <v>0</v>
      </c>
      <c r="V103" s="60">
        <v>0</v>
      </c>
      <c r="W103" s="60">
        <v>7.23</v>
      </c>
      <c r="X103" s="60">
        <v>9.58</v>
      </c>
      <c r="Y103" s="60">
        <v>8.43</v>
      </c>
      <c r="Z103" s="60">
        <v>0</v>
      </c>
      <c r="AA103" s="60">
        <v>0</v>
      </c>
      <c r="AB103" s="60">
        <v>0</v>
      </c>
      <c r="AC103" s="60">
        <v>0</v>
      </c>
      <c r="AD103" s="60">
        <v>0</v>
      </c>
      <c r="AE103" s="60">
        <v>0</v>
      </c>
      <c r="AF103" s="60">
        <v>0</v>
      </c>
      <c r="AG103" s="60">
        <v>0</v>
      </c>
      <c r="AH103" s="60">
        <v>0</v>
      </c>
      <c r="AI103" s="60">
        <v>7.23</v>
      </c>
      <c r="AJ103" s="60">
        <v>9.58</v>
      </c>
      <c r="AK103" s="60">
        <v>8.43</v>
      </c>
      <c r="AL103" s="60">
        <v>0</v>
      </c>
      <c r="AM103" s="60">
        <v>0</v>
      </c>
      <c r="AN103" s="60">
        <v>0</v>
      </c>
      <c r="AO103" s="60">
        <v>7.23</v>
      </c>
      <c r="AP103" s="60">
        <v>9.58</v>
      </c>
      <c r="AQ103" s="60">
        <v>8.43</v>
      </c>
      <c r="AR103" s="61">
        <v>9.58</v>
      </c>
    </row>
    <row r="104" spans="1:44" x14ac:dyDescent="0.35">
      <c r="A104" s="49" t="str">
        <f t="shared" si="10"/>
        <v>18</v>
      </c>
      <c r="B104" s="27">
        <v>64105</v>
      </c>
      <c r="C104" s="25" t="str">
        <f t="shared" si="11"/>
        <v>0000000</v>
      </c>
      <c r="D104" s="26" t="s">
        <v>3663</v>
      </c>
      <c r="E104" s="25" t="s">
        <v>805</v>
      </c>
      <c r="F104" s="25" t="s">
        <v>802</v>
      </c>
      <c r="G104" s="59" t="s">
        <v>806</v>
      </c>
      <c r="H104" s="60">
        <v>297.14999999999998</v>
      </c>
      <c r="I104" s="60">
        <v>301.74</v>
      </c>
      <c r="J104" s="60">
        <v>323.97000000000003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0">
        <v>0</v>
      </c>
      <c r="AE104" s="60">
        <v>0</v>
      </c>
      <c r="AF104" s="60">
        <v>0</v>
      </c>
      <c r="AG104" s="60">
        <v>0</v>
      </c>
      <c r="AH104" s="60">
        <v>0</v>
      </c>
      <c r="AI104" s="60">
        <v>297.14999999999998</v>
      </c>
      <c r="AJ104" s="60">
        <v>301.74</v>
      </c>
      <c r="AK104" s="60">
        <v>323.97000000000003</v>
      </c>
      <c r="AL104" s="60">
        <v>0</v>
      </c>
      <c r="AM104" s="60">
        <v>0</v>
      </c>
      <c r="AN104" s="60">
        <v>0</v>
      </c>
      <c r="AO104" s="60">
        <v>297.14999999999998</v>
      </c>
      <c r="AP104" s="60">
        <v>301.74</v>
      </c>
      <c r="AQ104" s="60">
        <v>323.97000000000003</v>
      </c>
      <c r="AR104" s="61">
        <v>323.97000000000003</v>
      </c>
    </row>
    <row r="105" spans="1:44" x14ac:dyDescent="0.35">
      <c r="A105" s="49" t="str">
        <f t="shared" si="10"/>
        <v>18</v>
      </c>
      <c r="B105" s="27">
        <v>64139</v>
      </c>
      <c r="C105" s="25" t="str">
        <f t="shared" si="11"/>
        <v>0000000</v>
      </c>
      <c r="D105" s="26" t="s">
        <v>3663</v>
      </c>
      <c r="E105" s="25" t="s">
        <v>809</v>
      </c>
      <c r="F105" s="25" t="s">
        <v>802</v>
      </c>
      <c r="G105" s="59" t="s">
        <v>810</v>
      </c>
      <c r="H105" s="60">
        <v>766.28</v>
      </c>
      <c r="I105" s="60">
        <v>788.02</v>
      </c>
      <c r="J105" s="60">
        <v>730.61</v>
      </c>
      <c r="K105" s="60">
        <v>0</v>
      </c>
      <c r="L105" s="60">
        <v>0</v>
      </c>
      <c r="M105" s="60">
        <v>0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0</v>
      </c>
      <c r="T105" s="60">
        <v>0</v>
      </c>
      <c r="U105" s="60"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60">
        <v>0</v>
      </c>
      <c r="AC105" s="60">
        <v>0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766.28</v>
      </c>
      <c r="AJ105" s="60">
        <v>788.02</v>
      </c>
      <c r="AK105" s="60">
        <v>730.61</v>
      </c>
      <c r="AL105" s="60">
        <v>0</v>
      </c>
      <c r="AM105" s="60">
        <v>0</v>
      </c>
      <c r="AN105" s="60">
        <v>0</v>
      </c>
      <c r="AO105" s="60">
        <v>766.28</v>
      </c>
      <c r="AP105" s="60">
        <v>788.02</v>
      </c>
      <c r="AQ105" s="60">
        <v>730.61</v>
      </c>
      <c r="AR105" s="61">
        <v>788.02</v>
      </c>
    </row>
    <row r="106" spans="1:44" x14ac:dyDescent="0.35">
      <c r="A106" s="49" t="str">
        <f t="shared" si="10"/>
        <v>18</v>
      </c>
      <c r="B106" s="27">
        <v>64196</v>
      </c>
      <c r="C106" s="25" t="str">
        <f t="shared" si="11"/>
        <v>0000000</v>
      </c>
      <c r="D106" s="26" t="s">
        <v>3663</v>
      </c>
      <c r="E106" s="25" t="s">
        <v>817</v>
      </c>
      <c r="F106" s="25" t="s">
        <v>802</v>
      </c>
      <c r="G106" s="59" t="s">
        <v>818</v>
      </c>
      <c r="H106" s="60">
        <v>910.88</v>
      </c>
      <c r="I106" s="60">
        <v>937.2</v>
      </c>
      <c r="J106" s="60">
        <v>932.06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144.66999999999999</v>
      </c>
      <c r="AF106" s="60">
        <v>0</v>
      </c>
      <c r="AG106" s="60">
        <v>0</v>
      </c>
      <c r="AH106" s="60">
        <v>0</v>
      </c>
      <c r="AI106" s="60">
        <v>910.88</v>
      </c>
      <c r="AJ106" s="60">
        <v>937.2</v>
      </c>
      <c r="AK106" s="60">
        <v>1076.73</v>
      </c>
      <c r="AL106" s="60">
        <v>0</v>
      </c>
      <c r="AM106" s="60">
        <v>0</v>
      </c>
      <c r="AN106" s="60">
        <v>-144.66999999999999</v>
      </c>
      <c r="AO106" s="60">
        <v>910.88</v>
      </c>
      <c r="AP106" s="60">
        <v>937.2</v>
      </c>
      <c r="AQ106" s="60">
        <v>932.06</v>
      </c>
      <c r="AR106" s="61">
        <v>937.2</v>
      </c>
    </row>
    <row r="107" spans="1:44" x14ac:dyDescent="0.35">
      <c r="A107" s="49" t="str">
        <f t="shared" si="10"/>
        <v>18</v>
      </c>
      <c r="B107" s="27">
        <v>64089</v>
      </c>
      <c r="C107" s="25" t="str">
        <f t="shared" si="11"/>
        <v>0000000</v>
      </c>
      <c r="D107" s="26" t="s">
        <v>3663</v>
      </c>
      <c r="E107" s="25" t="s">
        <v>803</v>
      </c>
      <c r="F107" s="25" t="s">
        <v>802</v>
      </c>
      <c r="G107" s="59" t="s">
        <v>804</v>
      </c>
      <c r="H107" s="60">
        <v>106.72</v>
      </c>
      <c r="I107" s="60">
        <v>121.75</v>
      </c>
      <c r="J107" s="60">
        <v>115.08</v>
      </c>
      <c r="K107" s="60">
        <v>0</v>
      </c>
      <c r="L107" s="60">
        <v>0</v>
      </c>
      <c r="M107" s="60">
        <v>0</v>
      </c>
      <c r="N107" s="60">
        <v>0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T107" s="60">
        <v>0</v>
      </c>
      <c r="U107" s="60">
        <v>0</v>
      </c>
      <c r="V107" s="60">
        <v>0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60">
        <v>0</v>
      </c>
      <c r="AC107" s="60">
        <v>0</v>
      </c>
      <c r="AD107" s="60">
        <v>0</v>
      </c>
      <c r="AE107" s="60">
        <v>0</v>
      </c>
      <c r="AF107" s="60">
        <v>0</v>
      </c>
      <c r="AG107" s="60">
        <v>0</v>
      </c>
      <c r="AH107" s="60">
        <v>0</v>
      </c>
      <c r="AI107" s="60">
        <v>106.72</v>
      </c>
      <c r="AJ107" s="60">
        <v>121.75</v>
      </c>
      <c r="AK107" s="60">
        <v>115.08</v>
      </c>
      <c r="AL107" s="60">
        <v>0</v>
      </c>
      <c r="AM107" s="60">
        <v>0</v>
      </c>
      <c r="AN107" s="60">
        <v>0</v>
      </c>
      <c r="AO107" s="60">
        <v>106.72</v>
      </c>
      <c r="AP107" s="60">
        <v>121.75</v>
      </c>
      <c r="AQ107" s="60">
        <v>115.08</v>
      </c>
      <c r="AR107" s="61">
        <v>121.75</v>
      </c>
    </row>
    <row r="108" spans="1:44" x14ac:dyDescent="0.35">
      <c r="A108" s="49" t="str">
        <f t="shared" si="10"/>
        <v>18</v>
      </c>
      <c r="B108" s="27">
        <v>64113</v>
      </c>
      <c r="C108" s="25" t="str">
        <f t="shared" si="11"/>
        <v>0000000</v>
      </c>
      <c r="D108" s="26" t="s">
        <v>3663</v>
      </c>
      <c r="E108" s="25" t="s">
        <v>807</v>
      </c>
      <c r="F108" s="25" t="s">
        <v>802</v>
      </c>
      <c r="G108" s="59" t="s">
        <v>808</v>
      </c>
      <c r="H108" s="60">
        <v>184.43</v>
      </c>
      <c r="I108" s="60">
        <v>186.71</v>
      </c>
      <c r="J108" s="60">
        <v>187.21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60">
        <v>0</v>
      </c>
      <c r="AC108" s="60">
        <v>0</v>
      </c>
      <c r="AD108" s="60">
        <v>0</v>
      </c>
      <c r="AE108" s="60">
        <v>0</v>
      </c>
      <c r="AF108" s="60">
        <v>0</v>
      </c>
      <c r="AG108" s="60">
        <v>0</v>
      </c>
      <c r="AH108" s="60">
        <v>0</v>
      </c>
      <c r="AI108" s="60">
        <v>184.43</v>
      </c>
      <c r="AJ108" s="60">
        <v>186.71</v>
      </c>
      <c r="AK108" s="60">
        <v>187.21</v>
      </c>
      <c r="AL108" s="60">
        <v>0</v>
      </c>
      <c r="AM108" s="60">
        <v>0</v>
      </c>
      <c r="AN108" s="60">
        <v>0</v>
      </c>
      <c r="AO108" s="60">
        <v>184.43</v>
      </c>
      <c r="AP108" s="60">
        <v>186.71</v>
      </c>
      <c r="AQ108" s="60">
        <v>187.21</v>
      </c>
      <c r="AR108" s="61">
        <v>187.21</v>
      </c>
    </row>
    <row r="109" spans="1:44" x14ac:dyDescent="0.35">
      <c r="A109" s="49" t="str">
        <f t="shared" si="10"/>
        <v>18</v>
      </c>
      <c r="B109" s="27">
        <v>64162</v>
      </c>
      <c r="C109" s="25" t="str">
        <f t="shared" si="11"/>
        <v>0000000</v>
      </c>
      <c r="D109" s="26" t="s">
        <v>3663</v>
      </c>
      <c r="E109" s="25" t="s">
        <v>811</v>
      </c>
      <c r="F109" s="25" t="s">
        <v>802</v>
      </c>
      <c r="G109" s="59" t="s">
        <v>812</v>
      </c>
      <c r="H109" s="60">
        <v>3.92</v>
      </c>
      <c r="I109" s="60">
        <v>8.66</v>
      </c>
      <c r="J109" s="60">
        <v>11.11</v>
      </c>
      <c r="K109" s="60">
        <v>0</v>
      </c>
      <c r="L109" s="60">
        <v>0</v>
      </c>
      <c r="M109" s="60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60">
        <v>0</v>
      </c>
      <c r="T109" s="60">
        <v>0</v>
      </c>
      <c r="U109" s="60"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0">
        <v>0</v>
      </c>
      <c r="AD109" s="60">
        <v>0</v>
      </c>
      <c r="AE109" s="60">
        <v>0</v>
      </c>
      <c r="AF109" s="60">
        <v>0</v>
      </c>
      <c r="AG109" s="60">
        <v>0</v>
      </c>
      <c r="AH109" s="60">
        <v>0</v>
      </c>
      <c r="AI109" s="60">
        <v>3.92</v>
      </c>
      <c r="AJ109" s="60">
        <v>8.66</v>
      </c>
      <c r="AK109" s="60">
        <v>11.11</v>
      </c>
      <c r="AL109" s="60">
        <v>0</v>
      </c>
      <c r="AM109" s="60">
        <v>0</v>
      </c>
      <c r="AN109" s="60">
        <v>0</v>
      </c>
      <c r="AO109" s="60">
        <v>3.92</v>
      </c>
      <c r="AP109" s="60">
        <v>8.66</v>
      </c>
      <c r="AQ109" s="60">
        <v>11.11</v>
      </c>
      <c r="AR109" s="61">
        <v>11.11</v>
      </c>
    </row>
    <row r="110" spans="1:44" x14ac:dyDescent="0.35">
      <c r="A110" s="49" t="str">
        <f t="shared" si="10"/>
        <v>18</v>
      </c>
      <c r="B110" s="27">
        <v>64170</v>
      </c>
      <c r="C110" s="25" t="str">
        <f t="shared" si="11"/>
        <v>0000000</v>
      </c>
      <c r="D110" s="26" t="s">
        <v>3663</v>
      </c>
      <c r="E110" s="25" t="s">
        <v>813</v>
      </c>
      <c r="F110" s="25" t="s">
        <v>802</v>
      </c>
      <c r="G110" s="59" t="s">
        <v>814</v>
      </c>
      <c r="H110" s="60">
        <v>173.34</v>
      </c>
      <c r="I110" s="60">
        <v>180.11</v>
      </c>
      <c r="J110" s="60">
        <v>182.83</v>
      </c>
      <c r="K110" s="60">
        <v>0</v>
      </c>
      <c r="L110" s="60">
        <v>0</v>
      </c>
      <c r="M110" s="60">
        <v>0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60">
        <v>0</v>
      </c>
      <c r="T110" s="60">
        <v>0</v>
      </c>
      <c r="U110" s="60"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0">
        <v>0</v>
      </c>
      <c r="AE110" s="60">
        <v>0</v>
      </c>
      <c r="AF110" s="60">
        <v>0</v>
      </c>
      <c r="AG110" s="60">
        <v>0</v>
      </c>
      <c r="AH110" s="60">
        <v>0</v>
      </c>
      <c r="AI110" s="60">
        <v>173.34</v>
      </c>
      <c r="AJ110" s="60">
        <v>180.11</v>
      </c>
      <c r="AK110" s="60">
        <v>182.83</v>
      </c>
      <c r="AL110" s="60">
        <v>0</v>
      </c>
      <c r="AM110" s="60">
        <v>0</v>
      </c>
      <c r="AN110" s="60">
        <v>0</v>
      </c>
      <c r="AO110" s="60">
        <v>173.34</v>
      </c>
      <c r="AP110" s="60">
        <v>180.11</v>
      </c>
      <c r="AQ110" s="60">
        <v>182.83</v>
      </c>
      <c r="AR110" s="61">
        <v>182.83</v>
      </c>
    </row>
    <row r="111" spans="1:44" x14ac:dyDescent="0.35">
      <c r="A111" s="49" t="str">
        <f t="shared" si="10"/>
        <v>18</v>
      </c>
      <c r="B111" s="27">
        <v>64188</v>
      </c>
      <c r="C111" s="25" t="str">
        <f t="shared" si="11"/>
        <v>0000000</v>
      </c>
      <c r="D111" s="26" t="s">
        <v>3663</v>
      </c>
      <c r="E111" s="25" t="s">
        <v>815</v>
      </c>
      <c r="F111" s="25" t="s">
        <v>802</v>
      </c>
      <c r="G111" s="59" t="s">
        <v>816</v>
      </c>
      <c r="H111" s="60">
        <v>232.14</v>
      </c>
      <c r="I111" s="60">
        <v>192.8</v>
      </c>
      <c r="J111" s="60">
        <v>174.19</v>
      </c>
      <c r="K111" s="60">
        <v>0</v>
      </c>
      <c r="L111" s="60">
        <v>0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60">
        <v>0</v>
      </c>
      <c r="T111" s="60">
        <v>0</v>
      </c>
      <c r="U111" s="60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0">
        <v>0</v>
      </c>
      <c r="AE111" s="60">
        <v>0</v>
      </c>
      <c r="AF111" s="60">
        <v>0</v>
      </c>
      <c r="AG111" s="60">
        <v>0</v>
      </c>
      <c r="AH111" s="60">
        <v>0</v>
      </c>
      <c r="AI111" s="60">
        <v>232.14</v>
      </c>
      <c r="AJ111" s="60">
        <v>192.8</v>
      </c>
      <c r="AK111" s="60">
        <v>174.19</v>
      </c>
      <c r="AL111" s="60">
        <v>0</v>
      </c>
      <c r="AM111" s="60">
        <v>0</v>
      </c>
      <c r="AN111" s="60">
        <v>0</v>
      </c>
      <c r="AO111" s="60">
        <v>232.14</v>
      </c>
      <c r="AP111" s="60">
        <v>192.8</v>
      </c>
      <c r="AQ111" s="60">
        <v>174.19</v>
      </c>
      <c r="AR111" s="61">
        <v>232.14</v>
      </c>
    </row>
    <row r="112" spans="1:44" x14ac:dyDescent="0.35">
      <c r="A112" s="49" t="str">
        <f t="shared" si="10"/>
        <v>18</v>
      </c>
      <c r="B112" s="27">
        <v>64204</v>
      </c>
      <c r="C112" s="25" t="str">
        <f t="shared" si="11"/>
        <v>0000000</v>
      </c>
      <c r="D112" s="26" t="s">
        <v>3663</v>
      </c>
      <c r="E112" s="25" t="s">
        <v>821</v>
      </c>
      <c r="F112" s="25" t="s">
        <v>802</v>
      </c>
      <c r="G112" s="59" t="s">
        <v>822</v>
      </c>
      <c r="H112" s="60">
        <v>170.93</v>
      </c>
      <c r="I112" s="60">
        <v>156.88</v>
      </c>
      <c r="J112" s="60">
        <v>149.49</v>
      </c>
      <c r="K112" s="60">
        <v>0</v>
      </c>
      <c r="L112" s="60">
        <v>0</v>
      </c>
      <c r="M112" s="60">
        <v>0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60">
        <v>0</v>
      </c>
      <c r="T112" s="60">
        <v>0</v>
      </c>
      <c r="U112" s="60"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0">
        <v>0</v>
      </c>
      <c r="AE112" s="60">
        <v>0</v>
      </c>
      <c r="AF112" s="60">
        <v>0</v>
      </c>
      <c r="AG112" s="60">
        <v>0</v>
      </c>
      <c r="AH112" s="60">
        <v>0</v>
      </c>
      <c r="AI112" s="60">
        <v>170.93</v>
      </c>
      <c r="AJ112" s="60">
        <v>156.88</v>
      </c>
      <c r="AK112" s="60">
        <v>149.49</v>
      </c>
      <c r="AL112" s="60">
        <v>0</v>
      </c>
      <c r="AM112" s="60">
        <v>0</v>
      </c>
      <c r="AN112" s="60">
        <v>0</v>
      </c>
      <c r="AO112" s="60">
        <v>170.93</v>
      </c>
      <c r="AP112" s="60">
        <v>156.88</v>
      </c>
      <c r="AQ112" s="60">
        <v>149.49</v>
      </c>
      <c r="AR112" s="61">
        <v>170.93</v>
      </c>
    </row>
    <row r="113" spans="1:44" x14ac:dyDescent="0.35">
      <c r="A113" s="49" t="str">
        <f t="shared" si="10"/>
        <v>18</v>
      </c>
      <c r="B113" s="27">
        <v>75036</v>
      </c>
      <c r="C113" s="25" t="str">
        <f t="shared" si="11"/>
        <v>0000000</v>
      </c>
      <c r="D113" s="26" t="s">
        <v>3663</v>
      </c>
      <c r="E113" s="25" t="s">
        <v>823</v>
      </c>
      <c r="F113" s="25" t="s">
        <v>802</v>
      </c>
      <c r="G113" s="59" t="s">
        <v>824</v>
      </c>
      <c r="H113" s="60">
        <v>81.84</v>
      </c>
      <c r="I113" s="60">
        <v>80.569999999999993</v>
      </c>
      <c r="J113" s="60">
        <v>88.62</v>
      </c>
      <c r="K113" s="60">
        <v>0</v>
      </c>
      <c r="L113" s="60">
        <v>0</v>
      </c>
      <c r="M113" s="60">
        <v>0</v>
      </c>
      <c r="N113" s="60">
        <v>0</v>
      </c>
      <c r="O113" s="60">
        <v>0</v>
      </c>
      <c r="P113" s="60">
        <v>0</v>
      </c>
      <c r="Q113" s="60">
        <v>0</v>
      </c>
      <c r="R113" s="60">
        <v>0</v>
      </c>
      <c r="S113" s="60">
        <v>0</v>
      </c>
      <c r="T113" s="60">
        <v>0</v>
      </c>
      <c r="U113" s="60"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139.29</v>
      </c>
      <c r="AD113" s="60">
        <v>135.63</v>
      </c>
      <c r="AE113" s="60">
        <v>353.24</v>
      </c>
      <c r="AF113" s="60">
        <v>0</v>
      </c>
      <c r="AG113" s="60">
        <v>0</v>
      </c>
      <c r="AH113" s="60">
        <v>0</v>
      </c>
      <c r="AI113" s="60">
        <v>221.13</v>
      </c>
      <c r="AJ113" s="60">
        <v>216.2</v>
      </c>
      <c r="AK113" s="60">
        <v>441.86</v>
      </c>
      <c r="AL113" s="60">
        <v>0</v>
      </c>
      <c r="AM113" s="60">
        <v>0</v>
      </c>
      <c r="AN113" s="60">
        <v>-235.8</v>
      </c>
      <c r="AO113" s="60">
        <v>221.13</v>
      </c>
      <c r="AP113" s="60">
        <v>216.2</v>
      </c>
      <c r="AQ113" s="60">
        <v>206.06</v>
      </c>
      <c r="AR113" s="61">
        <v>221.13</v>
      </c>
    </row>
    <row r="114" spans="1:44" x14ac:dyDescent="0.35">
      <c r="A114" s="49" t="str">
        <f t="shared" si="10"/>
        <v>18</v>
      </c>
      <c r="B114" s="27">
        <v>64196</v>
      </c>
      <c r="C114" s="25" t="str">
        <f>TEXT(135756,"0000000")</f>
        <v>0135756</v>
      </c>
      <c r="D114" s="27">
        <v>2066</v>
      </c>
      <c r="E114" s="25" t="s">
        <v>819</v>
      </c>
      <c r="F114" s="25" t="s">
        <v>802</v>
      </c>
      <c r="G114" s="59" t="s">
        <v>820</v>
      </c>
      <c r="H114" s="60">
        <v>0</v>
      </c>
      <c r="I114" s="60">
        <v>0</v>
      </c>
      <c r="J114" s="60">
        <v>0</v>
      </c>
      <c r="K114" s="60">
        <v>0</v>
      </c>
      <c r="L114" s="60">
        <v>0</v>
      </c>
      <c r="M114" s="60">
        <v>0</v>
      </c>
      <c r="N114" s="60">
        <v>0</v>
      </c>
      <c r="O114" s="60">
        <v>0</v>
      </c>
      <c r="P114" s="60">
        <v>0</v>
      </c>
      <c r="Q114" s="60">
        <v>0</v>
      </c>
      <c r="R114" s="60">
        <v>0</v>
      </c>
      <c r="S114" s="60">
        <v>0</v>
      </c>
      <c r="T114" s="60">
        <v>0</v>
      </c>
      <c r="U114" s="60"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153.69999999999999</v>
      </c>
      <c r="AD114" s="60">
        <v>143.56</v>
      </c>
      <c r="AE114" s="60">
        <v>0</v>
      </c>
      <c r="AF114" s="60">
        <v>0</v>
      </c>
      <c r="AG114" s="60">
        <v>0</v>
      </c>
      <c r="AH114" s="60">
        <v>0</v>
      </c>
      <c r="AI114" s="60">
        <v>153.69999999999999</v>
      </c>
      <c r="AJ114" s="60">
        <v>143.56</v>
      </c>
      <c r="AK114" s="60">
        <v>0</v>
      </c>
      <c r="AL114" s="60">
        <v>0</v>
      </c>
      <c r="AM114" s="60">
        <v>0</v>
      </c>
      <c r="AN114" s="60">
        <v>144.66999999999999</v>
      </c>
      <c r="AO114" s="60">
        <v>153.69999999999999</v>
      </c>
      <c r="AP114" s="60">
        <v>143.56</v>
      </c>
      <c r="AQ114" s="60">
        <v>144.66999999999999</v>
      </c>
      <c r="AR114" s="61">
        <v>153.69999999999999</v>
      </c>
    </row>
    <row r="115" spans="1:44" x14ac:dyDescent="0.35">
      <c r="A115" s="49" t="str">
        <f t="shared" si="10"/>
        <v>18</v>
      </c>
      <c r="B115" s="27">
        <v>75036</v>
      </c>
      <c r="C115" s="25" t="str">
        <f>TEXT(6010763,"0000000")</f>
        <v>6010763</v>
      </c>
      <c r="D115" s="27">
        <v>2067</v>
      </c>
      <c r="E115" s="25" t="s">
        <v>825</v>
      </c>
      <c r="F115" s="25" t="s">
        <v>802</v>
      </c>
      <c r="G115" s="59" t="s">
        <v>826</v>
      </c>
      <c r="H115" s="60">
        <v>0</v>
      </c>
      <c r="I115" s="60">
        <v>0</v>
      </c>
      <c r="J115" s="60">
        <v>0</v>
      </c>
      <c r="K115" s="60">
        <v>0</v>
      </c>
      <c r="L115" s="60">
        <v>0</v>
      </c>
      <c r="M115" s="60">
        <v>0</v>
      </c>
      <c r="N115" s="60">
        <v>0</v>
      </c>
      <c r="O115" s="60">
        <v>0</v>
      </c>
      <c r="P115" s="60">
        <v>0</v>
      </c>
      <c r="Q115" s="60">
        <v>0</v>
      </c>
      <c r="R115" s="60">
        <v>0</v>
      </c>
      <c r="S115" s="60">
        <v>0</v>
      </c>
      <c r="T115" s="60">
        <v>0</v>
      </c>
      <c r="U115" s="60"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256.83999999999997</v>
      </c>
      <c r="AD115" s="60">
        <v>224.73</v>
      </c>
      <c r="AE115" s="60">
        <v>0</v>
      </c>
      <c r="AF115" s="60">
        <v>0</v>
      </c>
      <c r="AG115" s="60">
        <v>0</v>
      </c>
      <c r="AH115" s="60">
        <v>0</v>
      </c>
      <c r="AI115" s="60">
        <v>256.83999999999997</v>
      </c>
      <c r="AJ115" s="60">
        <v>224.73</v>
      </c>
      <c r="AK115" s="60">
        <v>0</v>
      </c>
      <c r="AL115" s="60">
        <v>0</v>
      </c>
      <c r="AM115" s="60">
        <v>0</v>
      </c>
      <c r="AN115" s="60">
        <v>235.8</v>
      </c>
      <c r="AO115" s="60">
        <v>256.83999999999997</v>
      </c>
      <c r="AP115" s="60">
        <v>224.73</v>
      </c>
      <c r="AQ115" s="60">
        <v>235.8</v>
      </c>
      <c r="AR115" s="61">
        <v>256.83999999999997</v>
      </c>
    </row>
    <row r="116" spans="1:44" x14ac:dyDescent="0.35">
      <c r="A116" s="49" t="str">
        <f t="shared" ref="A116:A163" si="12">TEXT(15,"00")</f>
        <v>15</v>
      </c>
      <c r="B116" s="27">
        <v>10157</v>
      </c>
      <c r="C116" s="25" t="str">
        <f t="shared" ref="C116:C158" si="13">TEXT(,"0000000")</f>
        <v>0000000</v>
      </c>
      <c r="D116" s="26" t="s">
        <v>3663</v>
      </c>
      <c r="E116" s="25" t="s">
        <v>639</v>
      </c>
      <c r="F116" s="25" t="s">
        <v>640</v>
      </c>
      <c r="G116" s="59" t="s">
        <v>640</v>
      </c>
      <c r="H116" s="60">
        <v>0</v>
      </c>
      <c r="I116" s="60">
        <v>0</v>
      </c>
      <c r="J116" s="60">
        <v>0</v>
      </c>
      <c r="K116" s="60">
        <v>0</v>
      </c>
      <c r="L116" s="60">
        <v>0</v>
      </c>
      <c r="M116" s="60">
        <v>0</v>
      </c>
      <c r="N116" s="60">
        <v>0</v>
      </c>
      <c r="O116" s="60">
        <v>0</v>
      </c>
      <c r="P116" s="60">
        <v>0</v>
      </c>
      <c r="Q116" s="60">
        <v>0</v>
      </c>
      <c r="R116" s="60">
        <v>0</v>
      </c>
      <c r="S116" s="60">
        <v>0</v>
      </c>
      <c r="T116" s="60">
        <v>624.92999999999995</v>
      </c>
      <c r="U116" s="60">
        <v>638.51</v>
      </c>
      <c r="V116" s="60">
        <v>598.29999999999995</v>
      </c>
      <c r="W116" s="60">
        <v>1515.67</v>
      </c>
      <c r="X116" s="60">
        <v>1549.7</v>
      </c>
      <c r="Y116" s="60">
        <v>1585.48</v>
      </c>
      <c r="Z116" s="60">
        <v>0</v>
      </c>
      <c r="AA116" s="60">
        <v>0</v>
      </c>
      <c r="AB116" s="60">
        <v>0</v>
      </c>
      <c r="AC116" s="60">
        <v>0</v>
      </c>
      <c r="AD116" s="60">
        <v>0</v>
      </c>
      <c r="AE116" s="60">
        <v>0</v>
      </c>
      <c r="AF116" s="60">
        <v>0</v>
      </c>
      <c r="AG116" s="60">
        <v>0</v>
      </c>
      <c r="AH116" s="60">
        <v>0</v>
      </c>
      <c r="AI116" s="60">
        <v>2140.6</v>
      </c>
      <c r="AJ116" s="60">
        <v>2188.21</v>
      </c>
      <c r="AK116" s="60">
        <v>2183.7800000000002</v>
      </c>
      <c r="AL116" s="60">
        <v>0</v>
      </c>
      <c r="AM116" s="60">
        <v>0</v>
      </c>
      <c r="AN116" s="60">
        <v>0</v>
      </c>
      <c r="AO116" s="60">
        <v>2140.6</v>
      </c>
      <c r="AP116" s="60">
        <v>2188.21</v>
      </c>
      <c r="AQ116" s="60">
        <v>2183.7800000000002</v>
      </c>
      <c r="AR116" s="61">
        <v>2188.21</v>
      </c>
    </row>
    <row r="117" spans="1:44" x14ac:dyDescent="0.35">
      <c r="A117" s="49" t="str">
        <f t="shared" si="12"/>
        <v>15</v>
      </c>
      <c r="B117" s="27">
        <v>63313</v>
      </c>
      <c r="C117" s="25" t="str">
        <f t="shared" si="13"/>
        <v>0000000</v>
      </c>
      <c r="D117" s="26" t="s">
        <v>3663</v>
      </c>
      <c r="E117" s="25" t="s">
        <v>649</v>
      </c>
      <c r="F117" s="25" t="s">
        <v>640</v>
      </c>
      <c r="G117" s="59" t="s">
        <v>650</v>
      </c>
      <c r="H117" s="60">
        <v>2706.49</v>
      </c>
      <c r="I117" s="60">
        <v>2704.47</v>
      </c>
      <c r="J117" s="60">
        <v>2669.72</v>
      </c>
      <c r="K117" s="60">
        <v>0</v>
      </c>
      <c r="L117" s="60">
        <v>0</v>
      </c>
      <c r="M117" s="60">
        <v>0</v>
      </c>
      <c r="N117" s="60">
        <v>0</v>
      </c>
      <c r="O117" s="60">
        <v>0</v>
      </c>
      <c r="P117" s="60">
        <v>0</v>
      </c>
      <c r="Q117" s="60">
        <v>0</v>
      </c>
      <c r="R117" s="60">
        <v>0</v>
      </c>
      <c r="S117" s="60">
        <v>0</v>
      </c>
      <c r="T117" s="60">
        <v>0</v>
      </c>
      <c r="U117" s="60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0">
        <v>0</v>
      </c>
      <c r="AE117" s="60">
        <v>0</v>
      </c>
      <c r="AF117" s="60">
        <v>0</v>
      </c>
      <c r="AG117" s="60">
        <v>0</v>
      </c>
      <c r="AH117" s="60">
        <v>0</v>
      </c>
      <c r="AI117" s="60">
        <v>2706.49</v>
      </c>
      <c r="AJ117" s="60">
        <v>2704.47</v>
      </c>
      <c r="AK117" s="60">
        <v>2669.72</v>
      </c>
      <c r="AL117" s="60">
        <v>0</v>
      </c>
      <c r="AM117" s="60">
        <v>0</v>
      </c>
      <c r="AN117" s="60">
        <v>0</v>
      </c>
      <c r="AO117" s="60">
        <v>2706.49</v>
      </c>
      <c r="AP117" s="60">
        <v>2704.47</v>
      </c>
      <c r="AQ117" s="60">
        <v>2669.72</v>
      </c>
      <c r="AR117" s="61">
        <v>2706.49</v>
      </c>
    </row>
    <row r="118" spans="1:44" x14ac:dyDescent="0.35">
      <c r="A118" s="49" t="str">
        <f t="shared" si="12"/>
        <v>15</v>
      </c>
      <c r="B118" s="27">
        <v>63339</v>
      </c>
      <c r="C118" s="25" t="str">
        <f t="shared" si="13"/>
        <v>0000000</v>
      </c>
      <c r="D118" s="26" t="s">
        <v>3663</v>
      </c>
      <c r="E118" s="25" t="s">
        <v>653</v>
      </c>
      <c r="F118" s="25" t="s">
        <v>640</v>
      </c>
      <c r="G118" s="59" t="s">
        <v>654</v>
      </c>
      <c r="H118" s="60">
        <v>1776.63</v>
      </c>
      <c r="I118" s="60">
        <v>1749.32</v>
      </c>
      <c r="J118" s="60">
        <v>1620.15</v>
      </c>
      <c r="K118" s="60">
        <v>0</v>
      </c>
      <c r="L118" s="60">
        <v>0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0">
        <v>0</v>
      </c>
      <c r="AE118" s="60">
        <v>0</v>
      </c>
      <c r="AF118" s="60">
        <v>0</v>
      </c>
      <c r="AG118" s="60">
        <v>0</v>
      </c>
      <c r="AH118" s="60">
        <v>0</v>
      </c>
      <c r="AI118" s="60">
        <v>1776.63</v>
      </c>
      <c r="AJ118" s="60">
        <v>1749.32</v>
      </c>
      <c r="AK118" s="60">
        <v>1620.15</v>
      </c>
      <c r="AL118" s="60">
        <v>0</v>
      </c>
      <c r="AM118" s="60">
        <v>0</v>
      </c>
      <c r="AN118" s="60">
        <v>0</v>
      </c>
      <c r="AO118" s="60">
        <v>1776.63</v>
      </c>
      <c r="AP118" s="60">
        <v>1749.32</v>
      </c>
      <c r="AQ118" s="60">
        <v>1620.15</v>
      </c>
      <c r="AR118" s="61">
        <v>1776.63</v>
      </c>
    </row>
    <row r="119" spans="1:44" x14ac:dyDescent="0.35">
      <c r="A119" s="49" t="str">
        <f t="shared" si="12"/>
        <v>15</v>
      </c>
      <c r="B119" s="27">
        <v>63461</v>
      </c>
      <c r="C119" s="25" t="str">
        <f t="shared" si="13"/>
        <v>0000000</v>
      </c>
      <c r="D119" s="26" t="s">
        <v>3663</v>
      </c>
      <c r="E119" s="25" t="s">
        <v>673</v>
      </c>
      <c r="F119" s="25" t="s">
        <v>640</v>
      </c>
      <c r="G119" s="59" t="s">
        <v>674</v>
      </c>
      <c r="H119" s="60">
        <v>2550.89</v>
      </c>
      <c r="I119" s="60">
        <v>2471.46</v>
      </c>
      <c r="J119" s="60">
        <v>2513.16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0">
        <v>0</v>
      </c>
      <c r="AE119" s="60">
        <v>0</v>
      </c>
      <c r="AF119" s="60">
        <v>0</v>
      </c>
      <c r="AG119" s="60">
        <v>0</v>
      </c>
      <c r="AH119" s="60">
        <v>0</v>
      </c>
      <c r="AI119" s="60">
        <v>2550.89</v>
      </c>
      <c r="AJ119" s="60">
        <v>2471.46</v>
      </c>
      <c r="AK119" s="60">
        <v>2513.16</v>
      </c>
      <c r="AL119" s="60">
        <v>0</v>
      </c>
      <c r="AM119" s="60">
        <v>0</v>
      </c>
      <c r="AN119" s="60">
        <v>0</v>
      </c>
      <c r="AO119" s="60">
        <v>2550.89</v>
      </c>
      <c r="AP119" s="60">
        <v>2471.46</v>
      </c>
      <c r="AQ119" s="60">
        <v>2513.16</v>
      </c>
      <c r="AR119" s="61">
        <v>2550.89</v>
      </c>
    </row>
    <row r="120" spans="1:44" x14ac:dyDescent="0.35">
      <c r="A120" s="49" t="str">
        <f t="shared" si="12"/>
        <v>15</v>
      </c>
      <c r="B120" s="27">
        <v>63503</v>
      </c>
      <c r="C120" s="25" t="str">
        <f t="shared" si="13"/>
        <v>0000000</v>
      </c>
      <c r="D120" s="26" t="s">
        <v>3663</v>
      </c>
      <c r="E120" s="25" t="s">
        <v>679</v>
      </c>
      <c r="F120" s="25" t="s">
        <v>640</v>
      </c>
      <c r="G120" s="59" t="s">
        <v>680</v>
      </c>
      <c r="H120" s="60">
        <v>8445.8799999999992</v>
      </c>
      <c r="I120" s="60">
        <v>8442.16</v>
      </c>
      <c r="J120" s="60">
        <v>8236.2900000000009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0">
        <v>0</v>
      </c>
      <c r="AE120" s="60">
        <v>0</v>
      </c>
      <c r="AF120" s="60">
        <v>0</v>
      </c>
      <c r="AG120" s="60">
        <v>0</v>
      </c>
      <c r="AH120" s="60">
        <v>0</v>
      </c>
      <c r="AI120" s="60">
        <v>8445.8799999999992</v>
      </c>
      <c r="AJ120" s="60">
        <v>8442.16</v>
      </c>
      <c r="AK120" s="60">
        <v>8236.2900000000009</v>
      </c>
      <c r="AL120" s="60">
        <v>0</v>
      </c>
      <c r="AM120" s="60">
        <v>0</v>
      </c>
      <c r="AN120" s="60">
        <v>0</v>
      </c>
      <c r="AO120" s="60">
        <v>8445.8799999999992</v>
      </c>
      <c r="AP120" s="60">
        <v>8442.16</v>
      </c>
      <c r="AQ120" s="60">
        <v>8236.2900000000009</v>
      </c>
      <c r="AR120" s="61">
        <v>8445.8799999999992</v>
      </c>
    </row>
    <row r="121" spans="1:44" x14ac:dyDescent="0.35">
      <c r="A121" s="49" t="str">
        <f t="shared" si="12"/>
        <v>15</v>
      </c>
      <c r="B121" s="27">
        <v>63594</v>
      </c>
      <c r="C121" s="25" t="str">
        <f t="shared" si="13"/>
        <v>0000000</v>
      </c>
      <c r="D121" s="26" t="s">
        <v>3663</v>
      </c>
      <c r="E121" s="25" t="s">
        <v>695</v>
      </c>
      <c r="F121" s="25" t="s">
        <v>640</v>
      </c>
      <c r="G121" s="59" t="s">
        <v>696</v>
      </c>
      <c r="H121" s="60">
        <v>262.93</v>
      </c>
      <c r="I121" s="60">
        <v>250.94</v>
      </c>
      <c r="J121" s="60">
        <v>248.19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0">
        <v>0</v>
      </c>
      <c r="AE121" s="60">
        <v>0</v>
      </c>
      <c r="AF121" s="60">
        <v>0</v>
      </c>
      <c r="AG121" s="60">
        <v>0</v>
      </c>
      <c r="AH121" s="60">
        <v>0</v>
      </c>
      <c r="AI121" s="60">
        <v>262.93</v>
      </c>
      <c r="AJ121" s="60">
        <v>250.94</v>
      </c>
      <c r="AK121" s="60">
        <v>248.19</v>
      </c>
      <c r="AL121" s="60">
        <v>0</v>
      </c>
      <c r="AM121" s="60">
        <v>0</v>
      </c>
      <c r="AN121" s="60">
        <v>0</v>
      </c>
      <c r="AO121" s="60">
        <v>262.93</v>
      </c>
      <c r="AP121" s="60">
        <v>250.94</v>
      </c>
      <c r="AQ121" s="60">
        <v>248.19</v>
      </c>
      <c r="AR121" s="61">
        <v>262.93</v>
      </c>
    </row>
    <row r="122" spans="1:44" x14ac:dyDescent="0.35">
      <c r="A122" s="49" t="str">
        <f t="shared" si="12"/>
        <v>15</v>
      </c>
      <c r="B122" s="27">
        <v>63792</v>
      </c>
      <c r="C122" s="25" t="str">
        <f t="shared" si="13"/>
        <v>0000000</v>
      </c>
      <c r="D122" s="26" t="s">
        <v>3663</v>
      </c>
      <c r="E122" s="25" t="s">
        <v>731</v>
      </c>
      <c r="F122" s="25" t="s">
        <v>640</v>
      </c>
      <c r="G122" s="59" t="s">
        <v>732</v>
      </c>
      <c r="H122" s="60">
        <v>2736.91</v>
      </c>
      <c r="I122" s="60">
        <v>2667.72</v>
      </c>
      <c r="J122" s="60">
        <v>2428.67</v>
      </c>
      <c r="K122" s="60">
        <v>0</v>
      </c>
      <c r="L122" s="60"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60">
        <v>0</v>
      </c>
      <c r="T122" s="60">
        <v>0</v>
      </c>
      <c r="U122" s="60"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0">
        <v>0</v>
      </c>
      <c r="AE122" s="60">
        <v>0</v>
      </c>
      <c r="AF122" s="60">
        <v>0</v>
      </c>
      <c r="AG122" s="60">
        <v>0</v>
      </c>
      <c r="AH122" s="60">
        <v>0</v>
      </c>
      <c r="AI122" s="60">
        <v>2736.91</v>
      </c>
      <c r="AJ122" s="60">
        <v>2667.72</v>
      </c>
      <c r="AK122" s="60">
        <v>2428.67</v>
      </c>
      <c r="AL122" s="60">
        <v>0</v>
      </c>
      <c r="AM122" s="60">
        <v>0</v>
      </c>
      <c r="AN122" s="60">
        <v>0</v>
      </c>
      <c r="AO122" s="60">
        <v>2736.91</v>
      </c>
      <c r="AP122" s="60">
        <v>2667.72</v>
      </c>
      <c r="AQ122" s="60">
        <v>2428.67</v>
      </c>
      <c r="AR122" s="61">
        <v>2736.91</v>
      </c>
    </row>
    <row r="123" spans="1:44" x14ac:dyDescent="0.35">
      <c r="A123" s="49" t="str">
        <f t="shared" si="12"/>
        <v>15</v>
      </c>
      <c r="B123" s="27">
        <v>63800</v>
      </c>
      <c r="C123" s="25" t="str">
        <f t="shared" si="13"/>
        <v>0000000</v>
      </c>
      <c r="D123" s="26" t="s">
        <v>3663</v>
      </c>
      <c r="E123" s="25" t="s">
        <v>733</v>
      </c>
      <c r="F123" s="25" t="s">
        <v>640</v>
      </c>
      <c r="G123" s="59" t="s">
        <v>734</v>
      </c>
      <c r="H123" s="60">
        <v>2285.85</v>
      </c>
      <c r="I123" s="60">
        <v>2230.02</v>
      </c>
      <c r="J123" s="60">
        <v>2055.4499999999998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0">
        <v>0</v>
      </c>
      <c r="AE123" s="60">
        <v>0</v>
      </c>
      <c r="AF123" s="60">
        <v>0</v>
      </c>
      <c r="AG123" s="60">
        <v>0</v>
      </c>
      <c r="AH123" s="60">
        <v>0</v>
      </c>
      <c r="AI123" s="60">
        <v>2285.85</v>
      </c>
      <c r="AJ123" s="60">
        <v>2230.02</v>
      </c>
      <c r="AK123" s="60">
        <v>2055.4499999999998</v>
      </c>
      <c r="AL123" s="60">
        <v>0</v>
      </c>
      <c r="AM123" s="60">
        <v>0</v>
      </c>
      <c r="AN123" s="60">
        <v>0</v>
      </c>
      <c r="AO123" s="60">
        <v>2285.85</v>
      </c>
      <c r="AP123" s="60">
        <v>2230.02</v>
      </c>
      <c r="AQ123" s="60">
        <v>2055.4499999999998</v>
      </c>
      <c r="AR123" s="61">
        <v>2285.85</v>
      </c>
    </row>
    <row r="124" spans="1:44" x14ac:dyDescent="0.35">
      <c r="A124" s="49" t="str">
        <f t="shared" si="12"/>
        <v>15</v>
      </c>
      <c r="B124" s="27">
        <v>63842</v>
      </c>
      <c r="C124" s="25" t="str">
        <f t="shared" si="13"/>
        <v>0000000</v>
      </c>
      <c r="D124" s="26" t="s">
        <v>3663</v>
      </c>
      <c r="E124" s="25" t="s">
        <v>741</v>
      </c>
      <c r="F124" s="25" t="s">
        <v>640</v>
      </c>
      <c r="G124" s="59" t="s">
        <v>742</v>
      </c>
      <c r="H124" s="60">
        <v>3295.97</v>
      </c>
      <c r="I124" s="60">
        <v>3205.56</v>
      </c>
      <c r="J124" s="60">
        <v>3141.77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0">
        <v>0</v>
      </c>
      <c r="AE124" s="60">
        <v>0</v>
      </c>
      <c r="AF124" s="60">
        <v>0</v>
      </c>
      <c r="AG124" s="60">
        <v>0</v>
      </c>
      <c r="AH124" s="60">
        <v>0</v>
      </c>
      <c r="AI124" s="60">
        <v>3295.97</v>
      </c>
      <c r="AJ124" s="60">
        <v>3205.56</v>
      </c>
      <c r="AK124" s="60">
        <v>3141.77</v>
      </c>
      <c r="AL124" s="60">
        <v>0</v>
      </c>
      <c r="AM124" s="60">
        <v>0</v>
      </c>
      <c r="AN124" s="60">
        <v>0</v>
      </c>
      <c r="AO124" s="60">
        <v>3295.97</v>
      </c>
      <c r="AP124" s="60">
        <v>3205.56</v>
      </c>
      <c r="AQ124" s="60">
        <v>3141.77</v>
      </c>
      <c r="AR124" s="61">
        <v>3295.97</v>
      </c>
    </row>
    <row r="125" spans="1:44" x14ac:dyDescent="0.35">
      <c r="A125" s="49" t="str">
        <f t="shared" si="12"/>
        <v>15</v>
      </c>
      <c r="B125" s="27">
        <v>63412</v>
      </c>
      <c r="C125" s="25" t="str">
        <f t="shared" si="13"/>
        <v>0000000</v>
      </c>
      <c r="D125" s="26" t="s">
        <v>3663</v>
      </c>
      <c r="E125" s="25" t="s">
        <v>665</v>
      </c>
      <c r="F125" s="25" t="s">
        <v>640</v>
      </c>
      <c r="G125" s="59" t="s">
        <v>666</v>
      </c>
      <c r="H125" s="60">
        <v>3814.22</v>
      </c>
      <c r="I125" s="60">
        <v>3855.23</v>
      </c>
      <c r="J125" s="60">
        <v>3679.72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0">
        <v>0</v>
      </c>
      <c r="AE125" s="60">
        <v>0</v>
      </c>
      <c r="AF125" s="60">
        <v>0</v>
      </c>
      <c r="AG125" s="60">
        <v>0</v>
      </c>
      <c r="AH125" s="60">
        <v>0</v>
      </c>
      <c r="AI125" s="60">
        <v>3814.22</v>
      </c>
      <c r="AJ125" s="60">
        <v>3855.23</v>
      </c>
      <c r="AK125" s="60">
        <v>3679.72</v>
      </c>
      <c r="AL125" s="60">
        <v>0</v>
      </c>
      <c r="AM125" s="60">
        <v>0</v>
      </c>
      <c r="AN125" s="60">
        <v>0</v>
      </c>
      <c r="AO125" s="60">
        <v>3814.22</v>
      </c>
      <c r="AP125" s="60">
        <v>3855.23</v>
      </c>
      <c r="AQ125" s="60">
        <v>3679.72</v>
      </c>
      <c r="AR125" s="61">
        <v>3855.23</v>
      </c>
    </row>
    <row r="126" spans="1:44" x14ac:dyDescent="0.35">
      <c r="A126" s="49" t="str">
        <f t="shared" si="12"/>
        <v>15</v>
      </c>
      <c r="B126" s="27">
        <v>63859</v>
      </c>
      <c r="C126" s="25" t="str">
        <f t="shared" si="13"/>
        <v>0000000</v>
      </c>
      <c r="D126" s="26" t="s">
        <v>3663</v>
      </c>
      <c r="E126" s="25" t="s">
        <v>743</v>
      </c>
      <c r="F126" s="25" t="s">
        <v>640</v>
      </c>
      <c r="G126" s="59" t="s">
        <v>744</v>
      </c>
      <c r="H126" s="60">
        <v>1715.13</v>
      </c>
      <c r="I126" s="60">
        <v>1706.58</v>
      </c>
      <c r="J126" s="60">
        <v>1724.74</v>
      </c>
      <c r="K126" s="60">
        <v>0</v>
      </c>
      <c r="L126" s="60">
        <v>0</v>
      </c>
      <c r="M126" s="60">
        <v>0</v>
      </c>
      <c r="N126" s="60">
        <v>0</v>
      </c>
      <c r="O126" s="60">
        <v>0</v>
      </c>
      <c r="P126" s="60">
        <v>0</v>
      </c>
      <c r="Q126" s="60">
        <v>0</v>
      </c>
      <c r="R126" s="60">
        <v>0</v>
      </c>
      <c r="S126" s="60">
        <v>0</v>
      </c>
      <c r="T126" s="60">
        <v>0</v>
      </c>
      <c r="U126" s="60"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0">
        <v>0</v>
      </c>
      <c r="AE126" s="60">
        <v>0</v>
      </c>
      <c r="AF126" s="60">
        <v>0</v>
      </c>
      <c r="AG126" s="60">
        <v>0</v>
      </c>
      <c r="AH126" s="60">
        <v>0</v>
      </c>
      <c r="AI126" s="60">
        <v>1715.13</v>
      </c>
      <c r="AJ126" s="60">
        <v>1706.58</v>
      </c>
      <c r="AK126" s="60">
        <v>1724.74</v>
      </c>
      <c r="AL126" s="60">
        <v>0</v>
      </c>
      <c r="AM126" s="60">
        <v>0</v>
      </c>
      <c r="AN126" s="60">
        <v>0</v>
      </c>
      <c r="AO126" s="60">
        <v>1715.13</v>
      </c>
      <c r="AP126" s="60">
        <v>1706.58</v>
      </c>
      <c r="AQ126" s="60">
        <v>1724.74</v>
      </c>
      <c r="AR126" s="61">
        <v>1724.74</v>
      </c>
    </row>
    <row r="127" spans="1:44" x14ac:dyDescent="0.35">
      <c r="A127" s="49" t="str">
        <f t="shared" si="12"/>
        <v>15</v>
      </c>
      <c r="B127" s="27">
        <v>63404</v>
      </c>
      <c r="C127" s="25" t="str">
        <f t="shared" si="13"/>
        <v>0000000</v>
      </c>
      <c r="D127" s="26" t="s">
        <v>3663</v>
      </c>
      <c r="E127" s="25" t="s">
        <v>663</v>
      </c>
      <c r="F127" s="25" t="s">
        <v>640</v>
      </c>
      <c r="G127" s="59" t="s">
        <v>664</v>
      </c>
      <c r="H127" s="60">
        <v>4231.03</v>
      </c>
      <c r="I127" s="60">
        <v>4255.21</v>
      </c>
      <c r="J127" s="60">
        <v>4369.75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1761.87</v>
      </c>
      <c r="AD127" s="60">
        <v>1650.13</v>
      </c>
      <c r="AE127" s="60">
        <v>1430.46</v>
      </c>
      <c r="AF127" s="60">
        <v>0</v>
      </c>
      <c r="AG127" s="60">
        <v>0</v>
      </c>
      <c r="AH127" s="60">
        <v>0</v>
      </c>
      <c r="AI127" s="60">
        <v>5992.9</v>
      </c>
      <c r="AJ127" s="60">
        <v>5905.34</v>
      </c>
      <c r="AK127" s="60">
        <v>5800.21</v>
      </c>
      <c r="AL127" s="60">
        <v>0</v>
      </c>
      <c r="AM127" s="60">
        <v>0</v>
      </c>
      <c r="AN127" s="60">
        <v>0</v>
      </c>
      <c r="AO127" s="60">
        <v>5992.9</v>
      </c>
      <c r="AP127" s="60">
        <v>5905.34</v>
      </c>
      <c r="AQ127" s="60">
        <v>5800.21</v>
      </c>
      <c r="AR127" s="61">
        <v>5992.9</v>
      </c>
    </row>
    <row r="128" spans="1:44" x14ac:dyDescent="0.35">
      <c r="A128" s="49" t="str">
        <f t="shared" si="12"/>
        <v>15</v>
      </c>
      <c r="B128" s="27">
        <v>63560</v>
      </c>
      <c r="C128" s="25" t="str">
        <f t="shared" si="13"/>
        <v>0000000</v>
      </c>
      <c r="D128" s="26" t="s">
        <v>3663</v>
      </c>
      <c r="E128" s="25" t="s">
        <v>687</v>
      </c>
      <c r="F128" s="25" t="s">
        <v>640</v>
      </c>
      <c r="G128" s="59" t="s">
        <v>688</v>
      </c>
      <c r="H128" s="60">
        <v>2495.4</v>
      </c>
      <c r="I128" s="60">
        <v>2502.5300000000002</v>
      </c>
      <c r="J128" s="60">
        <v>2441.09</v>
      </c>
      <c r="K128" s="60">
        <v>0</v>
      </c>
      <c r="L128" s="60">
        <v>0</v>
      </c>
      <c r="M128" s="60">
        <v>0</v>
      </c>
      <c r="N128" s="60">
        <v>0</v>
      </c>
      <c r="O128" s="60">
        <v>0</v>
      </c>
      <c r="P128" s="60">
        <v>0</v>
      </c>
      <c r="Q128" s="60">
        <v>0</v>
      </c>
      <c r="R128" s="60">
        <v>0</v>
      </c>
      <c r="S128" s="60">
        <v>0</v>
      </c>
      <c r="T128" s="60">
        <v>0</v>
      </c>
      <c r="U128" s="60">
        <v>0</v>
      </c>
      <c r="V128" s="60">
        <v>0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60">
        <v>0</v>
      </c>
      <c r="AC128" s="60">
        <v>0</v>
      </c>
      <c r="AD128" s="60">
        <v>0</v>
      </c>
      <c r="AE128" s="60">
        <v>0</v>
      </c>
      <c r="AF128" s="60">
        <v>0</v>
      </c>
      <c r="AG128" s="60">
        <v>0</v>
      </c>
      <c r="AH128" s="60">
        <v>0</v>
      </c>
      <c r="AI128" s="60">
        <v>2495.4</v>
      </c>
      <c r="AJ128" s="60">
        <v>2502.5300000000002</v>
      </c>
      <c r="AK128" s="60">
        <v>2441.09</v>
      </c>
      <c r="AL128" s="60">
        <v>0</v>
      </c>
      <c r="AM128" s="60">
        <v>0</v>
      </c>
      <c r="AN128" s="60">
        <v>0</v>
      </c>
      <c r="AO128" s="60">
        <v>2495.4</v>
      </c>
      <c r="AP128" s="60">
        <v>2502.5300000000002</v>
      </c>
      <c r="AQ128" s="60">
        <v>2441.09</v>
      </c>
      <c r="AR128" s="61">
        <v>2502.5300000000002</v>
      </c>
    </row>
    <row r="129" spans="1:44" x14ac:dyDescent="0.35">
      <c r="A129" s="49" t="str">
        <f t="shared" si="12"/>
        <v>15</v>
      </c>
      <c r="B129" s="27">
        <v>63750</v>
      </c>
      <c r="C129" s="25" t="str">
        <f t="shared" si="13"/>
        <v>0000000</v>
      </c>
      <c r="D129" s="26" t="s">
        <v>3663</v>
      </c>
      <c r="E129" s="25" t="s">
        <v>723</v>
      </c>
      <c r="F129" s="25" t="s">
        <v>640</v>
      </c>
      <c r="G129" s="59" t="s">
        <v>724</v>
      </c>
      <c r="H129" s="60">
        <v>5909.8</v>
      </c>
      <c r="I129" s="60">
        <v>5605.36</v>
      </c>
      <c r="J129" s="60">
        <v>5622.63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0">
        <v>0</v>
      </c>
      <c r="AE129" s="60">
        <v>0</v>
      </c>
      <c r="AF129" s="60">
        <v>0</v>
      </c>
      <c r="AG129" s="60">
        <v>0</v>
      </c>
      <c r="AH129" s="60">
        <v>0</v>
      </c>
      <c r="AI129" s="60">
        <v>5909.8</v>
      </c>
      <c r="AJ129" s="60">
        <v>5605.36</v>
      </c>
      <c r="AK129" s="60">
        <v>5622.63</v>
      </c>
      <c r="AL129" s="60">
        <v>0</v>
      </c>
      <c r="AM129" s="60">
        <v>0</v>
      </c>
      <c r="AN129" s="60">
        <v>0</v>
      </c>
      <c r="AO129" s="60">
        <v>5909.8</v>
      </c>
      <c r="AP129" s="60">
        <v>5605.36</v>
      </c>
      <c r="AQ129" s="60">
        <v>5622.63</v>
      </c>
      <c r="AR129" s="61">
        <v>5909.8</v>
      </c>
    </row>
    <row r="130" spans="1:44" x14ac:dyDescent="0.35">
      <c r="A130" s="49" t="str">
        <f t="shared" si="12"/>
        <v>15</v>
      </c>
      <c r="B130" s="27">
        <v>63818</v>
      </c>
      <c r="C130" s="25" t="str">
        <f t="shared" si="13"/>
        <v>0000000</v>
      </c>
      <c r="D130" s="26" t="s">
        <v>3663</v>
      </c>
      <c r="E130" s="25" t="s">
        <v>735</v>
      </c>
      <c r="F130" s="25" t="s">
        <v>640</v>
      </c>
      <c r="G130" s="59" t="s">
        <v>736</v>
      </c>
      <c r="H130" s="60">
        <v>1079.77</v>
      </c>
      <c r="I130" s="60">
        <v>1033.6400000000001</v>
      </c>
      <c r="J130" s="60">
        <v>980.05</v>
      </c>
      <c r="K130" s="60">
        <v>0</v>
      </c>
      <c r="L130" s="60">
        <v>0</v>
      </c>
      <c r="M130" s="60">
        <v>0</v>
      </c>
      <c r="N130" s="60">
        <v>0</v>
      </c>
      <c r="O130" s="60">
        <v>0</v>
      </c>
      <c r="P130" s="60">
        <v>0</v>
      </c>
      <c r="Q130" s="60">
        <v>0</v>
      </c>
      <c r="R130" s="60">
        <v>0</v>
      </c>
      <c r="S130" s="60">
        <v>0</v>
      </c>
      <c r="T130" s="60">
        <v>0</v>
      </c>
      <c r="U130" s="60">
        <v>0</v>
      </c>
      <c r="V130" s="60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0">
        <v>0</v>
      </c>
      <c r="AE130" s="60">
        <v>0</v>
      </c>
      <c r="AF130" s="60">
        <v>0</v>
      </c>
      <c r="AG130" s="60">
        <v>0</v>
      </c>
      <c r="AH130" s="60">
        <v>0</v>
      </c>
      <c r="AI130" s="60">
        <v>1079.77</v>
      </c>
      <c r="AJ130" s="60">
        <v>1033.6400000000001</v>
      </c>
      <c r="AK130" s="60">
        <v>980.05</v>
      </c>
      <c r="AL130" s="60">
        <v>0</v>
      </c>
      <c r="AM130" s="60">
        <v>0</v>
      </c>
      <c r="AN130" s="60">
        <v>0</v>
      </c>
      <c r="AO130" s="60">
        <v>1079.77</v>
      </c>
      <c r="AP130" s="60">
        <v>1033.6400000000001</v>
      </c>
      <c r="AQ130" s="60">
        <v>980.05</v>
      </c>
      <c r="AR130" s="61">
        <v>1079.77</v>
      </c>
    </row>
    <row r="131" spans="1:44" x14ac:dyDescent="0.35">
      <c r="A131" s="49" t="str">
        <f t="shared" si="12"/>
        <v>15</v>
      </c>
      <c r="B131" s="27">
        <v>73908</v>
      </c>
      <c r="C131" s="25" t="str">
        <f t="shared" si="13"/>
        <v>0000000</v>
      </c>
      <c r="D131" s="26" t="s">
        <v>3663</v>
      </c>
      <c r="E131" s="25" t="s">
        <v>749</v>
      </c>
      <c r="F131" s="25" t="s">
        <v>640</v>
      </c>
      <c r="G131" s="59" t="s">
        <v>750</v>
      </c>
      <c r="H131" s="60">
        <v>3126.59</v>
      </c>
      <c r="I131" s="60">
        <v>3181.82</v>
      </c>
      <c r="J131" s="60">
        <v>3213.83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60">
        <v>0</v>
      </c>
      <c r="Y131" s="60">
        <v>0</v>
      </c>
      <c r="Z131" s="60">
        <v>0</v>
      </c>
      <c r="AA131" s="60">
        <v>0</v>
      </c>
      <c r="AB131" s="60">
        <v>0</v>
      </c>
      <c r="AC131" s="60">
        <v>0</v>
      </c>
      <c r="AD131" s="60">
        <v>0</v>
      </c>
      <c r="AE131" s="60">
        <v>0</v>
      </c>
      <c r="AF131" s="60">
        <v>0</v>
      </c>
      <c r="AG131" s="60">
        <v>0</v>
      </c>
      <c r="AH131" s="60">
        <v>0</v>
      </c>
      <c r="AI131" s="60">
        <v>3126.59</v>
      </c>
      <c r="AJ131" s="60">
        <v>3181.82</v>
      </c>
      <c r="AK131" s="60">
        <v>3213.83</v>
      </c>
      <c r="AL131" s="60">
        <v>0</v>
      </c>
      <c r="AM131" s="60">
        <v>0</v>
      </c>
      <c r="AN131" s="60">
        <v>0</v>
      </c>
      <c r="AO131" s="60">
        <v>3126.59</v>
      </c>
      <c r="AP131" s="60">
        <v>3181.82</v>
      </c>
      <c r="AQ131" s="60">
        <v>3213.83</v>
      </c>
      <c r="AR131" s="61">
        <v>3213.83</v>
      </c>
    </row>
    <row r="132" spans="1:44" x14ac:dyDescent="0.35">
      <c r="A132" s="49" t="str">
        <f t="shared" si="12"/>
        <v>15</v>
      </c>
      <c r="B132" s="27">
        <v>63677</v>
      </c>
      <c r="C132" s="25" t="str">
        <f t="shared" si="13"/>
        <v>0000000</v>
      </c>
      <c r="D132" s="26" t="s">
        <v>3663</v>
      </c>
      <c r="E132" s="25" t="s">
        <v>715</v>
      </c>
      <c r="F132" s="25" t="s">
        <v>640</v>
      </c>
      <c r="G132" s="59" t="s">
        <v>716</v>
      </c>
      <c r="H132" s="60">
        <v>2478.63</v>
      </c>
      <c r="I132" s="60">
        <v>2489.87</v>
      </c>
      <c r="J132" s="60">
        <v>2324.14</v>
      </c>
      <c r="K132" s="60">
        <v>0</v>
      </c>
      <c r="L132" s="60">
        <v>0</v>
      </c>
      <c r="M132" s="60">
        <v>0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60">
        <v>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60">
        <v>0</v>
      </c>
      <c r="AC132" s="60">
        <v>0</v>
      </c>
      <c r="AD132" s="60">
        <v>0</v>
      </c>
      <c r="AE132" s="60">
        <v>0</v>
      </c>
      <c r="AF132" s="60">
        <v>0</v>
      </c>
      <c r="AG132" s="60">
        <v>0</v>
      </c>
      <c r="AH132" s="60">
        <v>0</v>
      </c>
      <c r="AI132" s="60">
        <v>2478.63</v>
      </c>
      <c r="AJ132" s="60">
        <v>2489.87</v>
      </c>
      <c r="AK132" s="60">
        <v>2324.14</v>
      </c>
      <c r="AL132" s="60">
        <v>0</v>
      </c>
      <c r="AM132" s="60">
        <v>0</v>
      </c>
      <c r="AN132" s="60">
        <v>0</v>
      </c>
      <c r="AO132" s="60">
        <v>2478.63</v>
      </c>
      <c r="AP132" s="60">
        <v>2489.87</v>
      </c>
      <c r="AQ132" s="60">
        <v>2324.14</v>
      </c>
      <c r="AR132" s="61">
        <v>2489.87</v>
      </c>
    </row>
    <row r="133" spans="1:44" x14ac:dyDescent="0.35">
      <c r="A133" s="49" t="str">
        <f t="shared" si="12"/>
        <v>15</v>
      </c>
      <c r="B133" s="27">
        <v>63685</v>
      </c>
      <c r="C133" s="25" t="str">
        <f t="shared" si="13"/>
        <v>0000000</v>
      </c>
      <c r="D133" s="26" t="s">
        <v>3663</v>
      </c>
      <c r="E133" s="25" t="s">
        <v>717</v>
      </c>
      <c r="F133" s="25" t="s">
        <v>640</v>
      </c>
      <c r="G133" s="59" t="s">
        <v>718</v>
      </c>
      <c r="H133" s="60">
        <v>1637.3</v>
      </c>
      <c r="I133" s="60">
        <v>1568.14</v>
      </c>
      <c r="J133" s="60">
        <v>1471.82</v>
      </c>
      <c r="K133" s="60">
        <v>0</v>
      </c>
      <c r="L133" s="60"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60">
        <v>0</v>
      </c>
      <c r="T133" s="60">
        <v>0</v>
      </c>
      <c r="U133" s="60"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0">
        <v>0</v>
      </c>
      <c r="AD133" s="60">
        <v>0</v>
      </c>
      <c r="AE133" s="60">
        <v>0</v>
      </c>
      <c r="AF133" s="60">
        <v>0</v>
      </c>
      <c r="AG133" s="60">
        <v>0</v>
      </c>
      <c r="AH133" s="60">
        <v>0</v>
      </c>
      <c r="AI133" s="60">
        <v>1637.3</v>
      </c>
      <c r="AJ133" s="60">
        <v>1568.14</v>
      </c>
      <c r="AK133" s="60">
        <v>1471.82</v>
      </c>
      <c r="AL133" s="60">
        <v>0</v>
      </c>
      <c r="AM133" s="60">
        <v>0</v>
      </c>
      <c r="AN133" s="60">
        <v>0</v>
      </c>
      <c r="AO133" s="60">
        <v>1637.3</v>
      </c>
      <c r="AP133" s="60">
        <v>1568.14</v>
      </c>
      <c r="AQ133" s="60">
        <v>1471.82</v>
      </c>
      <c r="AR133" s="61">
        <v>1637.3</v>
      </c>
    </row>
    <row r="134" spans="1:44" x14ac:dyDescent="0.35">
      <c r="A134" s="49" t="str">
        <f t="shared" si="12"/>
        <v>15</v>
      </c>
      <c r="B134" s="27">
        <v>63776</v>
      </c>
      <c r="C134" s="25" t="str">
        <f t="shared" si="13"/>
        <v>0000000</v>
      </c>
      <c r="D134" s="26" t="s">
        <v>3663</v>
      </c>
      <c r="E134" s="25" t="s">
        <v>727</v>
      </c>
      <c r="F134" s="25" t="s">
        <v>640</v>
      </c>
      <c r="G134" s="59" t="s">
        <v>728</v>
      </c>
      <c r="H134" s="60">
        <v>3356.78</v>
      </c>
      <c r="I134" s="60">
        <v>3280.78</v>
      </c>
      <c r="J134" s="60">
        <v>3033.91</v>
      </c>
      <c r="K134" s="60">
        <v>0</v>
      </c>
      <c r="L134" s="60">
        <v>0</v>
      </c>
      <c r="M134" s="60">
        <v>0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60">
        <v>0</v>
      </c>
      <c r="AC134" s="60">
        <v>0</v>
      </c>
      <c r="AD134" s="60">
        <v>0</v>
      </c>
      <c r="AE134" s="60">
        <v>0</v>
      </c>
      <c r="AF134" s="60">
        <v>0</v>
      </c>
      <c r="AG134" s="60">
        <v>0</v>
      </c>
      <c r="AH134" s="60">
        <v>0</v>
      </c>
      <c r="AI134" s="60">
        <v>3356.78</v>
      </c>
      <c r="AJ134" s="60">
        <v>3280.78</v>
      </c>
      <c r="AK134" s="60">
        <v>3033.91</v>
      </c>
      <c r="AL134" s="60">
        <v>0</v>
      </c>
      <c r="AM134" s="60">
        <v>0</v>
      </c>
      <c r="AN134" s="60">
        <v>0</v>
      </c>
      <c r="AO134" s="60">
        <v>3356.78</v>
      </c>
      <c r="AP134" s="60">
        <v>3280.78</v>
      </c>
      <c r="AQ134" s="60">
        <v>3033.91</v>
      </c>
      <c r="AR134" s="61">
        <v>3356.78</v>
      </c>
    </row>
    <row r="135" spans="1:44" x14ac:dyDescent="0.35">
      <c r="A135" s="49" t="str">
        <f t="shared" si="12"/>
        <v>15</v>
      </c>
      <c r="B135" s="27">
        <v>63826</v>
      </c>
      <c r="C135" s="25" t="str">
        <f t="shared" si="13"/>
        <v>0000000</v>
      </c>
      <c r="D135" s="26" t="s">
        <v>3663</v>
      </c>
      <c r="E135" s="25" t="s">
        <v>737</v>
      </c>
      <c r="F135" s="25" t="s">
        <v>640</v>
      </c>
      <c r="G135" s="59" t="s">
        <v>738</v>
      </c>
      <c r="H135" s="60">
        <v>3827.79</v>
      </c>
      <c r="I135" s="60">
        <v>3779.37</v>
      </c>
      <c r="J135" s="60">
        <v>3581.85</v>
      </c>
      <c r="K135" s="60">
        <v>0</v>
      </c>
      <c r="L135" s="60">
        <v>0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60">
        <v>0</v>
      </c>
      <c r="T135" s="60">
        <v>0</v>
      </c>
      <c r="U135" s="60"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60">
        <v>0</v>
      </c>
      <c r="AC135" s="60">
        <v>0</v>
      </c>
      <c r="AD135" s="60">
        <v>0</v>
      </c>
      <c r="AE135" s="60">
        <v>0</v>
      </c>
      <c r="AF135" s="60">
        <v>0</v>
      </c>
      <c r="AG135" s="60">
        <v>0</v>
      </c>
      <c r="AH135" s="60">
        <v>0</v>
      </c>
      <c r="AI135" s="60">
        <v>3827.79</v>
      </c>
      <c r="AJ135" s="60">
        <v>3779.37</v>
      </c>
      <c r="AK135" s="60">
        <v>3581.85</v>
      </c>
      <c r="AL135" s="60">
        <v>0</v>
      </c>
      <c r="AM135" s="60">
        <v>0</v>
      </c>
      <c r="AN135" s="60">
        <v>0</v>
      </c>
      <c r="AO135" s="60">
        <v>3827.79</v>
      </c>
      <c r="AP135" s="60">
        <v>3779.37</v>
      </c>
      <c r="AQ135" s="60">
        <v>3581.85</v>
      </c>
      <c r="AR135" s="61">
        <v>3827.79</v>
      </c>
    </row>
    <row r="136" spans="1:44" x14ac:dyDescent="0.35">
      <c r="A136" s="49" t="str">
        <f t="shared" si="12"/>
        <v>15</v>
      </c>
      <c r="B136" s="27">
        <v>63628</v>
      </c>
      <c r="C136" s="25" t="str">
        <f t="shared" si="13"/>
        <v>0000000</v>
      </c>
      <c r="D136" s="26" t="s">
        <v>3663</v>
      </c>
      <c r="E136" s="25" t="s">
        <v>699</v>
      </c>
      <c r="F136" s="25" t="s">
        <v>640</v>
      </c>
      <c r="G136" s="59" t="s">
        <v>700</v>
      </c>
      <c r="H136" s="60">
        <v>283.95</v>
      </c>
      <c r="I136" s="60">
        <v>293.48</v>
      </c>
      <c r="J136" s="60">
        <v>294.92</v>
      </c>
      <c r="K136" s="60">
        <v>0</v>
      </c>
      <c r="L136" s="60">
        <v>0</v>
      </c>
      <c r="M136" s="60">
        <v>0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60">
        <v>0</v>
      </c>
      <c r="T136" s="60">
        <v>0</v>
      </c>
      <c r="U136" s="60"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60">
        <v>0</v>
      </c>
      <c r="AC136" s="60">
        <v>0</v>
      </c>
      <c r="AD136" s="60">
        <v>0</v>
      </c>
      <c r="AE136" s="60">
        <v>0</v>
      </c>
      <c r="AF136" s="60">
        <v>0</v>
      </c>
      <c r="AG136" s="60">
        <v>0</v>
      </c>
      <c r="AH136" s="60">
        <v>0</v>
      </c>
      <c r="AI136" s="60">
        <v>283.95</v>
      </c>
      <c r="AJ136" s="60">
        <v>293.48</v>
      </c>
      <c r="AK136" s="60">
        <v>294.92</v>
      </c>
      <c r="AL136" s="60">
        <v>0</v>
      </c>
      <c r="AM136" s="60">
        <v>0</v>
      </c>
      <c r="AN136" s="60">
        <v>0</v>
      </c>
      <c r="AO136" s="60">
        <v>283.95</v>
      </c>
      <c r="AP136" s="60">
        <v>293.48</v>
      </c>
      <c r="AQ136" s="60">
        <v>294.92</v>
      </c>
      <c r="AR136" s="61">
        <v>294.92</v>
      </c>
    </row>
    <row r="137" spans="1:44" x14ac:dyDescent="0.35">
      <c r="A137" s="49" t="str">
        <f t="shared" si="12"/>
        <v>15</v>
      </c>
      <c r="B137" s="27">
        <v>63545</v>
      </c>
      <c r="C137" s="25" t="str">
        <f t="shared" si="13"/>
        <v>0000000</v>
      </c>
      <c r="D137" s="26" t="s">
        <v>3663</v>
      </c>
      <c r="E137" s="25" t="s">
        <v>683</v>
      </c>
      <c r="F137" s="25" t="s">
        <v>640</v>
      </c>
      <c r="G137" s="59" t="s">
        <v>684</v>
      </c>
      <c r="H137" s="60">
        <v>698.93</v>
      </c>
      <c r="I137" s="60">
        <v>712.83</v>
      </c>
      <c r="J137" s="60">
        <v>654.01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0">
        <v>0</v>
      </c>
      <c r="AC137" s="60">
        <v>0</v>
      </c>
      <c r="AD137" s="60">
        <v>0</v>
      </c>
      <c r="AE137" s="60">
        <v>0</v>
      </c>
      <c r="AF137" s="60">
        <v>0</v>
      </c>
      <c r="AG137" s="60">
        <v>0</v>
      </c>
      <c r="AH137" s="60">
        <v>0</v>
      </c>
      <c r="AI137" s="60">
        <v>698.93</v>
      </c>
      <c r="AJ137" s="60">
        <v>712.83</v>
      </c>
      <c r="AK137" s="60">
        <v>654.01</v>
      </c>
      <c r="AL137" s="60">
        <v>0</v>
      </c>
      <c r="AM137" s="60">
        <v>0</v>
      </c>
      <c r="AN137" s="60">
        <v>0</v>
      </c>
      <c r="AO137" s="60">
        <v>698.93</v>
      </c>
      <c r="AP137" s="60">
        <v>712.83</v>
      </c>
      <c r="AQ137" s="60">
        <v>654.01</v>
      </c>
      <c r="AR137" s="61">
        <v>712.83</v>
      </c>
    </row>
    <row r="138" spans="1:44" x14ac:dyDescent="0.35">
      <c r="A138" s="49" t="str">
        <f t="shared" si="12"/>
        <v>15</v>
      </c>
      <c r="B138" s="27">
        <v>63479</v>
      </c>
      <c r="C138" s="25" t="str">
        <f t="shared" si="13"/>
        <v>0000000</v>
      </c>
      <c r="D138" s="26" t="s">
        <v>3663</v>
      </c>
      <c r="E138" s="25" t="s">
        <v>675</v>
      </c>
      <c r="F138" s="25" t="s">
        <v>640</v>
      </c>
      <c r="G138" s="59" t="s">
        <v>676</v>
      </c>
      <c r="H138" s="60">
        <v>2943.36</v>
      </c>
      <c r="I138" s="60">
        <v>2858.24</v>
      </c>
      <c r="J138" s="60">
        <v>2850.77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60">
        <v>0</v>
      </c>
      <c r="AC138" s="60">
        <v>0</v>
      </c>
      <c r="AD138" s="60">
        <v>0</v>
      </c>
      <c r="AE138" s="60">
        <v>0</v>
      </c>
      <c r="AF138" s="60">
        <v>0</v>
      </c>
      <c r="AG138" s="60">
        <v>0</v>
      </c>
      <c r="AH138" s="60">
        <v>0</v>
      </c>
      <c r="AI138" s="60">
        <v>2943.36</v>
      </c>
      <c r="AJ138" s="60">
        <v>2858.24</v>
      </c>
      <c r="AK138" s="60">
        <v>2850.77</v>
      </c>
      <c r="AL138" s="60">
        <v>0</v>
      </c>
      <c r="AM138" s="60">
        <v>0</v>
      </c>
      <c r="AN138" s="60">
        <v>0</v>
      </c>
      <c r="AO138" s="60">
        <v>2943.36</v>
      </c>
      <c r="AP138" s="60">
        <v>2858.24</v>
      </c>
      <c r="AQ138" s="60">
        <v>2850.77</v>
      </c>
      <c r="AR138" s="61">
        <v>2943.36</v>
      </c>
    </row>
    <row r="139" spans="1:44" x14ac:dyDescent="0.35">
      <c r="A139" s="49" t="str">
        <f t="shared" si="12"/>
        <v>15</v>
      </c>
      <c r="B139" s="27">
        <v>63784</v>
      </c>
      <c r="C139" s="25" t="str">
        <f t="shared" si="13"/>
        <v>0000000</v>
      </c>
      <c r="D139" s="26" t="s">
        <v>3663</v>
      </c>
      <c r="E139" s="25" t="s">
        <v>729</v>
      </c>
      <c r="F139" s="25" t="s">
        <v>640</v>
      </c>
      <c r="G139" s="59" t="s">
        <v>730</v>
      </c>
      <c r="H139" s="60">
        <v>323.29000000000002</v>
      </c>
      <c r="I139" s="60">
        <v>308.70999999999998</v>
      </c>
      <c r="J139" s="60">
        <v>266.39999999999998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60">
        <v>0</v>
      </c>
      <c r="AC139" s="60">
        <v>0</v>
      </c>
      <c r="AD139" s="60">
        <v>0</v>
      </c>
      <c r="AE139" s="60">
        <v>0</v>
      </c>
      <c r="AF139" s="60">
        <v>0</v>
      </c>
      <c r="AG139" s="60">
        <v>0</v>
      </c>
      <c r="AH139" s="60">
        <v>0</v>
      </c>
      <c r="AI139" s="60">
        <v>323.29000000000002</v>
      </c>
      <c r="AJ139" s="60">
        <v>308.70999999999998</v>
      </c>
      <c r="AK139" s="60">
        <v>266.39999999999998</v>
      </c>
      <c r="AL139" s="60">
        <v>0</v>
      </c>
      <c r="AM139" s="60">
        <v>0</v>
      </c>
      <c r="AN139" s="60">
        <v>0</v>
      </c>
      <c r="AO139" s="60">
        <v>323.29000000000002</v>
      </c>
      <c r="AP139" s="60">
        <v>308.70999999999998</v>
      </c>
      <c r="AQ139" s="60">
        <v>266.39999999999998</v>
      </c>
      <c r="AR139" s="61">
        <v>323.29000000000002</v>
      </c>
    </row>
    <row r="140" spans="1:44" x14ac:dyDescent="0.35">
      <c r="A140" s="49" t="str">
        <f t="shared" si="12"/>
        <v>15</v>
      </c>
      <c r="B140" s="27">
        <v>75168</v>
      </c>
      <c r="C140" s="25" t="str">
        <f t="shared" si="13"/>
        <v>0000000</v>
      </c>
      <c r="D140" s="26" t="s">
        <v>3663</v>
      </c>
      <c r="E140" s="25" t="s">
        <v>751</v>
      </c>
      <c r="F140" s="25" t="s">
        <v>640</v>
      </c>
      <c r="G140" s="59" t="s">
        <v>752</v>
      </c>
      <c r="H140" s="60">
        <v>664.27</v>
      </c>
      <c r="I140" s="60">
        <v>634.97</v>
      </c>
      <c r="J140" s="60">
        <v>619.89</v>
      </c>
      <c r="K140" s="60">
        <v>0</v>
      </c>
      <c r="L140" s="60">
        <v>0</v>
      </c>
      <c r="M140" s="60">
        <v>0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0">
        <v>0</v>
      </c>
      <c r="T140" s="60">
        <v>0</v>
      </c>
      <c r="U140" s="60">
        <v>0</v>
      </c>
      <c r="V140" s="60">
        <v>0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60">
        <v>0</v>
      </c>
      <c r="AC140" s="60">
        <v>0</v>
      </c>
      <c r="AD140" s="60">
        <v>0</v>
      </c>
      <c r="AE140" s="60">
        <v>0</v>
      </c>
      <c r="AF140" s="60">
        <v>0</v>
      </c>
      <c r="AG140" s="60">
        <v>0</v>
      </c>
      <c r="AH140" s="60">
        <v>0</v>
      </c>
      <c r="AI140" s="60">
        <v>664.27</v>
      </c>
      <c r="AJ140" s="60">
        <v>634.97</v>
      </c>
      <c r="AK140" s="60">
        <v>619.89</v>
      </c>
      <c r="AL140" s="60">
        <v>0</v>
      </c>
      <c r="AM140" s="60">
        <v>0</v>
      </c>
      <c r="AN140" s="60">
        <v>0</v>
      </c>
      <c r="AO140" s="60">
        <v>664.27</v>
      </c>
      <c r="AP140" s="60">
        <v>634.97</v>
      </c>
      <c r="AQ140" s="60">
        <v>619.89</v>
      </c>
      <c r="AR140" s="61">
        <v>664.27</v>
      </c>
    </row>
    <row r="141" spans="1:44" x14ac:dyDescent="0.35">
      <c r="A141" s="49" t="str">
        <f t="shared" si="12"/>
        <v>15</v>
      </c>
      <c r="B141" s="27">
        <v>63578</v>
      </c>
      <c r="C141" s="25" t="str">
        <f t="shared" si="13"/>
        <v>0000000</v>
      </c>
      <c r="D141" s="26" t="s">
        <v>3663</v>
      </c>
      <c r="E141" s="25" t="s">
        <v>689</v>
      </c>
      <c r="F141" s="25" t="s">
        <v>640</v>
      </c>
      <c r="G141" s="59" t="s">
        <v>690</v>
      </c>
      <c r="H141" s="60">
        <v>2347.23</v>
      </c>
      <c r="I141" s="60">
        <v>2365.96</v>
      </c>
      <c r="J141" s="60">
        <v>2281.14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60">
        <v>0</v>
      </c>
      <c r="AC141" s="60">
        <v>0</v>
      </c>
      <c r="AD141" s="60">
        <v>0</v>
      </c>
      <c r="AE141" s="60">
        <v>0</v>
      </c>
      <c r="AF141" s="60">
        <v>0</v>
      </c>
      <c r="AG141" s="60">
        <v>0</v>
      </c>
      <c r="AH141" s="60">
        <v>0</v>
      </c>
      <c r="AI141" s="60">
        <v>2347.23</v>
      </c>
      <c r="AJ141" s="60">
        <v>2365.96</v>
      </c>
      <c r="AK141" s="60">
        <v>2281.14</v>
      </c>
      <c r="AL141" s="60">
        <v>0</v>
      </c>
      <c r="AM141" s="60">
        <v>0</v>
      </c>
      <c r="AN141" s="60">
        <v>0</v>
      </c>
      <c r="AO141" s="60">
        <v>2347.23</v>
      </c>
      <c r="AP141" s="60">
        <v>2365.96</v>
      </c>
      <c r="AQ141" s="60">
        <v>2281.14</v>
      </c>
      <c r="AR141" s="61">
        <v>2365.96</v>
      </c>
    </row>
    <row r="142" spans="1:44" x14ac:dyDescent="0.35">
      <c r="A142" s="49" t="str">
        <f t="shared" si="12"/>
        <v>15</v>
      </c>
      <c r="B142" s="27">
        <v>63693</v>
      </c>
      <c r="C142" s="25" t="str">
        <f t="shared" si="13"/>
        <v>0000000</v>
      </c>
      <c r="D142" s="26" t="s">
        <v>3663</v>
      </c>
      <c r="E142" s="25" t="s">
        <v>719</v>
      </c>
      <c r="F142" s="25" t="s">
        <v>640</v>
      </c>
      <c r="G142" s="59" t="s">
        <v>720</v>
      </c>
      <c r="H142" s="60">
        <v>3855.79</v>
      </c>
      <c r="I142" s="60">
        <v>3715.37</v>
      </c>
      <c r="J142" s="60">
        <v>3616.39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0">
        <v>0</v>
      </c>
      <c r="AC142" s="60">
        <v>0</v>
      </c>
      <c r="AD142" s="60">
        <v>0</v>
      </c>
      <c r="AE142" s="60">
        <v>0</v>
      </c>
      <c r="AF142" s="60">
        <v>0</v>
      </c>
      <c r="AG142" s="60">
        <v>0</v>
      </c>
      <c r="AH142" s="60">
        <v>0</v>
      </c>
      <c r="AI142" s="60">
        <v>3855.79</v>
      </c>
      <c r="AJ142" s="60">
        <v>3715.37</v>
      </c>
      <c r="AK142" s="60">
        <v>3616.39</v>
      </c>
      <c r="AL142" s="60">
        <v>0</v>
      </c>
      <c r="AM142" s="60">
        <v>0</v>
      </c>
      <c r="AN142" s="60">
        <v>0</v>
      </c>
      <c r="AO142" s="60">
        <v>3855.79</v>
      </c>
      <c r="AP142" s="60">
        <v>3715.37</v>
      </c>
      <c r="AQ142" s="60">
        <v>3616.39</v>
      </c>
      <c r="AR142" s="61">
        <v>3855.79</v>
      </c>
    </row>
    <row r="143" spans="1:44" x14ac:dyDescent="0.35">
      <c r="A143" s="49" t="str">
        <f t="shared" si="12"/>
        <v>15</v>
      </c>
      <c r="B143" s="27">
        <v>63370</v>
      </c>
      <c r="C143" s="25" t="str">
        <f t="shared" si="13"/>
        <v>0000000</v>
      </c>
      <c r="D143" s="26" t="s">
        <v>3663</v>
      </c>
      <c r="E143" s="25" t="s">
        <v>659</v>
      </c>
      <c r="F143" s="25" t="s">
        <v>640</v>
      </c>
      <c r="G143" s="59" t="s">
        <v>660</v>
      </c>
      <c r="H143" s="60">
        <v>262.83999999999997</v>
      </c>
      <c r="I143" s="60">
        <v>268.45</v>
      </c>
      <c r="J143" s="60">
        <v>340.66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0">
        <v>0</v>
      </c>
      <c r="AC143" s="60">
        <v>0</v>
      </c>
      <c r="AD143" s="60">
        <v>0</v>
      </c>
      <c r="AE143" s="60">
        <v>0</v>
      </c>
      <c r="AF143" s="60">
        <v>0</v>
      </c>
      <c r="AG143" s="60">
        <v>0</v>
      </c>
      <c r="AH143" s="60">
        <v>0</v>
      </c>
      <c r="AI143" s="60">
        <v>262.83999999999997</v>
      </c>
      <c r="AJ143" s="60">
        <v>268.45</v>
      </c>
      <c r="AK143" s="60">
        <v>340.66</v>
      </c>
      <c r="AL143" s="60">
        <v>0</v>
      </c>
      <c r="AM143" s="60">
        <v>0</v>
      </c>
      <c r="AN143" s="60">
        <v>0</v>
      </c>
      <c r="AO143" s="60">
        <v>262.83999999999997</v>
      </c>
      <c r="AP143" s="60">
        <v>268.45</v>
      </c>
      <c r="AQ143" s="60">
        <v>340.66</v>
      </c>
      <c r="AR143" s="61">
        <v>340.66</v>
      </c>
    </row>
    <row r="144" spans="1:44" x14ac:dyDescent="0.35">
      <c r="A144" s="49" t="str">
        <f t="shared" si="12"/>
        <v>15</v>
      </c>
      <c r="B144" s="27">
        <v>63354</v>
      </c>
      <c r="C144" s="25" t="str">
        <f t="shared" si="13"/>
        <v>0000000</v>
      </c>
      <c r="D144" s="26" t="s">
        <v>3663</v>
      </c>
      <c r="E144" s="25" t="s">
        <v>655</v>
      </c>
      <c r="F144" s="25" t="s">
        <v>640</v>
      </c>
      <c r="G144" s="59" t="s">
        <v>656</v>
      </c>
      <c r="H144" s="60">
        <v>17.27</v>
      </c>
      <c r="I144" s="60">
        <v>14.88</v>
      </c>
      <c r="J144" s="60">
        <v>14.6</v>
      </c>
      <c r="K144" s="60">
        <v>0</v>
      </c>
      <c r="L144" s="60">
        <v>0</v>
      </c>
      <c r="M144" s="60">
        <v>0</v>
      </c>
      <c r="N144" s="60">
        <v>0</v>
      </c>
      <c r="O144" s="60">
        <v>0</v>
      </c>
      <c r="P144" s="60">
        <v>0</v>
      </c>
      <c r="Q144" s="60">
        <v>0</v>
      </c>
      <c r="R144" s="60">
        <v>0</v>
      </c>
      <c r="S144" s="60">
        <v>0</v>
      </c>
      <c r="T144" s="60">
        <v>0</v>
      </c>
      <c r="U144" s="60">
        <v>0</v>
      </c>
      <c r="V144" s="60">
        <v>0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60">
        <v>0</v>
      </c>
      <c r="AC144" s="60">
        <v>0</v>
      </c>
      <c r="AD144" s="60">
        <v>0</v>
      </c>
      <c r="AE144" s="60">
        <v>0</v>
      </c>
      <c r="AF144" s="60">
        <v>0</v>
      </c>
      <c r="AG144" s="60">
        <v>0</v>
      </c>
      <c r="AH144" s="60">
        <v>0</v>
      </c>
      <c r="AI144" s="60">
        <v>17.27</v>
      </c>
      <c r="AJ144" s="60">
        <v>14.88</v>
      </c>
      <c r="AK144" s="60">
        <v>14.6</v>
      </c>
      <c r="AL144" s="60">
        <v>0</v>
      </c>
      <c r="AM144" s="60">
        <v>0</v>
      </c>
      <c r="AN144" s="60">
        <v>0</v>
      </c>
      <c r="AO144" s="60">
        <v>17.27</v>
      </c>
      <c r="AP144" s="60">
        <v>14.88</v>
      </c>
      <c r="AQ144" s="60">
        <v>14.6</v>
      </c>
      <c r="AR144" s="61">
        <v>17.27</v>
      </c>
    </row>
    <row r="145" spans="1:44" x14ac:dyDescent="0.35">
      <c r="A145" s="49" t="str">
        <f t="shared" si="12"/>
        <v>15</v>
      </c>
      <c r="B145" s="27">
        <v>63388</v>
      </c>
      <c r="C145" s="25" t="str">
        <f t="shared" si="13"/>
        <v>0000000</v>
      </c>
      <c r="D145" s="26" t="s">
        <v>3663</v>
      </c>
      <c r="E145" s="25" t="s">
        <v>661</v>
      </c>
      <c r="F145" s="25" t="s">
        <v>640</v>
      </c>
      <c r="G145" s="59" t="s">
        <v>662</v>
      </c>
      <c r="H145" s="60">
        <v>49.34</v>
      </c>
      <c r="I145" s="60">
        <v>60.5</v>
      </c>
      <c r="J145" s="60">
        <v>46.38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60">
        <v>0</v>
      </c>
      <c r="AC145" s="60">
        <v>0</v>
      </c>
      <c r="AD145" s="60">
        <v>0</v>
      </c>
      <c r="AE145" s="60">
        <v>0</v>
      </c>
      <c r="AF145" s="60">
        <v>0</v>
      </c>
      <c r="AG145" s="60">
        <v>0</v>
      </c>
      <c r="AH145" s="60">
        <v>0</v>
      </c>
      <c r="AI145" s="60">
        <v>49.34</v>
      </c>
      <c r="AJ145" s="60">
        <v>60.5</v>
      </c>
      <c r="AK145" s="60">
        <v>46.38</v>
      </c>
      <c r="AL145" s="60">
        <v>0</v>
      </c>
      <c r="AM145" s="60">
        <v>0</v>
      </c>
      <c r="AN145" s="60">
        <v>0</v>
      </c>
      <c r="AO145" s="60">
        <v>49.34</v>
      </c>
      <c r="AP145" s="60">
        <v>60.5</v>
      </c>
      <c r="AQ145" s="60">
        <v>46.38</v>
      </c>
      <c r="AR145" s="61">
        <v>60.5</v>
      </c>
    </row>
    <row r="146" spans="1:44" x14ac:dyDescent="0.35">
      <c r="A146" s="49" t="str">
        <f t="shared" si="12"/>
        <v>15</v>
      </c>
      <c r="B146" s="27">
        <v>63420</v>
      </c>
      <c r="C146" s="25" t="str">
        <f t="shared" si="13"/>
        <v>0000000</v>
      </c>
      <c r="D146" s="26" t="s">
        <v>3663</v>
      </c>
      <c r="E146" s="25" t="s">
        <v>667</v>
      </c>
      <c r="F146" s="25" t="s">
        <v>640</v>
      </c>
      <c r="G146" s="59" t="s">
        <v>668</v>
      </c>
      <c r="H146" s="60">
        <v>219.03</v>
      </c>
      <c r="I146" s="60">
        <v>218.54</v>
      </c>
      <c r="J146" s="60">
        <v>191.85</v>
      </c>
      <c r="K146" s="60">
        <v>0</v>
      </c>
      <c r="L146" s="60">
        <v>0</v>
      </c>
      <c r="M146" s="60">
        <v>0</v>
      </c>
      <c r="N146" s="60">
        <v>0</v>
      </c>
      <c r="O146" s="60">
        <v>0</v>
      </c>
      <c r="P146" s="60">
        <v>0</v>
      </c>
      <c r="Q146" s="60">
        <v>0</v>
      </c>
      <c r="R146" s="60">
        <v>0</v>
      </c>
      <c r="S146" s="60">
        <v>0</v>
      </c>
      <c r="T146" s="60">
        <v>0</v>
      </c>
      <c r="U146" s="60">
        <v>0</v>
      </c>
      <c r="V146" s="60">
        <v>0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60">
        <v>0</v>
      </c>
      <c r="AC146" s="60">
        <v>0</v>
      </c>
      <c r="AD146" s="60">
        <v>0</v>
      </c>
      <c r="AE146" s="60">
        <v>0</v>
      </c>
      <c r="AF146" s="60">
        <v>0</v>
      </c>
      <c r="AG146" s="60">
        <v>0</v>
      </c>
      <c r="AH146" s="60">
        <v>0</v>
      </c>
      <c r="AI146" s="60">
        <v>219.03</v>
      </c>
      <c r="AJ146" s="60">
        <v>218.54</v>
      </c>
      <c r="AK146" s="60">
        <v>191.85</v>
      </c>
      <c r="AL146" s="60">
        <v>0</v>
      </c>
      <c r="AM146" s="60">
        <v>0</v>
      </c>
      <c r="AN146" s="60">
        <v>0</v>
      </c>
      <c r="AO146" s="60">
        <v>219.03</v>
      </c>
      <c r="AP146" s="60">
        <v>218.54</v>
      </c>
      <c r="AQ146" s="60">
        <v>191.85</v>
      </c>
      <c r="AR146" s="61">
        <v>219.03</v>
      </c>
    </row>
    <row r="147" spans="1:44" x14ac:dyDescent="0.35">
      <c r="A147" s="49" t="str">
        <f t="shared" si="12"/>
        <v>15</v>
      </c>
      <c r="B147" s="27">
        <v>63438</v>
      </c>
      <c r="C147" s="25" t="str">
        <f t="shared" si="13"/>
        <v>0000000</v>
      </c>
      <c r="D147" s="26" t="s">
        <v>3663</v>
      </c>
      <c r="E147" s="25" t="s">
        <v>669</v>
      </c>
      <c r="F147" s="25" t="s">
        <v>640</v>
      </c>
      <c r="G147" s="59" t="s">
        <v>670</v>
      </c>
      <c r="H147" s="60">
        <v>1032.22</v>
      </c>
      <c r="I147" s="60">
        <v>1006.09</v>
      </c>
      <c r="J147" s="60">
        <v>942.88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60">
        <v>0</v>
      </c>
      <c r="Y147" s="60">
        <v>0</v>
      </c>
      <c r="Z147" s="60">
        <v>0</v>
      </c>
      <c r="AA147" s="60">
        <v>0</v>
      </c>
      <c r="AB147" s="60">
        <v>0</v>
      </c>
      <c r="AC147" s="60">
        <v>0</v>
      </c>
      <c r="AD147" s="60">
        <v>0</v>
      </c>
      <c r="AE147" s="60">
        <v>0</v>
      </c>
      <c r="AF147" s="60">
        <v>0</v>
      </c>
      <c r="AG147" s="60">
        <v>0</v>
      </c>
      <c r="AH147" s="60">
        <v>0</v>
      </c>
      <c r="AI147" s="60">
        <v>1032.22</v>
      </c>
      <c r="AJ147" s="60">
        <v>1006.09</v>
      </c>
      <c r="AK147" s="60">
        <v>942.88</v>
      </c>
      <c r="AL147" s="60">
        <v>0</v>
      </c>
      <c r="AM147" s="60">
        <v>0</v>
      </c>
      <c r="AN147" s="60">
        <v>0</v>
      </c>
      <c r="AO147" s="60">
        <v>1032.22</v>
      </c>
      <c r="AP147" s="60">
        <v>1006.09</v>
      </c>
      <c r="AQ147" s="60">
        <v>942.88</v>
      </c>
      <c r="AR147" s="61">
        <v>1032.22</v>
      </c>
    </row>
    <row r="148" spans="1:44" x14ac:dyDescent="0.35">
      <c r="A148" s="49" t="str">
        <f t="shared" si="12"/>
        <v>15</v>
      </c>
      <c r="B148" s="27">
        <v>63446</v>
      </c>
      <c r="C148" s="25" t="str">
        <f t="shared" si="13"/>
        <v>0000000</v>
      </c>
      <c r="D148" s="26" t="s">
        <v>3663</v>
      </c>
      <c r="E148" s="25" t="s">
        <v>671</v>
      </c>
      <c r="F148" s="25" t="s">
        <v>640</v>
      </c>
      <c r="G148" s="59" t="s">
        <v>672</v>
      </c>
      <c r="H148" s="60">
        <v>156.22</v>
      </c>
      <c r="I148" s="60">
        <v>152</v>
      </c>
      <c r="J148" s="60">
        <v>160.32</v>
      </c>
      <c r="K148" s="60">
        <v>0</v>
      </c>
      <c r="L148" s="60">
        <v>0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60">
        <v>0</v>
      </c>
      <c r="T148" s="60">
        <v>0</v>
      </c>
      <c r="U148" s="60">
        <v>0</v>
      </c>
      <c r="V148" s="60">
        <v>0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60">
        <v>0</v>
      </c>
      <c r="AC148" s="60">
        <v>0</v>
      </c>
      <c r="AD148" s="60">
        <v>0</v>
      </c>
      <c r="AE148" s="60">
        <v>0</v>
      </c>
      <c r="AF148" s="60">
        <v>0</v>
      </c>
      <c r="AG148" s="60">
        <v>0</v>
      </c>
      <c r="AH148" s="60">
        <v>0</v>
      </c>
      <c r="AI148" s="60">
        <v>156.22</v>
      </c>
      <c r="AJ148" s="60">
        <v>152</v>
      </c>
      <c r="AK148" s="60">
        <v>160.32</v>
      </c>
      <c r="AL148" s="60">
        <v>0</v>
      </c>
      <c r="AM148" s="60">
        <v>0</v>
      </c>
      <c r="AN148" s="60">
        <v>0</v>
      </c>
      <c r="AO148" s="60">
        <v>156.22</v>
      </c>
      <c r="AP148" s="60">
        <v>152</v>
      </c>
      <c r="AQ148" s="60">
        <v>160.32</v>
      </c>
      <c r="AR148" s="61">
        <v>160.32</v>
      </c>
    </row>
    <row r="149" spans="1:44" x14ac:dyDescent="0.35">
      <c r="A149" s="49" t="str">
        <f t="shared" si="12"/>
        <v>15</v>
      </c>
      <c r="B149" s="27">
        <v>63487</v>
      </c>
      <c r="C149" s="25" t="str">
        <f t="shared" si="13"/>
        <v>0000000</v>
      </c>
      <c r="D149" s="26" t="s">
        <v>3663</v>
      </c>
      <c r="E149" s="25" t="s">
        <v>677</v>
      </c>
      <c r="F149" s="25" t="s">
        <v>640</v>
      </c>
      <c r="G149" s="59" t="s">
        <v>678</v>
      </c>
      <c r="H149" s="60">
        <v>156.61000000000001</v>
      </c>
      <c r="I149" s="60">
        <v>162.74</v>
      </c>
      <c r="J149" s="60">
        <v>162.49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60">
        <v>0</v>
      </c>
      <c r="AC149" s="60">
        <v>0</v>
      </c>
      <c r="AD149" s="60">
        <v>0</v>
      </c>
      <c r="AE149" s="60">
        <v>0</v>
      </c>
      <c r="AF149" s="60">
        <v>0</v>
      </c>
      <c r="AG149" s="60">
        <v>0</v>
      </c>
      <c r="AH149" s="60">
        <v>0</v>
      </c>
      <c r="AI149" s="60">
        <v>156.61000000000001</v>
      </c>
      <c r="AJ149" s="60">
        <v>162.74</v>
      </c>
      <c r="AK149" s="60">
        <v>162.49</v>
      </c>
      <c r="AL149" s="60">
        <v>0</v>
      </c>
      <c r="AM149" s="60">
        <v>0</v>
      </c>
      <c r="AN149" s="60">
        <v>0</v>
      </c>
      <c r="AO149" s="60">
        <v>156.61000000000001</v>
      </c>
      <c r="AP149" s="60">
        <v>162.74</v>
      </c>
      <c r="AQ149" s="60">
        <v>162.49</v>
      </c>
      <c r="AR149" s="61">
        <v>162.74</v>
      </c>
    </row>
    <row r="150" spans="1:44" x14ac:dyDescent="0.35">
      <c r="A150" s="49" t="str">
        <f t="shared" si="12"/>
        <v>15</v>
      </c>
      <c r="B150" s="27">
        <v>63552</v>
      </c>
      <c r="C150" s="25" t="str">
        <f t="shared" si="13"/>
        <v>0000000</v>
      </c>
      <c r="D150" s="26" t="s">
        <v>3663</v>
      </c>
      <c r="E150" s="25" t="s">
        <v>685</v>
      </c>
      <c r="F150" s="25" t="s">
        <v>640</v>
      </c>
      <c r="G150" s="59" t="s">
        <v>686</v>
      </c>
      <c r="H150" s="60">
        <v>1468.78</v>
      </c>
      <c r="I150" s="60">
        <v>1417.2</v>
      </c>
      <c r="J150" s="60">
        <v>1327.58</v>
      </c>
      <c r="K150" s="60">
        <v>0</v>
      </c>
      <c r="L150" s="60">
        <v>0</v>
      </c>
      <c r="M150" s="60">
        <v>0</v>
      </c>
      <c r="N150" s="60">
        <v>0</v>
      </c>
      <c r="O150" s="60">
        <v>0</v>
      </c>
      <c r="P150" s="60">
        <v>0</v>
      </c>
      <c r="Q150" s="60">
        <v>0</v>
      </c>
      <c r="R150" s="60">
        <v>0</v>
      </c>
      <c r="S150" s="60">
        <v>0</v>
      </c>
      <c r="T150" s="60">
        <v>0</v>
      </c>
      <c r="U150" s="60"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60">
        <v>0</v>
      </c>
      <c r="AC150" s="60">
        <v>0</v>
      </c>
      <c r="AD150" s="60">
        <v>0</v>
      </c>
      <c r="AE150" s="60">
        <v>0</v>
      </c>
      <c r="AF150" s="60">
        <v>0</v>
      </c>
      <c r="AG150" s="60">
        <v>0</v>
      </c>
      <c r="AH150" s="60">
        <v>0</v>
      </c>
      <c r="AI150" s="60">
        <v>1468.78</v>
      </c>
      <c r="AJ150" s="60">
        <v>1417.2</v>
      </c>
      <c r="AK150" s="60">
        <v>1327.58</v>
      </c>
      <c r="AL150" s="60">
        <v>0</v>
      </c>
      <c r="AM150" s="60">
        <v>0</v>
      </c>
      <c r="AN150" s="60">
        <v>0</v>
      </c>
      <c r="AO150" s="60">
        <v>1468.78</v>
      </c>
      <c r="AP150" s="60">
        <v>1417.2</v>
      </c>
      <c r="AQ150" s="60">
        <v>1327.58</v>
      </c>
      <c r="AR150" s="61">
        <v>1468.78</v>
      </c>
    </row>
    <row r="151" spans="1:44" x14ac:dyDescent="0.35">
      <c r="A151" s="49" t="str">
        <f t="shared" si="12"/>
        <v>15</v>
      </c>
      <c r="B151" s="27">
        <v>63586</v>
      </c>
      <c r="C151" s="25" t="str">
        <f t="shared" si="13"/>
        <v>0000000</v>
      </c>
      <c r="D151" s="26" t="s">
        <v>3663</v>
      </c>
      <c r="E151" s="25" t="s">
        <v>693</v>
      </c>
      <c r="F151" s="25" t="s">
        <v>640</v>
      </c>
      <c r="G151" s="59" t="s">
        <v>694</v>
      </c>
      <c r="H151" s="60">
        <v>17.399999999999999</v>
      </c>
      <c r="I151" s="60">
        <v>14.46</v>
      </c>
      <c r="J151" s="60">
        <v>17.14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60">
        <v>0</v>
      </c>
      <c r="AC151" s="60">
        <v>0</v>
      </c>
      <c r="AD151" s="60">
        <v>0</v>
      </c>
      <c r="AE151" s="60">
        <v>0</v>
      </c>
      <c r="AF151" s="60">
        <v>0</v>
      </c>
      <c r="AG151" s="60">
        <v>0</v>
      </c>
      <c r="AH151" s="60">
        <v>0</v>
      </c>
      <c r="AI151" s="60">
        <v>17.399999999999999</v>
      </c>
      <c r="AJ151" s="60">
        <v>14.46</v>
      </c>
      <c r="AK151" s="60">
        <v>17.14</v>
      </c>
      <c r="AL151" s="60">
        <v>0</v>
      </c>
      <c r="AM151" s="60">
        <v>0</v>
      </c>
      <c r="AN151" s="60">
        <v>0</v>
      </c>
      <c r="AO151" s="60">
        <v>17.399999999999999</v>
      </c>
      <c r="AP151" s="60">
        <v>14.46</v>
      </c>
      <c r="AQ151" s="60">
        <v>17.14</v>
      </c>
      <c r="AR151" s="61">
        <v>17.399999999999999</v>
      </c>
    </row>
    <row r="152" spans="1:44" x14ac:dyDescent="0.35">
      <c r="A152" s="49" t="str">
        <f t="shared" si="12"/>
        <v>15</v>
      </c>
      <c r="B152" s="27">
        <v>63610</v>
      </c>
      <c r="C152" s="25" t="str">
        <f t="shared" si="13"/>
        <v>0000000</v>
      </c>
      <c r="D152" s="26" t="s">
        <v>3663</v>
      </c>
      <c r="E152" s="25" t="s">
        <v>697</v>
      </c>
      <c r="F152" s="25" t="s">
        <v>640</v>
      </c>
      <c r="G152" s="59" t="s">
        <v>698</v>
      </c>
      <c r="H152" s="60">
        <v>271.61</v>
      </c>
      <c r="I152" s="60">
        <v>274.23</v>
      </c>
      <c r="J152" s="60">
        <v>269.29000000000002</v>
      </c>
      <c r="K152" s="60">
        <v>0</v>
      </c>
      <c r="L152" s="60">
        <v>0</v>
      </c>
      <c r="M152" s="60">
        <v>0</v>
      </c>
      <c r="N152" s="60">
        <v>0</v>
      </c>
      <c r="O152" s="60">
        <v>0</v>
      </c>
      <c r="P152" s="60">
        <v>0</v>
      </c>
      <c r="Q152" s="60">
        <v>0</v>
      </c>
      <c r="R152" s="60">
        <v>0</v>
      </c>
      <c r="S152" s="60">
        <v>0</v>
      </c>
      <c r="T152" s="60">
        <v>0</v>
      </c>
      <c r="U152" s="60"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60">
        <v>0</v>
      </c>
      <c r="AC152" s="60">
        <v>0</v>
      </c>
      <c r="AD152" s="60">
        <v>0</v>
      </c>
      <c r="AE152" s="60">
        <v>0</v>
      </c>
      <c r="AF152" s="60">
        <v>0</v>
      </c>
      <c r="AG152" s="60">
        <v>0</v>
      </c>
      <c r="AH152" s="60">
        <v>0</v>
      </c>
      <c r="AI152" s="60">
        <v>271.61</v>
      </c>
      <c r="AJ152" s="60">
        <v>274.23</v>
      </c>
      <c r="AK152" s="60">
        <v>269.29000000000002</v>
      </c>
      <c r="AL152" s="60">
        <v>0</v>
      </c>
      <c r="AM152" s="60">
        <v>0</v>
      </c>
      <c r="AN152" s="60">
        <v>0</v>
      </c>
      <c r="AO152" s="60">
        <v>271.61</v>
      </c>
      <c r="AP152" s="60">
        <v>274.23</v>
      </c>
      <c r="AQ152" s="60">
        <v>269.29000000000002</v>
      </c>
      <c r="AR152" s="61">
        <v>274.23</v>
      </c>
    </row>
    <row r="153" spans="1:44" x14ac:dyDescent="0.35">
      <c r="A153" s="49" t="str">
        <f t="shared" si="12"/>
        <v>15</v>
      </c>
      <c r="B153" s="27">
        <v>63651</v>
      </c>
      <c r="C153" s="25" t="str">
        <f t="shared" si="13"/>
        <v>0000000</v>
      </c>
      <c r="D153" s="26" t="s">
        <v>3663</v>
      </c>
      <c r="E153" s="25" t="s">
        <v>711</v>
      </c>
      <c r="F153" s="25" t="s">
        <v>640</v>
      </c>
      <c r="G153" s="59" t="s">
        <v>712</v>
      </c>
      <c r="H153" s="60">
        <v>64.42</v>
      </c>
      <c r="I153" s="60">
        <v>38.4</v>
      </c>
      <c r="J153" s="60">
        <v>35.83</v>
      </c>
      <c r="K153" s="60">
        <v>0</v>
      </c>
      <c r="L153" s="60">
        <v>0</v>
      </c>
      <c r="M153" s="60">
        <v>0</v>
      </c>
      <c r="N153" s="60">
        <v>29.34</v>
      </c>
      <c r="O153" s="60">
        <v>35.56</v>
      </c>
      <c r="P153" s="60">
        <v>40.46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60">
        <v>0</v>
      </c>
      <c r="AC153" s="60">
        <v>0</v>
      </c>
      <c r="AD153" s="60">
        <v>0</v>
      </c>
      <c r="AE153" s="60">
        <v>0</v>
      </c>
      <c r="AF153" s="60">
        <v>0</v>
      </c>
      <c r="AG153" s="60">
        <v>0</v>
      </c>
      <c r="AH153" s="60">
        <v>0</v>
      </c>
      <c r="AI153" s="60">
        <v>93.76</v>
      </c>
      <c r="AJ153" s="60">
        <v>73.959999999999994</v>
      </c>
      <c r="AK153" s="60">
        <v>76.290000000000006</v>
      </c>
      <c r="AL153" s="60">
        <v>0</v>
      </c>
      <c r="AM153" s="60">
        <v>0</v>
      </c>
      <c r="AN153" s="60">
        <v>0</v>
      </c>
      <c r="AO153" s="60">
        <v>93.76</v>
      </c>
      <c r="AP153" s="60">
        <v>73.959999999999994</v>
      </c>
      <c r="AQ153" s="60">
        <v>76.290000000000006</v>
      </c>
      <c r="AR153" s="61">
        <v>93.76</v>
      </c>
    </row>
    <row r="154" spans="1:44" x14ac:dyDescent="0.35">
      <c r="A154" s="49" t="str">
        <f t="shared" si="12"/>
        <v>15</v>
      </c>
      <c r="B154" s="27">
        <v>63669</v>
      </c>
      <c r="C154" s="25" t="str">
        <f t="shared" si="13"/>
        <v>0000000</v>
      </c>
      <c r="D154" s="26" t="s">
        <v>3663</v>
      </c>
      <c r="E154" s="25" t="s">
        <v>713</v>
      </c>
      <c r="F154" s="25" t="s">
        <v>640</v>
      </c>
      <c r="G154" s="59" t="s">
        <v>714</v>
      </c>
      <c r="H154" s="60">
        <v>34.28</v>
      </c>
      <c r="I154" s="60">
        <v>47.31</v>
      </c>
      <c r="J154" s="60">
        <v>37.369999999999997</v>
      </c>
      <c r="K154" s="60">
        <v>0</v>
      </c>
      <c r="L154" s="60">
        <v>0</v>
      </c>
      <c r="M154" s="60">
        <v>0</v>
      </c>
      <c r="N154" s="60">
        <v>26.63</v>
      </c>
      <c r="O154" s="60">
        <v>24.07</v>
      </c>
      <c r="P154" s="60">
        <v>22.93</v>
      </c>
      <c r="Q154" s="60">
        <v>0</v>
      </c>
      <c r="R154" s="60">
        <v>0</v>
      </c>
      <c r="S154" s="60">
        <v>0</v>
      </c>
      <c r="T154" s="60">
        <v>0</v>
      </c>
      <c r="U154" s="60">
        <v>0</v>
      </c>
      <c r="V154" s="60">
        <v>0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60">
        <v>0</v>
      </c>
      <c r="AC154" s="60">
        <v>0</v>
      </c>
      <c r="AD154" s="60">
        <v>0</v>
      </c>
      <c r="AE154" s="60">
        <v>0</v>
      </c>
      <c r="AF154" s="60">
        <v>0</v>
      </c>
      <c r="AG154" s="60">
        <v>0</v>
      </c>
      <c r="AH154" s="60">
        <v>0</v>
      </c>
      <c r="AI154" s="60">
        <v>60.91</v>
      </c>
      <c r="AJ154" s="60">
        <v>71.38</v>
      </c>
      <c r="AK154" s="60">
        <v>60.3</v>
      </c>
      <c r="AL154" s="60">
        <v>0</v>
      </c>
      <c r="AM154" s="60">
        <v>0</v>
      </c>
      <c r="AN154" s="60">
        <v>0</v>
      </c>
      <c r="AO154" s="60">
        <v>60.91</v>
      </c>
      <c r="AP154" s="60">
        <v>71.38</v>
      </c>
      <c r="AQ154" s="60">
        <v>60.3</v>
      </c>
      <c r="AR154" s="61">
        <v>71.38</v>
      </c>
    </row>
    <row r="155" spans="1:44" x14ac:dyDescent="0.35">
      <c r="A155" s="49" t="str">
        <f t="shared" si="12"/>
        <v>15</v>
      </c>
      <c r="B155" s="27">
        <v>63719</v>
      </c>
      <c r="C155" s="25" t="str">
        <f t="shared" si="13"/>
        <v>0000000</v>
      </c>
      <c r="D155" s="26" t="s">
        <v>3663</v>
      </c>
      <c r="E155" s="25" t="s">
        <v>721</v>
      </c>
      <c r="F155" s="25" t="s">
        <v>640</v>
      </c>
      <c r="G155" s="59" t="s">
        <v>722</v>
      </c>
      <c r="H155" s="60">
        <v>162.69</v>
      </c>
      <c r="I155" s="60">
        <v>170.29</v>
      </c>
      <c r="J155" s="60">
        <v>172.04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0">
        <v>0</v>
      </c>
      <c r="AE155" s="60">
        <v>0</v>
      </c>
      <c r="AF155" s="60">
        <v>0</v>
      </c>
      <c r="AG155" s="60">
        <v>0</v>
      </c>
      <c r="AH155" s="60">
        <v>0</v>
      </c>
      <c r="AI155" s="60">
        <v>162.69</v>
      </c>
      <c r="AJ155" s="60">
        <v>170.29</v>
      </c>
      <c r="AK155" s="60">
        <v>172.04</v>
      </c>
      <c r="AL155" s="60">
        <v>0</v>
      </c>
      <c r="AM155" s="60">
        <v>0</v>
      </c>
      <c r="AN155" s="60">
        <v>0</v>
      </c>
      <c r="AO155" s="60">
        <v>162.69</v>
      </c>
      <c r="AP155" s="60">
        <v>170.29</v>
      </c>
      <c r="AQ155" s="60">
        <v>172.04</v>
      </c>
      <c r="AR155" s="61">
        <v>172.04</v>
      </c>
    </row>
    <row r="156" spans="1:44" x14ac:dyDescent="0.35">
      <c r="A156" s="49" t="str">
        <f t="shared" si="12"/>
        <v>15</v>
      </c>
      <c r="B156" s="27">
        <v>63768</v>
      </c>
      <c r="C156" s="25" t="str">
        <f t="shared" si="13"/>
        <v>0000000</v>
      </c>
      <c r="D156" s="26" t="s">
        <v>3663</v>
      </c>
      <c r="E156" s="25" t="s">
        <v>725</v>
      </c>
      <c r="F156" s="25" t="s">
        <v>640</v>
      </c>
      <c r="G156" s="59" t="s">
        <v>726</v>
      </c>
      <c r="H156" s="60">
        <v>138.12</v>
      </c>
      <c r="I156" s="60">
        <v>141.72</v>
      </c>
      <c r="J156" s="60">
        <v>148.99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0">
        <v>0</v>
      </c>
      <c r="AE156" s="60">
        <v>0</v>
      </c>
      <c r="AF156" s="60">
        <v>0</v>
      </c>
      <c r="AG156" s="60">
        <v>0</v>
      </c>
      <c r="AH156" s="60">
        <v>0</v>
      </c>
      <c r="AI156" s="60">
        <v>138.12</v>
      </c>
      <c r="AJ156" s="60">
        <v>141.72</v>
      </c>
      <c r="AK156" s="60">
        <v>148.99</v>
      </c>
      <c r="AL156" s="60">
        <v>0</v>
      </c>
      <c r="AM156" s="60">
        <v>0</v>
      </c>
      <c r="AN156" s="60">
        <v>0</v>
      </c>
      <c r="AO156" s="60">
        <v>138.12</v>
      </c>
      <c r="AP156" s="60">
        <v>141.72</v>
      </c>
      <c r="AQ156" s="60">
        <v>148.99</v>
      </c>
      <c r="AR156" s="61">
        <v>148.99</v>
      </c>
    </row>
    <row r="157" spans="1:44" x14ac:dyDescent="0.35">
      <c r="A157" s="49" t="str">
        <f t="shared" si="12"/>
        <v>15</v>
      </c>
      <c r="B157" s="27">
        <v>63834</v>
      </c>
      <c r="C157" s="25" t="str">
        <f t="shared" si="13"/>
        <v>0000000</v>
      </c>
      <c r="D157" s="26" t="s">
        <v>3663</v>
      </c>
      <c r="E157" s="25" t="s">
        <v>739</v>
      </c>
      <c r="F157" s="25" t="s">
        <v>640</v>
      </c>
      <c r="G157" s="59" t="s">
        <v>740</v>
      </c>
      <c r="H157" s="60">
        <v>609.41999999999996</v>
      </c>
      <c r="I157" s="60">
        <v>610.27</v>
      </c>
      <c r="J157" s="60">
        <v>622.01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60">
        <v>0</v>
      </c>
      <c r="AE157" s="60">
        <v>0</v>
      </c>
      <c r="AF157" s="60">
        <v>0</v>
      </c>
      <c r="AG157" s="60">
        <v>0</v>
      </c>
      <c r="AH157" s="60">
        <v>0</v>
      </c>
      <c r="AI157" s="60">
        <v>609.41999999999996</v>
      </c>
      <c r="AJ157" s="60">
        <v>610.27</v>
      </c>
      <c r="AK157" s="60">
        <v>622.01</v>
      </c>
      <c r="AL157" s="60">
        <v>0</v>
      </c>
      <c r="AM157" s="60">
        <v>0</v>
      </c>
      <c r="AN157" s="60">
        <v>0</v>
      </c>
      <c r="AO157" s="60">
        <v>609.41999999999996</v>
      </c>
      <c r="AP157" s="60">
        <v>610.27</v>
      </c>
      <c r="AQ157" s="60">
        <v>622.01</v>
      </c>
      <c r="AR157" s="61">
        <v>622.01</v>
      </c>
    </row>
    <row r="158" spans="1:44" x14ac:dyDescent="0.35">
      <c r="A158" s="49" t="str">
        <f t="shared" si="12"/>
        <v>15</v>
      </c>
      <c r="B158" s="27">
        <v>73544</v>
      </c>
      <c r="C158" s="25" t="str">
        <f t="shared" si="13"/>
        <v>0000000</v>
      </c>
      <c r="D158" s="26" t="s">
        <v>3663</v>
      </c>
      <c r="E158" s="25" t="s">
        <v>745</v>
      </c>
      <c r="F158" s="25" t="s">
        <v>640</v>
      </c>
      <c r="G158" s="59" t="s">
        <v>746</v>
      </c>
      <c r="H158" s="60">
        <v>984.36</v>
      </c>
      <c r="I158" s="60">
        <v>948.69</v>
      </c>
      <c r="J158" s="60">
        <v>930.52</v>
      </c>
      <c r="K158" s="60">
        <v>0</v>
      </c>
      <c r="L158" s="60">
        <v>0</v>
      </c>
      <c r="M158" s="60">
        <v>0</v>
      </c>
      <c r="N158" s="60">
        <v>0</v>
      </c>
      <c r="O158" s="60">
        <v>0</v>
      </c>
      <c r="P158" s="60">
        <v>0</v>
      </c>
      <c r="Q158" s="60">
        <v>0</v>
      </c>
      <c r="R158" s="60">
        <v>0</v>
      </c>
      <c r="S158" s="60">
        <v>0</v>
      </c>
      <c r="T158" s="60">
        <v>0</v>
      </c>
      <c r="U158" s="60">
        <v>0</v>
      </c>
      <c r="V158" s="60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60">
        <v>0</v>
      </c>
      <c r="AC158" s="60">
        <v>0</v>
      </c>
      <c r="AD158" s="60">
        <v>0</v>
      </c>
      <c r="AE158" s="60">
        <v>0</v>
      </c>
      <c r="AF158" s="60">
        <v>0</v>
      </c>
      <c r="AG158" s="60">
        <v>0</v>
      </c>
      <c r="AH158" s="60">
        <v>0</v>
      </c>
      <c r="AI158" s="60">
        <v>984.36</v>
      </c>
      <c r="AJ158" s="60">
        <v>948.69</v>
      </c>
      <c r="AK158" s="60">
        <v>930.52</v>
      </c>
      <c r="AL158" s="60">
        <v>0</v>
      </c>
      <c r="AM158" s="60">
        <v>0</v>
      </c>
      <c r="AN158" s="60">
        <v>0</v>
      </c>
      <c r="AO158" s="60">
        <v>984.36</v>
      </c>
      <c r="AP158" s="60">
        <v>948.69</v>
      </c>
      <c r="AQ158" s="60">
        <v>930.52</v>
      </c>
      <c r="AR158" s="61">
        <v>984.36</v>
      </c>
    </row>
    <row r="159" spans="1:44" x14ac:dyDescent="0.35">
      <c r="A159" s="49" t="str">
        <f t="shared" si="12"/>
        <v>15</v>
      </c>
      <c r="B159" s="27">
        <v>10157</v>
      </c>
      <c r="C159" s="25" t="str">
        <f>TEXT(119669,"0000000")</f>
        <v>0119669</v>
      </c>
      <c r="D159" s="27">
        <v>1078</v>
      </c>
      <c r="E159" s="25" t="s">
        <v>641</v>
      </c>
      <c r="F159" s="25" t="s">
        <v>640</v>
      </c>
      <c r="G159" s="59" t="s">
        <v>642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1741.98</v>
      </c>
      <c r="AD159" s="60">
        <v>1752.17</v>
      </c>
      <c r="AE159" s="60">
        <v>1802.4</v>
      </c>
      <c r="AF159" s="60">
        <v>0</v>
      </c>
      <c r="AG159" s="60">
        <v>0</v>
      </c>
      <c r="AH159" s="60">
        <v>0</v>
      </c>
      <c r="AI159" s="60">
        <v>1741.98</v>
      </c>
      <c r="AJ159" s="60">
        <v>1752.17</v>
      </c>
      <c r="AK159" s="60">
        <v>1802.4</v>
      </c>
      <c r="AL159" s="60">
        <v>0</v>
      </c>
      <c r="AM159" s="60">
        <v>0</v>
      </c>
      <c r="AN159" s="60">
        <v>0</v>
      </c>
      <c r="AO159" s="60">
        <v>1741.98</v>
      </c>
      <c r="AP159" s="60">
        <v>1752.17</v>
      </c>
      <c r="AQ159" s="60">
        <v>1802.4</v>
      </c>
      <c r="AR159" s="61">
        <v>1802.4</v>
      </c>
    </row>
    <row r="160" spans="1:44" x14ac:dyDescent="0.35">
      <c r="A160" s="49" t="str">
        <f t="shared" si="12"/>
        <v>15</v>
      </c>
      <c r="B160" s="27">
        <v>10157</v>
      </c>
      <c r="C160" s="25" t="str">
        <f>TEXT(124040,"0000000")</f>
        <v>0124040</v>
      </c>
      <c r="D160" s="27">
        <v>1292</v>
      </c>
      <c r="E160" s="25" t="s">
        <v>643</v>
      </c>
      <c r="F160" s="25" t="s">
        <v>640</v>
      </c>
      <c r="G160" s="59" t="s">
        <v>644</v>
      </c>
      <c r="H160" s="60">
        <v>0</v>
      </c>
      <c r="I160" s="60">
        <v>0</v>
      </c>
      <c r="J160" s="60">
        <v>0</v>
      </c>
      <c r="K160" s="60">
        <v>0</v>
      </c>
      <c r="L160" s="60">
        <v>0</v>
      </c>
      <c r="M160" s="60">
        <v>0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60">
        <v>0</v>
      </c>
      <c r="T160" s="60">
        <v>0</v>
      </c>
      <c r="U160" s="60">
        <v>0</v>
      </c>
      <c r="V160" s="60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747.7</v>
      </c>
      <c r="AD160" s="60">
        <v>759.17</v>
      </c>
      <c r="AE160" s="60">
        <v>710.92</v>
      </c>
      <c r="AF160" s="60">
        <v>0</v>
      </c>
      <c r="AG160" s="60">
        <v>0</v>
      </c>
      <c r="AH160" s="60">
        <v>0</v>
      </c>
      <c r="AI160" s="60">
        <v>747.7</v>
      </c>
      <c r="AJ160" s="60">
        <v>759.17</v>
      </c>
      <c r="AK160" s="60">
        <v>710.92</v>
      </c>
      <c r="AL160" s="60">
        <v>0</v>
      </c>
      <c r="AM160" s="60">
        <v>0</v>
      </c>
      <c r="AN160" s="60">
        <v>0</v>
      </c>
      <c r="AO160" s="60">
        <v>747.7</v>
      </c>
      <c r="AP160" s="60">
        <v>759.17</v>
      </c>
      <c r="AQ160" s="60">
        <v>710.92</v>
      </c>
      <c r="AR160" s="61">
        <v>759.17</v>
      </c>
    </row>
    <row r="161" spans="1:44" x14ac:dyDescent="0.35">
      <c r="A161" s="49" t="str">
        <f t="shared" si="12"/>
        <v>15</v>
      </c>
      <c r="B161" s="27">
        <v>63578</v>
      </c>
      <c r="C161" s="25" t="str">
        <f>TEXT(135186,"0000000")</f>
        <v>0135186</v>
      </c>
      <c r="D161" s="27">
        <v>1847</v>
      </c>
      <c r="E161" s="25" t="s">
        <v>691</v>
      </c>
      <c r="F161" s="25" t="s">
        <v>640</v>
      </c>
      <c r="G161" s="59" t="s">
        <v>692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60">
        <v>0</v>
      </c>
      <c r="Y161" s="60">
        <v>0</v>
      </c>
      <c r="Z161" s="60">
        <v>0</v>
      </c>
      <c r="AA161" s="60">
        <v>0</v>
      </c>
      <c r="AB161" s="60">
        <v>0</v>
      </c>
      <c r="AC161" s="60">
        <v>753.96</v>
      </c>
      <c r="AD161" s="60">
        <v>743.62</v>
      </c>
      <c r="AE161" s="60">
        <v>705.21</v>
      </c>
      <c r="AF161" s="60">
        <v>0</v>
      </c>
      <c r="AG161" s="60">
        <v>0</v>
      </c>
      <c r="AH161" s="60">
        <v>0</v>
      </c>
      <c r="AI161" s="60">
        <v>753.96</v>
      </c>
      <c r="AJ161" s="60">
        <v>743.62</v>
      </c>
      <c r="AK161" s="60">
        <v>705.21</v>
      </c>
      <c r="AL161" s="60">
        <v>0</v>
      </c>
      <c r="AM161" s="60">
        <v>0</v>
      </c>
      <c r="AN161" s="60">
        <v>0</v>
      </c>
      <c r="AO161" s="60">
        <v>753.96</v>
      </c>
      <c r="AP161" s="60">
        <v>743.62</v>
      </c>
      <c r="AQ161" s="60">
        <v>705.21</v>
      </c>
      <c r="AR161" s="61">
        <v>753.96</v>
      </c>
    </row>
    <row r="162" spans="1:44" x14ac:dyDescent="0.35">
      <c r="A162" s="49" t="str">
        <f t="shared" si="12"/>
        <v>15</v>
      </c>
      <c r="B162" s="27">
        <v>10157</v>
      </c>
      <c r="C162" s="25" t="str">
        <f>TEXT(135467,"0000000")</f>
        <v>0135467</v>
      </c>
      <c r="D162" s="27">
        <v>1851</v>
      </c>
      <c r="E162" s="25" t="s">
        <v>645</v>
      </c>
      <c r="F162" s="25" t="s">
        <v>640</v>
      </c>
      <c r="G162" s="59" t="s">
        <v>646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  <c r="O162" s="60">
        <v>0</v>
      </c>
      <c r="P162" s="60">
        <v>0</v>
      </c>
      <c r="Q162" s="60">
        <v>0</v>
      </c>
      <c r="R162" s="60">
        <v>0</v>
      </c>
      <c r="S162" s="60">
        <v>0</v>
      </c>
      <c r="T162" s="60">
        <v>0</v>
      </c>
      <c r="U162" s="60"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60">
        <v>0</v>
      </c>
      <c r="AC162" s="60">
        <v>507.42</v>
      </c>
      <c r="AD162" s="60">
        <v>467.62</v>
      </c>
      <c r="AE162" s="60">
        <v>442.01</v>
      </c>
      <c r="AF162" s="60">
        <v>0</v>
      </c>
      <c r="AG162" s="60">
        <v>0</v>
      </c>
      <c r="AH162" s="60">
        <v>0</v>
      </c>
      <c r="AI162" s="60">
        <v>507.42</v>
      </c>
      <c r="AJ162" s="60">
        <v>467.62</v>
      </c>
      <c r="AK162" s="60">
        <v>442.01</v>
      </c>
      <c r="AL162" s="60">
        <v>0</v>
      </c>
      <c r="AM162" s="60">
        <v>0</v>
      </c>
      <c r="AN162" s="60">
        <v>0</v>
      </c>
      <c r="AO162" s="60">
        <v>507.42</v>
      </c>
      <c r="AP162" s="60">
        <v>467.62</v>
      </c>
      <c r="AQ162" s="60">
        <v>442.01</v>
      </c>
      <c r="AR162" s="61">
        <v>507.42</v>
      </c>
    </row>
    <row r="163" spans="1:44" ht="31" x14ac:dyDescent="0.35">
      <c r="A163" s="49" t="str">
        <f t="shared" si="12"/>
        <v>15</v>
      </c>
      <c r="B163" s="27">
        <v>10157</v>
      </c>
      <c r="C163" s="25" t="str">
        <f>TEXT(1530500,"0000000")</f>
        <v>1530500</v>
      </c>
      <c r="D163" s="27">
        <v>2050</v>
      </c>
      <c r="E163" s="25" t="s">
        <v>647</v>
      </c>
      <c r="F163" s="25" t="s">
        <v>640</v>
      </c>
      <c r="G163" s="59" t="s">
        <v>648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60">
        <v>0</v>
      </c>
      <c r="AC163" s="60">
        <v>195.45</v>
      </c>
      <c r="AD163" s="60">
        <v>152.61000000000001</v>
      </c>
      <c r="AE163" s="60">
        <v>138.88999999999999</v>
      </c>
      <c r="AF163" s="60">
        <v>0</v>
      </c>
      <c r="AG163" s="60">
        <v>0</v>
      </c>
      <c r="AH163" s="60">
        <v>0</v>
      </c>
      <c r="AI163" s="60">
        <v>195.45</v>
      </c>
      <c r="AJ163" s="60">
        <v>152.61000000000001</v>
      </c>
      <c r="AK163" s="60">
        <v>138.88999999999999</v>
      </c>
      <c r="AL163" s="60">
        <v>0</v>
      </c>
      <c r="AM163" s="60">
        <v>0</v>
      </c>
      <c r="AN163" s="60">
        <v>0</v>
      </c>
      <c r="AO163" s="60">
        <v>195.45</v>
      </c>
      <c r="AP163" s="60">
        <v>152.61000000000001</v>
      </c>
      <c r="AQ163" s="60">
        <v>138.88999999999999</v>
      </c>
      <c r="AR163" s="61">
        <v>195.45</v>
      </c>
    </row>
    <row r="164" spans="1:44" x14ac:dyDescent="0.35">
      <c r="A164" s="49" t="str">
        <f t="shared" ref="A164:A186" si="14">TEXT(33,"00")</f>
        <v>33</v>
      </c>
      <c r="B164" s="27">
        <v>75242</v>
      </c>
      <c r="C164" s="25" t="str">
        <f t="shared" ref="C164:C183" si="15">TEXT(,"0000000")</f>
        <v>0000000</v>
      </c>
      <c r="D164" s="26" t="s">
        <v>3663</v>
      </c>
      <c r="E164" s="25" t="s">
        <v>1689</v>
      </c>
      <c r="F164" s="25" t="s">
        <v>1690</v>
      </c>
      <c r="G164" s="59" t="s">
        <v>1690</v>
      </c>
      <c r="H164" s="60">
        <v>18034.169999999998</v>
      </c>
      <c r="I164" s="60">
        <v>17722.43</v>
      </c>
      <c r="J164" s="60">
        <v>17421.04</v>
      </c>
      <c r="K164" s="60">
        <v>0</v>
      </c>
      <c r="L164" s="60">
        <v>0</v>
      </c>
      <c r="M164" s="60">
        <v>0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60">
        <v>0</v>
      </c>
      <c r="T164" s="60">
        <v>0</v>
      </c>
      <c r="U164" s="60">
        <v>0</v>
      </c>
      <c r="V164" s="60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0">
        <v>0</v>
      </c>
      <c r="AE164" s="60">
        <v>0</v>
      </c>
      <c r="AF164" s="60">
        <v>0</v>
      </c>
      <c r="AG164" s="60">
        <v>0</v>
      </c>
      <c r="AH164" s="60">
        <v>0</v>
      </c>
      <c r="AI164" s="60">
        <v>18034.169999999998</v>
      </c>
      <c r="AJ164" s="60">
        <v>17722.43</v>
      </c>
      <c r="AK164" s="60">
        <v>17421.04</v>
      </c>
      <c r="AL164" s="60">
        <v>0</v>
      </c>
      <c r="AM164" s="60">
        <v>0</v>
      </c>
      <c r="AN164" s="60">
        <v>0</v>
      </c>
      <c r="AO164" s="60">
        <v>18034.169999999998</v>
      </c>
      <c r="AP164" s="60">
        <v>17722.43</v>
      </c>
      <c r="AQ164" s="60">
        <v>17421.04</v>
      </c>
      <c r="AR164" s="61">
        <v>18034.169999999998</v>
      </c>
    </row>
    <row r="165" spans="1:44" x14ac:dyDescent="0.35">
      <c r="A165" s="49" t="str">
        <f t="shared" si="14"/>
        <v>33</v>
      </c>
      <c r="B165" s="27">
        <v>10330</v>
      </c>
      <c r="C165" s="25" t="str">
        <f t="shared" si="15"/>
        <v>0000000</v>
      </c>
      <c r="D165" s="26" t="s">
        <v>3663</v>
      </c>
      <c r="E165" s="25" t="s">
        <v>1691</v>
      </c>
      <c r="F165" s="25" t="s">
        <v>1690</v>
      </c>
      <c r="G165" s="59" t="s">
        <v>1692</v>
      </c>
      <c r="H165" s="60">
        <v>0</v>
      </c>
      <c r="I165" s="60">
        <v>0</v>
      </c>
      <c r="J165" s="60">
        <v>0</v>
      </c>
      <c r="K165" s="60">
        <v>0</v>
      </c>
      <c r="L165" s="60">
        <v>0</v>
      </c>
      <c r="M165" s="60">
        <v>0</v>
      </c>
      <c r="N165" s="60">
        <v>0</v>
      </c>
      <c r="O165" s="60">
        <v>0</v>
      </c>
      <c r="P165" s="60">
        <v>0</v>
      </c>
      <c r="Q165" s="60">
        <v>0</v>
      </c>
      <c r="R165" s="60">
        <v>0</v>
      </c>
      <c r="S165" s="60">
        <v>0</v>
      </c>
      <c r="T165" s="60">
        <v>230.7</v>
      </c>
      <c r="U165" s="60">
        <v>220.53</v>
      </c>
      <c r="V165" s="60">
        <v>160.04</v>
      </c>
      <c r="W165" s="60">
        <v>1136.93</v>
      </c>
      <c r="X165" s="60">
        <v>1076.01</v>
      </c>
      <c r="Y165" s="60">
        <v>692.4</v>
      </c>
      <c r="Z165" s="60">
        <v>0</v>
      </c>
      <c r="AA165" s="60">
        <v>0</v>
      </c>
      <c r="AB165" s="60">
        <v>0</v>
      </c>
      <c r="AC165" s="60">
        <v>0</v>
      </c>
      <c r="AD165" s="60">
        <v>0</v>
      </c>
      <c r="AE165" s="60">
        <v>0</v>
      </c>
      <c r="AF165" s="60">
        <v>0</v>
      </c>
      <c r="AG165" s="60">
        <v>0</v>
      </c>
      <c r="AH165" s="60">
        <v>0</v>
      </c>
      <c r="AI165" s="60">
        <v>1367.63</v>
      </c>
      <c r="AJ165" s="60">
        <v>1296.54</v>
      </c>
      <c r="AK165" s="60">
        <v>852.44</v>
      </c>
      <c r="AL165" s="60">
        <v>0</v>
      </c>
      <c r="AM165" s="60">
        <v>0</v>
      </c>
      <c r="AN165" s="60">
        <v>0</v>
      </c>
      <c r="AO165" s="60">
        <v>1367.63</v>
      </c>
      <c r="AP165" s="60">
        <v>1296.54</v>
      </c>
      <c r="AQ165" s="60">
        <v>852.44</v>
      </c>
      <c r="AR165" s="61">
        <v>1367.63</v>
      </c>
    </row>
    <row r="166" spans="1:44" x14ac:dyDescent="0.35">
      <c r="A166" s="49" t="str">
        <f t="shared" si="14"/>
        <v>33</v>
      </c>
      <c r="B166" s="27">
        <v>67116</v>
      </c>
      <c r="C166" s="25" t="str">
        <f t="shared" si="15"/>
        <v>0000000</v>
      </c>
      <c r="D166" s="26" t="s">
        <v>3663</v>
      </c>
      <c r="E166" s="25" t="s">
        <v>1740</v>
      </c>
      <c r="F166" s="25" t="s">
        <v>1690</v>
      </c>
      <c r="G166" s="59" t="s">
        <v>1741</v>
      </c>
      <c r="H166" s="60">
        <v>11510.62</v>
      </c>
      <c r="I166" s="60">
        <v>10989.29</v>
      </c>
      <c r="J166" s="60">
        <v>10182.35</v>
      </c>
      <c r="K166" s="60">
        <v>0</v>
      </c>
      <c r="L166" s="60">
        <v>0</v>
      </c>
      <c r="M166" s="60">
        <v>0</v>
      </c>
      <c r="N166" s="60">
        <v>0</v>
      </c>
      <c r="O166" s="60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0</v>
      </c>
      <c r="U166" s="60">
        <v>0</v>
      </c>
      <c r="V166" s="60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0">
        <v>0</v>
      </c>
      <c r="AE166" s="60">
        <v>0</v>
      </c>
      <c r="AF166" s="60">
        <v>0</v>
      </c>
      <c r="AG166" s="60">
        <v>0</v>
      </c>
      <c r="AH166" s="60">
        <v>0</v>
      </c>
      <c r="AI166" s="60">
        <v>11510.62</v>
      </c>
      <c r="AJ166" s="60">
        <v>10989.29</v>
      </c>
      <c r="AK166" s="60">
        <v>10182.35</v>
      </c>
      <c r="AL166" s="60">
        <v>0</v>
      </c>
      <c r="AM166" s="60">
        <v>0</v>
      </c>
      <c r="AN166" s="60">
        <v>0</v>
      </c>
      <c r="AO166" s="60">
        <v>11510.62</v>
      </c>
      <c r="AP166" s="60">
        <v>10989.29</v>
      </c>
      <c r="AQ166" s="60">
        <v>10182.35</v>
      </c>
      <c r="AR166" s="61">
        <v>11510.62</v>
      </c>
    </row>
    <row r="167" spans="1:44" x14ac:dyDescent="0.35">
      <c r="A167" s="49" t="str">
        <f t="shared" si="14"/>
        <v>33</v>
      </c>
      <c r="B167" s="27">
        <v>67157</v>
      </c>
      <c r="C167" s="25" t="str">
        <f t="shared" si="15"/>
        <v>0000000</v>
      </c>
      <c r="D167" s="26" t="s">
        <v>3663</v>
      </c>
      <c r="E167" s="25" t="s">
        <v>1747</v>
      </c>
      <c r="F167" s="25" t="s">
        <v>1690</v>
      </c>
      <c r="G167" s="59" t="s">
        <v>1748</v>
      </c>
      <c r="H167" s="60">
        <v>1373.98</v>
      </c>
      <c r="I167" s="60">
        <v>1377.42</v>
      </c>
      <c r="J167" s="60">
        <v>1295.1400000000001</v>
      </c>
      <c r="K167" s="60">
        <v>0</v>
      </c>
      <c r="L167" s="60">
        <v>0</v>
      </c>
      <c r="M167" s="60">
        <v>0</v>
      </c>
      <c r="N167" s="60">
        <v>0</v>
      </c>
      <c r="O167" s="60">
        <v>0</v>
      </c>
      <c r="P167" s="60">
        <v>0</v>
      </c>
      <c r="Q167" s="60">
        <v>0</v>
      </c>
      <c r="R167" s="60">
        <v>0</v>
      </c>
      <c r="S167" s="60">
        <v>0</v>
      </c>
      <c r="T167" s="60">
        <v>0</v>
      </c>
      <c r="U167" s="60">
        <v>0</v>
      </c>
      <c r="V167" s="60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630.44000000000005</v>
      </c>
      <c r="AD167" s="60">
        <v>616.27</v>
      </c>
      <c r="AE167" s="60">
        <v>604.38</v>
      </c>
      <c r="AF167" s="60">
        <v>0</v>
      </c>
      <c r="AG167" s="60">
        <v>0</v>
      </c>
      <c r="AH167" s="60">
        <v>0</v>
      </c>
      <c r="AI167" s="60">
        <v>2004.42</v>
      </c>
      <c r="AJ167" s="60">
        <v>1993.69</v>
      </c>
      <c r="AK167" s="60">
        <v>1899.52</v>
      </c>
      <c r="AL167" s="60">
        <v>0</v>
      </c>
      <c r="AM167" s="60">
        <v>0</v>
      </c>
      <c r="AN167" s="60">
        <v>0</v>
      </c>
      <c r="AO167" s="60">
        <v>2004.42</v>
      </c>
      <c r="AP167" s="60">
        <v>1993.69</v>
      </c>
      <c r="AQ167" s="60">
        <v>1899.52</v>
      </c>
      <c r="AR167" s="61">
        <v>2004.42</v>
      </c>
    </row>
    <row r="168" spans="1:44" x14ac:dyDescent="0.35">
      <c r="A168" s="49" t="str">
        <f t="shared" si="14"/>
        <v>33</v>
      </c>
      <c r="B168" s="27">
        <v>67199</v>
      </c>
      <c r="C168" s="25" t="str">
        <f t="shared" si="15"/>
        <v>0000000</v>
      </c>
      <c r="D168" s="26" t="s">
        <v>3663</v>
      </c>
      <c r="E168" s="25" t="s">
        <v>1755</v>
      </c>
      <c r="F168" s="25" t="s">
        <v>1690</v>
      </c>
      <c r="G168" s="59" t="s">
        <v>1756</v>
      </c>
      <c r="H168" s="60">
        <v>4220.87</v>
      </c>
      <c r="I168" s="60">
        <v>4172.66</v>
      </c>
      <c r="J168" s="60">
        <v>3936.68</v>
      </c>
      <c r="K168" s="60">
        <v>0</v>
      </c>
      <c r="L168" s="60">
        <v>0</v>
      </c>
      <c r="M168" s="60">
        <v>0</v>
      </c>
      <c r="N168" s="60">
        <v>0</v>
      </c>
      <c r="O168" s="60">
        <v>0</v>
      </c>
      <c r="P168" s="60">
        <v>0</v>
      </c>
      <c r="Q168" s="60">
        <v>0</v>
      </c>
      <c r="R168" s="60">
        <v>0</v>
      </c>
      <c r="S168" s="60">
        <v>0</v>
      </c>
      <c r="T168" s="60">
        <v>0</v>
      </c>
      <c r="U168" s="60"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870.07</v>
      </c>
      <c r="AD168" s="60">
        <v>821.39</v>
      </c>
      <c r="AE168" s="60">
        <v>785.31</v>
      </c>
      <c r="AF168" s="60">
        <v>0</v>
      </c>
      <c r="AG168" s="60">
        <v>0</v>
      </c>
      <c r="AH168" s="60">
        <v>0</v>
      </c>
      <c r="AI168" s="60">
        <v>5090.9399999999996</v>
      </c>
      <c r="AJ168" s="60">
        <v>4994.05</v>
      </c>
      <c r="AK168" s="60">
        <v>4721.99</v>
      </c>
      <c r="AL168" s="60">
        <v>0</v>
      </c>
      <c r="AM168" s="60">
        <v>0</v>
      </c>
      <c r="AN168" s="60">
        <v>0</v>
      </c>
      <c r="AO168" s="60">
        <v>5090.9399999999996</v>
      </c>
      <c r="AP168" s="60">
        <v>4994.05</v>
      </c>
      <c r="AQ168" s="60">
        <v>4721.99</v>
      </c>
      <c r="AR168" s="61">
        <v>5090.9399999999996</v>
      </c>
    </row>
    <row r="169" spans="1:44" x14ac:dyDescent="0.35">
      <c r="A169" s="49" t="str">
        <f t="shared" si="14"/>
        <v>33</v>
      </c>
      <c r="B169" s="27">
        <v>67231</v>
      </c>
      <c r="C169" s="25" t="str">
        <f t="shared" si="15"/>
        <v>0000000</v>
      </c>
      <c r="D169" s="26" t="s">
        <v>3663</v>
      </c>
      <c r="E169" s="25" t="s">
        <v>1763</v>
      </c>
      <c r="F169" s="25" t="s">
        <v>1690</v>
      </c>
      <c r="G169" s="59" t="s">
        <v>1764</v>
      </c>
      <c r="H169" s="60">
        <v>4340.28</v>
      </c>
      <c r="I169" s="60">
        <v>4156.43</v>
      </c>
      <c r="J169" s="60">
        <v>3881.98</v>
      </c>
      <c r="K169" s="60">
        <v>0</v>
      </c>
      <c r="L169" s="60">
        <v>0</v>
      </c>
      <c r="M169" s="60">
        <v>0</v>
      </c>
      <c r="N169" s="60">
        <v>0</v>
      </c>
      <c r="O169" s="60">
        <v>0</v>
      </c>
      <c r="P169" s="60">
        <v>0</v>
      </c>
      <c r="Q169" s="60">
        <v>0</v>
      </c>
      <c r="R169" s="60">
        <v>0</v>
      </c>
      <c r="S169" s="60">
        <v>0</v>
      </c>
      <c r="T169" s="60">
        <v>0</v>
      </c>
      <c r="U169" s="60"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0">
        <v>0</v>
      </c>
      <c r="AE169" s="60">
        <v>0</v>
      </c>
      <c r="AF169" s="60">
        <v>0</v>
      </c>
      <c r="AG169" s="60">
        <v>0</v>
      </c>
      <c r="AH169" s="60">
        <v>0</v>
      </c>
      <c r="AI169" s="60">
        <v>4340.28</v>
      </c>
      <c r="AJ169" s="60">
        <v>4156.43</v>
      </c>
      <c r="AK169" s="60">
        <v>3881.98</v>
      </c>
      <c r="AL169" s="60">
        <v>0</v>
      </c>
      <c r="AM169" s="60">
        <v>0</v>
      </c>
      <c r="AN169" s="60">
        <v>0</v>
      </c>
      <c r="AO169" s="60">
        <v>4340.28</v>
      </c>
      <c r="AP169" s="60">
        <v>4156.43</v>
      </c>
      <c r="AQ169" s="60">
        <v>3881.98</v>
      </c>
      <c r="AR169" s="61">
        <v>4340.28</v>
      </c>
    </row>
    <row r="170" spans="1:44" x14ac:dyDescent="0.35">
      <c r="A170" s="49" t="str">
        <f t="shared" si="14"/>
        <v>33</v>
      </c>
      <c r="B170" s="27">
        <v>67207</v>
      </c>
      <c r="C170" s="25" t="str">
        <f t="shared" si="15"/>
        <v>0000000</v>
      </c>
      <c r="D170" s="26" t="s">
        <v>3663</v>
      </c>
      <c r="E170" s="25" t="s">
        <v>1757</v>
      </c>
      <c r="F170" s="25" t="s">
        <v>1690</v>
      </c>
      <c r="G170" s="59" t="s">
        <v>1758</v>
      </c>
      <c r="H170" s="60">
        <v>9711.18</v>
      </c>
      <c r="I170" s="60">
        <v>9401.6</v>
      </c>
      <c r="J170" s="60">
        <v>9029.4699999999993</v>
      </c>
      <c r="K170" s="60">
        <v>0</v>
      </c>
      <c r="L170" s="60">
        <v>0</v>
      </c>
      <c r="M170" s="60">
        <v>0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60">
        <v>0</v>
      </c>
      <c r="T170" s="60">
        <v>0</v>
      </c>
      <c r="U170" s="60"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982.82</v>
      </c>
      <c r="AD170" s="60">
        <v>929.29</v>
      </c>
      <c r="AE170" s="60">
        <v>925.91</v>
      </c>
      <c r="AF170" s="60">
        <v>0</v>
      </c>
      <c r="AG170" s="60">
        <v>0</v>
      </c>
      <c r="AH170" s="60">
        <v>0</v>
      </c>
      <c r="AI170" s="60">
        <v>10694</v>
      </c>
      <c r="AJ170" s="60">
        <v>10330.89</v>
      </c>
      <c r="AK170" s="60">
        <v>9955.3799999999992</v>
      </c>
      <c r="AL170" s="60">
        <v>0</v>
      </c>
      <c r="AM170" s="60">
        <v>0</v>
      </c>
      <c r="AN170" s="60">
        <v>0</v>
      </c>
      <c r="AO170" s="60">
        <v>10694</v>
      </c>
      <c r="AP170" s="60">
        <v>10330.89</v>
      </c>
      <c r="AQ170" s="60">
        <v>9955.3799999999992</v>
      </c>
      <c r="AR170" s="61">
        <v>10694</v>
      </c>
    </row>
    <row r="171" spans="1:44" x14ac:dyDescent="0.35">
      <c r="A171" s="49" t="str">
        <f t="shared" si="14"/>
        <v>33</v>
      </c>
      <c r="B171" s="27">
        <v>66977</v>
      </c>
      <c r="C171" s="25" t="str">
        <f t="shared" si="15"/>
        <v>0000000</v>
      </c>
      <c r="D171" s="26" t="s">
        <v>3663</v>
      </c>
      <c r="E171" s="25" t="s">
        <v>1720</v>
      </c>
      <c r="F171" s="25" t="s">
        <v>1690</v>
      </c>
      <c r="G171" s="59" t="s">
        <v>1721</v>
      </c>
      <c r="H171" s="60">
        <v>15540.04</v>
      </c>
      <c r="I171" s="60">
        <v>15665.3</v>
      </c>
      <c r="J171" s="60">
        <v>15575.76</v>
      </c>
      <c r="K171" s="60">
        <v>0</v>
      </c>
      <c r="L171" s="60">
        <v>0</v>
      </c>
      <c r="M171" s="60">
        <v>0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60">
        <v>0</v>
      </c>
      <c r="T171" s="60">
        <v>0</v>
      </c>
      <c r="U171" s="60"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60">
        <v>0</v>
      </c>
      <c r="AC171" s="60">
        <v>0</v>
      </c>
      <c r="AD171" s="60">
        <v>0</v>
      </c>
      <c r="AE171" s="60">
        <v>0</v>
      </c>
      <c r="AF171" s="60">
        <v>0</v>
      </c>
      <c r="AG171" s="60">
        <v>0</v>
      </c>
      <c r="AH171" s="60">
        <v>0</v>
      </c>
      <c r="AI171" s="60">
        <v>15540.04</v>
      </c>
      <c r="AJ171" s="60">
        <v>15665.3</v>
      </c>
      <c r="AK171" s="60">
        <v>15575.76</v>
      </c>
      <c r="AL171" s="60">
        <v>0</v>
      </c>
      <c r="AM171" s="60">
        <v>0</v>
      </c>
      <c r="AN171" s="60">
        <v>0</v>
      </c>
      <c r="AO171" s="60">
        <v>15540.04</v>
      </c>
      <c r="AP171" s="60">
        <v>15665.3</v>
      </c>
      <c r="AQ171" s="60">
        <v>15575.76</v>
      </c>
      <c r="AR171" s="61">
        <v>15665.3</v>
      </c>
    </row>
    <row r="172" spans="1:44" x14ac:dyDescent="0.35">
      <c r="A172" s="49" t="str">
        <f t="shared" si="14"/>
        <v>33</v>
      </c>
      <c r="B172" s="27">
        <v>66985</v>
      </c>
      <c r="C172" s="25" t="str">
        <f t="shared" si="15"/>
        <v>0000000</v>
      </c>
      <c r="D172" s="26" t="s">
        <v>3663</v>
      </c>
      <c r="E172" s="25" t="s">
        <v>1722</v>
      </c>
      <c r="F172" s="25" t="s">
        <v>1690</v>
      </c>
      <c r="G172" s="59" t="s">
        <v>1723</v>
      </c>
      <c r="H172" s="60">
        <v>3934.69</v>
      </c>
      <c r="I172" s="60">
        <v>3924.85</v>
      </c>
      <c r="J172" s="60">
        <v>3703.78</v>
      </c>
      <c r="K172" s="60">
        <v>0</v>
      </c>
      <c r="L172" s="60">
        <v>0</v>
      </c>
      <c r="M172" s="60">
        <v>0</v>
      </c>
      <c r="N172" s="60">
        <v>0</v>
      </c>
      <c r="O172" s="60">
        <v>0</v>
      </c>
      <c r="P172" s="60">
        <v>0</v>
      </c>
      <c r="Q172" s="60">
        <v>0</v>
      </c>
      <c r="R172" s="60">
        <v>0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0">
        <v>0</v>
      </c>
      <c r="AE172" s="60">
        <v>0</v>
      </c>
      <c r="AF172" s="60">
        <v>0</v>
      </c>
      <c r="AG172" s="60">
        <v>0</v>
      </c>
      <c r="AH172" s="60">
        <v>0</v>
      </c>
      <c r="AI172" s="60">
        <v>3934.69</v>
      </c>
      <c r="AJ172" s="60">
        <v>3924.85</v>
      </c>
      <c r="AK172" s="60">
        <v>3703.78</v>
      </c>
      <c r="AL172" s="60">
        <v>0</v>
      </c>
      <c r="AM172" s="60">
        <v>0</v>
      </c>
      <c r="AN172" s="60">
        <v>0</v>
      </c>
      <c r="AO172" s="60">
        <v>3934.69</v>
      </c>
      <c r="AP172" s="60">
        <v>3924.85</v>
      </c>
      <c r="AQ172" s="60">
        <v>3703.78</v>
      </c>
      <c r="AR172" s="61">
        <v>3934.69</v>
      </c>
    </row>
    <row r="173" spans="1:44" x14ac:dyDescent="0.35">
      <c r="A173" s="49" t="str">
        <f t="shared" si="14"/>
        <v>33</v>
      </c>
      <c r="B173" s="27">
        <v>66993</v>
      </c>
      <c r="C173" s="25" t="str">
        <f t="shared" si="15"/>
        <v>0000000</v>
      </c>
      <c r="D173" s="26" t="s">
        <v>3663</v>
      </c>
      <c r="E173" s="25" t="s">
        <v>1724</v>
      </c>
      <c r="F173" s="25" t="s">
        <v>1690</v>
      </c>
      <c r="G173" s="59" t="s">
        <v>1725</v>
      </c>
      <c r="H173" s="60">
        <v>11195.51</v>
      </c>
      <c r="I173" s="60">
        <v>10766.81</v>
      </c>
      <c r="J173" s="60">
        <v>10193.64</v>
      </c>
      <c r="K173" s="60">
        <v>0</v>
      </c>
      <c r="L173" s="60">
        <v>0</v>
      </c>
      <c r="M173" s="60">
        <v>0</v>
      </c>
      <c r="N173" s="60">
        <v>0</v>
      </c>
      <c r="O173" s="60">
        <v>0</v>
      </c>
      <c r="P173" s="60">
        <v>0</v>
      </c>
      <c r="Q173" s="60">
        <v>0</v>
      </c>
      <c r="R173" s="60">
        <v>0</v>
      </c>
      <c r="S173" s="60">
        <v>0</v>
      </c>
      <c r="T173" s="60">
        <v>0</v>
      </c>
      <c r="U173" s="60">
        <v>0</v>
      </c>
      <c r="V173" s="60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60">
        <v>0</v>
      </c>
      <c r="AE173" s="60">
        <v>0</v>
      </c>
      <c r="AF173" s="60">
        <v>0</v>
      </c>
      <c r="AG173" s="60">
        <v>0</v>
      </c>
      <c r="AH173" s="60">
        <v>0</v>
      </c>
      <c r="AI173" s="60">
        <v>11195.51</v>
      </c>
      <c r="AJ173" s="60">
        <v>10766.81</v>
      </c>
      <c r="AK173" s="60">
        <v>10193.64</v>
      </c>
      <c r="AL173" s="60">
        <v>0</v>
      </c>
      <c r="AM173" s="60">
        <v>0</v>
      </c>
      <c r="AN173" s="60">
        <v>0</v>
      </c>
      <c r="AO173" s="60">
        <v>11195.51</v>
      </c>
      <c r="AP173" s="60">
        <v>10766.81</v>
      </c>
      <c r="AQ173" s="60">
        <v>10193.64</v>
      </c>
      <c r="AR173" s="61">
        <v>11195.51</v>
      </c>
    </row>
    <row r="174" spans="1:44" x14ac:dyDescent="0.35">
      <c r="A174" s="49" t="str">
        <f t="shared" si="14"/>
        <v>33</v>
      </c>
      <c r="B174" s="27">
        <v>73676</v>
      </c>
      <c r="C174" s="25" t="str">
        <f t="shared" si="15"/>
        <v>0000000</v>
      </c>
      <c r="D174" s="26" t="s">
        <v>3663</v>
      </c>
      <c r="E174" s="25" t="s">
        <v>1767</v>
      </c>
      <c r="F174" s="25" t="s">
        <v>1690</v>
      </c>
      <c r="G174" s="59" t="s">
        <v>1768</v>
      </c>
      <c r="H174" s="60">
        <v>14574.82</v>
      </c>
      <c r="I174" s="60">
        <v>14672.99</v>
      </c>
      <c r="J174" s="60">
        <v>14741.43</v>
      </c>
      <c r="K174" s="60">
        <v>0</v>
      </c>
      <c r="L174" s="60">
        <v>0</v>
      </c>
      <c r="M174" s="60">
        <v>0</v>
      </c>
      <c r="N174" s="60">
        <v>0</v>
      </c>
      <c r="O174" s="60">
        <v>0</v>
      </c>
      <c r="P174" s="60">
        <v>0</v>
      </c>
      <c r="Q174" s="60">
        <v>0</v>
      </c>
      <c r="R174" s="60">
        <v>0</v>
      </c>
      <c r="S174" s="60">
        <v>0</v>
      </c>
      <c r="T174" s="60">
        <v>0</v>
      </c>
      <c r="U174" s="60">
        <v>0</v>
      </c>
      <c r="V174" s="60">
        <v>0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60">
        <v>0</v>
      </c>
      <c r="AC174" s="60">
        <v>0</v>
      </c>
      <c r="AD174" s="60">
        <v>0</v>
      </c>
      <c r="AE174" s="60">
        <v>0</v>
      </c>
      <c r="AF174" s="60">
        <v>0</v>
      </c>
      <c r="AG174" s="60">
        <v>0</v>
      </c>
      <c r="AH174" s="60">
        <v>0</v>
      </c>
      <c r="AI174" s="60">
        <v>14574.82</v>
      </c>
      <c r="AJ174" s="60">
        <v>14672.99</v>
      </c>
      <c r="AK174" s="60">
        <v>14741.43</v>
      </c>
      <c r="AL174" s="60">
        <v>0</v>
      </c>
      <c r="AM174" s="60">
        <v>0</v>
      </c>
      <c r="AN174" s="60">
        <v>0</v>
      </c>
      <c r="AO174" s="60">
        <v>14574.82</v>
      </c>
      <c r="AP174" s="60">
        <v>14672.99</v>
      </c>
      <c r="AQ174" s="60">
        <v>14741.43</v>
      </c>
      <c r="AR174" s="61">
        <v>14741.43</v>
      </c>
    </row>
    <row r="175" spans="1:44" x14ac:dyDescent="0.35">
      <c r="A175" s="49" t="str">
        <f t="shared" si="14"/>
        <v>33</v>
      </c>
      <c r="B175" s="27">
        <v>67041</v>
      </c>
      <c r="C175" s="25" t="str">
        <f t="shared" si="15"/>
        <v>0000000</v>
      </c>
      <c r="D175" s="26" t="s">
        <v>3663</v>
      </c>
      <c r="E175" s="25" t="s">
        <v>1732</v>
      </c>
      <c r="F175" s="25" t="s">
        <v>1690</v>
      </c>
      <c r="G175" s="59" t="s">
        <v>1733</v>
      </c>
      <c r="H175" s="60">
        <v>21.13</v>
      </c>
      <c r="I175" s="60">
        <v>22.45</v>
      </c>
      <c r="J175" s="60">
        <v>24.22</v>
      </c>
      <c r="K175" s="60">
        <v>0</v>
      </c>
      <c r="L175" s="60">
        <v>0</v>
      </c>
      <c r="M175" s="60">
        <v>0</v>
      </c>
      <c r="N175" s="60">
        <v>0</v>
      </c>
      <c r="O175" s="60">
        <v>0</v>
      </c>
      <c r="P175" s="60">
        <v>0</v>
      </c>
      <c r="Q175" s="60">
        <v>0</v>
      </c>
      <c r="R175" s="60">
        <v>0</v>
      </c>
      <c r="S175" s="60">
        <v>0</v>
      </c>
      <c r="T175" s="60">
        <v>0</v>
      </c>
      <c r="U175" s="60">
        <v>0</v>
      </c>
      <c r="V175" s="60">
        <v>0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60">
        <v>0</v>
      </c>
      <c r="AC175" s="60">
        <v>0</v>
      </c>
      <c r="AD175" s="60">
        <v>0</v>
      </c>
      <c r="AE175" s="60">
        <v>0</v>
      </c>
      <c r="AF175" s="60">
        <v>0</v>
      </c>
      <c r="AG175" s="60">
        <v>0</v>
      </c>
      <c r="AH175" s="60">
        <v>0</v>
      </c>
      <c r="AI175" s="60">
        <v>21.13</v>
      </c>
      <c r="AJ175" s="60">
        <v>22.45</v>
      </c>
      <c r="AK175" s="60">
        <v>24.22</v>
      </c>
      <c r="AL175" s="60">
        <v>0</v>
      </c>
      <c r="AM175" s="60">
        <v>0</v>
      </c>
      <c r="AN175" s="60">
        <v>0</v>
      </c>
      <c r="AO175" s="60">
        <v>21.13</v>
      </c>
      <c r="AP175" s="60">
        <v>22.45</v>
      </c>
      <c r="AQ175" s="60">
        <v>24.22</v>
      </c>
      <c r="AR175" s="61">
        <v>24.22</v>
      </c>
    </row>
    <row r="176" spans="1:44" x14ac:dyDescent="0.35">
      <c r="A176" s="49" t="str">
        <f t="shared" si="14"/>
        <v>33</v>
      </c>
      <c r="B176" s="27">
        <v>67058</v>
      </c>
      <c r="C176" s="25" t="str">
        <f t="shared" si="15"/>
        <v>0000000</v>
      </c>
      <c r="D176" s="26" t="s">
        <v>3663</v>
      </c>
      <c r="E176" s="25" t="s">
        <v>1734</v>
      </c>
      <c r="F176" s="25" t="s">
        <v>1690</v>
      </c>
      <c r="G176" s="59" t="s">
        <v>1735</v>
      </c>
      <c r="H176" s="60">
        <v>21700.58</v>
      </c>
      <c r="I176" s="60">
        <v>21789.05</v>
      </c>
      <c r="J176" s="60">
        <v>21837.21</v>
      </c>
      <c r="K176" s="60">
        <v>0</v>
      </c>
      <c r="L176" s="60">
        <v>0</v>
      </c>
      <c r="M176" s="60">
        <v>0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0">
        <v>0</v>
      </c>
      <c r="T176" s="60">
        <v>0</v>
      </c>
      <c r="U176" s="60">
        <v>0</v>
      </c>
      <c r="V176" s="60">
        <v>0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60">
        <v>0</v>
      </c>
      <c r="AC176" s="60">
        <v>2018.44</v>
      </c>
      <c r="AD176" s="60">
        <v>1954.91</v>
      </c>
      <c r="AE176" s="60">
        <v>1888.39</v>
      </c>
      <c r="AF176" s="60">
        <v>0</v>
      </c>
      <c r="AG176" s="60">
        <v>0</v>
      </c>
      <c r="AH176" s="60">
        <v>0</v>
      </c>
      <c r="AI176" s="60">
        <v>23719.02</v>
      </c>
      <c r="AJ176" s="60">
        <v>23743.96</v>
      </c>
      <c r="AK176" s="60">
        <v>23725.599999999999</v>
      </c>
      <c r="AL176" s="60">
        <v>0</v>
      </c>
      <c r="AM176" s="60">
        <v>0</v>
      </c>
      <c r="AN176" s="60">
        <v>0</v>
      </c>
      <c r="AO176" s="60">
        <v>23719.02</v>
      </c>
      <c r="AP176" s="60">
        <v>23743.96</v>
      </c>
      <c r="AQ176" s="60">
        <v>23725.599999999999</v>
      </c>
      <c r="AR176" s="61">
        <v>23743.96</v>
      </c>
    </row>
    <row r="177" spans="1:44" x14ac:dyDescent="0.35">
      <c r="A177" s="49" t="str">
        <f t="shared" si="14"/>
        <v>33</v>
      </c>
      <c r="B177" s="27">
        <v>67082</v>
      </c>
      <c r="C177" s="25" t="str">
        <f t="shared" si="15"/>
        <v>0000000</v>
      </c>
      <c r="D177" s="26" t="s">
        <v>3663</v>
      </c>
      <c r="E177" s="25" t="s">
        <v>1736</v>
      </c>
      <c r="F177" s="25" t="s">
        <v>1690</v>
      </c>
      <c r="G177" s="59" t="s">
        <v>1737</v>
      </c>
      <c r="H177" s="60">
        <v>20027.38</v>
      </c>
      <c r="I177" s="60">
        <v>19322.060000000001</v>
      </c>
      <c r="J177" s="60">
        <v>18293.8</v>
      </c>
      <c r="K177" s="60">
        <v>0</v>
      </c>
      <c r="L177" s="60">
        <v>0</v>
      </c>
      <c r="M177" s="60">
        <v>0</v>
      </c>
      <c r="N177" s="60">
        <v>0</v>
      </c>
      <c r="O177" s="60">
        <v>0</v>
      </c>
      <c r="P177" s="60">
        <v>0</v>
      </c>
      <c r="Q177" s="60">
        <v>0</v>
      </c>
      <c r="R177" s="60">
        <v>0</v>
      </c>
      <c r="S177" s="60">
        <v>0</v>
      </c>
      <c r="T177" s="60">
        <v>0</v>
      </c>
      <c r="U177" s="60">
        <v>0</v>
      </c>
      <c r="V177" s="60">
        <v>0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60">
        <v>0</v>
      </c>
      <c r="AC177" s="60">
        <v>713.03</v>
      </c>
      <c r="AD177" s="60">
        <v>707.47</v>
      </c>
      <c r="AE177" s="60">
        <v>687.64</v>
      </c>
      <c r="AF177" s="60">
        <v>0</v>
      </c>
      <c r="AG177" s="60">
        <v>0</v>
      </c>
      <c r="AH177" s="60">
        <v>0</v>
      </c>
      <c r="AI177" s="60">
        <v>20740.41</v>
      </c>
      <c r="AJ177" s="60">
        <v>20029.53</v>
      </c>
      <c r="AK177" s="60">
        <v>18981.439999999999</v>
      </c>
      <c r="AL177" s="60">
        <v>0</v>
      </c>
      <c r="AM177" s="60">
        <v>0</v>
      </c>
      <c r="AN177" s="60">
        <v>0</v>
      </c>
      <c r="AO177" s="60">
        <v>20740.41</v>
      </c>
      <c r="AP177" s="60">
        <v>20029.53</v>
      </c>
      <c r="AQ177" s="60">
        <v>18981.439999999999</v>
      </c>
      <c r="AR177" s="61">
        <v>20740.41</v>
      </c>
    </row>
    <row r="178" spans="1:44" x14ac:dyDescent="0.35">
      <c r="A178" s="49" t="str">
        <f t="shared" si="14"/>
        <v>33</v>
      </c>
      <c r="B178" s="27">
        <v>67090</v>
      </c>
      <c r="C178" s="25" t="str">
        <f t="shared" si="15"/>
        <v>0000000</v>
      </c>
      <c r="D178" s="26" t="s">
        <v>3663</v>
      </c>
      <c r="E178" s="25" t="s">
        <v>1738</v>
      </c>
      <c r="F178" s="25" t="s">
        <v>1690</v>
      </c>
      <c r="G178" s="59" t="s">
        <v>1739</v>
      </c>
      <c r="H178" s="60">
        <v>16773.009999999998</v>
      </c>
      <c r="I178" s="60">
        <v>16847.330000000002</v>
      </c>
      <c r="J178" s="60">
        <v>16731.97</v>
      </c>
      <c r="K178" s="60">
        <v>0</v>
      </c>
      <c r="L178" s="60"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60">
        <v>0</v>
      </c>
      <c r="T178" s="60">
        <v>0</v>
      </c>
      <c r="U178" s="60"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60">
        <v>0</v>
      </c>
      <c r="AC178" s="60">
        <v>0</v>
      </c>
      <c r="AD178" s="60">
        <v>0</v>
      </c>
      <c r="AE178" s="60">
        <v>0</v>
      </c>
      <c r="AF178" s="60">
        <v>0</v>
      </c>
      <c r="AG178" s="60">
        <v>0</v>
      </c>
      <c r="AH178" s="60">
        <v>0</v>
      </c>
      <c r="AI178" s="60">
        <v>16773.009999999998</v>
      </c>
      <c r="AJ178" s="60">
        <v>16847.330000000002</v>
      </c>
      <c r="AK178" s="60">
        <v>16731.97</v>
      </c>
      <c r="AL178" s="60">
        <v>0</v>
      </c>
      <c r="AM178" s="60">
        <v>0</v>
      </c>
      <c r="AN178" s="60">
        <v>0</v>
      </c>
      <c r="AO178" s="60">
        <v>16773.009999999998</v>
      </c>
      <c r="AP178" s="60">
        <v>16847.330000000002</v>
      </c>
      <c r="AQ178" s="60">
        <v>16731.97</v>
      </c>
      <c r="AR178" s="61">
        <v>16847.330000000002</v>
      </c>
    </row>
    <row r="179" spans="1:44" x14ac:dyDescent="0.35">
      <c r="A179" s="49" t="str">
        <f t="shared" si="14"/>
        <v>33</v>
      </c>
      <c r="B179" s="27">
        <v>67173</v>
      </c>
      <c r="C179" s="25" t="str">
        <f t="shared" si="15"/>
        <v>0000000</v>
      </c>
      <c r="D179" s="26" t="s">
        <v>3663</v>
      </c>
      <c r="E179" s="25" t="s">
        <v>1749</v>
      </c>
      <c r="F179" s="25" t="s">
        <v>1690</v>
      </c>
      <c r="G179" s="59" t="s">
        <v>1750</v>
      </c>
      <c r="H179" s="60">
        <v>17672.64</v>
      </c>
      <c r="I179" s="60">
        <v>17787.75</v>
      </c>
      <c r="J179" s="60">
        <v>17546.88</v>
      </c>
      <c r="K179" s="60">
        <v>0</v>
      </c>
      <c r="L179" s="60"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60">
        <v>0</v>
      </c>
      <c r="T179" s="60">
        <v>0</v>
      </c>
      <c r="U179" s="60"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60">
        <v>0</v>
      </c>
      <c r="AC179" s="60">
        <v>801.02</v>
      </c>
      <c r="AD179" s="60">
        <v>811.05</v>
      </c>
      <c r="AE179" s="60">
        <v>780.25</v>
      </c>
      <c r="AF179" s="60">
        <v>0</v>
      </c>
      <c r="AG179" s="60">
        <v>0</v>
      </c>
      <c r="AH179" s="60">
        <v>0</v>
      </c>
      <c r="AI179" s="60">
        <v>18473.66</v>
      </c>
      <c r="AJ179" s="60">
        <v>18598.8</v>
      </c>
      <c r="AK179" s="60">
        <v>18327.13</v>
      </c>
      <c r="AL179" s="60">
        <v>0</v>
      </c>
      <c r="AM179" s="60">
        <v>0</v>
      </c>
      <c r="AN179" s="60">
        <v>0</v>
      </c>
      <c r="AO179" s="60">
        <v>18473.66</v>
      </c>
      <c r="AP179" s="60">
        <v>18598.8</v>
      </c>
      <c r="AQ179" s="60">
        <v>18327.13</v>
      </c>
      <c r="AR179" s="61">
        <v>18598.8</v>
      </c>
    </row>
    <row r="180" spans="1:44" x14ac:dyDescent="0.35">
      <c r="A180" s="49" t="str">
        <f t="shared" si="14"/>
        <v>33</v>
      </c>
      <c r="B180" s="27">
        <v>67181</v>
      </c>
      <c r="C180" s="25" t="str">
        <f t="shared" si="15"/>
        <v>0000000</v>
      </c>
      <c r="D180" s="26" t="s">
        <v>3663</v>
      </c>
      <c r="E180" s="25" t="s">
        <v>1751</v>
      </c>
      <c r="F180" s="25" t="s">
        <v>1690</v>
      </c>
      <c r="G180" s="59" t="s">
        <v>1752</v>
      </c>
      <c r="H180" s="60">
        <v>2389.23</v>
      </c>
      <c r="I180" s="60">
        <v>2473.12</v>
      </c>
      <c r="J180" s="60">
        <v>2342.69</v>
      </c>
      <c r="K180" s="60">
        <v>0</v>
      </c>
      <c r="L180" s="60"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60">
        <v>0</v>
      </c>
      <c r="T180" s="60">
        <v>0</v>
      </c>
      <c r="U180" s="60"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60">
        <v>0</v>
      </c>
      <c r="AC180" s="60">
        <v>0</v>
      </c>
      <c r="AD180" s="60">
        <v>0</v>
      </c>
      <c r="AE180" s="60">
        <v>0</v>
      </c>
      <c r="AF180" s="60">
        <v>0</v>
      </c>
      <c r="AG180" s="60">
        <v>0</v>
      </c>
      <c r="AH180" s="60">
        <v>0</v>
      </c>
      <c r="AI180" s="60">
        <v>2389.23</v>
      </c>
      <c r="AJ180" s="60">
        <v>2473.12</v>
      </c>
      <c r="AK180" s="60">
        <v>2342.69</v>
      </c>
      <c r="AL180" s="60">
        <v>0</v>
      </c>
      <c r="AM180" s="60">
        <v>0</v>
      </c>
      <c r="AN180" s="60">
        <v>0</v>
      </c>
      <c r="AO180" s="60">
        <v>2389.23</v>
      </c>
      <c r="AP180" s="60">
        <v>2473.12</v>
      </c>
      <c r="AQ180" s="60">
        <v>2342.69</v>
      </c>
      <c r="AR180" s="61">
        <v>2473.12</v>
      </c>
    </row>
    <row r="181" spans="1:44" x14ac:dyDescent="0.35">
      <c r="A181" s="49" t="str">
        <f t="shared" si="14"/>
        <v>33</v>
      </c>
      <c r="B181" s="27">
        <v>67249</v>
      </c>
      <c r="C181" s="25" t="str">
        <f t="shared" si="15"/>
        <v>0000000</v>
      </c>
      <c r="D181" s="26" t="s">
        <v>3663</v>
      </c>
      <c r="E181" s="25" t="s">
        <v>1765</v>
      </c>
      <c r="F181" s="25" t="s">
        <v>1690</v>
      </c>
      <c r="G181" s="59" t="s">
        <v>1766</v>
      </c>
      <c r="H181" s="60">
        <v>9526.2000000000007</v>
      </c>
      <c r="I181" s="60">
        <v>9321.26</v>
      </c>
      <c r="J181" s="60">
        <v>8930.86</v>
      </c>
      <c r="K181" s="60">
        <v>0</v>
      </c>
      <c r="L181" s="60"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60">
        <v>0</v>
      </c>
      <c r="T181" s="60">
        <v>0</v>
      </c>
      <c r="U181" s="60"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60">
        <v>0</v>
      </c>
      <c r="AC181" s="60">
        <v>1517.37</v>
      </c>
      <c r="AD181" s="60">
        <v>1502.08</v>
      </c>
      <c r="AE181" s="60">
        <v>1436.75</v>
      </c>
      <c r="AF181" s="60">
        <v>0</v>
      </c>
      <c r="AG181" s="60">
        <v>0</v>
      </c>
      <c r="AH181" s="60">
        <v>0</v>
      </c>
      <c r="AI181" s="60">
        <v>11043.57</v>
      </c>
      <c r="AJ181" s="60">
        <v>10823.34</v>
      </c>
      <c r="AK181" s="60">
        <v>10367.61</v>
      </c>
      <c r="AL181" s="60">
        <v>0</v>
      </c>
      <c r="AM181" s="60">
        <v>0</v>
      </c>
      <c r="AN181" s="60">
        <v>0</v>
      </c>
      <c r="AO181" s="60">
        <v>11043.57</v>
      </c>
      <c r="AP181" s="60">
        <v>10823.34</v>
      </c>
      <c r="AQ181" s="60">
        <v>10367.61</v>
      </c>
      <c r="AR181" s="61">
        <v>11043.57</v>
      </c>
    </row>
    <row r="182" spans="1:44" x14ac:dyDescent="0.35">
      <c r="A182" s="49" t="str">
        <f t="shared" si="14"/>
        <v>33</v>
      </c>
      <c r="B182" s="27">
        <v>75176</v>
      </c>
      <c r="C182" s="25" t="str">
        <f t="shared" si="15"/>
        <v>0000000</v>
      </c>
      <c r="D182" s="26" t="s">
        <v>3663</v>
      </c>
      <c r="E182" s="25" t="s">
        <v>1771</v>
      </c>
      <c r="F182" s="25" t="s">
        <v>1690</v>
      </c>
      <c r="G182" s="59" t="s">
        <v>1772</v>
      </c>
      <c r="H182" s="60">
        <v>19205.34</v>
      </c>
      <c r="I182" s="60">
        <v>19025.93</v>
      </c>
      <c r="J182" s="60">
        <v>17512.43</v>
      </c>
      <c r="K182" s="60">
        <v>0</v>
      </c>
      <c r="L182" s="60"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60">
        <v>0</v>
      </c>
      <c r="T182" s="60">
        <v>0</v>
      </c>
      <c r="U182" s="60"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60">
        <v>0</v>
      </c>
      <c r="AC182" s="60">
        <v>0</v>
      </c>
      <c r="AD182" s="60">
        <v>0</v>
      </c>
      <c r="AE182" s="60">
        <v>0</v>
      </c>
      <c r="AF182" s="60">
        <v>0</v>
      </c>
      <c r="AG182" s="60">
        <v>0</v>
      </c>
      <c r="AH182" s="60">
        <v>0</v>
      </c>
      <c r="AI182" s="60">
        <v>19205.34</v>
      </c>
      <c r="AJ182" s="60">
        <v>19025.93</v>
      </c>
      <c r="AK182" s="60">
        <v>17512.43</v>
      </c>
      <c r="AL182" s="60">
        <v>0</v>
      </c>
      <c r="AM182" s="60">
        <v>0</v>
      </c>
      <c r="AN182" s="60">
        <v>0</v>
      </c>
      <c r="AO182" s="60">
        <v>19205.34</v>
      </c>
      <c r="AP182" s="60">
        <v>19025.93</v>
      </c>
      <c r="AQ182" s="60">
        <v>17512.43</v>
      </c>
      <c r="AR182" s="61">
        <v>19205.34</v>
      </c>
    </row>
    <row r="183" spans="1:44" x14ac:dyDescent="0.35">
      <c r="A183" s="49" t="str">
        <f t="shared" si="14"/>
        <v>33</v>
      </c>
      <c r="B183" s="27">
        <v>75200</v>
      </c>
      <c r="C183" s="25" t="str">
        <f t="shared" si="15"/>
        <v>0000000</v>
      </c>
      <c r="D183" s="26" t="s">
        <v>3663</v>
      </c>
      <c r="E183" s="25" t="s">
        <v>1783</v>
      </c>
      <c r="F183" s="25" t="s">
        <v>1690</v>
      </c>
      <c r="G183" s="59" t="s">
        <v>1784</v>
      </c>
      <c r="H183" s="60">
        <v>20851.099999999999</v>
      </c>
      <c r="I183" s="60">
        <v>20641.939999999999</v>
      </c>
      <c r="J183" s="60">
        <v>20722.55</v>
      </c>
      <c r="K183" s="60">
        <v>0</v>
      </c>
      <c r="L183" s="60"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60">
        <v>0</v>
      </c>
      <c r="T183" s="60">
        <v>0</v>
      </c>
      <c r="U183" s="60"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60">
        <v>0</v>
      </c>
      <c r="AC183" s="60">
        <v>0</v>
      </c>
      <c r="AD183" s="60">
        <v>0</v>
      </c>
      <c r="AE183" s="60">
        <v>0</v>
      </c>
      <c r="AF183" s="60">
        <v>0</v>
      </c>
      <c r="AG183" s="60">
        <v>0</v>
      </c>
      <c r="AH183" s="60">
        <v>0</v>
      </c>
      <c r="AI183" s="60">
        <v>20851.099999999999</v>
      </c>
      <c r="AJ183" s="60">
        <v>20641.939999999999</v>
      </c>
      <c r="AK183" s="60">
        <v>20722.55</v>
      </c>
      <c r="AL183" s="60">
        <v>0</v>
      </c>
      <c r="AM183" s="60">
        <v>0</v>
      </c>
      <c r="AN183" s="60">
        <v>0</v>
      </c>
      <c r="AO183" s="60">
        <v>20851.099999999999</v>
      </c>
      <c r="AP183" s="60">
        <v>20641.939999999999</v>
      </c>
      <c r="AQ183" s="60">
        <v>20722.55</v>
      </c>
      <c r="AR183" s="61">
        <v>20851.099999999999</v>
      </c>
    </row>
    <row r="184" spans="1:44" x14ac:dyDescent="0.35">
      <c r="A184" s="49" t="str">
        <f t="shared" si="14"/>
        <v>33</v>
      </c>
      <c r="B184" s="27">
        <v>67116</v>
      </c>
      <c r="C184" s="25" t="str">
        <f>TEXT(109843,"0000000")</f>
        <v>0109843</v>
      </c>
      <c r="D184" s="26" t="s">
        <v>1744</v>
      </c>
      <c r="E184" s="25" t="s">
        <v>1742</v>
      </c>
      <c r="F184" s="25" t="s">
        <v>1690</v>
      </c>
      <c r="G184" s="59" t="s">
        <v>1743</v>
      </c>
      <c r="H184" s="60">
        <v>0</v>
      </c>
      <c r="I184" s="60">
        <v>0</v>
      </c>
      <c r="J184" s="60">
        <v>0</v>
      </c>
      <c r="K184" s="60">
        <v>0</v>
      </c>
      <c r="L184" s="60"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60">
        <v>0</v>
      </c>
      <c r="AC184" s="60">
        <v>1566.15</v>
      </c>
      <c r="AD184" s="60">
        <v>1475.54</v>
      </c>
      <c r="AE184" s="60">
        <v>1444.93</v>
      </c>
      <c r="AF184" s="60">
        <v>0</v>
      </c>
      <c r="AG184" s="60">
        <v>0</v>
      </c>
      <c r="AH184" s="60">
        <v>0</v>
      </c>
      <c r="AI184" s="60">
        <v>1566.15</v>
      </c>
      <c r="AJ184" s="60">
        <v>1475.54</v>
      </c>
      <c r="AK184" s="60">
        <v>1444.93</v>
      </c>
      <c r="AL184" s="60">
        <v>0</v>
      </c>
      <c r="AM184" s="60">
        <v>0</v>
      </c>
      <c r="AN184" s="60">
        <v>0</v>
      </c>
      <c r="AO184" s="60">
        <v>1566.15</v>
      </c>
      <c r="AP184" s="60">
        <v>1475.54</v>
      </c>
      <c r="AQ184" s="60">
        <v>1444.93</v>
      </c>
      <c r="AR184" s="61">
        <v>1566.15</v>
      </c>
    </row>
    <row r="185" spans="1:44" x14ac:dyDescent="0.35">
      <c r="A185" s="49" t="str">
        <f t="shared" si="14"/>
        <v>33</v>
      </c>
      <c r="B185" s="27">
        <v>10330</v>
      </c>
      <c r="C185" s="25" t="str">
        <f>TEXT(125237,"0000000")</f>
        <v>0125237</v>
      </c>
      <c r="D185" s="27">
        <v>1366</v>
      </c>
      <c r="E185" s="25" t="s">
        <v>1696</v>
      </c>
      <c r="F185" s="25" t="s">
        <v>1690</v>
      </c>
      <c r="G185" s="59" t="s">
        <v>1697</v>
      </c>
      <c r="H185" s="60">
        <v>0</v>
      </c>
      <c r="I185" s="60">
        <v>0</v>
      </c>
      <c r="J185" s="60">
        <v>0</v>
      </c>
      <c r="K185" s="60">
        <v>0</v>
      </c>
      <c r="L185" s="60"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60">
        <v>0</v>
      </c>
      <c r="T185" s="60">
        <v>13.67</v>
      </c>
      <c r="U185" s="60">
        <v>21.49</v>
      </c>
      <c r="V185" s="60">
        <v>16.84</v>
      </c>
      <c r="W185" s="60">
        <v>96.76</v>
      </c>
      <c r="X185" s="60">
        <v>116.83</v>
      </c>
      <c r="Y185" s="60">
        <v>144.21</v>
      </c>
      <c r="Z185" s="60">
        <v>0</v>
      </c>
      <c r="AA185" s="60">
        <v>0</v>
      </c>
      <c r="AB185" s="60">
        <v>0</v>
      </c>
      <c r="AC185" s="60">
        <v>0</v>
      </c>
      <c r="AD185" s="60">
        <v>0</v>
      </c>
      <c r="AE185" s="60">
        <v>0</v>
      </c>
      <c r="AF185" s="60">
        <v>0</v>
      </c>
      <c r="AG185" s="60">
        <v>0</v>
      </c>
      <c r="AH185" s="60">
        <v>0</v>
      </c>
      <c r="AI185" s="60">
        <v>110.43</v>
      </c>
      <c r="AJ185" s="60">
        <v>138.32</v>
      </c>
      <c r="AK185" s="60">
        <v>161.05000000000001</v>
      </c>
      <c r="AL185" s="60">
        <v>0</v>
      </c>
      <c r="AM185" s="60">
        <v>0</v>
      </c>
      <c r="AN185" s="60">
        <v>0</v>
      </c>
      <c r="AO185" s="60">
        <v>110.43</v>
      </c>
      <c r="AP185" s="60">
        <v>138.32</v>
      </c>
      <c r="AQ185" s="60">
        <v>161.05000000000001</v>
      </c>
      <c r="AR185" s="61">
        <v>161.05000000000001</v>
      </c>
    </row>
    <row r="186" spans="1:44" x14ac:dyDescent="0.35">
      <c r="A186" s="49" t="str">
        <f t="shared" si="14"/>
        <v>33</v>
      </c>
      <c r="B186" s="27">
        <v>67181</v>
      </c>
      <c r="C186" s="25" t="str">
        <f>TEXT(138610,"0000000")</f>
        <v>0138610</v>
      </c>
      <c r="D186" s="27">
        <v>2019</v>
      </c>
      <c r="E186" s="25" t="s">
        <v>1753</v>
      </c>
      <c r="F186" s="25" t="s">
        <v>1690</v>
      </c>
      <c r="G186" s="59" t="s">
        <v>1754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60">
        <v>0</v>
      </c>
      <c r="T186" s="60">
        <v>0</v>
      </c>
      <c r="U186" s="60"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60">
        <v>0</v>
      </c>
      <c r="AC186" s="60">
        <v>1251.42</v>
      </c>
      <c r="AD186" s="60">
        <v>1118.03</v>
      </c>
      <c r="AE186" s="60">
        <v>911.69</v>
      </c>
      <c r="AF186" s="60">
        <v>0</v>
      </c>
      <c r="AG186" s="60">
        <v>0</v>
      </c>
      <c r="AH186" s="60">
        <v>0</v>
      </c>
      <c r="AI186" s="60">
        <v>1251.42</v>
      </c>
      <c r="AJ186" s="60">
        <v>1118.03</v>
      </c>
      <c r="AK186" s="60">
        <v>911.69</v>
      </c>
      <c r="AL186" s="60">
        <v>0</v>
      </c>
      <c r="AM186" s="60">
        <v>0</v>
      </c>
      <c r="AN186" s="60">
        <v>0</v>
      </c>
      <c r="AO186" s="60">
        <v>1251.42</v>
      </c>
      <c r="AP186" s="60">
        <v>1118.03</v>
      </c>
      <c r="AQ186" s="60">
        <v>911.69</v>
      </c>
      <c r="AR186" s="61">
        <v>1251.42</v>
      </c>
    </row>
    <row r="187" spans="1:44" x14ac:dyDescent="0.35">
      <c r="A187" s="49" t="str">
        <f t="shared" ref="A187:A215" si="16">TEXT(45,"00")</f>
        <v>45</v>
      </c>
      <c r="B187" s="27">
        <v>10454</v>
      </c>
      <c r="C187" s="25" t="str">
        <f t="shared" ref="C187:C211" si="17">TEXT(,"0000000")</f>
        <v>0000000</v>
      </c>
      <c r="D187" s="26" t="s">
        <v>3663</v>
      </c>
      <c r="E187" s="25" t="s">
        <v>2885</v>
      </c>
      <c r="F187" s="25" t="s">
        <v>2886</v>
      </c>
      <c r="G187" s="59" t="s">
        <v>2886</v>
      </c>
      <c r="H187" s="60">
        <v>0</v>
      </c>
      <c r="I187" s="60">
        <v>0</v>
      </c>
      <c r="J187" s="60">
        <v>0</v>
      </c>
      <c r="K187" s="60">
        <v>0</v>
      </c>
      <c r="L187" s="60"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42.84</v>
      </c>
      <c r="U187" s="60">
        <v>38.200000000000003</v>
      </c>
      <c r="V187" s="60">
        <v>30.13</v>
      </c>
      <c r="W187" s="60">
        <v>116.95</v>
      </c>
      <c r="X187" s="60">
        <v>125.85</v>
      </c>
      <c r="Y187" s="60">
        <v>120.04</v>
      </c>
      <c r="Z187" s="60">
        <v>0</v>
      </c>
      <c r="AA187" s="60">
        <v>0</v>
      </c>
      <c r="AB187" s="60">
        <v>0</v>
      </c>
      <c r="AC187" s="60">
        <v>0</v>
      </c>
      <c r="AD187" s="60">
        <v>0</v>
      </c>
      <c r="AE187" s="60">
        <v>0</v>
      </c>
      <c r="AF187" s="60">
        <v>0</v>
      </c>
      <c r="AG187" s="60">
        <v>0</v>
      </c>
      <c r="AH187" s="60">
        <v>0</v>
      </c>
      <c r="AI187" s="60">
        <v>159.79</v>
      </c>
      <c r="AJ187" s="60">
        <v>164.05</v>
      </c>
      <c r="AK187" s="60">
        <v>150.16999999999999</v>
      </c>
      <c r="AL187" s="60">
        <v>0</v>
      </c>
      <c r="AM187" s="60">
        <v>0</v>
      </c>
      <c r="AN187" s="60">
        <v>0</v>
      </c>
      <c r="AO187" s="60">
        <v>159.79</v>
      </c>
      <c r="AP187" s="60">
        <v>164.05</v>
      </c>
      <c r="AQ187" s="60">
        <v>150.16999999999999</v>
      </c>
      <c r="AR187" s="61">
        <v>164.05</v>
      </c>
    </row>
    <row r="188" spans="1:44" x14ac:dyDescent="0.35">
      <c r="A188" s="49" t="str">
        <f t="shared" si="16"/>
        <v>45</v>
      </c>
      <c r="B188" s="27">
        <v>69914</v>
      </c>
      <c r="C188" s="25" t="str">
        <f t="shared" si="17"/>
        <v>0000000</v>
      </c>
      <c r="D188" s="26" t="s">
        <v>3663</v>
      </c>
      <c r="E188" s="25" t="s">
        <v>2900</v>
      </c>
      <c r="F188" s="25" t="s">
        <v>2886</v>
      </c>
      <c r="G188" s="59" t="s">
        <v>2901</v>
      </c>
      <c r="H188" s="60">
        <v>1011.23</v>
      </c>
      <c r="I188" s="60">
        <v>976.39</v>
      </c>
      <c r="J188" s="60">
        <v>909.3</v>
      </c>
      <c r="K188" s="60">
        <v>0</v>
      </c>
      <c r="L188" s="60"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60">
        <v>0</v>
      </c>
      <c r="T188" s="60">
        <v>0</v>
      </c>
      <c r="U188" s="60"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60">
        <v>0</v>
      </c>
      <c r="AC188" s="60">
        <v>340</v>
      </c>
      <c r="AD188" s="60">
        <v>300.88</v>
      </c>
      <c r="AE188" s="60">
        <v>263.87</v>
      </c>
      <c r="AF188" s="60">
        <v>0</v>
      </c>
      <c r="AG188" s="60">
        <v>0</v>
      </c>
      <c r="AH188" s="60">
        <v>0</v>
      </c>
      <c r="AI188" s="60">
        <v>1351.23</v>
      </c>
      <c r="AJ188" s="60">
        <v>1277.27</v>
      </c>
      <c r="AK188" s="60">
        <v>1173.17</v>
      </c>
      <c r="AL188" s="60">
        <v>0</v>
      </c>
      <c r="AM188" s="60">
        <v>0</v>
      </c>
      <c r="AN188" s="60">
        <v>0</v>
      </c>
      <c r="AO188" s="60">
        <v>1351.23</v>
      </c>
      <c r="AP188" s="60">
        <v>1277.27</v>
      </c>
      <c r="AQ188" s="60">
        <v>1173.17</v>
      </c>
      <c r="AR188" s="61">
        <v>1351.23</v>
      </c>
    </row>
    <row r="189" spans="1:44" x14ac:dyDescent="0.35">
      <c r="A189" s="49" t="str">
        <f t="shared" si="16"/>
        <v>45</v>
      </c>
      <c r="B189" s="27">
        <v>69955</v>
      </c>
      <c r="C189" s="25" t="str">
        <f t="shared" si="17"/>
        <v>0000000</v>
      </c>
      <c r="D189" s="26" t="s">
        <v>3663</v>
      </c>
      <c r="E189" s="25" t="s">
        <v>2912</v>
      </c>
      <c r="F189" s="25" t="s">
        <v>2886</v>
      </c>
      <c r="G189" s="59" t="s">
        <v>2913</v>
      </c>
      <c r="H189" s="60">
        <v>843.82</v>
      </c>
      <c r="I189" s="60">
        <v>824.37</v>
      </c>
      <c r="J189" s="60">
        <v>825.34</v>
      </c>
      <c r="K189" s="60">
        <v>0</v>
      </c>
      <c r="L189" s="60"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60">
        <v>0</v>
      </c>
      <c r="T189" s="60">
        <v>0</v>
      </c>
      <c r="U189" s="60"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60">
        <v>0</v>
      </c>
      <c r="AC189" s="60">
        <v>0</v>
      </c>
      <c r="AD189" s="60">
        <v>0</v>
      </c>
      <c r="AE189" s="60">
        <v>0</v>
      </c>
      <c r="AF189" s="60">
        <v>0</v>
      </c>
      <c r="AG189" s="60">
        <v>0</v>
      </c>
      <c r="AH189" s="60">
        <v>0</v>
      </c>
      <c r="AI189" s="60">
        <v>843.82</v>
      </c>
      <c r="AJ189" s="60">
        <v>824.37</v>
      </c>
      <c r="AK189" s="60">
        <v>825.34</v>
      </c>
      <c r="AL189" s="60">
        <v>0</v>
      </c>
      <c r="AM189" s="60">
        <v>0</v>
      </c>
      <c r="AN189" s="60">
        <v>0</v>
      </c>
      <c r="AO189" s="60">
        <v>843.82</v>
      </c>
      <c r="AP189" s="60">
        <v>824.37</v>
      </c>
      <c r="AQ189" s="60">
        <v>825.34</v>
      </c>
      <c r="AR189" s="61">
        <v>843.82</v>
      </c>
    </row>
    <row r="190" spans="1:44" x14ac:dyDescent="0.35">
      <c r="A190" s="49" t="str">
        <f t="shared" si="16"/>
        <v>45</v>
      </c>
      <c r="B190" s="27">
        <v>69971</v>
      </c>
      <c r="C190" s="25" t="str">
        <f t="shared" si="17"/>
        <v>0000000</v>
      </c>
      <c r="D190" s="26" t="s">
        <v>3663</v>
      </c>
      <c r="E190" s="25" t="s">
        <v>2916</v>
      </c>
      <c r="F190" s="25" t="s">
        <v>2886</v>
      </c>
      <c r="G190" s="59" t="s">
        <v>2917</v>
      </c>
      <c r="H190" s="60">
        <v>3104.57</v>
      </c>
      <c r="I190" s="60">
        <v>3067.07</v>
      </c>
      <c r="J190" s="60">
        <v>2942.37</v>
      </c>
      <c r="K190" s="60">
        <v>0</v>
      </c>
      <c r="L190" s="60"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60">
        <v>0</v>
      </c>
      <c r="T190" s="60">
        <v>0</v>
      </c>
      <c r="U190" s="60"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60">
        <v>0</v>
      </c>
      <c r="AC190" s="60">
        <v>221.15</v>
      </c>
      <c r="AD190" s="60">
        <v>199.44</v>
      </c>
      <c r="AE190" s="60">
        <v>239.07</v>
      </c>
      <c r="AF190" s="60">
        <v>0</v>
      </c>
      <c r="AG190" s="60">
        <v>0</v>
      </c>
      <c r="AH190" s="60">
        <v>0</v>
      </c>
      <c r="AI190" s="60">
        <v>3325.72</v>
      </c>
      <c r="AJ190" s="60">
        <v>3266.51</v>
      </c>
      <c r="AK190" s="60">
        <v>3181.44</v>
      </c>
      <c r="AL190" s="60">
        <v>0</v>
      </c>
      <c r="AM190" s="60">
        <v>0</v>
      </c>
      <c r="AN190" s="60">
        <v>0</v>
      </c>
      <c r="AO190" s="60">
        <v>3325.72</v>
      </c>
      <c r="AP190" s="60">
        <v>3266.51</v>
      </c>
      <c r="AQ190" s="60">
        <v>3181.44</v>
      </c>
      <c r="AR190" s="61">
        <v>3325.72</v>
      </c>
    </row>
    <row r="191" spans="1:44" x14ac:dyDescent="0.35">
      <c r="A191" s="49" t="str">
        <f t="shared" si="16"/>
        <v>45</v>
      </c>
      <c r="B191" s="27">
        <v>70045</v>
      </c>
      <c r="C191" s="25" t="str">
        <f t="shared" si="17"/>
        <v>0000000</v>
      </c>
      <c r="D191" s="26" t="s">
        <v>3663</v>
      </c>
      <c r="E191" s="25" t="s">
        <v>2928</v>
      </c>
      <c r="F191" s="25" t="s">
        <v>2886</v>
      </c>
      <c r="G191" s="59" t="s">
        <v>2929</v>
      </c>
      <c r="H191" s="60">
        <v>351.53</v>
      </c>
      <c r="I191" s="60">
        <v>345.72</v>
      </c>
      <c r="J191" s="60">
        <v>318.69</v>
      </c>
      <c r="K191" s="60">
        <v>0</v>
      </c>
      <c r="L191" s="60"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60">
        <v>0</v>
      </c>
      <c r="T191" s="60">
        <v>0</v>
      </c>
      <c r="U191" s="60"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60">
        <v>0</v>
      </c>
      <c r="AC191" s="60">
        <v>0</v>
      </c>
      <c r="AD191" s="60">
        <v>0</v>
      </c>
      <c r="AE191" s="60">
        <v>0</v>
      </c>
      <c r="AF191" s="60">
        <v>0</v>
      </c>
      <c r="AG191" s="60">
        <v>0</v>
      </c>
      <c r="AH191" s="60">
        <v>0</v>
      </c>
      <c r="AI191" s="60">
        <v>351.53</v>
      </c>
      <c r="AJ191" s="60">
        <v>345.72</v>
      </c>
      <c r="AK191" s="60">
        <v>318.69</v>
      </c>
      <c r="AL191" s="60">
        <v>0</v>
      </c>
      <c r="AM191" s="60">
        <v>0</v>
      </c>
      <c r="AN191" s="60">
        <v>0</v>
      </c>
      <c r="AO191" s="60">
        <v>351.53</v>
      </c>
      <c r="AP191" s="60">
        <v>345.72</v>
      </c>
      <c r="AQ191" s="60">
        <v>318.69</v>
      </c>
      <c r="AR191" s="61">
        <v>351.53</v>
      </c>
    </row>
    <row r="192" spans="1:44" x14ac:dyDescent="0.35">
      <c r="A192" s="49" t="str">
        <f t="shared" si="16"/>
        <v>45</v>
      </c>
      <c r="B192" s="27">
        <v>70094</v>
      </c>
      <c r="C192" s="25" t="str">
        <f t="shared" si="17"/>
        <v>0000000</v>
      </c>
      <c r="D192" s="26" t="s">
        <v>3663</v>
      </c>
      <c r="E192" s="25" t="s">
        <v>2936</v>
      </c>
      <c r="F192" s="25" t="s">
        <v>2886</v>
      </c>
      <c r="G192" s="59" t="s">
        <v>2937</v>
      </c>
      <c r="H192" s="60">
        <v>671.77</v>
      </c>
      <c r="I192" s="60">
        <v>638.25</v>
      </c>
      <c r="J192" s="60">
        <v>629.27</v>
      </c>
      <c r="K192" s="60">
        <v>0</v>
      </c>
      <c r="L192" s="60">
        <v>0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60">
        <v>0</v>
      </c>
      <c r="T192" s="60">
        <v>0</v>
      </c>
      <c r="U192" s="60"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60">
        <v>0</v>
      </c>
      <c r="AC192" s="60">
        <v>0</v>
      </c>
      <c r="AD192" s="60">
        <v>0</v>
      </c>
      <c r="AE192" s="60">
        <v>0</v>
      </c>
      <c r="AF192" s="60">
        <v>0</v>
      </c>
      <c r="AG192" s="60">
        <v>0</v>
      </c>
      <c r="AH192" s="60">
        <v>0</v>
      </c>
      <c r="AI192" s="60">
        <v>671.77</v>
      </c>
      <c r="AJ192" s="60">
        <v>638.25</v>
      </c>
      <c r="AK192" s="60">
        <v>629.27</v>
      </c>
      <c r="AL192" s="60">
        <v>0</v>
      </c>
      <c r="AM192" s="60">
        <v>0</v>
      </c>
      <c r="AN192" s="60">
        <v>0</v>
      </c>
      <c r="AO192" s="60">
        <v>671.77</v>
      </c>
      <c r="AP192" s="60">
        <v>638.25</v>
      </c>
      <c r="AQ192" s="60">
        <v>629.27</v>
      </c>
      <c r="AR192" s="61">
        <v>671.77</v>
      </c>
    </row>
    <row r="193" spans="1:44" x14ac:dyDescent="0.35">
      <c r="A193" s="49" t="str">
        <f t="shared" si="16"/>
        <v>45</v>
      </c>
      <c r="B193" s="27">
        <v>70110</v>
      </c>
      <c r="C193" s="25" t="str">
        <f t="shared" si="17"/>
        <v>0000000</v>
      </c>
      <c r="D193" s="26" t="s">
        <v>3663</v>
      </c>
      <c r="E193" s="25" t="s">
        <v>2938</v>
      </c>
      <c r="F193" s="25" t="s">
        <v>2886</v>
      </c>
      <c r="G193" s="59" t="s">
        <v>2939</v>
      </c>
      <c r="H193" s="60">
        <v>2641.28</v>
      </c>
      <c r="I193" s="60">
        <v>2538.71</v>
      </c>
      <c r="J193" s="60">
        <v>2544.75</v>
      </c>
      <c r="K193" s="60">
        <v>0</v>
      </c>
      <c r="L193" s="60">
        <v>0</v>
      </c>
      <c r="M193" s="60">
        <v>0</v>
      </c>
      <c r="N193" s="60">
        <v>0</v>
      </c>
      <c r="O193" s="60">
        <v>0</v>
      </c>
      <c r="P193" s="60">
        <v>0</v>
      </c>
      <c r="Q193" s="60">
        <v>0</v>
      </c>
      <c r="R193" s="60">
        <v>0</v>
      </c>
      <c r="S193" s="60">
        <v>0</v>
      </c>
      <c r="T193" s="60">
        <v>0</v>
      </c>
      <c r="U193" s="60"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60">
        <v>0</v>
      </c>
      <c r="AC193" s="60">
        <v>242.79</v>
      </c>
      <c r="AD193" s="60">
        <v>197.16</v>
      </c>
      <c r="AE193" s="60">
        <v>274.63</v>
      </c>
      <c r="AF193" s="60">
        <v>0</v>
      </c>
      <c r="AG193" s="60">
        <v>0</v>
      </c>
      <c r="AH193" s="60">
        <v>0</v>
      </c>
      <c r="AI193" s="60">
        <v>2884.07</v>
      </c>
      <c r="AJ193" s="60">
        <v>2735.87</v>
      </c>
      <c r="AK193" s="60">
        <v>2819.38</v>
      </c>
      <c r="AL193" s="60">
        <v>0</v>
      </c>
      <c r="AM193" s="60">
        <v>0</v>
      </c>
      <c r="AN193" s="60">
        <v>-83.33</v>
      </c>
      <c r="AO193" s="60">
        <v>2884.07</v>
      </c>
      <c r="AP193" s="60">
        <v>2735.87</v>
      </c>
      <c r="AQ193" s="60">
        <v>2736.05</v>
      </c>
      <c r="AR193" s="61">
        <v>2884.07</v>
      </c>
    </row>
    <row r="194" spans="1:44" x14ac:dyDescent="0.35">
      <c r="A194" s="49" t="str">
        <f t="shared" si="16"/>
        <v>45</v>
      </c>
      <c r="B194" s="27">
        <v>69856</v>
      </c>
      <c r="C194" s="25" t="str">
        <f t="shared" si="17"/>
        <v>0000000</v>
      </c>
      <c r="D194" s="26" t="s">
        <v>3663</v>
      </c>
      <c r="E194" s="25" t="s">
        <v>2894</v>
      </c>
      <c r="F194" s="25" t="s">
        <v>2886</v>
      </c>
      <c r="G194" s="59" t="s">
        <v>2895</v>
      </c>
      <c r="H194" s="60">
        <v>1342.59</v>
      </c>
      <c r="I194" s="60">
        <v>1345.47</v>
      </c>
      <c r="J194" s="60">
        <v>1322.19</v>
      </c>
      <c r="K194" s="60">
        <v>0</v>
      </c>
      <c r="L194" s="60">
        <v>0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60">
        <v>0</v>
      </c>
      <c r="T194" s="60">
        <v>0</v>
      </c>
      <c r="U194" s="60"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60">
        <v>0</v>
      </c>
      <c r="AC194" s="60">
        <v>109.16</v>
      </c>
      <c r="AD194" s="60">
        <v>92.8</v>
      </c>
      <c r="AE194" s="60">
        <v>95.77</v>
      </c>
      <c r="AF194" s="60">
        <v>0</v>
      </c>
      <c r="AG194" s="60">
        <v>0</v>
      </c>
      <c r="AH194" s="60">
        <v>0</v>
      </c>
      <c r="AI194" s="60">
        <v>1451.75</v>
      </c>
      <c r="AJ194" s="60">
        <v>1438.27</v>
      </c>
      <c r="AK194" s="60">
        <v>1417.96</v>
      </c>
      <c r="AL194" s="60">
        <v>0</v>
      </c>
      <c r="AM194" s="60">
        <v>0</v>
      </c>
      <c r="AN194" s="60">
        <v>0</v>
      </c>
      <c r="AO194" s="60">
        <v>1451.75</v>
      </c>
      <c r="AP194" s="60">
        <v>1438.27</v>
      </c>
      <c r="AQ194" s="60">
        <v>1417.96</v>
      </c>
      <c r="AR194" s="61">
        <v>1451.75</v>
      </c>
    </row>
    <row r="195" spans="1:44" x14ac:dyDescent="0.35">
      <c r="A195" s="49" t="str">
        <f t="shared" si="16"/>
        <v>45</v>
      </c>
      <c r="B195" s="27">
        <v>70136</v>
      </c>
      <c r="C195" s="25" t="str">
        <f t="shared" si="17"/>
        <v>0000000</v>
      </c>
      <c r="D195" s="26" t="s">
        <v>3663</v>
      </c>
      <c r="E195" s="25" t="s">
        <v>2945</v>
      </c>
      <c r="F195" s="25" t="s">
        <v>2886</v>
      </c>
      <c r="G195" s="59" t="s">
        <v>2946</v>
      </c>
      <c r="H195" s="60">
        <v>3851.59</v>
      </c>
      <c r="I195" s="60">
        <v>3871.37</v>
      </c>
      <c r="J195" s="60">
        <v>3851.52</v>
      </c>
      <c r="K195" s="60">
        <v>0</v>
      </c>
      <c r="L195" s="60">
        <v>0</v>
      </c>
      <c r="M195" s="60">
        <v>0</v>
      </c>
      <c r="N195" s="60">
        <v>0</v>
      </c>
      <c r="O195" s="60">
        <v>0</v>
      </c>
      <c r="P195" s="60">
        <v>0</v>
      </c>
      <c r="Q195" s="60">
        <v>0</v>
      </c>
      <c r="R195" s="60">
        <v>0</v>
      </c>
      <c r="S195" s="60">
        <v>0</v>
      </c>
      <c r="T195" s="60">
        <v>0</v>
      </c>
      <c r="U195" s="60">
        <v>0</v>
      </c>
      <c r="V195" s="60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60">
        <v>0</v>
      </c>
      <c r="AC195" s="60">
        <v>985.99</v>
      </c>
      <c r="AD195" s="60">
        <v>980</v>
      </c>
      <c r="AE195" s="60">
        <v>945.14</v>
      </c>
      <c r="AF195" s="60">
        <v>0</v>
      </c>
      <c r="AG195" s="60">
        <v>0</v>
      </c>
      <c r="AH195" s="60">
        <v>0</v>
      </c>
      <c r="AI195" s="60">
        <v>4837.58</v>
      </c>
      <c r="AJ195" s="60">
        <v>4851.37</v>
      </c>
      <c r="AK195" s="60">
        <v>4796.66</v>
      </c>
      <c r="AL195" s="60">
        <v>0</v>
      </c>
      <c r="AM195" s="60">
        <v>0</v>
      </c>
      <c r="AN195" s="60">
        <v>0</v>
      </c>
      <c r="AO195" s="60">
        <v>4837.58</v>
      </c>
      <c r="AP195" s="60">
        <v>4851.37</v>
      </c>
      <c r="AQ195" s="60">
        <v>4796.66</v>
      </c>
      <c r="AR195" s="61">
        <v>4851.37</v>
      </c>
    </row>
    <row r="196" spans="1:44" x14ac:dyDescent="0.35">
      <c r="A196" s="49" t="str">
        <f t="shared" si="16"/>
        <v>45</v>
      </c>
      <c r="B196" s="27">
        <v>69989</v>
      </c>
      <c r="C196" s="25" t="str">
        <f t="shared" si="17"/>
        <v>0000000</v>
      </c>
      <c r="D196" s="26" t="s">
        <v>3663</v>
      </c>
      <c r="E196" s="25" t="s">
        <v>2918</v>
      </c>
      <c r="F196" s="25" t="s">
        <v>2886</v>
      </c>
      <c r="G196" s="59" t="s">
        <v>2919</v>
      </c>
      <c r="H196" s="60">
        <v>1041.05</v>
      </c>
      <c r="I196" s="60">
        <v>1065.01</v>
      </c>
      <c r="J196" s="60">
        <v>994.42</v>
      </c>
      <c r="K196" s="60">
        <v>0</v>
      </c>
      <c r="L196" s="60">
        <v>0</v>
      </c>
      <c r="M196" s="60">
        <v>0</v>
      </c>
      <c r="N196" s="60">
        <v>0</v>
      </c>
      <c r="O196" s="60">
        <v>0</v>
      </c>
      <c r="P196" s="60">
        <v>0</v>
      </c>
      <c r="Q196" s="60">
        <v>0</v>
      </c>
      <c r="R196" s="60">
        <v>0</v>
      </c>
      <c r="S196" s="60">
        <v>0</v>
      </c>
      <c r="T196" s="60">
        <v>0</v>
      </c>
      <c r="U196" s="60">
        <v>0</v>
      </c>
      <c r="V196" s="60">
        <v>0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60">
        <v>0</v>
      </c>
      <c r="AC196" s="60">
        <v>0</v>
      </c>
      <c r="AD196" s="60">
        <v>0</v>
      </c>
      <c r="AE196" s="60">
        <v>0</v>
      </c>
      <c r="AF196" s="60">
        <v>0</v>
      </c>
      <c r="AG196" s="60">
        <v>0</v>
      </c>
      <c r="AH196" s="60">
        <v>0</v>
      </c>
      <c r="AI196" s="60">
        <v>1041.05</v>
      </c>
      <c r="AJ196" s="60">
        <v>1065.01</v>
      </c>
      <c r="AK196" s="60">
        <v>994.42</v>
      </c>
      <c r="AL196" s="60">
        <v>0</v>
      </c>
      <c r="AM196" s="60">
        <v>0</v>
      </c>
      <c r="AN196" s="60">
        <v>0</v>
      </c>
      <c r="AO196" s="60">
        <v>1041.05</v>
      </c>
      <c r="AP196" s="60">
        <v>1065.01</v>
      </c>
      <c r="AQ196" s="60">
        <v>994.42</v>
      </c>
      <c r="AR196" s="61">
        <v>1065.01</v>
      </c>
    </row>
    <row r="197" spans="1:44" x14ac:dyDescent="0.35">
      <c r="A197" s="49" t="str">
        <f t="shared" si="16"/>
        <v>45</v>
      </c>
      <c r="B197" s="27">
        <v>69948</v>
      </c>
      <c r="C197" s="25" t="str">
        <f t="shared" si="17"/>
        <v>0000000</v>
      </c>
      <c r="D197" s="26" t="s">
        <v>3663</v>
      </c>
      <c r="E197" s="25" t="s">
        <v>2904</v>
      </c>
      <c r="F197" s="25" t="s">
        <v>2886</v>
      </c>
      <c r="G197" s="59" t="s">
        <v>2905</v>
      </c>
      <c r="H197" s="60">
        <v>748.15</v>
      </c>
      <c r="I197" s="60">
        <v>697.05</v>
      </c>
      <c r="J197" s="60">
        <v>659.29</v>
      </c>
      <c r="K197" s="60">
        <v>0</v>
      </c>
      <c r="L197" s="60">
        <v>0</v>
      </c>
      <c r="M197" s="60">
        <v>0</v>
      </c>
      <c r="N197" s="60">
        <v>0</v>
      </c>
      <c r="O197" s="60">
        <v>0</v>
      </c>
      <c r="P197" s="60">
        <v>0</v>
      </c>
      <c r="Q197" s="60">
        <v>0</v>
      </c>
      <c r="R197" s="60">
        <v>0</v>
      </c>
      <c r="S197" s="60">
        <v>0</v>
      </c>
      <c r="T197" s="60">
        <v>0</v>
      </c>
      <c r="U197" s="60">
        <v>0</v>
      </c>
      <c r="V197" s="60">
        <v>0</v>
      </c>
      <c r="W197" s="60">
        <v>0</v>
      </c>
      <c r="X197" s="60">
        <v>0</v>
      </c>
      <c r="Y197" s="60">
        <v>0</v>
      </c>
      <c r="Z197" s="60">
        <v>0</v>
      </c>
      <c r="AA197" s="60">
        <v>0</v>
      </c>
      <c r="AB197" s="60">
        <v>0</v>
      </c>
      <c r="AC197" s="60">
        <v>0</v>
      </c>
      <c r="AD197" s="60">
        <v>0</v>
      </c>
      <c r="AE197" s="60">
        <v>0</v>
      </c>
      <c r="AF197" s="60">
        <v>0</v>
      </c>
      <c r="AG197" s="60">
        <v>0</v>
      </c>
      <c r="AH197" s="60">
        <v>0</v>
      </c>
      <c r="AI197" s="60">
        <v>748.15</v>
      </c>
      <c r="AJ197" s="60">
        <v>697.05</v>
      </c>
      <c r="AK197" s="60">
        <v>659.29</v>
      </c>
      <c r="AL197" s="60">
        <v>0</v>
      </c>
      <c r="AM197" s="60">
        <v>0</v>
      </c>
      <c r="AN197" s="60">
        <v>0</v>
      </c>
      <c r="AO197" s="60">
        <v>748.15</v>
      </c>
      <c r="AP197" s="60">
        <v>697.05</v>
      </c>
      <c r="AQ197" s="60">
        <v>659.29</v>
      </c>
      <c r="AR197" s="61">
        <v>748.15</v>
      </c>
    </row>
    <row r="198" spans="1:44" x14ac:dyDescent="0.35">
      <c r="A198" s="49" t="str">
        <f t="shared" si="16"/>
        <v>45</v>
      </c>
      <c r="B198" s="27">
        <v>70003</v>
      </c>
      <c r="C198" s="25" t="str">
        <f t="shared" si="17"/>
        <v>0000000</v>
      </c>
      <c r="D198" s="26" t="s">
        <v>3663</v>
      </c>
      <c r="E198" s="25" t="s">
        <v>2922</v>
      </c>
      <c r="F198" s="25" t="s">
        <v>2886</v>
      </c>
      <c r="G198" s="59" t="s">
        <v>2923</v>
      </c>
      <c r="H198" s="60">
        <v>595.66</v>
      </c>
      <c r="I198" s="60">
        <v>616.73</v>
      </c>
      <c r="J198" s="60">
        <v>567.25</v>
      </c>
      <c r="K198" s="60">
        <v>0</v>
      </c>
      <c r="L198" s="60">
        <v>0</v>
      </c>
      <c r="M198" s="60">
        <v>0</v>
      </c>
      <c r="N198" s="60">
        <v>0</v>
      </c>
      <c r="O198" s="60">
        <v>0</v>
      </c>
      <c r="P198" s="60">
        <v>0</v>
      </c>
      <c r="Q198" s="60">
        <v>0</v>
      </c>
      <c r="R198" s="60">
        <v>0</v>
      </c>
      <c r="S198" s="60">
        <v>0</v>
      </c>
      <c r="T198" s="60">
        <v>0</v>
      </c>
      <c r="U198" s="60">
        <v>0</v>
      </c>
      <c r="V198" s="60">
        <v>0</v>
      </c>
      <c r="W198" s="60">
        <v>0</v>
      </c>
      <c r="X198" s="60">
        <v>0</v>
      </c>
      <c r="Y198" s="60">
        <v>0</v>
      </c>
      <c r="Z198" s="60">
        <v>0</v>
      </c>
      <c r="AA198" s="60">
        <v>0</v>
      </c>
      <c r="AB198" s="60">
        <v>0</v>
      </c>
      <c r="AC198" s="60">
        <v>0</v>
      </c>
      <c r="AD198" s="60">
        <v>0</v>
      </c>
      <c r="AE198" s="60">
        <v>0</v>
      </c>
      <c r="AF198" s="60">
        <v>0</v>
      </c>
      <c r="AG198" s="60">
        <v>0</v>
      </c>
      <c r="AH198" s="60">
        <v>0</v>
      </c>
      <c r="AI198" s="60">
        <v>595.66</v>
      </c>
      <c r="AJ198" s="60">
        <v>616.73</v>
      </c>
      <c r="AK198" s="60">
        <v>567.25</v>
      </c>
      <c r="AL198" s="60">
        <v>0</v>
      </c>
      <c r="AM198" s="60">
        <v>0</v>
      </c>
      <c r="AN198" s="60">
        <v>0</v>
      </c>
      <c r="AO198" s="60">
        <v>595.66</v>
      </c>
      <c r="AP198" s="60">
        <v>616.73</v>
      </c>
      <c r="AQ198" s="60">
        <v>567.25</v>
      </c>
      <c r="AR198" s="61">
        <v>616.73</v>
      </c>
    </row>
    <row r="199" spans="1:44" x14ac:dyDescent="0.35">
      <c r="A199" s="49" t="str">
        <f t="shared" si="16"/>
        <v>45</v>
      </c>
      <c r="B199" s="27">
        <v>75267</v>
      </c>
      <c r="C199" s="25" t="str">
        <f t="shared" si="17"/>
        <v>0000000</v>
      </c>
      <c r="D199" s="26" t="s">
        <v>3663</v>
      </c>
      <c r="E199" s="25" t="s">
        <v>2954</v>
      </c>
      <c r="F199" s="25" t="s">
        <v>2886</v>
      </c>
      <c r="G199" s="59" t="s">
        <v>2955</v>
      </c>
      <c r="H199" s="60">
        <v>1929.78</v>
      </c>
      <c r="I199" s="60">
        <v>1952.47</v>
      </c>
      <c r="J199" s="60">
        <v>1861.5</v>
      </c>
      <c r="K199" s="60">
        <v>0</v>
      </c>
      <c r="L199" s="60">
        <v>0</v>
      </c>
      <c r="M199" s="60">
        <v>0</v>
      </c>
      <c r="N199" s="60">
        <v>0</v>
      </c>
      <c r="O199" s="60">
        <v>0</v>
      </c>
      <c r="P199" s="60">
        <v>0</v>
      </c>
      <c r="Q199" s="60">
        <v>0</v>
      </c>
      <c r="R199" s="60">
        <v>0</v>
      </c>
      <c r="S199" s="60">
        <v>0</v>
      </c>
      <c r="T199" s="60">
        <v>0</v>
      </c>
      <c r="U199" s="60">
        <v>0</v>
      </c>
      <c r="V199" s="60">
        <v>0</v>
      </c>
      <c r="W199" s="60">
        <v>0</v>
      </c>
      <c r="X199" s="60">
        <v>0</v>
      </c>
      <c r="Y199" s="60">
        <v>0</v>
      </c>
      <c r="Z199" s="60">
        <v>0</v>
      </c>
      <c r="AA199" s="60">
        <v>0</v>
      </c>
      <c r="AB199" s="60">
        <v>0</v>
      </c>
      <c r="AC199" s="60">
        <v>0</v>
      </c>
      <c r="AD199" s="60">
        <v>0</v>
      </c>
      <c r="AE199" s="60">
        <v>0</v>
      </c>
      <c r="AF199" s="60">
        <v>0</v>
      </c>
      <c r="AG199" s="60">
        <v>0</v>
      </c>
      <c r="AH199" s="60">
        <v>0</v>
      </c>
      <c r="AI199" s="60">
        <v>1929.78</v>
      </c>
      <c r="AJ199" s="60">
        <v>1952.47</v>
      </c>
      <c r="AK199" s="60">
        <v>1861.5</v>
      </c>
      <c r="AL199" s="60">
        <v>0</v>
      </c>
      <c r="AM199" s="60">
        <v>0</v>
      </c>
      <c r="AN199" s="60">
        <v>0</v>
      </c>
      <c r="AO199" s="60">
        <v>1929.78</v>
      </c>
      <c r="AP199" s="60">
        <v>1952.47</v>
      </c>
      <c r="AQ199" s="60">
        <v>1861.5</v>
      </c>
      <c r="AR199" s="61">
        <v>1952.47</v>
      </c>
    </row>
    <row r="200" spans="1:44" x14ac:dyDescent="0.35">
      <c r="A200" s="49" t="str">
        <f t="shared" si="16"/>
        <v>45</v>
      </c>
      <c r="B200" s="27">
        <v>69880</v>
      </c>
      <c r="C200" s="25" t="str">
        <f t="shared" si="17"/>
        <v>0000000</v>
      </c>
      <c r="D200" s="26" t="s">
        <v>3663</v>
      </c>
      <c r="E200" s="25" t="s">
        <v>2898</v>
      </c>
      <c r="F200" s="25" t="s">
        <v>2886</v>
      </c>
      <c r="G200" s="59" t="s">
        <v>2899</v>
      </c>
      <c r="H200" s="60">
        <v>223.91</v>
      </c>
      <c r="I200" s="60">
        <v>203.39</v>
      </c>
      <c r="J200" s="60">
        <v>163.89</v>
      </c>
      <c r="K200" s="60">
        <v>0</v>
      </c>
      <c r="L200" s="60">
        <v>0</v>
      </c>
      <c r="M200" s="60">
        <v>0</v>
      </c>
      <c r="N200" s="60">
        <v>0</v>
      </c>
      <c r="O200" s="60">
        <v>0</v>
      </c>
      <c r="P200" s="60">
        <v>0</v>
      </c>
      <c r="Q200" s="60">
        <v>0</v>
      </c>
      <c r="R200" s="60">
        <v>0</v>
      </c>
      <c r="S200" s="60">
        <v>0</v>
      </c>
      <c r="T200" s="60">
        <v>0</v>
      </c>
      <c r="U200" s="60">
        <v>0</v>
      </c>
      <c r="V200" s="60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v>0</v>
      </c>
      <c r="AD200" s="60">
        <v>0</v>
      </c>
      <c r="AE200" s="60">
        <v>0</v>
      </c>
      <c r="AF200" s="60">
        <v>0</v>
      </c>
      <c r="AG200" s="60">
        <v>0</v>
      </c>
      <c r="AH200" s="60">
        <v>0</v>
      </c>
      <c r="AI200" s="60">
        <v>223.91</v>
      </c>
      <c r="AJ200" s="60">
        <v>203.39</v>
      </c>
      <c r="AK200" s="60">
        <v>163.89</v>
      </c>
      <c r="AL200" s="60">
        <v>0</v>
      </c>
      <c r="AM200" s="60">
        <v>0</v>
      </c>
      <c r="AN200" s="60">
        <v>0</v>
      </c>
      <c r="AO200" s="60">
        <v>223.91</v>
      </c>
      <c r="AP200" s="60">
        <v>203.39</v>
      </c>
      <c r="AQ200" s="60">
        <v>163.89</v>
      </c>
      <c r="AR200" s="61">
        <v>223.91</v>
      </c>
    </row>
    <row r="201" spans="1:44" x14ac:dyDescent="0.35">
      <c r="A201" s="49" t="str">
        <f t="shared" si="16"/>
        <v>45</v>
      </c>
      <c r="B201" s="27">
        <v>69872</v>
      </c>
      <c r="C201" s="25" t="str">
        <f t="shared" si="17"/>
        <v>0000000</v>
      </c>
      <c r="D201" s="26" t="s">
        <v>3663</v>
      </c>
      <c r="E201" s="25" t="s">
        <v>2896</v>
      </c>
      <c r="F201" s="25" t="s">
        <v>2886</v>
      </c>
      <c r="G201" s="59" t="s">
        <v>2897</v>
      </c>
      <c r="H201" s="60">
        <v>318.23</v>
      </c>
      <c r="I201" s="60">
        <v>304.10000000000002</v>
      </c>
      <c r="J201" s="60">
        <v>287.2</v>
      </c>
      <c r="K201" s="60">
        <v>0</v>
      </c>
      <c r="L201" s="60">
        <v>0</v>
      </c>
      <c r="M201" s="60">
        <v>0</v>
      </c>
      <c r="N201" s="60">
        <v>0</v>
      </c>
      <c r="O201" s="60">
        <v>0</v>
      </c>
      <c r="P201" s="60">
        <v>0</v>
      </c>
      <c r="Q201" s="60">
        <v>0</v>
      </c>
      <c r="R201" s="60">
        <v>0</v>
      </c>
      <c r="S201" s="60">
        <v>0</v>
      </c>
      <c r="T201" s="60">
        <v>0</v>
      </c>
      <c r="U201" s="60">
        <v>0</v>
      </c>
      <c r="V201" s="60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0">
        <v>0</v>
      </c>
      <c r="AE201" s="60">
        <v>0</v>
      </c>
      <c r="AF201" s="60">
        <v>0</v>
      </c>
      <c r="AG201" s="60">
        <v>0</v>
      </c>
      <c r="AH201" s="60">
        <v>0</v>
      </c>
      <c r="AI201" s="60">
        <v>318.23</v>
      </c>
      <c r="AJ201" s="60">
        <v>304.10000000000002</v>
      </c>
      <c r="AK201" s="60">
        <v>287.2</v>
      </c>
      <c r="AL201" s="60">
        <v>0</v>
      </c>
      <c r="AM201" s="60">
        <v>0</v>
      </c>
      <c r="AN201" s="60">
        <v>0</v>
      </c>
      <c r="AO201" s="60">
        <v>318.23</v>
      </c>
      <c r="AP201" s="60">
        <v>304.10000000000002</v>
      </c>
      <c r="AQ201" s="60">
        <v>287.2</v>
      </c>
      <c r="AR201" s="61">
        <v>318.23</v>
      </c>
    </row>
    <row r="202" spans="1:44" x14ac:dyDescent="0.35">
      <c r="A202" s="49" t="str">
        <f t="shared" si="16"/>
        <v>45</v>
      </c>
      <c r="B202" s="27">
        <v>69922</v>
      </c>
      <c r="C202" s="25" t="str">
        <f t="shared" si="17"/>
        <v>0000000</v>
      </c>
      <c r="D202" s="26" t="s">
        <v>3663</v>
      </c>
      <c r="E202" s="25" t="s">
        <v>2902</v>
      </c>
      <c r="F202" s="25" t="s">
        <v>2886</v>
      </c>
      <c r="G202" s="59" t="s">
        <v>2903</v>
      </c>
      <c r="H202" s="60">
        <v>38.32</v>
      </c>
      <c r="I202" s="60">
        <v>32.86</v>
      </c>
      <c r="J202" s="60">
        <v>44.83</v>
      </c>
      <c r="K202" s="60">
        <v>0</v>
      </c>
      <c r="L202" s="60">
        <v>0</v>
      </c>
      <c r="M202" s="60">
        <v>0</v>
      </c>
      <c r="N202" s="60">
        <v>0</v>
      </c>
      <c r="O202" s="60">
        <v>0</v>
      </c>
      <c r="P202" s="60">
        <v>0</v>
      </c>
      <c r="Q202" s="60">
        <v>0</v>
      </c>
      <c r="R202" s="60">
        <v>0</v>
      </c>
      <c r="S202" s="60">
        <v>0</v>
      </c>
      <c r="T202" s="60">
        <v>0</v>
      </c>
      <c r="U202" s="60">
        <v>0</v>
      </c>
      <c r="V202" s="60">
        <v>0</v>
      </c>
      <c r="W202" s="60">
        <v>0</v>
      </c>
      <c r="X202" s="60">
        <v>0</v>
      </c>
      <c r="Y202" s="60">
        <v>0</v>
      </c>
      <c r="Z202" s="60">
        <v>0</v>
      </c>
      <c r="AA202" s="60">
        <v>0</v>
      </c>
      <c r="AB202" s="60">
        <v>0</v>
      </c>
      <c r="AC202" s="60">
        <v>0</v>
      </c>
      <c r="AD202" s="60">
        <v>0</v>
      </c>
      <c r="AE202" s="60">
        <v>0</v>
      </c>
      <c r="AF202" s="60">
        <v>0</v>
      </c>
      <c r="AG202" s="60">
        <v>0</v>
      </c>
      <c r="AH202" s="60">
        <v>0</v>
      </c>
      <c r="AI202" s="60">
        <v>38.32</v>
      </c>
      <c r="AJ202" s="60">
        <v>32.86</v>
      </c>
      <c r="AK202" s="60">
        <v>44.83</v>
      </c>
      <c r="AL202" s="60">
        <v>0</v>
      </c>
      <c r="AM202" s="60">
        <v>0</v>
      </c>
      <c r="AN202" s="60">
        <v>0</v>
      </c>
      <c r="AO202" s="60">
        <v>38.32</v>
      </c>
      <c r="AP202" s="60">
        <v>32.86</v>
      </c>
      <c r="AQ202" s="60">
        <v>44.83</v>
      </c>
      <c r="AR202" s="61">
        <v>44.83</v>
      </c>
    </row>
    <row r="203" spans="1:44" x14ac:dyDescent="0.35">
      <c r="A203" s="49" t="str">
        <f t="shared" si="16"/>
        <v>45</v>
      </c>
      <c r="B203" s="27">
        <v>69997</v>
      </c>
      <c r="C203" s="25" t="str">
        <f t="shared" si="17"/>
        <v>0000000</v>
      </c>
      <c r="D203" s="26" t="s">
        <v>3663</v>
      </c>
      <c r="E203" s="25" t="s">
        <v>2920</v>
      </c>
      <c r="F203" s="25" t="s">
        <v>2886</v>
      </c>
      <c r="G203" s="59" t="s">
        <v>2921</v>
      </c>
      <c r="H203" s="60">
        <v>13.54</v>
      </c>
      <c r="I203" s="60">
        <v>18.61</v>
      </c>
      <c r="J203" s="60">
        <v>25.02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  <c r="AG203" s="60">
        <v>0</v>
      </c>
      <c r="AH203" s="60">
        <v>0</v>
      </c>
      <c r="AI203" s="60">
        <v>13.54</v>
      </c>
      <c r="AJ203" s="60">
        <v>18.61</v>
      </c>
      <c r="AK203" s="60">
        <v>25.02</v>
      </c>
      <c r="AL203" s="60">
        <v>0</v>
      </c>
      <c r="AM203" s="60">
        <v>0</v>
      </c>
      <c r="AN203" s="60">
        <v>0</v>
      </c>
      <c r="AO203" s="60">
        <v>13.54</v>
      </c>
      <c r="AP203" s="60">
        <v>18.61</v>
      </c>
      <c r="AQ203" s="60">
        <v>25.02</v>
      </c>
      <c r="AR203" s="61">
        <v>25.02</v>
      </c>
    </row>
    <row r="204" spans="1:44" x14ac:dyDescent="0.35">
      <c r="A204" s="49" t="str">
        <f t="shared" si="16"/>
        <v>45</v>
      </c>
      <c r="B204" s="27">
        <v>70011</v>
      </c>
      <c r="C204" s="25" t="str">
        <f t="shared" si="17"/>
        <v>0000000</v>
      </c>
      <c r="D204" s="26" t="s">
        <v>3663</v>
      </c>
      <c r="E204" s="25" t="s">
        <v>2924</v>
      </c>
      <c r="F204" s="25" t="s">
        <v>2886</v>
      </c>
      <c r="G204" s="59" t="s">
        <v>2925</v>
      </c>
      <c r="H204" s="60">
        <v>471.02</v>
      </c>
      <c r="I204" s="60">
        <v>463.15</v>
      </c>
      <c r="J204" s="60">
        <v>444.37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  <c r="AG204" s="60">
        <v>0</v>
      </c>
      <c r="AH204" s="60">
        <v>0</v>
      </c>
      <c r="AI204" s="60">
        <v>471.02</v>
      </c>
      <c r="AJ204" s="60">
        <v>463.15</v>
      </c>
      <c r="AK204" s="60">
        <v>444.37</v>
      </c>
      <c r="AL204" s="60">
        <v>0</v>
      </c>
      <c r="AM204" s="60">
        <v>0</v>
      </c>
      <c r="AN204" s="60">
        <v>0</v>
      </c>
      <c r="AO204" s="60">
        <v>471.02</v>
      </c>
      <c r="AP204" s="60">
        <v>463.15</v>
      </c>
      <c r="AQ204" s="60">
        <v>444.37</v>
      </c>
      <c r="AR204" s="61">
        <v>471.02</v>
      </c>
    </row>
    <row r="205" spans="1:44" x14ac:dyDescent="0.35">
      <c r="A205" s="49" t="str">
        <f t="shared" si="16"/>
        <v>45</v>
      </c>
      <c r="B205" s="27">
        <v>70029</v>
      </c>
      <c r="C205" s="25" t="str">
        <f t="shared" si="17"/>
        <v>0000000</v>
      </c>
      <c r="D205" s="26" t="s">
        <v>3663</v>
      </c>
      <c r="E205" s="25" t="s">
        <v>2926</v>
      </c>
      <c r="F205" s="25" t="s">
        <v>2886</v>
      </c>
      <c r="G205" s="59" t="s">
        <v>2927</v>
      </c>
      <c r="H205" s="60">
        <v>28.83</v>
      </c>
      <c r="I205" s="60">
        <v>30.05</v>
      </c>
      <c r="J205" s="60">
        <v>29.35</v>
      </c>
      <c r="K205" s="60">
        <v>0</v>
      </c>
      <c r="L205" s="60">
        <v>0</v>
      </c>
      <c r="M205" s="60">
        <v>0</v>
      </c>
      <c r="N205" s="60">
        <v>0</v>
      </c>
      <c r="O205" s="60">
        <v>0</v>
      </c>
      <c r="P205" s="60">
        <v>0</v>
      </c>
      <c r="Q205" s="60">
        <v>0</v>
      </c>
      <c r="R205" s="60">
        <v>0</v>
      </c>
      <c r="S205" s="60">
        <v>0</v>
      </c>
      <c r="T205" s="60">
        <v>0</v>
      </c>
      <c r="U205" s="60">
        <v>0</v>
      </c>
      <c r="V205" s="60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0">
        <v>0</v>
      </c>
      <c r="AE205" s="60">
        <v>0</v>
      </c>
      <c r="AF205" s="60">
        <v>0</v>
      </c>
      <c r="AG205" s="60">
        <v>0</v>
      </c>
      <c r="AH205" s="60">
        <v>0</v>
      </c>
      <c r="AI205" s="60">
        <v>28.83</v>
      </c>
      <c r="AJ205" s="60">
        <v>30.05</v>
      </c>
      <c r="AK205" s="60">
        <v>29.35</v>
      </c>
      <c r="AL205" s="60">
        <v>0</v>
      </c>
      <c r="AM205" s="60">
        <v>0</v>
      </c>
      <c r="AN205" s="60">
        <v>0</v>
      </c>
      <c r="AO205" s="60">
        <v>28.83</v>
      </c>
      <c r="AP205" s="60">
        <v>30.05</v>
      </c>
      <c r="AQ205" s="60">
        <v>29.35</v>
      </c>
      <c r="AR205" s="61">
        <v>30.05</v>
      </c>
    </row>
    <row r="206" spans="1:44" x14ac:dyDescent="0.35">
      <c r="A206" s="49" t="str">
        <f t="shared" si="16"/>
        <v>45</v>
      </c>
      <c r="B206" s="27">
        <v>70052</v>
      </c>
      <c r="C206" s="25" t="str">
        <f t="shared" si="17"/>
        <v>0000000</v>
      </c>
      <c r="D206" s="26" t="s">
        <v>3663</v>
      </c>
      <c r="E206" s="25" t="s">
        <v>2930</v>
      </c>
      <c r="F206" s="25" t="s">
        <v>2886</v>
      </c>
      <c r="G206" s="59" t="s">
        <v>2931</v>
      </c>
      <c r="H206" s="60">
        <v>197.55</v>
      </c>
      <c r="I206" s="60">
        <v>225.25</v>
      </c>
      <c r="J206" s="60">
        <v>218.77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60">
        <v>0</v>
      </c>
      <c r="AG206" s="60">
        <v>0</v>
      </c>
      <c r="AH206" s="60">
        <v>0</v>
      </c>
      <c r="AI206" s="60">
        <v>197.55</v>
      </c>
      <c r="AJ206" s="60">
        <v>225.25</v>
      </c>
      <c r="AK206" s="60">
        <v>218.77</v>
      </c>
      <c r="AL206" s="60">
        <v>0</v>
      </c>
      <c r="AM206" s="60">
        <v>0</v>
      </c>
      <c r="AN206" s="60">
        <v>0</v>
      </c>
      <c r="AO206" s="60">
        <v>197.55</v>
      </c>
      <c r="AP206" s="60">
        <v>225.25</v>
      </c>
      <c r="AQ206" s="60">
        <v>218.77</v>
      </c>
      <c r="AR206" s="61">
        <v>225.25</v>
      </c>
    </row>
    <row r="207" spans="1:44" x14ac:dyDescent="0.35">
      <c r="A207" s="49" t="str">
        <f t="shared" si="16"/>
        <v>45</v>
      </c>
      <c r="B207" s="27">
        <v>70078</v>
      </c>
      <c r="C207" s="25" t="str">
        <f t="shared" si="17"/>
        <v>0000000</v>
      </c>
      <c r="D207" s="26" t="s">
        <v>3663</v>
      </c>
      <c r="E207" s="25" t="s">
        <v>2932</v>
      </c>
      <c r="F207" s="25" t="s">
        <v>2886</v>
      </c>
      <c r="G207" s="59" t="s">
        <v>2933</v>
      </c>
      <c r="H207" s="60">
        <v>251.29</v>
      </c>
      <c r="I207" s="60">
        <v>241.31</v>
      </c>
      <c r="J207" s="60">
        <v>238.03</v>
      </c>
      <c r="K207" s="60">
        <v>0</v>
      </c>
      <c r="L207" s="60">
        <v>0</v>
      </c>
      <c r="M207" s="60">
        <v>0</v>
      </c>
      <c r="N207" s="60">
        <v>0</v>
      </c>
      <c r="O207" s="60">
        <v>0</v>
      </c>
      <c r="P207" s="60">
        <v>0</v>
      </c>
      <c r="Q207" s="60">
        <v>0</v>
      </c>
      <c r="R207" s="60">
        <v>0</v>
      </c>
      <c r="S207" s="60">
        <v>0</v>
      </c>
      <c r="T207" s="60">
        <v>0</v>
      </c>
      <c r="U207" s="60">
        <v>0</v>
      </c>
      <c r="V207" s="60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0">
        <v>0</v>
      </c>
      <c r="AE207" s="60">
        <v>0</v>
      </c>
      <c r="AF207" s="60">
        <v>0</v>
      </c>
      <c r="AG207" s="60">
        <v>0</v>
      </c>
      <c r="AH207" s="60">
        <v>0</v>
      </c>
      <c r="AI207" s="60">
        <v>251.29</v>
      </c>
      <c r="AJ207" s="60">
        <v>241.31</v>
      </c>
      <c r="AK207" s="60">
        <v>238.03</v>
      </c>
      <c r="AL207" s="60">
        <v>0</v>
      </c>
      <c r="AM207" s="60">
        <v>0</v>
      </c>
      <c r="AN207" s="60">
        <v>0</v>
      </c>
      <c r="AO207" s="60">
        <v>251.29</v>
      </c>
      <c r="AP207" s="60">
        <v>241.31</v>
      </c>
      <c r="AQ207" s="60">
        <v>238.03</v>
      </c>
      <c r="AR207" s="61">
        <v>251.29</v>
      </c>
    </row>
    <row r="208" spans="1:44" x14ac:dyDescent="0.35">
      <c r="A208" s="49" t="str">
        <f t="shared" si="16"/>
        <v>45</v>
      </c>
      <c r="B208" s="27">
        <v>70086</v>
      </c>
      <c r="C208" s="25" t="str">
        <f t="shared" si="17"/>
        <v>0000000</v>
      </c>
      <c r="D208" s="26" t="s">
        <v>3663</v>
      </c>
      <c r="E208" s="25" t="s">
        <v>2934</v>
      </c>
      <c r="F208" s="25" t="s">
        <v>2886</v>
      </c>
      <c r="G208" s="59" t="s">
        <v>2935</v>
      </c>
      <c r="H208" s="60">
        <v>15.65</v>
      </c>
      <c r="I208" s="60">
        <v>46.93</v>
      </c>
      <c r="J208" s="60">
        <v>51.88</v>
      </c>
      <c r="K208" s="60">
        <v>0</v>
      </c>
      <c r="L208" s="60">
        <v>0</v>
      </c>
      <c r="M208" s="60">
        <v>0</v>
      </c>
      <c r="N208" s="60">
        <v>0</v>
      </c>
      <c r="O208" s="60">
        <v>0</v>
      </c>
      <c r="P208" s="60">
        <v>0</v>
      </c>
      <c r="Q208" s="60">
        <v>0</v>
      </c>
      <c r="R208" s="60">
        <v>0</v>
      </c>
      <c r="S208" s="60">
        <v>0</v>
      </c>
      <c r="T208" s="60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0">
        <v>0</v>
      </c>
      <c r="AE208" s="60">
        <v>0</v>
      </c>
      <c r="AF208" s="60">
        <v>0</v>
      </c>
      <c r="AG208" s="60">
        <v>0</v>
      </c>
      <c r="AH208" s="60">
        <v>0</v>
      </c>
      <c r="AI208" s="60">
        <v>15.65</v>
      </c>
      <c r="AJ208" s="60">
        <v>46.93</v>
      </c>
      <c r="AK208" s="60">
        <v>51.88</v>
      </c>
      <c r="AL208" s="60">
        <v>0</v>
      </c>
      <c r="AM208" s="60">
        <v>0</v>
      </c>
      <c r="AN208" s="60">
        <v>0</v>
      </c>
      <c r="AO208" s="60">
        <v>15.65</v>
      </c>
      <c r="AP208" s="60">
        <v>46.93</v>
      </c>
      <c r="AQ208" s="60">
        <v>51.88</v>
      </c>
      <c r="AR208" s="61">
        <v>51.88</v>
      </c>
    </row>
    <row r="209" spans="1:44" x14ac:dyDescent="0.35">
      <c r="A209" s="49" t="str">
        <f t="shared" si="16"/>
        <v>45</v>
      </c>
      <c r="B209" s="27">
        <v>70128</v>
      </c>
      <c r="C209" s="25" t="str">
        <f t="shared" si="17"/>
        <v>0000000</v>
      </c>
      <c r="D209" s="26" t="s">
        <v>3663</v>
      </c>
      <c r="E209" s="25" t="s">
        <v>2943</v>
      </c>
      <c r="F209" s="25" t="s">
        <v>2886</v>
      </c>
      <c r="G209" s="59" t="s">
        <v>2944</v>
      </c>
      <c r="H209" s="60">
        <v>96.85</v>
      </c>
      <c r="I209" s="60">
        <v>81.489999999999995</v>
      </c>
      <c r="J209" s="60">
        <v>92.41</v>
      </c>
      <c r="K209" s="60">
        <v>0</v>
      </c>
      <c r="L209" s="60">
        <v>0</v>
      </c>
      <c r="M209" s="60">
        <v>0</v>
      </c>
      <c r="N209" s="60">
        <v>0</v>
      </c>
      <c r="O209" s="60">
        <v>0</v>
      </c>
      <c r="P209" s="60">
        <v>0</v>
      </c>
      <c r="Q209" s="60">
        <v>0</v>
      </c>
      <c r="R209" s="60">
        <v>0</v>
      </c>
      <c r="S209" s="60">
        <v>0</v>
      </c>
      <c r="T209" s="60">
        <v>0</v>
      </c>
      <c r="U209" s="60">
        <v>0</v>
      </c>
      <c r="V209" s="60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0">
        <v>0</v>
      </c>
      <c r="AE209" s="60">
        <v>0</v>
      </c>
      <c r="AF209" s="60">
        <v>0</v>
      </c>
      <c r="AG209" s="60">
        <v>0</v>
      </c>
      <c r="AH209" s="60">
        <v>0</v>
      </c>
      <c r="AI209" s="60">
        <v>96.85</v>
      </c>
      <c r="AJ209" s="60">
        <v>81.489999999999995</v>
      </c>
      <c r="AK209" s="60">
        <v>92.41</v>
      </c>
      <c r="AL209" s="60">
        <v>0</v>
      </c>
      <c r="AM209" s="60">
        <v>0</v>
      </c>
      <c r="AN209" s="60">
        <v>0</v>
      </c>
      <c r="AO209" s="60">
        <v>96.85</v>
      </c>
      <c r="AP209" s="60">
        <v>81.489999999999995</v>
      </c>
      <c r="AQ209" s="60">
        <v>92.41</v>
      </c>
      <c r="AR209" s="61">
        <v>96.85</v>
      </c>
    </row>
    <row r="210" spans="1:44" x14ac:dyDescent="0.35">
      <c r="A210" s="49" t="str">
        <f t="shared" si="16"/>
        <v>45</v>
      </c>
      <c r="B210" s="27">
        <v>70169</v>
      </c>
      <c r="C210" s="25" t="str">
        <f t="shared" si="17"/>
        <v>0000000</v>
      </c>
      <c r="D210" s="26" t="s">
        <v>3663</v>
      </c>
      <c r="E210" s="25" t="s">
        <v>2950</v>
      </c>
      <c r="F210" s="25" t="s">
        <v>2886</v>
      </c>
      <c r="G210" s="59" t="s">
        <v>2951</v>
      </c>
      <c r="H210" s="60">
        <v>62.9</v>
      </c>
      <c r="I210" s="60">
        <v>60.99</v>
      </c>
      <c r="J210" s="60">
        <v>43.04</v>
      </c>
      <c r="K210" s="60">
        <v>0</v>
      </c>
      <c r="L210" s="60">
        <v>0</v>
      </c>
      <c r="M210" s="60">
        <v>0</v>
      </c>
      <c r="N210" s="60">
        <v>0</v>
      </c>
      <c r="O210" s="60">
        <v>0</v>
      </c>
      <c r="P210" s="60">
        <v>0</v>
      </c>
      <c r="Q210" s="60">
        <v>0</v>
      </c>
      <c r="R210" s="60">
        <v>0</v>
      </c>
      <c r="S210" s="60">
        <v>0</v>
      </c>
      <c r="T210" s="60">
        <v>0</v>
      </c>
      <c r="U210" s="60">
        <v>0</v>
      </c>
      <c r="V210" s="60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0">
        <v>0</v>
      </c>
      <c r="AE210" s="60">
        <v>0</v>
      </c>
      <c r="AF210" s="60">
        <v>0</v>
      </c>
      <c r="AG210" s="60">
        <v>0</v>
      </c>
      <c r="AH210" s="60">
        <v>0</v>
      </c>
      <c r="AI210" s="60">
        <v>62.9</v>
      </c>
      <c r="AJ210" s="60">
        <v>60.99</v>
      </c>
      <c r="AK210" s="60">
        <v>43.04</v>
      </c>
      <c r="AL210" s="60">
        <v>0</v>
      </c>
      <c r="AM210" s="60">
        <v>0</v>
      </c>
      <c r="AN210" s="60">
        <v>0</v>
      </c>
      <c r="AO210" s="60">
        <v>62.9</v>
      </c>
      <c r="AP210" s="60">
        <v>60.99</v>
      </c>
      <c r="AQ210" s="60">
        <v>43.04</v>
      </c>
      <c r="AR210" s="61">
        <v>62.9</v>
      </c>
    </row>
    <row r="211" spans="1:44" x14ac:dyDescent="0.35">
      <c r="A211" s="49" t="str">
        <f t="shared" si="16"/>
        <v>45</v>
      </c>
      <c r="B211" s="27">
        <v>73700</v>
      </c>
      <c r="C211" s="25" t="str">
        <f t="shared" si="17"/>
        <v>0000000</v>
      </c>
      <c r="D211" s="26" t="s">
        <v>3663</v>
      </c>
      <c r="E211" s="25" t="s">
        <v>2952</v>
      </c>
      <c r="F211" s="25" t="s">
        <v>2886</v>
      </c>
      <c r="G211" s="59" t="s">
        <v>2953</v>
      </c>
      <c r="H211" s="60">
        <v>72.78</v>
      </c>
      <c r="I211" s="60">
        <v>68.06</v>
      </c>
      <c r="J211" s="60">
        <v>84.45</v>
      </c>
      <c r="K211" s="60">
        <v>0</v>
      </c>
      <c r="L211" s="60">
        <v>0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60">
        <v>0</v>
      </c>
      <c r="T211" s="60">
        <v>0</v>
      </c>
      <c r="U211" s="60">
        <v>0</v>
      </c>
      <c r="V211" s="60">
        <v>0</v>
      </c>
      <c r="W211" s="60">
        <v>0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v>0</v>
      </c>
      <c r="AD211" s="60">
        <v>0</v>
      </c>
      <c r="AE211" s="60">
        <v>0</v>
      </c>
      <c r="AF211" s="60">
        <v>0</v>
      </c>
      <c r="AG211" s="60">
        <v>0</v>
      </c>
      <c r="AH211" s="60">
        <v>0</v>
      </c>
      <c r="AI211" s="60">
        <v>72.78</v>
      </c>
      <c r="AJ211" s="60">
        <v>68.06</v>
      </c>
      <c r="AK211" s="60">
        <v>84.45</v>
      </c>
      <c r="AL211" s="60">
        <v>0</v>
      </c>
      <c r="AM211" s="60">
        <v>0</v>
      </c>
      <c r="AN211" s="60">
        <v>0</v>
      </c>
      <c r="AO211" s="60">
        <v>72.78</v>
      </c>
      <c r="AP211" s="60">
        <v>68.06</v>
      </c>
      <c r="AQ211" s="60">
        <v>84.45</v>
      </c>
      <c r="AR211" s="61">
        <v>84.45</v>
      </c>
    </row>
    <row r="212" spans="1:44" x14ac:dyDescent="0.35">
      <c r="A212" s="49" t="str">
        <f t="shared" si="16"/>
        <v>45</v>
      </c>
      <c r="B212" s="27">
        <v>75267</v>
      </c>
      <c r="C212" s="25" t="str">
        <f>TEXT(113407,"0000000")</f>
        <v>0113407</v>
      </c>
      <c r="D212" s="26" t="s">
        <v>2958</v>
      </c>
      <c r="E212" s="25" t="s">
        <v>2956</v>
      </c>
      <c r="F212" s="25" t="s">
        <v>2886</v>
      </c>
      <c r="G212" s="59" t="s">
        <v>2957</v>
      </c>
      <c r="H212" s="60">
        <v>0</v>
      </c>
      <c r="I212" s="60">
        <v>0</v>
      </c>
      <c r="J212" s="60">
        <v>0</v>
      </c>
      <c r="K212" s="60">
        <v>0</v>
      </c>
      <c r="L212" s="60">
        <v>0</v>
      </c>
      <c r="M212" s="60">
        <v>0</v>
      </c>
      <c r="N212" s="60">
        <v>0</v>
      </c>
      <c r="O212" s="60">
        <v>0</v>
      </c>
      <c r="P212" s="60">
        <v>0</v>
      </c>
      <c r="Q212" s="60">
        <v>0</v>
      </c>
      <c r="R212" s="60">
        <v>0</v>
      </c>
      <c r="S212" s="60">
        <v>0</v>
      </c>
      <c r="T212" s="60">
        <v>0</v>
      </c>
      <c r="U212" s="60">
        <v>0</v>
      </c>
      <c r="V212" s="60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168.54</v>
      </c>
      <c r="AD212" s="60">
        <v>151.61000000000001</v>
      </c>
      <c r="AE212" s="60">
        <v>132.99</v>
      </c>
      <c r="AF212" s="60">
        <v>0</v>
      </c>
      <c r="AG212" s="60">
        <v>0</v>
      </c>
      <c r="AH212" s="60">
        <v>0</v>
      </c>
      <c r="AI212" s="60">
        <v>168.54</v>
      </c>
      <c r="AJ212" s="60">
        <v>151.61000000000001</v>
      </c>
      <c r="AK212" s="60">
        <v>132.99</v>
      </c>
      <c r="AL212" s="60">
        <v>0</v>
      </c>
      <c r="AM212" s="60">
        <v>0</v>
      </c>
      <c r="AN212" s="60">
        <v>0</v>
      </c>
      <c r="AO212" s="60">
        <v>168.54</v>
      </c>
      <c r="AP212" s="60">
        <v>151.61000000000001</v>
      </c>
      <c r="AQ212" s="60">
        <v>132.99</v>
      </c>
      <c r="AR212" s="61">
        <v>168.54</v>
      </c>
    </row>
    <row r="213" spans="1:44" x14ac:dyDescent="0.35">
      <c r="A213" s="49" t="str">
        <f t="shared" si="16"/>
        <v>45</v>
      </c>
      <c r="B213" s="27">
        <v>69955</v>
      </c>
      <c r="C213" s="25" t="str">
        <f>TEXT(121640,"0000000")</f>
        <v>0121640</v>
      </c>
      <c r="D213" s="27">
        <v>1183</v>
      </c>
      <c r="E213" s="25" t="s">
        <v>2914</v>
      </c>
      <c r="F213" s="25" t="s">
        <v>2886</v>
      </c>
      <c r="G213" s="59" t="s">
        <v>2915</v>
      </c>
      <c r="H213" s="60">
        <v>0</v>
      </c>
      <c r="I213" s="60">
        <v>0</v>
      </c>
      <c r="J213" s="60">
        <v>0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0">
        <v>0</v>
      </c>
      <c r="U213" s="60">
        <v>0</v>
      </c>
      <c r="V213" s="60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271.49</v>
      </c>
      <c r="AD213" s="60">
        <v>258.18</v>
      </c>
      <c r="AE213" s="60">
        <v>248.16</v>
      </c>
      <c r="AF213" s="60">
        <v>0</v>
      </c>
      <c r="AG213" s="60">
        <v>0</v>
      </c>
      <c r="AH213" s="60">
        <v>0</v>
      </c>
      <c r="AI213" s="60">
        <v>271.49</v>
      </c>
      <c r="AJ213" s="60">
        <v>258.18</v>
      </c>
      <c r="AK213" s="60">
        <v>248.16</v>
      </c>
      <c r="AL213" s="60">
        <v>0</v>
      </c>
      <c r="AM213" s="60">
        <v>0</v>
      </c>
      <c r="AN213" s="60">
        <v>0</v>
      </c>
      <c r="AO213" s="60">
        <v>271.49</v>
      </c>
      <c r="AP213" s="60">
        <v>258.18</v>
      </c>
      <c r="AQ213" s="60">
        <v>248.16</v>
      </c>
      <c r="AR213" s="61">
        <v>271.49</v>
      </c>
    </row>
    <row r="214" spans="1:44" x14ac:dyDescent="0.35">
      <c r="A214" s="49" t="str">
        <f t="shared" si="16"/>
        <v>45</v>
      </c>
      <c r="B214" s="27">
        <v>10454</v>
      </c>
      <c r="C214" s="25" t="str">
        <f>TEXT(129957,"0000000")</f>
        <v>0129957</v>
      </c>
      <c r="D214" s="27">
        <v>2076</v>
      </c>
      <c r="E214" s="25" t="s">
        <v>2890</v>
      </c>
      <c r="F214" s="25" t="s">
        <v>2886</v>
      </c>
      <c r="G214" s="59" t="s">
        <v>2891</v>
      </c>
      <c r="H214" s="60">
        <v>0</v>
      </c>
      <c r="I214" s="60">
        <v>0</v>
      </c>
      <c r="J214" s="60">
        <v>0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194.11</v>
      </c>
      <c r="AD214" s="60">
        <v>188.51</v>
      </c>
      <c r="AE214" s="60">
        <v>179.09</v>
      </c>
      <c r="AF214" s="60">
        <v>0</v>
      </c>
      <c r="AG214" s="60">
        <v>0</v>
      </c>
      <c r="AH214" s="60">
        <v>0</v>
      </c>
      <c r="AI214" s="60">
        <v>194.11</v>
      </c>
      <c r="AJ214" s="60">
        <v>188.51</v>
      </c>
      <c r="AK214" s="60">
        <v>179.09</v>
      </c>
      <c r="AL214" s="60">
        <v>0</v>
      </c>
      <c r="AM214" s="60">
        <v>0</v>
      </c>
      <c r="AN214" s="60">
        <v>0</v>
      </c>
      <c r="AO214" s="60">
        <v>194.11</v>
      </c>
      <c r="AP214" s="60">
        <v>188.51</v>
      </c>
      <c r="AQ214" s="60">
        <v>179.09</v>
      </c>
      <c r="AR214" s="61">
        <v>194.11</v>
      </c>
    </row>
    <row r="215" spans="1:44" x14ac:dyDescent="0.35">
      <c r="A215" s="49" t="str">
        <f t="shared" si="16"/>
        <v>45</v>
      </c>
      <c r="B215" s="27">
        <v>70110</v>
      </c>
      <c r="C215" s="25" t="str">
        <f>TEXT(6117931,"0000000")</f>
        <v>6117931</v>
      </c>
      <c r="D215" s="26" t="s">
        <v>2942</v>
      </c>
      <c r="E215" s="25" t="s">
        <v>2940</v>
      </c>
      <c r="F215" s="25" t="s">
        <v>2886</v>
      </c>
      <c r="G215" s="59" t="s">
        <v>2941</v>
      </c>
      <c r="H215" s="60">
        <v>0</v>
      </c>
      <c r="I215" s="60">
        <v>0</v>
      </c>
      <c r="J215" s="60">
        <v>0</v>
      </c>
      <c r="K215" s="60">
        <v>0</v>
      </c>
      <c r="L215" s="60">
        <v>0</v>
      </c>
      <c r="M215" s="60">
        <v>0</v>
      </c>
      <c r="N215" s="60">
        <v>0</v>
      </c>
      <c r="O215" s="60">
        <v>0</v>
      </c>
      <c r="P215" s="60">
        <v>0</v>
      </c>
      <c r="Q215" s="60">
        <v>0</v>
      </c>
      <c r="R215" s="60">
        <v>0</v>
      </c>
      <c r="S215" s="60">
        <v>0</v>
      </c>
      <c r="T215" s="60">
        <v>0</v>
      </c>
      <c r="U215" s="60">
        <v>0</v>
      </c>
      <c r="V215" s="60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60">
        <v>0</v>
      </c>
      <c r="AC215" s="60">
        <v>89.35</v>
      </c>
      <c r="AD215" s="60">
        <v>84.29</v>
      </c>
      <c r="AE215" s="60">
        <v>0</v>
      </c>
      <c r="AF215" s="60">
        <v>0</v>
      </c>
      <c r="AG215" s="60">
        <v>0</v>
      </c>
      <c r="AH215" s="60">
        <v>0</v>
      </c>
      <c r="AI215" s="60">
        <v>89.35</v>
      </c>
      <c r="AJ215" s="60">
        <v>84.29</v>
      </c>
      <c r="AK215" s="60">
        <v>0</v>
      </c>
      <c r="AL215" s="60">
        <v>0</v>
      </c>
      <c r="AM215" s="60">
        <v>0</v>
      </c>
      <c r="AN215" s="60">
        <v>83.33</v>
      </c>
      <c r="AO215" s="60">
        <v>89.35</v>
      </c>
      <c r="AP215" s="60">
        <v>84.29</v>
      </c>
      <c r="AQ215" s="60">
        <v>83.33</v>
      </c>
      <c r="AR215" s="61">
        <v>89.35</v>
      </c>
    </row>
    <row r="216" spans="1:44" x14ac:dyDescent="0.35">
      <c r="A216" s="49" t="str">
        <f>TEXT(33,"00")</f>
        <v>33</v>
      </c>
      <c r="B216" s="27">
        <v>75192</v>
      </c>
      <c r="C216" s="25" t="str">
        <f t="shared" ref="C216:C249" si="18">TEXT(,"0000000")</f>
        <v>0000000</v>
      </c>
      <c r="D216" s="26" t="s">
        <v>3663</v>
      </c>
      <c r="E216" s="25" t="s">
        <v>1775</v>
      </c>
      <c r="F216" s="25" t="s">
        <v>1776</v>
      </c>
      <c r="G216" s="59" t="s">
        <v>1776</v>
      </c>
      <c r="H216" s="60">
        <v>24757.65</v>
      </c>
      <c r="I216" s="60">
        <v>24619.599999999999</v>
      </c>
      <c r="J216" s="60">
        <v>24318.03</v>
      </c>
      <c r="K216" s="60">
        <v>0</v>
      </c>
      <c r="L216" s="60">
        <v>0</v>
      </c>
      <c r="M216" s="60">
        <v>0</v>
      </c>
      <c r="N216" s="60">
        <v>0</v>
      </c>
      <c r="O216" s="60">
        <v>0</v>
      </c>
      <c r="P216" s="60">
        <v>0</v>
      </c>
      <c r="Q216" s="60">
        <v>0</v>
      </c>
      <c r="R216" s="60">
        <v>0</v>
      </c>
      <c r="S216" s="60">
        <v>0</v>
      </c>
      <c r="T216" s="60">
        <v>0</v>
      </c>
      <c r="U216" s="60">
        <v>0</v>
      </c>
      <c r="V216" s="60">
        <v>0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60">
        <v>0</v>
      </c>
      <c r="AC216" s="60">
        <v>0</v>
      </c>
      <c r="AD216" s="60">
        <v>0</v>
      </c>
      <c r="AE216" s="60">
        <v>0</v>
      </c>
      <c r="AF216" s="60">
        <v>0</v>
      </c>
      <c r="AG216" s="60">
        <v>0</v>
      </c>
      <c r="AH216" s="60">
        <v>0</v>
      </c>
      <c r="AI216" s="60">
        <v>24757.65</v>
      </c>
      <c r="AJ216" s="60">
        <v>24619.599999999999</v>
      </c>
      <c r="AK216" s="60">
        <v>24318.03</v>
      </c>
      <c r="AL216" s="60">
        <v>0</v>
      </c>
      <c r="AM216" s="60">
        <v>0</v>
      </c>
      <c r="AN216" s="60">
        <v>0</v>
      </c>
      <c r="AO216" s="60">
        <v>24757.65</v>
      </c>
      <c r="AP216" s="60">
        <v>24619.599999999999</v>
      </c>
      <c r="AQ216" s="60">
        <v>24318.03</v>
      </c>
      <c r="AR216" s="61">
        <v>24757.65</v>
      </c>
    </row>
    <row r="217" spans="1:44" x14ac:dyDescent="0.35">
      <c r="A217" s="49" t="str">
        <f t="shared" ref="A217:A229" si="19">TEXT(23,"00")</f>
        <v>23</v>
      </c>
      <c r="B217" s="27">
        <v>10231</v>
      </c>
      <c r="C217" s="25" t="str">
        <f t="shared" si="18"/>
        <v>0000000</v>
      </c>
      <c r="D217" s="26" t="s">
        <v>3663</v>
      </c>
      <c r="E217" s="25" t="s">
        <v>1294</v>
      </c>
      <c r="F217" s="25" t="s">
        <v>1295</v>
      </c>
      <c r="G217" s="59" t="s">
        <v>1295</v>
      </c>
      <c r="H217" s="60">
        <v>0</v>
      </c>
      <c r="I217" s="60">
        <v>0</v>
      </c>
      <c r="J217" s="60">
        <v>0</v>
      </c>
      <c r="K217" s="60">
        <v>0</v>
      </c>
      <c r="L217" s="60">
        <v>0</v>
      </c>
      <c r="M217" s="60">
        <v>0</v>
      </c>
      <c r="N217" s="60">
        <v>0</v>
      </c>
      <c r="O217" s="60">
        <v>0</v>
      </c>
      <c r="P217" s="60">
        <v>0</v>
      </c>
      <c r="Q217" s="60">
        <v>0</v>
      </c>
      <c r="R217" s="60">
        <v>0</v>
      </c>
      <c r="S217" s="60">
        <v>0</v>
      </c>
      <c r="T217" s="60">
        <v>20.76</v>
      </c>
      <c r="U217" s="60">
        <v>23.06</v>
      </c>
      <c r="V217" s="60">
        <v>15.75</v>
      </c>
      <c r="W217" s="60">
        <v>25.84</v>
      </c>
      <c r="X217" s="60">
        <v>50.69</v>
      </c>
      <c r="Y217" s="60">
        <v>53.43</v>
      </c>
      <c r="Z217" s="60">
        <v>0</v>
      </c>
      <c r="AA217" s="60">
        <v>0</v>
      </c>
      <c r="AB217" s="60">
        <v>0</v>
      </c>
      <c r="AC217" s="60">
        <v>0</v>
      </c>
      <c r="AD217" s="60">
        <v>0</v>
      </c>
      <c r="AE217" s="60">
        <v>0</v>
      </c>
      <c r="AF217" s="60">
        <v>0</v>
      </c>
      <c r="AG217" s="60">
        <v>0</v>
      </c>
      <c r="AH217" s="60">
        <v>0</v>
      </c>
      <c r="AI217" s="60">
        <v>46.6</v>
      </c>
      <c r="AJ217" s="60">
        <v>73.75</v>
      </c>
      <c r="AK217" s="60">
        <v>69.180000000000007</v>
      </c>
      <c r="AL217" s="60">
        <v>0</v>
      </c>
      <c r="AM217" s="60">
        <v>0</v>
      </c>
      <c r="AN217" s="60">
        <v>0</v>
      </c>
      <c r="AO217" s="60">
        <v>46.6</v>
      </c>
      <c r="AP217" s="60">
        <v>73.75</v>
      </c>
      <c r="AQ217" s="60">
        <v>69.180000000000007</v>
      </c>
      <c r="AR217" s="61">
        <v>73.75</v>
      </c>
    </row>
    <row r="218" spans="1:44" x14ac:dyDescent="0.35">
      <c r="A218" s="49" t="str">
        <f t="shared" si="19"/>
        <v>23</v>
      </c>
      <c r="B218" s="27">
        <v>65540</v>
      </c>
      <c r="C218" s="25" t="str">
        <f t="shared" si="18"/>
        <v>0000000</v>
      </c>
      <c r="D218" s="26" t="s">
        <v>3663</v>
      </c>
      <c r="E218" s="25" t="s">
        <v>1296</v>
      </c>
      <c r="F218" s="25" t="s">
        <v>1295</v>
      </c>
      <c r="G218" s="59" t="s">
        <v>1297</v>
      </c>
      <c r="H218" s="60">
        <v>357.87</v>
      </c>
      <c r="I218" s="60">
        <v>373.65</v>
      </c>
      <c r="J218" s="60">
        <v>395.28</v>
      </c>
      <c r="K218" s="60">
        <v>0</v>
      </c>
      <c r="L218" s="60">
        <v>0</v>
      </c>
      <c r="M218" s="60">
        <v>0</v>
      </c>
      <c r="N218" s="60">
        <v>0</v>
      </c>
      <c r="O218" s="60">
        <v>0</v>
      </c>
      <c r="P218" s="60">
        <v>0</v>
      </c>
      <c r="Q218" s="60">
        <v>0</v>
      </c>
      <c r="R218" s="60">
        <v>0</v>
      </c>
      <c r="S218" s="60">
        <v>0</v>
      </c>
      <c r="T218" s="60">
        <v>0</v>
      </c>
      <c r="U218" s="60">
        <v>0</v>
      </c>
      <c r="V218" s="60">
        <v>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60">
        <v>0</v>
      </c>
      <c r="AE218" s="60">
        <v>0</v>
      </c>
      <c r="AF218" s="60">
        <v>0</v>
      </c>
      <c r="AG218" s="60">
        <v>0</v>
      </c>
      <c r="AH218" s="60">
        <v>0</v>
      </c>
      <c r="AI218" s="60">
        <v>357.87</v>
      </c>
      <c r="AJ218" s="60">
        <v>373.65</v>
      </c>
      <c r="AK218" s="60">
        <v>395.28</v>
      </c>
      <c r="AL218" s="60">
        <v>0</v>
      </c>
      <c r="AM218" s="60">
        <v>0</v>
      </c>
      <c r="AN218" s="60">
        <v>0</v>
      </c>
      <c r="AO218" s="60">
        <v>357.87</v>
      </c>
      <c r="AP218" s="60">
        <v>373.65</v>
      </c>
      <c r="AQ218" s="60">
        <v>395.28</v>
      </c>
      <c r="AR218" s="61">
        <v>395.28</v>
      </c>
    </row>
    <row r="219" spans="1:44" x14ac:dyDescent="0.35">
      <c r="A219" s="49" t="str">
        <f t="shared" si="19"/>
        <v>23</v>
      </c>
      <c r="B219" s="27">
        <v>65557</v>
      </c>
      <c r="C219" s="25" t="str">
        <f t="shared" si="18"/>
        <v>0000000</v>
      </c>
      <c r="D219" s="26" t="s">
        <v>3663</v>
      </c>
      <c r="E219" s="25" t="s">
        <v>1298</v>
      </c>
      <c r="F219" s="25" t="s">
        <v>1295</v>
      </c>
      <c r="G219" s="59" t="s">
        <v>1299</v>
      </c>
      <c r="H219" s="60">
        <v>200.18</v>
      </c>
      <c r="I219" s="60">
        <v>198.8</v>
      </c>
      <c r="J219" s="60">
        <v>186.51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60">
        <v>59.13</v>
      </c>
      <c r="AD219" s="60">
        <v>58.82</v>
      </c>
      <c r="AE219" s="60">
        <v>59.78</v>
      </c>
      <c r="AF219" s="60">
        <v>0</v>
      </c>
      <c r="AG219" s="60">
        <v>0</v>
      </c>
      <c r="AH219" s="60">
        <v>0</v>
      </c>
      <c r="AI219" s="60">
        <v>259.31</v>
      </c>
      <c r="AJ219" s="60">
        <v>257.62</v>
      </c>
      <c r="AK219" s="60">
        <v>246.29</v>
      </c>
      <c r="AL219" s="60">
        <v>0</v>
      </c>
      <c r="AM219" s="60">
        <v>0</v>
      </c>
      <c r="AN219" s="60">
        <v>0</v>
      </c>
      <c r="AO219" s="60">
        <v>259.31</v>
      </c>
      <c r="AP219" s="60">
        <v>257.62</v>
      </c>
      <c r="AQ219" s="60">
        <v>246.29</v>
      </c>
      <c r="AR219" s="61">
        <v>259.31</v>
      </c>
    </row>
    <row r="220" spans="1:44" x14ac:dyDescent="0.35">
      <c r="A220" s="49" t="str">
        <f t="shared" si="19"/>
        <v>23</v>
      </c>
      <c r="B220" s="27">
        <v>65565</v>
      </c>
      <c r="C220" s="25" t="str">
        <f t="shared" si="18"/>
        <v>0000000</v>
      </c>
      <c r="D220" s="26" t="s">
        <v>3663</v>
      </c>
      <c r="E220" s="25" t="s">
        <v>1300</v>
      </c>
      <c r="F220" s="25" t="s">
        <v>1295</v>
      </c>
      <c r="G220" s="59" t="s">
        <v>1301</v>
      </c>
      <c r="H220" s="60">
        <v>1541.1</v>
      </c>
      <c r="I220" s="60">
        <v>1522.12</v>
      </c>
      <c r="J220" s="60">
        <v>1515.69</v>
      </c>
      <c r="K220" s="60">
        <v>0</v>
      </c>
      <c r="L220" s="60">
        <v>0</v>
      </c>
      <c r="M220" s="60">
        <v>0</v>
      </c>
      <c r="N220" s="60">
        <v>0</v>
      </c>
      <c r="O220" s="60">
        <v>0</v>
      </c>
      <c r="P220" s="60">
        <v>0</v>
      </c>
      <c r="Q220" s="60">
        <v>0</v>
      </c>
      <c r="R220" s="60">
        <v>0</v>
      </c>
      <c r="S220" s="60">
        <v>0</v>
      </c>
      <c r="T220" s="60">
        <v>0</v>
      </c>
      <c r="U220" s="60">
        <v>0</v>
      </c>
      <c r="V220" s="60">
        <v>0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60">
        <v>0</v>
      </c>
      <c r="AC220" s="60">
        <v>73.84</v>
      </c>
      <c r="AD220" s="60">
        <v>76.69</v>
      </c>
      <c r="AE220" s="60">
        <v>80.510000000000005</v>
      </c>
      <c r="AF220" s="60">
        <v>0</v>
      </c>
      <c r="AG220" s="60">
        <v>0</v>
      </c>
      <c r="AH220" s="60">
        <v>0</v>
      </c>
      <c r="AI220" s="60">
        <v>1614.94</v>
      </c>
      <c r="AJ220" s="60">
        <v>1598.81</v>
      </c>
      <c r="AK220" s="60">
        <v>1596.2</v>
      </c>
      <c r="AL220" s="60">
        <v>0</v>
      </c>
      <c r="AM220" s="60">
        <v>0</v>
      </c>
      <c r="AN220" s="60">
        <v>0</v>
      </c>
      <c r="AO220" s="60">
        <v>1614.94</v>
      </c>
      <c r="AP220" s="60">
        <v>1598.81</v>
      </c>
      <c r="AQ220" s="60">
        <v>1596.2</v>
      </c>
      <c r="AR220" s="61">
        <v>1614.94</v>
      </c>
    </row>
    <row r="221" spans="1:44" x14ac:dyDescent="0.35">
      <c r="A221" s="49" t="str">
        <f t="shared" si="19"/>
        <v>23</v>
      </c>
      <c r="B221" s="27">
        <v>65573</v>
      </c>
      <c r="C221" s="25" t="str">
        <f t="shared" si="18"/>
        <v>0000000</v>
      </c>
      <c r="D221" s="26" t="s">
        <v>3663</v>
      </c>
      <c r="E221" s="25" t="s">
        <v>1302</v>
      </c>
      <c r="F221" s="25" t="s">
        <v>1295</v>
      </c>
      <c r="G221" s="59" t="s">
        <v>1303</v>
      </c>
      <c r="H221" s="60">
        <v>24.75</v>
      </c>
      <c r="I221" s="60">
        <v>31.04</v>
      </c>
      <c r="J221" s="60">
        <v>27.69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0</v>
      </c>
      <c r="S221" s="60">
        <v>0</v>
      </c>
      <c r="T221" s="60">
        <v>0</v>
      </c>
      <c r="U221" s="60">
        <v>0</v>
      </c>
      <c r="V221" s="60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0">
        <v>0</v>
      </c>
      <c r="AE221" s="60">
        <v>0</v>
      </c>
      <c r="AF221" s="60">
        <v>0</v>
      </c>
      <c r="AG221" s="60">
        <v>0</v>
      </c>
      <c r="AH221" s="60">
        <v>0</v>
      </c>
      <c r="AI221" s="60">
        <v>24.75</v>
      </c>
      <c r="AJ221" s="60">
        <v>31.04</v>
      </c>
      <c r="AK221" s="60">
        <v>27.69</v>
      </c>
      <c r="AL221" s="60">
        <v>0</v>
      </c>
      <c r="AM221" s="60">
        <v>0</v>
      </c>
      <c r="AN221" s="60">
        <v>0</v>
      </c>
      <c r="AO221" s="60">
        <v>24.75</v>
      </c>
      <c r="AP221" s="60">
        <v>31.04</v>
      </c>
      <c r="AQ221" s="60">
        <v>27.69</v>
      </c>
      <c r="AR221" s="61">
        <v>31.04</v>
      </c>
    </row>
    <row r="222" spans="1:44" x14ac:dyDescent="0.35">
      <c r="A222" s="49" t="str">
        <f t="shared" si="19"/>
        <v>23</v>
      </c>
      <c r="B222" s="27">
        <v>65581</v>
      </c>
      <c r="C222" s="25" t="str">
        <f t="shared" si="18"/>
        <v>0000000</v>
      </c>
      <c r="D222" s="26" t="s">
        <v>3663</v>
      </c>
      <c r="E222" s="25" t="s">
        <v>1304</v>
      </c>
      <c r="F222" s="25" t="s">
        <v>1295</v>
      </c>
      <c r="G222" s="59" t="s">
        <v>1305</v>
      </c>
      <c r="H222" s="60">
        <v>358.15</v>
      </c>
      <c r="I222" s="60">
        <v>366.52</v>
      </c>
      <c r="J222" s="60">
        <v>357.19</v>
      </c>
      <c r="K222" s="60">
        <v>0</v>
      </c>
      <c r="L222" s="60">
        <v>0</v>
      </c>
      <c r="M222" s="60">
        <v>0</v>
      </c>
      <c r="N222" s="60">
        <v>38.659999999999997</v>
      </c>
      <c r="O222" s="60">
        <v>39.81</v>
      </c>
      <c r="P222" s="60">
        <v>47.98</v>
      </c>
      <c r="Q222" s="60">
        <v>0</v>
      </c>
      <c r="R222" s="60">
        <v>0</v>
      </c>
      <c r="S222" s="60">
        <v>0</v>
      </c>
      <c r="T222" s="60">
        <v>0</v>
      </c>
      <c r="U222" s="60">
        <v>0</v>
      </c>
      <c r="V222" s="60">
        <v>0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60">
        <v>0</v>
      </c>
      <c r="AC222" s="60">
        <v>0</v>
      </c>
      <c r="AD222" s="60">
        <v>0</v>
      </c>
      <c r="AE222" s="60">
        <v>0</v>
      </c>
      <c r="AF222" s="60">
        <v>0</v>
      </c>
      <c r="AG222" s="60">
        <v>0</v>
      </c>
      <c r="AH222" s="60">
        <v>0</v>
      </c>
      <c r="AI222" s="60">
        <v>396.81</v>
      </c>
      <c r="AJ222" s="60">
        <v>406.33</v>
      </c>
      <c r="AK222" s="60">
        <v>405.17</v>
      </c>
      <c r="AL222" s="60">
        <v>0</v>
      </c>
      <c r="AM222" s="60">
        <v>0</v>
      </c>
      <c r="AN222" s="60">
        <v>0</v>
      </c>
      <c r="AO222" s="60">
        <v>396.81</v>
      </c>
      <c r="AP222" s="60">
        <v>406.33</v>
      </c>
      <c r="AQ222" s="60">
        <v>405.17</v>
      </c>
      <c r="AR222" s="61">
        <v>406.33</v>
      </c>
    </row>
    <row r="223" spans="1:44" x14ac:dyDescent="0.35">
      <c r="A223" s="49" t="str">
        <f t="shared" si="19"/>
        <v>23</v>
      </c>
      <c r="B223" s="27">
        <v>65599</v>
      </c>
      <c r="C223" s="25" t="str">
        <f t="shared" si="18"/>
        <v>0000000</v>
      </c>
      <c r="D223" s="26" t="s">
        <v>3663</v>
      </c>
      <c r="E223" s="25" t="s">
        <v>1306</v>
      </c>
      <c r="F223" s="25" t="s">
        <v>1295</v>
      </c>
      <c r="G223" s="59" t="s">
        <v>1307</v>
      </c>
      <c r="H223" s="60">
        <v>125.14</v>
      </c>
      <c r="I223" s="60">
        <v>117.26</v>
      </c>
      <c r="J223" s="60">
        <v>122.74</v>
      </c>
      <c r="K223" s="60">
        <v>0</v>
      </c>
      <c r="L223" s="60">
        <v>0</v>
      </c>
      <c r="M223" s="60">
        <v>0</v>
      </c>
      <c r="N223" s="60">
        <v>0</v>
      </c>
      <c r="O223" s="60">
        <v>0</v>
      </c>
      <c r="P223" s="60">
        <v>0</v>
      </c>
      <c r="Q223" s="60">
        <v>0</v>
      </c>
      <c r="R223" s="60">
        <v>0</v>
      </c>
      <c r="S223" s="60">
        <v>0</v>
      </c>
      <c r="T223" s="60">
        <v>0</v>
      </c>
      <c r="U223" s="60">
        <v>0</v>
      </c>
      <c r="V223" s="60">
        <v>0</v>
      </c>
      <c r="W223" s="60">
        <v>0</v>
      </c>
      <c r="X223" s="60">
        <v>0</v>
      </c>
      <c r="Y223" s="60">
        <v>0</v>
      </c>
      <c r="Z223" s="60">
        <v>0</v>
      </c>
      <c r="AA223" s="60">
        <v>0</v>
      </c>
      <c r="AB223" s="60">
        <v>0</v>
      </c>
      <c r="AC223" s="60">
        <v>0</v>
      </c>
      <c r="AD223" s="60">
        <v>0</v>
      </c>
      <c r="AE223" s="60">
        <v>0</v>
      </c>
      <c r="AF223" s="60">
        <v>0</v>
      </c>
      <c r="AG223" s="60">
        <v>0</v>
      </c>
      <c r="AH223" s="60">
        <v>0</v>
      </c>
      <c r="AI223" s="60">
        <v>125.14</v>
      </c>
      <c r="AJ223" s="60">
        <v>117.26</v>
      </c>
      <c r="AK223" s="60">
        <v>122.74</v>
      </c>
      <c r="AL223" s="60">
        <v>0</v>
      </c>
      <c r="AM223" s="60">
        <v>0</v>
      </c>
      <c r="AN223" s="60">
        <v>0</v>
      </c>
      <c r="AO223" s="60">
        <v>125.14</v>
      </c>
      <c r="AP223" s="60">
        <v>117.26</v>
      </c>
      <c r="AQ223" s="60">
        <v>122.74</v>
      </c>
      <c r="AR223" s="61">
        <v>125.14</v>
      </c>
    </row>
    <row r="224" spans="1:44" x14ac:dyDescent="0.35">
      <c r="A224" s="49" t="str">
        <f t="shared" si="19"/>
        <v>23</v>
      </c>
      <c r="B224" s="27">
        <v>65607</v>
      </c>
      <c r="C224" s="25" t="str">
        <f t="shared" si="18"/>
        <v>0000000</v>
      </c>
      <c r="D224" s="26" t="s">
        <v>3663</v>
      </c>
      <c r="E224" s="25" t="s">
        <v>1308</v>
      </c>
      <c r="F224" s="25" t="s">
        <v>1295</v>
      </c>
      <c r="G224" s="59" t="s">
        <v>1309</v>
      </c>
      <c r="H224" s="60">
        <v>398.75</v>
      </c>
      <c r="I224" s="60">
        <v>386.43</v>
      </c>
      <c r="J224" s="60">
        <v>337.54</v>
      </c>
      <c r="K224" s="60">
        <v>0</v>
      </c>
      <c r="L224" s="60">
        <v>0</v>
      </c>
      <c r="M224" s="60">
        <v>0</v>
      </c>
      <c r="N224" s="60">
        <v>0</v>
      </c>
      <c r="O224" s="60">
        <v>0</v>
      </c>
      <c r="P224" s="60">
        <v>0</v>
      </c>
      <c r="Q224" s="60">
        <v>0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50.86</v>
      </c>
      <c r="AD224" s="60">
        <v>51.1</v>
      </c>
      <c r="AE224" s="60">
        <v>49.2</v>
      </c>
      <c r="AF224" s="60">
        <v>0</v>
      </c>
      <c r="AG224" s="60">
        <v>0</v>
      </c>
      <c r="AH224" s="60">
        <v>0</v>
      </c>
      <c r="AI224" s="60">
        <v>449.61</v>
      </c>
      <c r="AJ224" s="60">
        <v>437.53</v>
      </c>
      <c r="AK224" s="60">
        <v>386.74</v>
      </c>
      <c r="AL224" s="60">
        <v>0</v>
      </c>
      <c r="AM224" s="60">
        <v>0</v>
      </c>
      <c r="AN224" s="60">
        <v>0</v>
      </c>
      <c r="AO224" s="60">
        <v>449.61</v>
      </c>
      <c r="AP224" s="60">
        <v>437.53</v>
      </c>
      <c r="AQ224" s="60">
        <v>386.74</v>
      </c>
      <c r="AR224" s="61">
        <v>449.61</v>
      </c>
    </row>
    <row r="225" spans="1:44" x14ac:dyDescent="0.35">
      <c r="A225" s="49" t="str">
        <f t="shared" si="19"/>
        <v>23</v>
      </c>
      <c r="B225" s="27">
        <v>65615</v>
      </c>
      <c r="C225" s="25" t="str">
        <f t="shared" si="18"/>
        <v>0000000</v>
      </c>
      <c r="D225" s="26" t="s">
        <v>3663</v>
      </c>
      <c r="E225" s="25" t="s">
        <v>1310</v>
      </c>
      <c r="F225" s="25" t="s">
        <v>1295</v>
      </c>
      <c r="G225" s="59" t="s">
        <v>1311</v>
      </c>
      <c r="H225" s="60">
        <v>5356.69</v>
      </c>
      <c r="I225" s="60">
        <v>5221.21</v>
      </c>
      <c r="J225" s="60">
        <v>5152.13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666.78</v>
      </c>
      <c r="AD225" s="60">
        <v>645.58000000000004</v>
      </c>
      <c r="AE225" s="60">
        <v>609.34</v>
      </c>
      <c r="AF225" s="60">
        <v>0</v>
      </c>
      <c r="AG225" s="60">
        <v>0</v>
      </c>
      <c r="AH225" s="60">
        <v>0</v>
      </c>
      <c r="AI225" s="60">
        <v>6023.47</v>
      </c>
      <c r="AJ225" s="60">
        <v>5866.79</v>
      </c>
      <c r="AK225" s="60">
        <v>5761.47</v>
      </c>
      <c r="AL225" s="60">
        <v>0</v>
      </c>
      <c r="AM225" s="60">
        <v>0</v>
      </c>
      <c r="AN225" s="60">
        <v>0</v>
      </c>
      <c r="AO225" s="60">
        <v>6023.47</v>
      </c>
      <c r="AP225" s="60">
        <v>5866.79</v>
      </c>
      <c r="AQ225" s="60">
        <v>5761.47</v>
      </c>
      <c r="AR225" s="61">
        <v>6023.47</v>
      </c>
    </row>
    <row r="226" spans="1:44" x14ac:dyDescent="0.35">
      <c r="A226" s="49" t="str">
        <f t="shared" si="19"/>
        <v>23</v>
      </c>
      <c r="B226" s="27">
        <v>65623</v>
      </c>
      <c r="C226" s="25" t="str">
        <f t="shared" si="18"/>
        <v>0000000</v>
      </c>
      <c r="D226" s="26" t="s">
        <v>3663</v>
      </c>
      <c r="E226" s="25" t="s">
        <v>1315</v>
      </c>
      <c r="F226" s="25" t="s">
        <v>1295</v>
      </c>
      <c r="G226" s="59" t="s">
        <v>1316</v>
      </c>
      <c r="H226" s="60">
        <v>1389.05</v>
      </c>
      <c r="I226" s="60">
        <v>1348.59</v>
      </c>
      <c r="J226" s="60">
        <v>1260.51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315.32</v>
      </c>
      <c r="AD226" s="60">
        <v>305.14</v>
      </c>
      <c r="AE226" s="60">
        <v>314.68</v>
      </c>
      <c r="AF226" s="60">
        <v>0</v>
      </c>
      <c r="AG226" s="60">
        <v>0</v>
      </c>
      <c r="AH226" s="60">
        <v>0</v>
      </c>
      <c r="AI226" s="60">
        <v>1704.37</v>
      </c>
      <c r="AJ226" s="60">
        <v>1653.73</v>
      </c>
      <c r="AK226" s="60">
        <v>1575.19</v>
      </c>
      <c r="AL226" s="60">
        <v>0</v>
      </c>
      <c r="AM226" s="60">
        <v>0</v>
      </c>
      <c r="AN226" s="60">
        <v>0</v>
      </c>
      <c r="AO226" s="60">
        <v>1704.37</v>
      </c>
      <c r="AP226" s="60">
        <v>1653.73</v>
      </c>
      <c r="AQ226" s="60">
        <v>1575.19</v>
      </c>
      <c r="AR226" s="61">
        <v>1704.37</v>
      </c>
    </row>
    <row r="227" spans="1:44" x14ac:dyDescent="0.35">
      <c r="A227" s="49" t="str">
        <f t="shared" si="19"/>
        <v>23</v>
      </c>
      <c r="B227" s="27">
        <v>73866</v>
      </c>
      <c r="C227" s="25" t="str">
        <f t="shared" si="18"/>
        <v>0000000</v>
      </c>
      <c r="D227" s="26" t="s">
        <v>3663</v>
      </c>
      <c r="E227" s="25" t="s">
        <v>1317</v>
      </c>
      <c r="F227" s="25" t="s">
        <v>1295</v>
      </c>
      <c r="G227" s="59" t="s">
        <v>1318</v>
      </c>
      <c r="H227" s="60">
        <v>251.42</v>
      </c>
      <c r="I227" s="60">
        <v>257.82</v>
      </c>
      <c r="J227" s="60">
        <v>254.03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  <c r="AG227" s="60">
        <v>0</v>
      </c>
      <c r="AH227" s="60">
        <v>0</v>
      </c>
      <c r="AI227" s="60">
        <v>251.42</v>
      </c>
      <c r="AJ227" s="60">
        <v>257.82</v>
      </c>
      <c r="AK227" s="60">
        <v>254.03</v>
      </c>
      <c r="AL227" s="60">
        <v>0</v>
      </c>
      <c r="AM227" s="60">
        <v>0</v>
      </c>
      <c r="AN227" s="60">
        <v>0</v>
      </c>
      <c r="AO227" s="60">
        <v>251.42</v>
      </c>
      <c r="AP227" s="60">
        <v>257.82</v>
      </c>
      <c r="AQ227" s="60">
        <v>254.03</v>
      </c>
      <c r="AR227" s="61">
        <v>257.82</v>
      </c>
    </row>
    <row r="228" spans="1:44" x14ac:dyDescent="0.35">
      <c r="A228" s="49" t="str">
        <f t="shared" si="19"/>
        <v>23</v>
      </c>
      <c r="B228" s="27">
        <v>73916</v>
      </c>
      <c r="C228" s="25" t="str">
        <f t="shared" si="18"/>
        <v>0000000</v>
      </c>
      <c r="D228" s="26" t="s">
        <v>3663</v>
      </c>
      <c r="E228" s="25" t="s">
        <v>1319</v>
      </c>
      <c r="F228" s="25" t="s">
        <v>1295</v>
      </c>
      <c r="G228" s="59" t="s">
        <v>1320</v>
      </c>
      <c r="H228" s="60">
        <v>278.01</v>
      </c>
      <c r="I228" s="60">
        <v>276.98</v>
      </c>
      <c r="J228" s="60">
        <v>303.47000000000003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  <c r="AG228" s="60">
        <v>0</v>
      </c>
      <c r="AH228" s="60">
        <v>0</v>
      </c>
      <c r="AI228" s="60">
        <v>278.01</v>
      </c>
      <c r="AJ228" s="60">
        <v>276.98</v>
      </c>
      <c r="AK228" s="60">
        <v>303.47000000000003</v>
      </c>
      <c r="AL228" s="60">
        <v>0</v>
      </c>
      <c r="AM228" s="60">
        <v>0</v>
      </c>
      <c r="AN228" s="60">
        <v>0</v>
      </c>
      <c r="AO228" s="60">
        <v>278.01</v>
      </c>
      <c r="AP228" s="60">
        <v>276.98</v>
      </c>
      <c r="AQ228" s="60">
        <v>303.47000000000003</v>
      </c>
      <c r="AR228" s="61">
        <v>303.47000000000003</v>
      </c>
    </row>
    <row r="229" spans="1:44" x14ac:dyDescent="0.35">
      <c r="A229" s="49" t="str">
        <f t="shared" si="19"/>
        <v>23</v>
      </c>
      <c r="B229" s="27">
        <v>75218</v>
      </c>
      <c r="C229" s="25" t="str">
        <f t="shared" si="18"/>
        <v>0000000</v>
      </c>
      <c r="D229" s="26" t="s">
        <v>3663</v>
      </c>
      <c r="E229" s="25" t="s">
        <v>1321</v>
      </c>
      <c r="F229" s="25" t="s">
        <v>1295</v>
      </c>
      <c r="G229" s="59" t="s">
        <v>1322</v>
      </c>
      <c r="H229" s="60">
        <v>109.71</v>
      </c>
      <c r="I229" s="60">
        <v>107.8</v>
      </c>
      <c r="J229" s="60">
        <v>112.53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  <c r="AG229" s="60">
        <v>0</v>
      </c>
      <c r="AH229" s="60">
        <v>0</v>
      </c>
      <c r="AI229" s="60">
        <v>109.71</v>
      </c>
      <c r="AJ229" s="60">
        <v>107.8</v>
      </c>
      <c r="AK229" s="60">
        <v>112.53</v>
      </c>
      <c r="AL229" s="60">
        <v>0</v>
      </c>
      <c r="AM229" s="60">
        <v>0</v>
      </c>
      <c r="AN229" s="60">
        <v>0</v>
      </c>
      <c r="AO229" s="60">
        <v>109.71</v>
      </c>
      <c r="AP229" s="60">
        <v>107.8</v>
      </c>
      <c r="AQ229" s="60">
        <v>112.53</v>
      </c>
      <c r="AR229" s="61">
        <v>112.53</v>
      </c>
    </row>
    <row r="230" spans="1:44" x14ac:dyDescent="0.35">
      <c r="A230" s="49" t="str">
        <f t="shared" ref="A230:A254" si="20">TEXT(42,"00")</f>
        <v>42</v>
      </c>
      <c r="B230" s="27">
        <v>69195</v>
      </c>
      <c r="C230" s="25" t="str">
        <f t="shared" si="18"/>
        <v>0000000</v>
      </c>
      <c r="D230" s="26" t="s">
        <v>3663</v>
      </c>
      <c r="E230" s="25" t="s">
        <v>2615</v>
      </c>
      <c r="F230" s="25" t="s">
        <v>2616</v>
      </c>
      <c r="G230" s="59" t="s">
        <v>2616</v>
      </c>
      <c r="H230" s="60">
        <v>3231.47</v>
      </c>
      <c r="I230" s="60">
        <v>3196.02</v>
      </c>
      <c r="J230" s="60">
        <v>3171.76</v>
      </c>
      <c r="K230" s="60">
        <v>0</v>
      </c>
      <c r="L230" s="60">
        <v>0</v>
      </c>
      <c r="M230" s="60">
        <v>0</v>
      </c>
      <c r="N230" s="60">
        <v>0</v>
      </c>
      <c r="O230" s="60">
        <v>0</v>
      </c>
      <c r="P230" s="60">
        <v>0</v>
      </c>
      <c r="Q230" s="60">
        <v>0</v>
      </c>
      <c r="R230" s="60">
        <v>0</v>
      </c>
      <c r="S230" s="60">
        <v>0</v>
      </c>
      <c r="T230" s="60">
        <v>0</v>
      </c>
      <c r="U230" s="60">
        <v>0</v>
      </c>
      <c r="V230" s="60">
        <v>0</v>
      </c>
      <c r="W230" s="60">
        <v>0</v>
      </c>
      <c r="X230" s="60">
        <v>0</v>
      </c>
      <c r="Y230" s="60">
        <v>0</v>
      </c>
      <c r="Z230" s="60">
        <v>0</v>
      </c>
      <c r="AA230" s="60">
        <v>0</v>
      </c>
      <c r="AB230" s="60">
        <v>0</v>
      </c>
      <c r="AC230" s="60">
        <v>0</v>
      </c>
      <c r="AD230" s="60">
        <v>0</v>
      </c>
      <c r="AE230" s="60">
        <v>0</v>
      </c>
      <c r="AF230" s="60">
        <v>0</v>
      </c>
      <c r="AG230" s="60">
        <v>0</v>
      </c>
      <c r="AH230" s="60">
        <v>0</v>
      </c>
      <c r="AI230" s="60">
        <v>3231.47</v>
      </c>
      <c r="AJ230" s="60">
        <v>3196.02</v>
      </c>
      <c r="AK230" s="60">
        <v>3171.76</v>
      </c>
      <c r="AL230" s="60">
        <v>0</v>
      </c>
      <c r="AM230" s="60">
        <v>0</v>
      </c>
      <c r="AN230" s="60">
        <v>0</v>
      </c>
      <c r="AO230" s="60">
        <v>3231.47</v>
      </c>
      <c r="AP230" s="60">
        <v>3196.02</v>
      </c>
      <c r="AQ230" s="60">
        <v>3171.76</v>
      </c>
      <c r="AR230" s="61">
        <v>3231.47</v>
      </c>
    </row>
    <row r="231" spans="1:44" x14ac:dyDescent="0.35">
      <c r="A231" s="49" t="str">
        <f t="shared" si="20"/>
        <v>42</v>
      </c>
      <c r="B231" s="27">
        <v>69211</v>
      </c>
      <c r="C231" s="25" t="str">
        <f t="shared" si="18"/>
        <v>0000000</v>
      </c>
      <c r="D231" s="26" t="s">
        <v>3663</v>
      </c>
      <c r="E231" s="25" t="s">
        <v>2644</v>
      </c>
      <c r="F231" s="25" t="s">
        <v>2616</v>
      </c>
      <c r="G231" s="59" t="s">
        <v>2645</v>
      </c>
      <c r="H231" s="60">
        <v>832.61</v>
      </c>
      <c r="I231" s="60">
        <v>788.66</v>
      </c>
      <c r="J231" s="60">
        <v>779.21</v>
      </c>
      <c r="K231" s="60">
        <v>0</v>
      </c>
      <c r="L231" s="60">
        <v>0</v>
      </c>
      <c r="M231" s="60">
        <v>0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  <c r="W231" s="60">
        <v>0</v>
      </c>
      <c r="X231" s="60">
        <v>0</v>
      </c>
      <c r="Y231" s="60">
        <v>0</v>
      </c>
      <c r="Z231" s="60">
        <v>0</v>
      </c>
      <c r="AA231" s="60">
        <v>0</v>
      </c>
      <c r="AB231" s="60">
        <v>0</v>
      </c>
      <c r="AC231" s="60">
        <v>0</v>
      </c>
      <c r="AD231" s="60">
        <v>0</v>
      </c>
      <c r="AE231" s="60">
        <v>0</v>
      </c>
      <c r="AF231" s="60">
        <v>0</v>
      </c>
      <c r="AG231" s="60">
        <v>0</v>
      </c>
      <c r="AH231" s="60">
        <v>0</v>
      </c>
      <c r="AI231" s="60">
        <v>832.61</v>
      </c>
      <c r="AJ231" s="60">
        <v>788.66</v>
      </c>
      <c r="AK231" s="60">
        <v>779.21</v>
      </c>
      <c r="AL231" s="60">
        <v>0</v>
      </c>
      <c r="AM231" s="60">
        <v>0</v>
      </c>
      <c r="AN231" s="60">
        <v>0</v>
      </c>
      <c r="AO231" s="60">
        <v>832.61</v>
      </c>
      <c r="AP231" s="60">
        <v>788.66</v>
      </c>
      <c r="AQ231" s="60">
        <v>779.21</v>
      </c>
      <c r="AR231" s="61">
        <v>832.61</v>
      </c>
    </row>
    <row r="232" spans="1:44" x14ac:dyDescent="0.35">
      <c r="A232" s="49" t="str">
        <f t="shared" si="20"/>
        <v>42</v>
      </c>
      <c r="B232" s="27">
        <v>69260</v>
      </c>
      <c r="C232" s="25" t="str">
        <f t="shared" si="18"/>
        <v>0000000</v>
      </c>
      <c r="D232" s="26" t="s">
        <v>3663</v>
      </c>
      <c r="E232" s="25" t="s">
        <v>2655</v>
      </c>
      <c r="F232" s="25" t="s">
        <v>2616</v>
      </c>
      <c r="G232" s="59" t="s">
        <v>2656</v>
      </c>
      <c r="H232" s="60">
        <v>3787.61</v>
      </c>
      <c r="I232" s="60">
        <v>3624.36</v>
      </c>
      <c r="J232" s="60">
        <v>3589.9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0</v>
      </c>
      <c r="W232" s="60">
        <v>0</v>
      </c>
      <c r="X232" s="60">
        <v>0</v>
      </c>
      <c r="Y232" s="60">
        <v>0</v>
      </c>
      <c r="Z232" s="60">
        <v>0</v>
      </c>
      <c r="AA232" s="60">
        <v>0</v>
      </c>
      <c r="AB232" s="60">
        <v>0</v>
      </c>
      <c r="AC232" s="60">
        <v>734.45</v>
      </c>
      <c r="AD232" s="60">
        <v>710.11</v>
      </c>
      <c r="AE232" s="60">
        <v>689.78</v>
      </c>
      <c r="AF232" s="60">
        <v>0</v>
      </c>
      <c r="AG232" s="60">
        <v>0</v>
      </c>
      <c r="AH232" s="60">
        <v>0</v>
      </c>
      <c r="AI232" s="60">
        <v>4522.0600000000004</v>
      </c>
      <c r="AJ232" s="60">
        <v>4334.47</v>
      </c>
      <c r="AK232" s="60">
        <v>4279.68</v>
      </c>
      <c r="AL232" s="60">
        <v>0</v>
      </c>
      <c r="AM232" s="60">
        <v>0</v>
      </c>
      <c r="AN232" s="60">
        <v>0</v>
      </c>
      <c r="AO232" s="60">
        <v>4522.0600000000004</v>
      </c>
      <c r="AP232" s="60">
        <v>4334.47</v>
      </c>
      <c r="AQ232" s="60">
        <v>4279.68</v>
      </c>
      <c r="AR232" s="61">
        <v>4522.0600000000004</v>
      </c>
    </row>
    <row r="233" spans="1:44" x14ac:dyDescent="0.35">
      <c r="A233" s="49" t="str">
        <f t="shared" si="20"/>
        <v>42</v>
      </c>
      <c r="B233" s="27">
        <v>69120</v>
      </c>
      <c r="C233" s="25" t="str">
        <f t="shared" si="18"/>
        <v>0000000</v>
      </c>
      <c r="D233" s="26" t="s">
        <v>3663</v>
      </c>
      <c r="E233" s="25" t="s">
        <v>2632</v>
      </c>
      <c r="F233" s="25" t="s">
        <v>2616</v>
      </c>
      <c r="G233" s="59" t="s">
        <v>2633</v>
      </c>
      <c r="H233" s="60">
        <v>16100.79</v>
      </c>
      <c r="I233" s="60">
        <v>15603.86</v>
      </c>
      <c r="J233" s="60">
        <v>14833.6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  <c r="W233" s="60">
        <v>0</v>
      </c>
      <c r="X233" s="60">
        <v>0</v>
      </c>
      <c r="Y233" s="60">
        <v>0</v>
      </c>
      <c r="Z233" s="60">
        <v>0</v>
      </c>
      <c r="AA233" s="60">
        <v>0</v>
      </c>
      <c r="AB233" s="60">
        <v>0</v>
      </c>
      <c r="AC233" s="60">
        <v>0</v>
      </c>
      <c r="AD233" s="60">
        <v>0</v>
      </c>
      <c r="AE233" s="60">
        <v>0</v>
      </c>
      <c r="AF233" s="60">
        <v>0</v>
      </c>
      <c r="AG233" s="60">
        <v>0</v>
      </c>
      <c r="AH233" s="60">
        <v>0</v>
      </c>
      <c r="AI233" s="60">
        <v>16100.79</v>
      </c>
      <c r="AJ233" s="60">
        <v>15603.86</v>
      </c>
      <c r="AK233" s="60">
        <v>14833.6</v>
      </c>
      <c r="AL233" s="60">
        <v>0</v>
      </c>
      <c r="AM233" s="60">
        <v>0</v>
      </c>
      <c r="AN233" s="60">
        <v>0</v>
      </c>
      <c r="AO233" s="60">
        <v>16100.79</v>
      </c>
      <c r="AP233" s="60">
        <v>15603.86</v>
      </c>
      <c r="AQ233" s="60">
        <v>14833.6</v>
      </c>
      <c r="AR233" s="61">
        <v>16100.79</v>
      </c>
    </row>
    <row r="234" spans="1:44" x14ac:dyDescent="0.35">
      <c r="A234" s="49" t="str">
        <f t="shared" si="20"/>
        <v>42</v>
      </c>
      <c r="B234" s="27">
        <v>69310</v>
      </c>
      <c r="C234" s="25" t="str">
        <f t="shared" si="18"/>
        <v>0000000</v>
      </c>
      <c r="D234" s="26" t="s">
        <v>3663</v>
      </c>
      <c r="E234" s="25" t="s">
        <v>2657</v>
      </c>
      <c r="F234" s="25" t="s">
        <v>2616</v>
      </c>
      <c r="G234" s="59" t="s">
        <v>2658</v>
      </c>
      <c r="H234" s="60">
        <v>8349.4500000000007</v>
      </c>
      <c r="I234" s="60">
        <v>8553.2900000000009</v>
      </c>
      <c r="J234" s="60">
        <v>8441.99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0</v>
      </c>
      <c r="AG234" s="60">
        <v>0</v>
      </c>
      <c r="AH234" s="60">
        <v>0</v>
      </c>
      <c r="AI234" s="60">
        <v>8349.4500000000007</v>
      </c>
      <c r="AJ234" s="60">
        <v>8553.2900000000009</v>
      </c>
      <c r="AK234" s="60">
        <v>8441.99</v>
      </c>
      <c r="AL234" s="60">
        <v>0</v>
      </c>
      <c r="AM234" s="60">
        <v>0</v>
      </c>
      <c r="AN234" s="60">
        <v>0</v>
      </c>
      <c r="AO234" s="60">
        <v>8349.4500000000007</v>
      </c>
      <c r="AP234" s="60">
        <v>8553.2900000000009</v>
      </c>
      <c r="AQ234" s="60">
        <v>8441.99</v>
      </c>
      <c r="AR234" s="61">
        <v>8553.2900000000009</v>
      </c>
    </row>
    <row r="235" spans="1:44" x14ac:dyDescent="0.35">
      <c r="A235" s="49" t="str">
        <f t="shared" si="20"/>
        <v>42</v>
      </c>
      <c r="B235" s="27">
        <v>69146</v>
      </c>
      <c r="C235" s="25" t="str">
        <f t="shared" si="18"/>
        <v>0000000</v>
      </c>
      <c r="D235" s="26" t="s">
        <v>3663</v>
      </c>
      <c r="E235" s="25" t="s">
        <v>2636</v>
      </c>
      <c r="F235" s="25" t="s">
        <v>2616</v>
      </c>
      <c r="G235" s="59" t="s">
        <v>2637</v>
      </c>
      <c r="H235" s="60">
        <v>1829.06</v>
      </c>
      <c r="I235" s="60">
        <v>1864</v>
      </c>
      <c r="J235" s="60">
        <v>1938.61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0</v>
      </c>
      <c r="AE235" s="60">
        <v>0</v>
      </c>
      <c r="AF235" s="60">
        <v>0</v>
      </c>
      <c r="AG235" s="60">
        <v>0</v>
      </c>
      <c r="AH235" s="60">
        <v>0</v>
      </c>
      <c r="AI235" s="60">
        <v>1829.06</v>
      </c>
      <c r="AJ235" s="60">
        <v>1864</v>
      </c>
      <c r="AK235" s="60">
        <v>1938.61</v>
      </c>
      <c r="AL235" s="60">
        <v>0</v>
      </c>
      <c r="AM235" s="60">
        <v>0</v>
      </c>
      <c r="AN235" s="60">
        <v>0</v>
      </c>
      <c r="AO235" s="60">
        <v>1829.06</v>
      </c>
      <c r="AP235" s="60">
        <v>1864</v>
      </c>
      <c r="AQ235" s="60">
        <v>1938.61</v>
      </c>
      <c r="AR235" s="61">
        <v>1938.61</v>
      </c>
    </row>
    <row r="236" spans="1:44" x14ac:dyDescent="0.35">
      <c r="A236" s="49" t="str">
        <f t="shared" si="20"/>
        <v>42</v>
      </c>
      <c r="B236" s="27">
        <v>69229</v>
      </c>
      <c r="C236" s="25" t="str">
        <f t="shared" si="18"/>
        <v>0000000</v>
      </c>
      <c r="D236" s="26" t="s">
        <v>3663</v>
      </c>
      <c r="E236" s="25" t="s">
        <v>2646</v>
      </c>
      <c r="F236" s="25" t="s">
        <v>2616</v>
      </c>
      <c r="G236" s="59" t="s">
        <v>2647</v>
      </c>
      <c r="H236" s="60">
        <v>8255.33</v>
      </c>
      <c r="I236" s="60">
        <v>8191.48</v>
      </c>
      <c r="J236" s="60">
        <v>8142.1</v>
      </c>
      <c r="K236" s="60">
        <v>0</v>
      </c>
      <c r="L236" s="60">
        <v>0</v>
      </c>
      <c r="M236" s="60">
        <v>0</v>
      </c>
      <c r="N236" s="60">
        <v>0</v>
      </c>
      <c r="O236" s="60">
        <v>0</v>
      </c>
      <c r="P236" s="60">
        <v>0</v>
      </c>
      <c r="Q236" s="60">
        <v>0</v>
      </c>
      <c r="R236" s="60">
        <v>0</v>
      </c>
      <c r="S236" s="60">
        <v>0</v>
      </c>
      <c r="T236" s="60">
        <v>0</v>
      </c>
      <c r="U236" s="60">
        <v>0</v>
      </c>
      <c r="V236" s="60">
        <v>0</v>
      </c>
      <c r="W236" s="60">
        <v>0</v>
      </c>
      <c r="X236" s="60">
        <v>0</v>
      </c>
      <c r="Y236" s="60">
        <v>0</v>
      </c>
      <c r="Z236" s="60">
        <v>0</v>
      </c>
      <c r="AA236" s="60">
        <v>0</v>
      </c>
      <c r="AB236" s="60">
        <v>0</v>
      </c>
      <c r="AC236" s="60">
        <v>0</v>
      </c>
      <c r="AD236" s="60">
        <v>0</v>
      </c>
      <c r="AE236" s="60">
        <v>0</v>
      </c>
      <c r="AF236" s="60">
        <v>0</v>
      </c>
      <c r="AG236" s="60">
        <v>0</v>
      </c>
      <c r="AH236" s="60">
        <v>0</v>
      </c>
      <c r="AI236" s="60">
        <v>8255.33</v>
      </c>
      <c r="AJ236" s="60">
        <v>8191.48</v>
      </c>
      <c r="AK236" s="60">
        <v>8142.1</v>
      </c>
      <c r="AL236" s="60">
        <v>0</v>
      </c>
      <c r="AM236" s="60">
        <v>0</v>
      </c>
      <c r="AN236" s="60">
        <v>0</v>
      </c>
      <c r="AO236" s="60">
        <v>8255.33</v>
      </c>
      <c r="AP236" s="60">
        <v>8191.48</v>
      </c>
      <c r="AQ236" s="60">
        <v>8142.1</v>
      </c>
      <c r="AR236" s="61">
        <v>8255.33</v>
      </c>
    </row>
    <row r="237" spans="1:44" x14ac:dyDescent="0.35">
      <c r="A237" s="49" t="str">
        <f t="shared" si="20"/>
        <v>42</v>
      </c>
      <c r="B237" s="27">
        <v>10421</v>
      </c>
      <c r="C237" s="25" t="str">
        <f t="shared" si="18"/>
        <v>0000000</v>
      </c>
      <c r="D237" s="26" t="s">
        <v>3663</v>
      </c>
      <c r="E237" s="25" t="s">
        <v>2617</v>
      </c>
      <c r="F237" s="25" t="s">
        <v>2616</v>
      </c>
      <c r="G237" s="59" t="s">
        <v>2618</v>
      </c>
      <c r="H237" s="60">
        <v>0</v>
      </c>
      <c r="I237" s="60">
        <v>0</v>
      </c>
      <c r="J237" s="60">
        <v>0</v>
      </c>
      <c r="K237" s="60">
        <v>0</v>
      </c>
      <c r="L237" s="60">
        <v>0</v>
      </c>
      <c r="M237" s="60">
        <v>0</v>
      </c>
      <c r="N237" s="60">
        <v>0</v>
      </c>
      <c r="O237" s="60">
        <v>0</v>
      </c>
      <c r="P237" s="60">
        <v>0</v>
      </c>
      <c r="Q237" s="60">
        <v>0</v>
      </c>
      <c r="R237" s="60">
        <v>0</v>
      </c>
      <c r="S237" s="60">
        <v>0</v>
      </c>
      <c r="T237" s="60">
        <v>41.81</v>
      </c>
      <c r="U237" s="60">
        <v>42.11</v>
      </c>
      <c r="V237" s="60">
        <v>33.64</v>
      </c>
      <c r="W237" s="60">
        <v>84.94</v>
      </c>
      <c r="X237" s="60">
        <v>80.069999999999993</v>
      </c>
      <c r="Y237" s="60">
        <v>58.92</v>
      </c>
      <c r="Z237" s="60">
        <v>0</v>
      </c>
      <c r="AA237" s="60">
        <v>0</v>
      </c>
      <c r="AB237" s="60">
        <v>0</v>
      </c>
      <c r="AC237" s="60">
        <v>0</v>
      </c>
      <c r="AD237" s="60">
        <v>0</v>
      </c>
      <c r="AE237" s="60">
        <v>0</v>
      </c>
      <c r="AF237" s="60">
        <v>0</v>
      </c>
      <c r="AG237" s="60">
        <v>0</v>
      </c>
      <c r="AH237" s="60">
        <v>0</v>
      </c>
      <c r="AI237" s="60">
        <v>126.75</v>
      </c>
      <c r="AJ237" s="60">
        <v>122.18</v>
      </c>
      <c r="AK237" s="60">
        <v>92.56</v>
      </c>
      <c r="AL237" s="60">
        <v>0</v>
      </c>
      <c r="AM237" s="60">
        <v>0</v>
      </c>
      <c r="AN237" s="60">
        <v>0</v>
      </c>
      <c r="AO237" s="60">
        <v>126.75</v>
      </c>
      <c r="AP237" s="60">
        <v>122.18</v>
      </c>
      <c r="AQ237" s="60">
        <v>92.56</v>
      </c>
      <c r="AR237" s="61">
        <v>126.75</v>
      </c>
    </row>
    <row r="238" spans="1:44" x14ac:dyDescent="0.35">
      <c r="A238" s="49" t="str">
        <f t="shared" si="20"/>
        <v>42</v>
      </c>
      <c r="B238" s="27">
        <v>69104</v>
      </c>
      <c r="C238" s="25" t="str">
        <f t="shared" si="18"/>
        <v>0000000</v>
      </c>
      <c r="D238" s="26" t="s">
        <v>3663</v>
      </c>
      <c r="E238" s="25" t="s">
        <v>2619</v>
      </c>
      <c r="F238" s="25" t="s">
        <v>2616</v>
      </c>
      <c r="G238" s="59" t="s">
        <v>2620</v>
      </c>
      <c r="H238" s="60">
        <v>101.23</v>
      </c>
      <c r="I238" s="60">
        <v>111.52</v>
      </c>
      <c r="J238" s="60">
        <v>120.82</v>
      </c>
      <c r="K238" s="60">
        <v>0</v>
      </c>
      <c r="L238" s="60">
        <v>0</v>
      </c>
      <c r="M238" s="60">
        <v>0</v>
      </c>
      <c r="N238" s="60">
        <v>0</v>
      </c>
      <c r="O238" s="60">
        <v>0</v>
      </c>
      <c r="P238" s="60">
        <v>0</v>
      </c>
      <c r="Q238" s="60">
        <v>0</v>
      </c>
      <c r="R238" s="60">
        <v>0</v>
      </c>
      <c r="S238" s="60">
        <v>0</v>
      </c>
      <c r="T238" s="60">
        <v>0</v>
      </c>
      <c r="U238" s="60">
        <v>0</v>
      </c>
      <c r="V238" s="60">
        <v>0</v>
      </c>
      <c r="W238" s="60">
        <v>0</v>
      </c>
      <c r="X238" s="60">
        <v>0</v>
      </c>
      <c r="Y238" s="60">
        <v>0</v>
      </c>
      <c r="Z238" s="60">
        <v>0</v>
      </c>
      <c r="AA238" s="60">
        <v>0</v>
      </c>
      <c r="AB238" s="60">
        <v>0</v>
      </c>
      <c r="AC238" s="60">
        <v>0</v>
      </c>
      <c r="AD238" s="60">
        <v>0</v>
      </c>
      <c r="AE238" s="60">
        <v>0</v>
      </c>
      <c r="AF238" s="60">
        <v>0</v>
      </c>
      <c r="AG238" s="60">
        <v>0</v>
      </c>
      <c r="AH238" s="60">
        <v>0</v>
      </c>
      <c r="AI238" s="60">
        <v>101.23</v>
      </c>
      <c r="AJ238" s="60">
        <v>111.52</v>
      </c>
      <c r="AK238" s="60">
        <v>120.82</v>
      </c>
      <c r="AL238" s="60">
        <v>0</v>
      </c>
      <c r="AM238" s="60">
        <v>0</v>
      </c>
      <c r="AN238" s="60">
        <v>0</v>
      </c>
      <c r="AO238" s="60">
        <v>101.23</v>
      </c>
      <c r="AP238" s="60">
        <v>111.52</v>
      </c>
      <c r="AQ238" s="60">
        <v>120.82</v>
      </c>
      <c r="AR238" s="61">
        <v>120.82</v>
      </c>
    </row>
    <row r="239" spans="1:44" x14ac:dyDescent="0.35">
      <c r="A239" s="49" t="str">
        <f t="shared" si="20"/>
        <v>42</v>
      </c>
      <c r="B239" s="27">
        <v>69112</v>
      </c>
      <c r="C239" s="25" t="str">
        <f t="shared" si="18"/>
        <v>0000000</v>
      </c>
      <c r="D239" s="26" t="s">
        <v>3663</v>
      </c>
      <c r="E239" s="25" t="s">
        <v>2621</v>
      </c>
      <c r="F239" s="25" t="s">
        <v>2616</v>
      </c>
      <c r="G239" s="59" t="s">
        <v>2622</v>
      </c>
      <c r="H239" s="60">
        <v>187.42</v>
      </c>
      <c r="I239" s="60">
        <v>180.1</v>
      </c>
      <c r="J239" s="60">
        <v>167.01</v>
      </c>
      <c r="K239" s="60">
        <v>0</v>
      </c>
      <c r="L239" s="60">
        <v>0</v>
      </c>
      <c r="M239" s="60">
        <v>0</v>
      </c>
      <c r="N239" s="60">
        <v>0</v>
      </c>
      <c r="O239" s="60">
        <v>0</v>
      </c>
      <c r="P239" s="60">
        <v>0</v>
      </c>
      <c r="Q239" s="60">
        <v>0</v>
      </c>
      <c r="R239" s="60">
        <v>0</v>
      </c>
      <c r="S239" s="60">
        <v>0</v>
      </c>
      <c r="T239" s="60">
        <v>0</v>
      </c>
      <c r="U239" s="60">
        <v>0</v>
      </c>
      <c r="V239" s="60">
        <v>0</v>
      </c>
      <c r="W239" s="60">
        <v>0</v>
      </c>
      <c r="X239" s="60">
        <v>0</v>
      </c>
      <c r="Y239" s="60">
        <v>0</v>
      </c>
      <c r="Z239" s="60">
        <v>0</v>
      </c>
      <c r="AA239" s="60">
        <v>0</v>
      </c>
      <c r="AB239" s="60">
        <v>0</v>
      </c>
      <c r="AC239" s="60">
        <v>0</v>
      </c>
      <c r="AD239" s="60">
        <v>0</v>
      </c>
      <c r="AE239" s="60">
        <v>0</v>
      </c>
      <c r="AF239" s="60">
        <v>0</v>
      </c>
      <c r="AG239" s="60">
        <v>0</v>
      </c>
      <c r="AH239" s="60">
        <v>0</v>
      </c>
      <c r="AI239" s="60">
        <v>187.42</v>
      </c>
      <c r="AJ239" s="60">
        <v>180.1</v>
      </c>
      <c r="AK239" s="60">
        <v>167.01</v>
      </c>
      <c r="AL239" s="60">
        <v>0</v>
      </c>
      <c r="AM239" s="60">
        <v>0</v>
      </c>
      <c r="AN239" s="60">
        <v>0</v>
      </c>
      <c r="AO239" s="60">
        <v>187.42</v>
      </c>
      <c r="AP239" s="60">
        <v>180.1</v>
      </c>
      <c r="AQ239" s="60">
        <v>167.01</v>
      </c>
      <c r="AR239" s="61">
        <v>187.42</v>
      </c>
    </row>
    <row r="240" spans="1:44" x14ac:dyDescent="0.35">
      <c r="A240" s="49" t="str">
        <f t="shared" si="20"/>
        <v>42</v>
      </c>
      <c r="B240" s="27">
        <v>69138</v>
      </c>
      <c r="C240" s="25" t="str">
        <f t="shared" si="18"/>
        <v>0000000</v>
      </c>
      <c r="D240" s="26" t="s">
        <v>3663</v>
      </c>
      <c r="E240" s="25" t="s">
        <v>2634</v>
      </c>
      <c r="F240" s="25" t="s">
        <v>2616</v>
      </c>
      <c r="G240" s="59" t="s">
        <v>2635</v>
      </c>
      <c r="H240" s="60">
        <v>536.35</v>
      </c>
      <c r="I240" s="60">
        <v>512.65</v>
      </c>
      <c r="J240" s="60">
        <v>548.63</v>
      </c>
      <c r="K240" s="60">
        <v>0</v>
      </c>
      <c r="L240" s="60">
        <v>0</v>
      </c>
      <c r="M240" s="60">
        <v>0</v>
      </c>
      <c r="N240" s="60">
        <v>0</v>
      </c>
      <c r="O240" s="60">
        <v>0</v>
      </c>
      <c r="P240" s="60">
        <v>0</v>
      </c>
      <c r="Q240" s="60">
        <v>0</v>
      </c>
      <c r="R240" s="60">
        <v>0</v>
      </c>
      <c r="S240" s="60">
        <v>0</v>
      </c>
      <c r="T240" s="60">
        <v>0</v>
      </c>
      <c r="U240" s="60">
        <v>0</v>
      </c>
      <c r="V240" s="60">
        <v>0</v>
      </c>
      <c r="W240" s="60">
        <v>0</v>
      </c>
      <c r="X240" s="60">
        <v>0</v>
      </c>
      <c r="Y240" s="60">
        <v>0</v>
      </c>
      <c r="Z240" s="60">
        <v>0</v>
      </c>
      <c r="AA240" s="60">
        <v>0</v>
      </c>
      <c r="AB240" s="60">
        <v>0</v>
      </c>
      <c r="AC240" s="60">
        <v>0</v>
      </c>
      <c r="AD240" s="60">
        <v>0</v>
      </c>
      <c r="AE240" s="60">
        <v>0</v>
      </c>
      <c r="AF240" s="60">
        <v>0</v>
      </c>
      <c r="AG240" s="60">
        <v>0</v>
      </c>
      <c r="AH240" s="60">
        <v>0</v>
      </c>
      <c r="AI240" s="60">
        <v>536.35</v>
      </c>
      <c r="AJ240" s="60">
        <v>512.65</v>
      </c>
      <c r="AK240" s="60">
        <v>548.63</v>
      </c>
      <c r="AL240" s="60">
        <v>0</v>
      </c>
      <c r="AM240" s="60">
        <v>0</v>
      </c>
      <c r="AN240" s="60">
        <v>0</v>
      </c>
      <c r="AO240" s="60">
        <v>536.35</v>
      </c>
      <c r="AP240" s="60">
        <v>512.65</v>
      </c>
      <c r="AQ240" s="60">
        <v>548.63</v>
      </c>
      <c r="AR240" s="61">
        <v>548.63</v>
      </c>
    </row>
    <row r="241" spans="1:44" x14ac:dyDescent="0.35">
      <c r="A241" s="49" t="str">
        <f t="shared" si="20"/>
        <v>42</v>
      </c>
      <c r="B241" s="27">
        <v>69161</v>
      </c>
      <c r="C241" s="25" t="str">
        <f t="shared" si="18"/>
        <v>0000000</v>
      </c>
      <c r="D241" s="26" t="s">
        <v>3663</v>
      </c>
      <c r="E241" s="25" t="s">
        <v>2638</v>
      </c>
      <c r="F241" s="25" t="s">
        <v>2616</v>
      </c>
      <c r="G241" s="59" t="s">
        <v>2639</v>
      </c>
      <c r="H241" s="60">
        <v>171.03</v>
      </c>
      <c r="I241" s="60">
        <v>180.25</v>
      </c>
      <c r="J241" s="60">
        <v>184.45</v>
      </c>
      <c r="K241" s="60">
        <v>0</v>
      </c>
      <c r="L241" s="60">
        <v>0</v>
      </c>
      <c r="M241" s="60">
        <v>0</v>
      </c>
      <c r="N241" s="60">
        <v>0</v>
      </c>
      <c r="O241" s="60">
        <v>0</v>
      </c>
      <c r="P241" s="60">
        <v>0</v>
      </c>
      <c r="Q241" s="60">
        <v>0</v>
      </c>
      <c r="R241" s="60">
        <v>0</v>
      </c>
      <c r="S241" s="60">
        <v>0</v>
      </c>
      <c r="T241" s="60">
        <v>0</v>
      </c>
      <c r="U241" s="60">
        <v>0</v>
      </c>
      <c r="V241" s="60">
        <v>0</v>
      </c>
      <c r="W241" s="60">
        <v>0</v>
      </c>
      <c r="X241" s="60">
        <v>0</v>
      </c>
      <c r="Y241" s="60">
        <v>0</v>
      </c>
      <c r="Z241" s="60">
        <v>0</v>
      </c>
      <c r="AA241" s="60">
        <v>0</v>
      </c>
      <c r="AB241" s="60">
        <v>0</v>
      </c>
      <c r="AC241" s="60">
        <v>0</v>
      </c>
      <c r="AD241" s="60">
        <v>0</v>
      </c>
      <c r="AE241" s="60">
        <v>0</v>
      </c>
      <c r="AF241" s="60">
        <v>0</v>
      </c>
      <c r="AG241" s="60">
        <v>0</v>
      </c>
      <c r="AH241" s="60">
        <v>0</v>
      </c>
      <c r="AI241" s="60">
        <v>171.03</v>
      </c>
      <c r="AJ241" s="60">
        <v>180.25</v>
      </c>
      <c r="AK241" s="60">
        <v>184.45</v>
      </c>
      <c r="AL241" s="60">
        <v>0</v>
      </c>
      <c r="AM241" s="60">
        <v>0</v>
      </c>
      <c r="AN241" s="60">
        <v>0</v>
      </c>
      <c r="AO241" s="60">
        <v>171.03</v>
      </c>
      <c r="AP241" s="60">
        <v>180.25</v>
      </c>
      <c r="AQ241" s="60">
        <v>184.45</v>
      </c>
      <c r="AR241" s="61">
        <v>184.45</v>
      </c>
    </row>
    <row r="242" spans="1:44" x14ac:dyDescent="0.35">
      <c r="A242" s="49" t="str">
        <f t="shared" si="20"/>
        <v>42</v>
      </c>
      <c r="B242" s="27">
        <v>69179</v>
      </c>
      <c r="C242" s="25" t="str">
        <f t="shared" si="18"/>
        <v>0000000</v>
      </c>
      <c r="D242" s="26" t="s">
        <v>3663</v>
      </c>
      <c r="E242" s="25" t="s">
        <v>2640</v>
      </c>
      <c r="F242" s="25" t="s">
        <v>2616</v>
      </c>
      <c r="G242" s="59" t="s">
        <v>2641</v>
      </c>
      <c r="H242" s="60">
        <v>166.53</v>
      </c>
      <c r="I242" s="60">
        <v>162.69</v>
      </c>
      <c r="J242" s="60">
        <v>152.04</v>
      </c>
      <c r="K242" s="60">
        <v>0</v>
      </c>
      <c r="L242" s="60">
        <v>0</v>
      </c>
      <c r="M242" s="60">
        <v>0</v>
      </c>
      <c r="N242" s="60">
        <v>11.06</v>
      </c>
      <c r="O242" s="60">
        <v>19.97</v>
      </c>
      <c r="P242" s="60">
        <v>16.32</v>
      </c>
      <c r="Q242" s="60">
        <v>0</v>
      </c>
      <c r="R242" s="60">
        <v>0</v>
      </c>
      <c r="S242" s="60">
        <v>0</v>
      </c>
      <c r="T242" s="60">
        <v>0</v>
      </c>
      <c r="U242" s="60">
        <v>0</v>
      </c>
      <c r="V242" s="60">
        <v>0</v>
      </c>
      <c r="W242" s="60">
        <v>0</v>
      </c>
      <c r="X242" s="60">
        <v>0</v>
      </c>
      <c r="Y242" s="60">
        <v>0</v>
      </c>
      <c r="Z242" s="60">
        <v>0</v>
      </c>
      <c r="AA242" s="60">
        <v>0</v>
      </c>
      <c r="AB242" s="60">
        <v>0</v>
      </c>
      <c r="AC242" s="60">
        <v>157.01</v>
      </c>
      <c r="AD242" s="60">
        <v>149.47</v>
      </c>
      <c r="AE242" s="60">
        <v>159.12</v>
      </c>
      <c r="AF242" s="60">
        <v>0</v>
      </c>
      <c r="AG242" s="60">
        <v>0</v>
      </c>
      <c r="AH242" s="60">
        <v>0</v>
      </c>
      <c r="AI242" s="60">
        <v>334.6</v>
      </c>
      <c r="AJ242" s="60">
        <v>332.13</v>
      </c>
      <c r="AK242" s="60">
        <v>327.48</v>
      </c>
      <c r="AL242" s="60">
        <v>0</v>
      </c>
      <c r="AM242" s="60">
        <v>0</v>
      </c>
      <c r="AN242" s="60">
        <v>0</v>
      </c>
      <c r="AO242" s="60">
        <v>334.6</v>
      </c>
      <c r="AP242" s="60">
        <v>332.13</v>
      </c>
      <c r="AQ242" s="60">
        <v>327.48</v>
      </c>
      <c r="AR242" s="61">
        <v>334.6</v>
      </c>
    </row>
    <row r="243" spans="1:44" x14ac:dyDescent="0.35">
      <c r="A243" s="49" t="str">
        <f t="shared" si="20"/>
        <v>42</v>
      </c>
      <c r="B243" s="27">
        <v>69203</v>
      </c>
      <c r="C243" s="25" t="str">
        <f t="shared" si="18"/>
        <v>0000000</v>
      </c>
      <c r="D243" s="26" t="s">
        <v>3663</v>
      </c>
      <c r="E243" s="25" t="s">
        <v>2642</v>
      </c>
      <c r="F243" s="25" t="s">
        <v>2616</v>
      </c>
      <c r="G243" s="59" t="s">
        <v>2643</v>
      </c>
      <c r="H243" s="60">
        <v>1241.98</v>
      </c>
      <c r="I243" s="60">
        <v>1170.01</v>
      </c>
      <c r="J243" s="60">
        <v>1209.04</v>
      </c>
      <c r="K243" s="60">
        <v>0</v>
      </c>
      <c r="L243" s="60">
        <v>0</v>
      </c>
      <c r="M243" s="60">
        <v>0</v>
      </c>
      <c r="N243" s="60">
        <v>0</v>
      </c>
      <c r="O243" s="60">
        <v>0</v>
      </c>
      <c r="P243" s="60">
        <v>0</v>
      </c>
      <c r="Q243" s="60">
        <v>0</v>
      </c>
      <c r="R243" s="60">
        <v>0</v>
      </c>
      <c r="S243" s="60">
        <v>0</v>
      </c>
      <c r="T243" s="60">
        <v>0</v>
      </c>
      <c r="U243" s="60">
        <v>0</v>
      </c>
      <c r="V243" s="60">
        <v>0</v>
      </c>
      <c r="W243" s="60">
        <v>0</v>
      </c>
      <c r="X243" s="60">
        <v>0</v>
      </c>
      <c r="Y243" s="60">
        <v>0</v>
      </c>
      <c r="Z243" s="60">
        <v>0</v>
      </c>
      <c r="AA243" s="60">
        <v>0</v>
      </c>
      <c r="AB243" s="60">
        <v>0</v>
      </c>
      <c r="AC243" s="60">
        <v>0</v>
      </c>
      <c r="AD243" s="60">
        <v>0</v>
      </c>
      <c r="AE243" s="60">
        <v>0</v>
      </c>
      <c r="AF243" s="60">
        <v>0</v>
      </c>
      <c r="AG243" s="60">
        <v>0</v>
      </c>
      <c r="AH243" s="60">
        <v>0</v>
      </c>
      <c r="AI243" s="60">
        <v>1241.98</v>
      </c>
      <c r="AJ243" s="60">
        <v>1170.01</v>
      </c>
      <c r="AK243" s="60">
        <v>1209.04</v>
      </c>
      <c r="AL243" s="60">
        <v>0</v>
      </c>
      <c r="AM243" s="60">
        <v>0</v>
      </c>
      <c r="AN243" s="60">
        <v>0</v>
      </c>
      <c r="AO243" s="60">
        <v>1241.98</v>
      </c>
      <c r="AP243" s="60">
        <v>1170.01</v>
      </c>
      <c r="AQ243" s="60">
        <v>1209.04</v>
      </c>
      <c r="AR243" s="61">
        <v>1241.98</v>
      </c>
    </row>
    <row r="244" spans="1:44" x14ac:dyDescent="0.35">
      <c r="A244" s="49" t="str">
        <f t="shared" si="20"/>
        <v>42</v>
      </c>
      <c r="B244" s="27">
        <v>69245</v>
      </c>
      <c r="C244" s="25" t="str">
        <f t="shared" si="18"/>
        <v>0000000</v>
      </c>
      <c r="D244" s="26" t="s">
        <v>3663</v>
      </c>
      <c r="E244" s="25" t="s">
        <v>2651</v>
      </c>
      <c r="F244" s="25" t="s">
        <v>2616</v>
      </c>
      <c r="G244" s="59" t="s">
        <v>2652</v>
      </c>
      <c r="H244" s="60">
        <v>147.59</v>
      </c>
      <c r="I244" s="60">
        <v>148.26</v>
      </c>
      <c r="J244" s="60">
        <v>156.18</v>
      </c>
      <c r="K244" s="60">
        <v>0</v>
      </c>
      <c r="L244" s="60">
        <v>0</v>
      </c>
      <c r="M244" s="60">
        <v>0</v>
      </c>
      <c r="N244" s="60">
        <v>0</v>
      </c>
      <c r="O244" s="60">
        <v>0</v>
      </c>
      <c r="P244" s="60">
        <v>0</v>
      </c>
      <c r="Q244" s="60">
        <v>0</v>
      </c>
      <c r="R244" s="60">
        <v>0</v>
      </c>
      <c r="S244" s="60">
        <v>0</v>
      </c>
      <c r="T244" s="60">
        <v>0</v>
      </c>
      <c r="U244" s="60">
        <v>0</v>
      </c>
      <c r="V244" s="60">
        <v>0</v>
      </c>
      <c r="W244" s="60">
        <v>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0">
        <v>0</v>
      </c>
      <c r="AE244" s="60">
        <v>0</v>
      </c>
      <c r="AF244" s="60">
        <v>0</v>
      </c>
      <c r="AG244" s="60">
        <v>0</v>
      </c>
      <c r="AH244" s="60">
        <v>0</v>
      </c>
      <c r="AI244" s="60">
        <v>147.59</v>
      </c>
      <c r="AJ244" s="60">
        <v>148.26</v>
      </c>
      <c r="AK244" s="60">
        <v>156.18</v>
      </c>
      <c r="AL244" s="60">
        <v>0</v>
      </c>
      <c r="AM244" s="60">
        <v>0</v>
      </c>
      <c r="AN244" s="60">
        <v>0</v>
      </c>
      <c r="AO244" s="60">
        <v>147.59</v>
      </c>
      <c r="AP244" s="60">
        <v>148.26</v>
      </c>
      <c r="AQ244" s="60">
        <v>156.18</v>
      </c>
      <c r="AR244" s="61">
        <v>156.18</v>
      </c>
    </row>
    <row r="245" spans="1:44" x14ac:dyDescent="0.35">
      <c r="A245" s="49" t="str">
        <f t="shared" si="20"/>
        <v>42</v>
      </c>
      <c r="B245" s="27">
        <v>69252</v>
      </c>
      <c r="C245" s="25" t="str">
        <f t="shared" si="18"/>
        <v>0000000</v>
      </c>
      <c r="D245" s="26" t="s">
        <v>3663</v>
      </c>
      <c r="E245" s="25" t="s">
        <v>2653</v>
      </c>
      <c r="F245" s="25" t="s">
        <v>2616</v>
      </c>
      <c r="G245" s="59" t="s">
        <v>2654</v>
      </c>
      <c r="H245" s="60">
        <v>332.82</v>
      </c>
      <c r="I245" s="60">
        <v>331.41</v>
      </c>
      <c r="J245" s="60">
        <v>359.47</v>
      </c>
      <c r="K245" s="60">
        <v>0</v>
      </c>
      <c r="L245" s="60">
        <v>0</v>
      </c>
      <c r="M245" s="60">
        <v>0</v>
      </c>
      <c r="N245" s="60">
        <v>0</v>
      </c>
      <c r="O245" s="60">
        <v>0</v>
      </c>
      <c r="P245" s="60">
        <v>0</v>
      </c>
      <c r="Q245" s="60">
        <v>0</v>
      </c>
      <c r="R245" s="60">
        <v>0</v>
      </c>
      <c r="S245" s="60">
        <v>0</v>
      </c>
      <c r="T245" s="60">
        <v>0</v>
      </c>
      <c r="U245" s="60">
        <v>0</v>
      </c>
      <c r="V245" s="60">
        <v>0</v>
      </c>
      <c r="W245" s="60">
        <v>0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0</v>
      </c>
      <c r="AD245" s="60">
        <v>0</v>
      </c>
      <c r="AE245" s="60">
        <v>0</v>
      </c>
      <c r="AF245" s="60">
        <v>0</v>
      </c>
      <c r="AG245" s="60">
        <v>0</v>
      </c>
      <c r="AH245" s="60">
        <v>0</v>
      </c>
      <c r="AI245" s="60">
        <v>332.82</v>
      </c>
      <c r="AJ245" s="60">
        <v>331.41</v>
      </c>
      <c r="AK245" s="60">
        <v>359.47</v>
      </c>
      <c r="AL245" s="60">
        <v>0</v>
      </c>
      <c r="AM245" s="60">
        <v>0</v>
      </c>
      <c r="AN245" s="60">
        <v>0</v>
      </c>
      <c r="AO245" s="60">
        <v>332.82</v>
      </c>
      <c r="AP245" s="60">
        <v>331.41</v>
      </c>
      <c r="AQ245" s="60">
        <v>359.47</v>
      </c>
      <c r="AR245" s="61">
        <v>359.47</v>
      </c>
    </row>
    <row r="246" spans="1:44" x14ac:dyDescent="0.35">
      <c r="A246" s="49" t="str">
        <f t="shared" si="20"/>
        <v>42</v>
      </c>
      <c r="B246" s="27">
        <v>69328</v>
      </c>
      <c r="C246" s="25" t="str">
        <f t="shared" si="18"/>
        <v>0000000</v>
      </c>
      <c r="D246" s="26" t="s">
        <v>3663</v>
      </c>
      <c r="E246" s="25" t="s">
        <v>2659</v>
      </c>
      <c r="F246" s="25" t="s">
        <v>2616</v>
      </c>
      <c r="G246" s="59" t="s">
        <v>2660</v>
      </c>
      <c r="H246" s="60">
        <v>804.28</v>
      </c>
      <c r="I246" s="60">
        <v>802.14</v>
      </c>
      <c r="J246" s="60">
        <v>791.25</v>
      </c>
      <c r="K246" s="60">
        <v>0</v>
      </c>
      <c r="L246" s="60">
        <v>0</v>
      </c>
      <c r="M246" s="60">
        <v>0</v>
      </c>
      <c r="N246" s="60">
        <v>0</v>
      </c>
      <c r="O246" s="60">
        <v>0</v>
      </c>
      <c r="P246" s="60">
        <v>0</v>
      </c>
      <c r="Q246" s="60">
        <v>0</v>
      </c>
      <c r="R246" s="60">
        <v>0</v>
      </c>
      <c r="S246" s="60">
        <v>0</v>
      </c>
      <c r="T246" s="60">
        <v>0</v>
      </c>
      <c r="U246" s="60">
        <v>0</v>
      </c>
      <c r="V246" s="60">
        <v>0</v>
      </c>
      <c r="W246" s="60">
        <v>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0">
        <v>0</v>
      </c>
      <c r="AE246" s="60">
        <v>0</v>
      </c>
      <c r="AF246" s="60">
        <v>0</v>
      </c>
      <c r="AG246" s="60">
        <v>0</v>
      </c>
      <c r="AH246" s="60">
        <v>0</v>
      </c>
      <c r="AI246" s="60">
        <v>804.28</v>
      </c>
      <c r="AJ246" s="60">
        <v>802.14</v>
      </c>
      <c r="AK246" s="60">
        <v>791.25</v>
      </c>
      <c r="AL246" s="60">
        <v>0</v>
      </c>
      <c r="AM246" s="60">
        <v>0</v>
      </c>
      <c r="AN246" s="60">
        <v>0</v>
      </c>
      <c r="AO246" s="60">
        <v>804.28</v>
      </c>
      <c r="AP246" s="60">
        <v>802.14</v>
      </c>
      <c r="AQ246" s="60">
        <v>791.25</v>
      </c>
      <c r="AR246" s="61">
        <v>804.28</v>
      </c>
    </row>
    <row r="247" spans="1:44" x14ac:dyDescent="0.35">
      <c r="A247" s="49" t="str">
        <f t="shared" si="20"/>
        <v>42</v>
      </c>
      <c r="B247" s="27">
        <v>69336</v>
      </c>
      <c r="C247" s="25" t="str">
        <f t="shared" si="18"/>
        <v>0000000</v>
      </c>
      <c r="D247" s="26" t="s">
        <v>3663</v>
      </c>
      <c r="E247" s="25" t="s">
        <v>2661</v>
      </c>
      <c r="F247" s="25" t="s">
        <v>2616</v>
      </c>
      <c r="G247" s="59" t="s">
        <v>2662</v>
      </c>
      <c r="H247" s="60">
        <v>567.69000000000005</v>
      </c>
      <c r="I247" s="60">
        <v>556.55999999999995</v>
      </c>
      <c r="J247" s="60">
        <v>543.03</v>
      </c>
      <c r="K247" s="60">
        <v>0</v>
      </c>
      <c r="L247" s="60">
        <v>0</v>
      </c>
      <c r="M247" s="60">
        <v>0</v>
      </c>
      <c r="N247" s="60">
        <v>0</v>
      </c>
      <c r="O247" s="60">
        <v>0</v>
      </c>
      <c r="P247" s="60">
        <v>0</v>
      </c>
      <c r="Q247" s="60">
        <v>0</v>
      </c>
      <c r="R247" s="60">
        <v>0</v>
      </c>
      <c r="S247" s="60">
        <v>0</v>
      </c>
      <c r="T247" s="60">
        <v>0</v>
      </c>
      <c r="U247" s="60">
        <v>0</v>
      </c>
      <c r="V247" s="60">
        <v>0</v>
      </c>
      <c r="W247" s="60">
        <v>0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0">
        <v>0</v>
      </c>
      <c r="AE247" s="60">
        <v>0</v>
      </c>
      <c r="AF247" s="60">
        <v>0</v>
      </c>
      <c r="AG247" s="60">
        <v>0</v>
      </c>
      <c r="AH247" s="60">
        <v>0</v>
      </c>
      <c r="AI247" s="60">
        <v>567.69000000000005</v>
      </c>
      <c r="AJ247" s="60">
        <v>556.55999999999995</v>
      </c>
      <c r="AK247" s="60">
        <v>543.03</v>
      </c>
      <c r="AL247" s="60">
        <v>0</v>
      </c>
      <c r="AM247" s="60">
        <v>0</v>
      </c>
      <c r="AN247" s="60">
        <v>0</v>
      </c>
      <c r="AO247" s="60">
        <v>567.69000000000005</v>
      </c>
      <c r="AP247" s="60">
        <v>556.55999999999995</v>
      </c>
      <c r="AQ247" s="60">
        <v>543.03</v>
      </c>
      <c r="AR247" s="61">
        <v>567.69000000000005</v>
      </c>
    </row>
    <row r="248" spans="1:44" x14ac:dyDescent="0.35">
      <c r="A248" s="49" t="str">
        <f t="shared" si="20"/>
        <v>42</v>
      </c>
      <c r="B248" s="27">
        <v>69344</v>
      </c>
      <c r="C248" s="25" t="str">
        <f t="shared" si="18"/>
        <v>0000000</v>
      </c>
      <c r="D248" s="26" t="s">
        <v>3663</v>
      </c>
      <c r="E248" s="25" t="s">
        <v>2663</v>
      </c>
      <c r="F248" s="25" t="s">
        <v>2616</v>
      </c>
      <c r="G248" s="59" t="s">
        <v>2664</v>
      </c>
      <c r="H248" s="60">
        <v>29.52</v>
      </c>
      <c r="I248" s="60">
        <v>25.01</v>
      </c>
      <c r="J248" s="60">
        <v>19.600000000000001</v>
      </c>
      <c r="K248" s="60">
        <v>0</v>
      </c>
      <c r="L248" s="60">
        <v>0</v>
      </c>
      <c r="M248" s="60">
        <v>0</v>
      </c>
      <c r="N248" s="60">
        <v>27.75</v>
      </c>
      <c r="O248" s="60">
        <v>11.02</v>
      </c>
      <c r="P248" s="60">
        <v>7.37</v>
      </c>
      <c r="Q248" s="60">
        <v>0</v>
      </c>
      <c r="R248" s="60">
        <v>0</v>
      </c>
      <c r="S248" s="60">
        <v>0</v>
      </c>
      <c r="T248" s="60">
        <v>0</v>
      </c>
      <c r="U248" s="60">
        <v>0</v>
      </c>
      <c r="V248" s="60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0">
        <v>0</v>
      </c>
      <c r="AE248" s="60">
        <v>0</v>
      </c>
      <c r="AF248" s="60">
        <v>0</v>
      </c>
      <c r="AG248" s="60">
        <v>0</v>
      </c>
      <c r="AH248" s="60">
        <v>0</v>
      </c>
      <c r="AI248" s="60">
        <v>57.27</v>
      </c>
      <c r="AJ248" s="60">
        <v>36.03</v>
      </c>
      <c r="AK248" s="60">
        <v>26.97</v>
      </c>
      <c r="AL248" s="60">
        <v>0</v>
      </c>
      <c r="AM248" s="60">
        <v>0</v>
      </c>
      <c r="AN248" s="60">
        <v>0</v>
      </c>
      <c r="AO248" s="60">
        <v>57.27</v>
      </c>
      <c r="AP248" s="60">
        <v>36.03</v>
      </c>
      <c r="AQ248" s="60">
        <v>26.97</v>
      </c>
      <c r="AR248" s="61">
        <v>57.27</v>
      </c>
    </row>
    <row r="249" spans="1:44" x14ac:dyDescent="0.35">
      <c r="A249" s="49" t="str">
        <f t="shared" si="20"/>
        <v>42</v>
      </c>
      <c r="B249" s="27">
        <v>75010</v>
      </c>
      <c r="C249" s="25" t="str">
        <f t="shared" si="18"/>
        <v>0000000</v>
      </c>
      <c r="D249" s="26" t="s">
        <v>3663</v>
      </c>
      <c r="E249" s="25" t="s">
        <v>2665</v>
      </c>
      <c r="F249" s="25" t="s">
        <v>2616</v>
      </c>
      <c r="G249" s="59" t="s">
        <v>2666</v>
      </c>
      <c r="H249" s="60">
        <v>160.63</v>
      </c>
      <c r="I249" s="60">
        <v>159.53</v>
      </c>
      <c r="J249" s="60">
        <v>159.18</v>
      </c>
      <c r="K249" s="60">
        <v>0</v>
      </c>
      <c r="L249" s="60">
        <v>0</v>
      </c>
      <c r="M249" s="60">
        <v>0</v>
      </c>
      <c r="N249" s="60">
        <v>0</v>
      </c>
      <c r="O249" s="60">
        <v>0</v>
      </c>
      <c r="P249" s="60">
        <v>0</v>
      </c>
      <c r="Q249" s="60">
        <v>0</v>
      </c>
      <c r="R249" s="60">
        <v>0</v>
      </c>
      <c r="S249" s="60">
        <v>0</v>
      </c>
      <c r="T249" s="60">
        <v>0</v>
      </c>
      <c r="U249" s="60">
        <v>0</v>
      </c>
      <c r="V249" s="60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0">
        <v>0</v>
      </c>
      <c r="AE249" s="60">
        <v>0</v>
      </c>
      <c r="AF249" s="60">
        <v>0</v>
      </c>
      <c r="AG249" s="60">
        <v>0</v>
      </c>
      <c r="AH249" s="60">
        <v>0</v>
      </c>
      <c r="AI249" s="60">
        <v>160.63</v>
      </c>
      <c r="AJ249" s="60">
        <v>159.53</v>
      </c>
      <c r="AK249" s="60">
        <v>159.18</v>
      </c>
      <c r="AL249" s="60">
        <v>0</v>
      </c>
      <c r="AM249" s="60">
        <v>0</v>
      </c>
      <c r="AN249" s="60">
        <v>0</v>
      </c>
      <c r="AO249" s="60">
        <v>160.63</v>
      </c>
      <c r="AP249" s="60">
        <v>159.53</v>
      </c>
      <c r="AQ249" s="60">
        <v>159.18</v>
      </c>
      <c r="AR249" s="61">
        <v>160.63</v>
      </c>
    </row>
    <row r="250" spans="1:44" x14ac:dyDescent="0.35">
      <c r="A250" s="49" t="str">
        <f t="shared" si="20"/>
        <v>42</v>
      </c>
      <c r="B250" s="27">
        <v>69112</v>
      </c>
      <c r="C250" s="25" t="str">
        <f>TEXT(111773,"0000000")</f>
        <v>0111773</v>
      </c>
      <c r="D250" s="26" t="s">
        <v>2625</v>
      </c>
      <c r="E250" s="25" t="s">
        <v>2623</v>
      </c>
      <c r="F250" s="25" t="s">
        <v>2616</v>
      </c>
      <c r="G250" s="59" t="s">
        <v>2624</v>
      </c>
      <c r="H250" s="60">
        <v>0</v>
      </c>
      <c r="I250" s="60">
        <v>0</v>
      </c>
      <c r="J250" s="60">
        <v>0</v>
      </c>
      <c r="K250" s="60">
        <v>0</v>
      </c>
      <c r="L250" s="60">
        <v>0</v>
      </c>
      <c r="M250" s="60">
        <v>0</v>
      </c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>
        <v>0</v>
      </c>
      <c r="T250" s="60">
        <v>0</v>
      </c>
      <c r="U250" s="60">
        <v>0</v>
      </c>
      <c r="V250" s="60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383.29</v>
      </c>
      <c r="AD250" s="60">
        <v>372.49</v>
      </c>
      <c r="AE250" s="60">
        <v>406.19</v>
      </c>
      <c r="AF250" s="60">
        <v>0</v>
      </c>
      <c r="AG250" s="60">
        <v>0</v>
      </c>
      <c r="AH250" s="60">
        <v>0</v>
      </c>
      <c r="AI250" s="60">
        <v>383.29</v>
      </c>
      <c r="AJ250" s="60">
        <v>372.49</v>
      </c>
      <c r="AK250" s="60">
        <v>406.19</v>
      </c>
      <c r="AL250" s="60">
        <v>0</v>
      </c>
      <c r="AM250" s="60">
        <v>0</v>
      </c>
      <c r="AN250" s="60">
        <v>0</v>
      </c>
      <c r="AO250" s="60">
        <v>383.29</v>
      </c>
      <c r="AP250" s="60">
        <v>372.49</v>
      </c>
      <c r="AQ250" s="60">
        <v>406.19</v>
      </c>
      <c r="AR250" s="61">
        <v>406.19</v>
      </c>
    </row>
    <row r="251" spans="1:44" x14ac:dyDescent="0.35">
      <c r="A251" s="49" t="str">
        <f t="shared" si="20"/>
        <v>42</v>
      </c>
      <c r="B251" s="27">
        <v>76786</v>
      </c>
      <c r="C251" s="25" t="str">
        <f>TEXT(,"0000000")</f>
        <v>0000000</v>
      </c>
      <c r="D251" s="26" t="s">
        <v>3663</v>
      </c>
      <c r="E251" s="25" t="s">
        <v>2669</v>
      </c>
      <c r="F251" s="25" t="s">
        <v>2616</v>
      </c>
      <c r="G251" s="59" t="s">
        <v>2670</v>
      </c>
      <c r="H251" s="60">
        <v>11253.4</v>
      </c>
      <c r="I251" s="60">
        <v>11213.85</v>
      </c>
      <c r="J251" s="60">
        <v>11447.95</v>
      </c>
      <c r="K251" s="60">
        <v>0</v>
      </c>
      <c r="L251" s="60">
        <v>0</v>
      </c>
      <c r="M251" s="60">
        <v>0</v>
      </c>
      <c r="N251" s="60">
        <v>0</v>
      </c>
      <c r="O251" s="60">
        <v>0</v>
      </c>
      <c r="P251" s="60">
        <v>0</v>
      </c>
      <c r="Q251" s="60">
        <v>0</v>
      </c>
      <c r="R251" s="60">
        <v>0</v>
      </c>
      <c r="S251" s="60">
        <v>0</v>
      </c>
      <c r="T251" s="60">
        <v>0</v>
      </c>
      <c r="U251" s="60">
        <v>0</v>
      </c>
      <c r="V251" s="60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741.72</v>
      </c>
      <c r="AD251" s="60">
        <v>721.63</v>
      </c>
      <c r="AE251" s="60">
        <v>710.99</v>
      </c>
      <c r="AF251" s="60">
        <v>0</v>
      </c>
      <c r="AG251" s="60">
        <v>0</v>
      </c>
      <c r="AH251" s="60">
        <v>0</v>
      </c>
      <c r="AI251" s="60">
        <v>11995.12</v>
      </c>
      <c r="AJ251" s="60">
        <v>11935.48</v>
      </c>
      <c r="AK251" s="60">
        <v>12158.94</v>
      </c>
      <c r="AL251" s="60">
        <v>0</v>
      </c>
      <c r="AM251" s="60">
        <v>0</v>
      </c>
      <c r="AN251" s="60">
        <v>0</v>
      </c>
      <c r="AO251" s="60">
        <v>11995.12</v>
      </c>
      <c r="AP251" s="60">
        <v>11935.48</v>
      </c>
      <c r="AQ251" s="60">
        <v>12158.94</v>
      </c>
      <c r="AR251" s="61">
        <v>12158.94</v>
      </c>
    </row>
    <row r="252" spans="1:44" x14ac:dyDescent="0.35">
      <c r="A252" s="49" t="str">
        <f t="shared" si="20"/>
        <v>42</v>
      </c>
      <c r="B252" s="27">
        <v>76786</v>
      </c>
      <c r="C252" s="25" t="str">
        <f>TEXT(6111603,"0000000")</f>
        <v>6111603</v>
      </c>
      <c r="D252" s="26" t="s">
        <v>2673</v>
      </c>
      <c r="E252" s="25" t="s">
        <v>2671</v>
      </c>
      <c r="F252" s="25" t="s">
        <v>2616</v>
      </c>
      <c r="G252" s="59" t="s">
        <v>2672</v>
      </c>
      <c r="H252" s="60">
        <v>0</v>
      </c>
      <c r="I252" s="60">
        <v>0</v>
      </c>
      <c r="J252" s="60">
        <v>0</v>
      </c>
      <c r="K252" s="60">
        <v>0</v>
      </c>
      <c r="L252" s="60">
        <v>0</v>
      </c>
      <c r="M252" s="60">
        <v>0</v>
      </c>
      <c r="N252" s="60">
        <v>0</v>
      </c>
      <c r="O252" s="60">
        <v>0</v>
      </c>
      <c r="P252" s="60">
        <v>0</v>
      </c>
      <c r="Q252" s="60">
        <v>0</v>
      </c>
      <c r="R252" s="60">
        <v>0</v>
      </c>
      <c r="S252" s="60">
        <v>0</v>
      </c>
      <c r="T252" s="60">
        <v>0</v>
      </c>
      <c r="U252" s="60">
        <v>0</v>
      </c>
      <c r="V252" s="60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274.02999999999997</v>
      </c>
      <c r="AD252" s="60">
        <v>264.52</v>
      </c>
      <c r="AE252" s="60">
        <v>256.94</v>
      </c>
      <c r="AF252" s="60">
        <v>0</v>
      </c>
      <c r="AG252" s="60">
        <v>0</v>
      </c>
      <c r="AH252" s="60">
        <v>0</v>
      </c>
      <c r="AI252" s="60">
        <v>274.02999999999997</v>
      </c>
      <c r="AJ252" s="60">
        <v>264.52</v>
      </c>
      <c r="AK252" s="60">
        <v>256.94</v>
      </c>
      <c r="AL252" s="60">
        <v>0</v>
      </c>
      <c r="AM252" s="60">
        <v>0</v>
      </c>
      <c r="AN252" s="60">
        <v>0</v>
      </c>
      <c r="AO252" s="60">
        <v>274.02999999999997</v>
      </c>
      <c r="AP252" s="60">
        <v>264.52</v>
      </c>
      <c r="AQ252" s="60">
        <v>256.94</v>
      </c>
      <c r="AR252" s="61">
        <v>274.02999999999997</v>
      </c>
    </row>
    <row r="253" spans="1:44" x14ac:dyDescent="0.35">
      <c r="A253" s="49" t="str">
        <f t="shared" si="20"/>
        <v>42</v>
      </c>
      <c r="B253" s="27">
        <v>69229</v>
      </c>
      <c r="C253" s="25" t="str">
        <f>TEXT(116921,"0000000")</f>
        <v>0116921</v>
      </c>
      <c r="D253" s="26" t="s">
        <v>2650</v>
      </c>
      <c r="E253" s="25" t="s">
        <v>2648</v>
      </c>
      <c r="F253" s="25" t="s">
        <v>2616</v>
      </c>
      <c r="G253" s="59" t="s">
        <v>2649</v>
      </c>
      <c r="H253" s="60">
        <v>0</v>
      </c>
      <c r="I253" s="60">
        <v>0</v>
      </c>
      <c r="J253" s="60">
        <v>0</v>
      </c>
      <c r="K253" s="60">
        <v>0</v>
      </c>
      <c r="L253" s="60">
        <v>0</v>
      </c>
      <c r="M253" s="60">
        <v>0</v>
      </c>
      <c r="N253" s="60">
        <v>0</v>
      </c>
      <c r="O253" s="60">
        <v>0</v>
      </c>
      <c r="P253" s="60">
        <v>0</v>
      </c>
      <c r="Q253" s="60">
        <v>0</v>
      </c>
      <c r="R253" s="60">
        <v>0</v>
      </c>
      <c r="S253" s="60">
        <v>0</v>
      </c>
      <c r="T253" s="60">
        <v>0</v>
      </c>
      <c r="U253" s="60">
        <v>0</v>
      </c>
      <c r="V253" s="60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437.87</v>
      </c>
      <c r="AD253" s="60">
        <v>424.74</v>
      </c>
      <c r="AE253" s="60">
        <v>407.48</v>
      </c>
      <c r="AF253" s="60">
        <v>0</v>
      </c>
      <c r="AG253" s="60">
        <v>0</v>
      </c>
      <c r="AH253" s="60">
        <v>0</v>
      </c>
      <c r="AI253" s="60">
        <v>437.87</v>
      </c>
      <c r="AJ253" s="60">
        <v>424.74</v>
      </c>
      <c r="AK253" s="60">
        <v>407.48</v>
      </c>
      <c r="AL253" s="60">
        <v>0</v>
      </c>
      <c r="AM253" s="60">
        <v>0</v>
      </c>
      <c r="AN253" s="60">
        <v>0</v>
      </c>
      <c r="AO253" s="60">
        <v>437.87</v>
      </c>
      <c r="AP253" s="60">
        <v>424.74</v>
      </c>
      <c r="AQ253" s="60">
        <v>407.48</v>
      </c>
      <c r="AR253" s="61">
        <v>437.87</v>
      </c>
    </row>
    <row r="254" spans="1:44" x14ac:dyDescent="0.35">
      <c r="A254" s="49" t="str">
        <f t="shared" si="20"/>
        <v>42</v>
      </c>
      <c r="B254" s="27">
        <v>76786</v>
      </c>
      <c r="C254" s="25" t="str">
        <f>TEXT(6118202,"0000000")</f>
        <v>6118202</v>
      </c>
      <c r="D254" s="26" t="s">
        <v>2676</v>
      </c>
      <c r="E254" s="25" t="s">
        <v>2674</v>
      </c>
      <c r="F254" s="25" t="s">
        <v>2616</v>
      </c>
      <c r="G254" s="59" t="s">
        <v>2675</v>
      </c>
      <c r="H254" s="60">
        <v>0</v>
      </c>
      <c r="I254" s="60">
        <v>0</v>
      </c>
      <c r="J254" s="60">
        <v>0</v>
      </c>
      <c r="K254" s="60">
        <v>0</v>
      </c>
      <c r="L254" s="60">
        <v>0</v>
      </c>
      <c r="M254" s="60">
        <v>0</v>
      </c>
      <c r="N254" s="60">
        <v>0</v>
      </c>
      <c r="O254" s="60">
        <v>0</v>
      </c>
      <c r="P254" s="60">
        <v>0</v>
      </c>
      <c r="Q254" s="60">
        <v>0</v>
      </c>
      <c r="R254" s="60">
        <v>0</v>
      </c>
      <c r="S254" s="60">
        <v>0</v>
      </c>
      <c r="T254" s="60">
        <v>0</v>
      </c>
      <c r="U254" s="60">
        <v>0</v>
      </c>
      <c r="V254" s="60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288.05</v>
      </c>
      <c r="AD254" s="60">
        <v>273.39</v>
      </c>
      <c r="AE254" s="60">
        <v>272.5</v>
      </c>
      <c r="AF254" s="60">
        <v>0</v>
      </c>
      <c r="AG254" s="60">
        <v>0</v>
      </c>
      <c r="AH254" s="60">
        <v>0</v>
      </c>
      <c r="AI254" s="60">
        <v>288.05</v>
      </c>
      <c r="AJ254" s="60">
        <v>273.39</v>
      </c>
      <c r="AK254" s="60">
        <v>272.5</v>
      </c>
      <c r="AL254" s="60">
        <v>0</v>
      </c>
      <c r="AM254" s="60">
        <v>0</v>
      </c>
      <c r="AN254" s="60">
        <v>0</v>
      </c>
      <c r="AO254" s="60">
        <v>288.05</v>
      </c>
      <c r="AP254" s="60">
        <v>273.39</v>
      </c>
      <c r="AQ254" s="60">
        <v>272.5</v>
      </c>
      <c r="AR254" s="61">
        <v>288.05</v>
      </c>
    </row>
    <row r="255" spans="1:44" x14ac:dyDescent="0.35">
      <c r="A255" s="49" t="str">
        <f t="shared" ref="A255:A279" si="21">TEXT(27,"00")</f>
        <v>27</v>
      </c>
      <c r="B255" s="27">
        <v>10272</v>
      </c>
      <c r="C255" s="25" t="str">
        <f t="shared" ref="C255:C286" si="22">TEXT(,"0000000")</f>
        <v>0000000</v>
      </c>
      <c r="D255" s="26" t="s">
        <v>3663</v>
      </c>
      <c r="E255" s="25" t="s">
        <v>1379</v>
      </c>
      <c r="F255" s="25" t="s">
        <v>1380</v>
      </c>
      <c r="G255" s="59" t="s">
        <v>1380</v>
      </c>
      <c r="H255" s="60">
        <v>0</v>
      </c>
      <c r="I255" s="60">
        <v>0</v>
      </c>
      <c r="J255" s="60">
        <v>0</v>
      </c>
      <c r="K255" s="60">
        <v>0</v>
      </c>
      <c r="L255" s="60">
        <v>0</v>
      </c>
      <c r="M255" s="60">
        <v>0</v>
      </c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>
        <v>0</v>
      </c>
      <c r="T255" s="60">
        <v>65.42</v>
      </c>
      <c r="U255" s="60">
        <v>90.61</v>
      </c>
      <c r="V255" s="60">
        <v>77.94</v>
      </c>
      <c r="W255" s="60">
        <v>310.94</v>
      </c>
      <c r="X255" s="60">
        <v>273.36</v>
      </c>
      <c r="Y255" s="60">
        <v>308.99</v>
      </c>
      <c r="Z255" s="60">
        <v>281.16000000000003</v>
      </c>
      <c r="AA255" s="60">
        <v>284.24</v>
      </c>
      <c r="AB255" s="60">
        <v>282.33999999999997</v>
      </c>
      <c r="AC255" s="60">
        <v>0</v>
      </c>
      <c r="AD255" s="60">
        <v>0</v>
      </c>
      <c r="AE255" s="60">
        <v>0</v>
      </c>
      <c r="AF255" s="60">
        <v>0</v>
      </c>
      <c r="AG255" s="60">
        <v>0</v>
      </c>
      <c r="AH255" s="60">
        <v>0</v>
      </c>
      <c r="AI255" s="60">
        <v>657.52</v>
      </c>
      <c r="AJ255" s="60">
        <v>648.21</v>
      </c>
      <c r="AK255" s="60">
        <v>669.27</v>
      </c>
      <c r="AL255" s="60">
        <v>0</v>
      </c>
      <c r="AM255" s="60">
        <v>0</v>
      </c>
      <c r="AN255" s="60">
        <v>0</v>
      </c>
      <c r="AO255" s="60">
        <v>657.52</v>
      </c>
      <c r="AP255" s="60">
        <v>648.21</v>
      </c>
      <c r="AQ255" s="60">
        <v>669.27</v>
      </c>
      <c r="AR255" s="61">
        <v>669.27</v>
      </c>
    </row>
    <row r="256" spans="1:44" x14ac:dyDescent="0.35">
      <c r="A256" s="49" t="str">
        <f t="shared" si="21"/>
        <v>27</v>
      </c>
      <c r="B256" s="27">
        <v>65961</v>
      </c>
      <c r="C256" s="25" t="str">
        <f t="shared" si="22"/>
        <v>0000000</v>
      </c>
      <c r="D256" s="26" t="s">
        <v>3663</v>
      </c>
      <c r="E256" s="25" t="s">
        <v>1389</v>
      </c>
      <c r="F256" s="25" t="s">
        <v>1380</v>
      </c>
      <c r="G256" s="59" t="s">
        <v>1390</v>
      </c>
      <c r="H256" s="60">
        <v>6958.25</v>
      </c>
      <c r="I256" s="60">
        <v>6971.61</v>
      </c>
      <c r="J256" s="60">
        <v>7120.18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  <c r="P256" s="60">
        <v>0</v>
      </c>
      <c r="Q256" s="60">
        <v>0</v>
      </c>
      <c r="R256" s="60">
        <v>0</v>
      </c>
      <c r="S256" s="60">
        <v>0</v>
      </c>
      <c r="T256" s="60">
        <v>0</v>
      </c>
      <c r="U256" s="60">
        <v>0</v>
      </c>
      <c r="V256" s="60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0">
        <v>0</v>
      </c>
      <c r="AE256" s="60">
        <v>0</v>
      </c>
      <c r="AF256" s="60">
        <v>0</v>
      </c>
      <c r="AG256" s="60">
        <v>0</v>
      </c>
      <c r="AH256" s="60">
        <v>0</v>
      </c>
      <c r="AI256" s="60">
        <v>6958.25</v>
      </c>
      <c r="AJ256" s="60">
        <v>6971.61</v>
      </c>
      <c r="AK256" s="60">
        <v>7120.18</v>
      </c>
      <c r="AL256" s="60">
        <v>0</v>
      </c>
      <c r="AM256" s="60">
        <v>0</v>
      </c>
      <c r="AN256" s="60">
        <v>0</v>
      </c>
      <c r="AO256" s="60">
        <v>6958.25</v>
      </c>
      <c r="AP256" s="60">
        <v>6971.61</v>
      </c>
      <c r="AQ256" s="60">
        <v>7120.18</v>
      </c>
      <c r="AR256" s="61">
        <v>7120.18</v>
      </c>
    </row>
    <row r="257" spans="1:44" x14ac:dyDescent="0.35">
      <c r="A257" s="49" t="str">
        <f t="shared" si="21"/>
        <v>27</v>
      </c>
      <c r="B257" s="27">
        <v>65995</v>
      </c>
      <c r="C257" s="25" t="str">
        <f t="shared" si="22"/>
        <v>0000000</v>
      </c>
      <c r="D257" s="26" t="s">
        <v>3663</v>
      </c>
      <c r="E257" s="25" t="s">
        <v>1395</v>
      </c>
      <c r="F257" s="25" t="s">
        <v>1380</v>
      </c>
      <c r="G257" s="59" t="s">
        <v>1396</v>
      </c>
      <c r="H257" s="60">
        <v>229.78</v>
      </c>
      <c r="I257" s="60">
        <v>245.26</v>
      </c>
      <c r="J257" s="60">
        <v>251.71</v>
      </c>
      <c r="K257" s="60">
        <v>0</v>
      </c>
      <c r="L257" s="60">
        <v>0</v>
      </c>
      <c r="M257" s="60">
        <v>0</v>
      </c>
      <c r="N257" s="60">
        <v>0</v>
      </c>
      <c r="O257" s="60">
        <v>0</v>
      </c>
      <c r="P257" s="60">
        <v>0</v>
      </c>
      <c r="Q257" s="60">
        <v>0</v>
      </c>
      <c r="R257" s="60">
        <v>0</v>
      </c>
      <c r="S257" s="60">
        <v>0</v>
      </c>
      <c r="T257" s="60">
        <v>0</v>
      </c>
      <c r="U257" s="60">
        <v>0</v>
      </c>
      <c r="V257" s="60">
        <v>0</v>
      </c>
      <c r="W257" s="60">
        <v>0</v>
      </c>
      <c r="X257" s="60">
        <v>0</v>
      </c>
      <c r="Y257" s="60">
        <v>0</v>
      </c>
      <c r="Z257" s="60">
        <v>0</v>
      </c>
      <c r="AA257" s="60">
        <v>0</v>
      </c>
      <c r="AB257" s="60">
        <v>0</v>
      </c>
      <c r="AC257" s="60">
        <v>0</v>
      </c>
      <c r="AD257" s="60">
        <v>0</v>
      </c>
      <c r="AE257" s="60">
        <v>0</v>
      </c>
      <c r="AF257" s="60">
        <v>0</v>
      </c>
      <c r="AG257" s="60">
        <v>0</v>
      </c>
      <c r="AH257" s="60">
        <v>0</v>
      </c>
      <c r="AI257" s="60">
        <v>229.78</v>
      </c>
      <c r="AJ257" s="60">
        <v>245.26</v>
      </c>
      <c r="AK257" s="60">
        <v>251.71</v>
      </c>
      <c r="AL257" s="60">
        <v>0</v>
      </c>
      <c r="AM257" s="60">
        <v>0</v>
      </c>
      <c r="AN257" s="60">
        <v>0</v>
      </c>
      <c r="AO257" s="60">
        <v>229.78</v>
      </c>
      <c r="AP257" s="60">
        <v>245.26</v>
      </c>
      <c r="AQ257" s="60">
        <v>251.71</v>
      </c>
      <c r="AR257" s="61">
        <v>251.71</v>
      </c>
    </row>
    <row r="258" spans="1:44" x14ac:dyDescent="0.35">
      <c r="A258" s="49" t="str">
        <f t="shared" si="21"/>
        <v>27</v>
      </c>
      <c r="B258" s="27">
        <v>66035</v>
      </c>
      <c r="C258" s="25" t="str">
        <f t="shared" si="22"/>
        <v>0000000</v>
      </c>
      <c r="D258" s="26" t="s">
        <v>3663</v>
      </c>
      <c r="E258" s="25" t="s">
        <v>1399</v>
      </c>
      <c r="F258" s="25" t="s">
        <v>1380</v>
      </c>
      <c r="G258" s="59" t="s">
        <v>1400</v>
      </c>
      <c r="H258" s="60">
        <v>3172.93</v>
      </c>
      <c r="I258" s="60">
        <v>3187.15</v>
      </c>
      <c r="J258" s="60">
        <v>3209.46</v>
      </c>
      <c r="K258" s="60">
        <v>0</v>
      </c>
      <c r="L258" s="60">
        <v>0</v>
      </c>
      <c r="M258" s="60">
        <v>0</v>
      </c>
      <c r="N258" s="60">
        <v>0</v>
      </c>
      <c r="O258" s="60">
        <v>0</v>
      </c>
      <c r="P258" s="60">
        <v>0</v>
      </c>
      <c r="Q258" s="60">
        <v>0</v>
      </c>
      <c r="R258" s="60">
        <v>0</v>
      </c>
      <c r="S258" s="60">
        <v>0</v>
      </c>
      <c r="T258" s="60">
        <v>0</v>
      </c>
      <c r="U258" s="60">
        <v>0</v>
      </c>
      <c r="V258" s="60">
        <v>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0">
        <v>0</v>
      </c>
      <c r="AE258" s="60">
        <v>0</v>
      </c>
      <c r="AF258" s="60">
        <v>0</v>
      </c>
      <c r="AG258" s="60">
        <v>0</v>
      </c>
      <c r="AH258" s="60">
        <v>0</v>
      </c>
      <c r="AI258" s="60">
        <v>3172.93</v>
      </c>
      <c r="AJ258" s="60">
        <v>3187.15</v>
      </c>
      <c r="AK258" s="60">
        <v>3209.46</v>
      </c>
      <c r="AL258" s="60">
        <v>0</v>
      </c>
      <c r="AM258" s="60">
        <v>0</v>
      </c>
      <c r="AN258" s="60">
        <v>0</v>
      </c>
      <c r="AO258" s="60">
        <v>3172.93</v>
      </c>
      <c r="AP258" s="60">
        <v>3187.15</v>
      </c>
      <c r="AQ258" s="60">
        <v>3209.46</v>
      </c>
      <c r="AR258" s="61">
        <v>3209.46</v>
      </c>
    </row>
    <row r="259" spans="1:44" x14ac:dyDescent="0.35">
      <c r="A259" s="49" t="str">
        <f t="shared" si="21"/>
        <v>27</v>
      </c>
      <c r="B259" s="27">
        <v>66050</v>
      </c>
      <c r="C259" s="25" t="str">
        <f t="shared" si="22"/>
        <v>0000000</v>
      </c>
      <c r="D259" s="26" t="s">
        <v>3663</v>
      </c>
      <c r="E259" s="25" t="s">
        <v>1401</v>
      </c>
      <c r="F259" s="25" t="s">
        <v>1380</v>
      </c>
      <c r="G259" s="59" t="s">
        <v>1402</v>
      </c>
      <c r="H259" s="60">
        <v>2380.25</v>
      </c>
      <c r="I259" s="60">
        <v>2370.7800000000002</v>
      </c>
      <c r="J259" s="60">
        <v>2260.48</v>
      </c>
      <c r="K259" s="60">
        <v>0</v>
      </c>
      <c r="L259" s="60">
        <v>0</v>
      </c>
      <c r="M259" s="60">
        <v>0</v>
      </c>
      <c r="N259" s="60">
        <v>0</v>
      </c>
      <c r="O259" s="60">
        <v>0</v>
      </c>
      <c r="P259" s="60">
        <v>0</v>
      </c>
      <c r="Q259" s="60">
        <v>0</v>
      </c>
      <c r="R259" s="60">
        <v>0</v>
      </c>
      <c r="S259" s="60">
        <v>0</v>
      </c>
      <c r="T259" s="60">
        <v>0</v>
      </c>
      <c r="U259" s="60">
        <v>0</v>
      </c>
      <c r="V259" s="60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0">
        <v>0</v>
      </c>
      <c r="AE259" s="60">
        <v>0</v>
      </c>
      <c r="AF259" s="60">
        <v>0</v>
      </c>
      <c r="AG259" s="60">
        <v>0</v>
      </c>
      <c r="AH259" s="60">
        <v>0</v>
      </c>
      <c r="AI259" s="60">
        <v>2380.25</v>
      </c>
      <c r="AJ259" s="60">
        <v>2370.7800000000002</v>
      </c>
      <c r="AK259" s="60">
        <v>2260.48</v>
      </c>
      <c r="AL259" s="60">
        <v>0</v>
      </c>
      <c r="AM259" s="60">
        <v>0</v>
      </c>
      <c r="AN259" s="60">
        <v>0</v>
      </c>
      <c r="AO259" s="60">
        <v>2380.25</v>
      </c>
      <c r="AP259" s="60">
        <v>2370.7800000000002</v>
      </c>
      <c r="AQ259" s="60">
        <v>2260.48</v>
      </c>
      <c r="AR259" s="61">
        <v>2380.25</v>
      </c>
    </row>
    <row r="260" spans="1:44" x14ac:dyDescent="0.35">
      <c r="A260" s="49" t="str">
        <f t="shared" si="21"/>
        <v>27</v>
      </c>
      <c r="B260" s="27">
        <v>66142</v>
      </c>
      <c r="C260" s="25" t="str">
        <f t="shared" si="22"/>
        <v>0000000</v>
      </c>
      <c r="D260" s="26" t="s">
        <v>3663</v>
      </c>
      <c r="E260" s="25" t="s">
        <v>1419</v>
      </c>
      <c r="F260" s="25" t="s">
        <v>1380</v>
      </c>
      <c r="G260" s="59" t="s">
        <v>1420</v>
      </c>
      <c r="H260" s="60">
        <v>7655.05</v>
      </c>
      <c r="I260" s="60">
        <v>7543.04</v>
      </c>
      <c r="J260" s="60">
        <v>7294.72</v>
      </c>
      <c r="K260" s="60">
        <v>0</v>
      </c>
      <c r="L260" s="60">
        <v>0</v>
      </c>
      <c r="M260" s="60">
        <v>0</v>
      </c>
      <c r="N260" s="60">
        <v>0</v>
      </c>
      <c r="O260" s="60">
        <v>0</v>
      </c>
      <c r="P260" s="60">
        <v>0</v>
      </c>
      <c r="Q260" s="60">
        <v>0</v>
      </c>
      <c r="R260" s="60">
        <v>0</v>
      </c>
      <c r="S260" s="60">
        <v>0</v>
      </c>
      <c r="T260" s="60">
        <v>0</v>
      </c>
      <c r="U260" s="60">
        <v>0</v>
      </c>
      <c r="V260" s="60">
        <v>0</v>
      </c>
      <c r="W260" s="60">
        <v>0</v>
      </c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0">
        <v>0</v>
      </c>
      <c r="AE260" s="60">
        <v>0</v>
      </c>
      <c r="AF260" s="60">
        <v>0</v>
      </c>
      <c r="AG260" s="60">
        <v>0</v>
      </c>
      <c r="AH260" s="60">
        <v>0</v>
      </c>
      <c r="AI260" s="60">
        <v>7655.05</v>
      </c>
      <c r="AJ260" s="60">
        <v>7543.04</v>
      </c>
      <c r="AK260" s="60">
        <v>7294.72</v>
      </c>
      <c r="AL260" s="60">
        <v>0</v>
      </c>
      <c r="AM260" s="60">
        <v>0</v>
      </c>
      <c r="AN260" s="60">
        <v>0</v>
      </c>
      <c r="AO260" s="60">
        <v>7655.05</v>
      </c>
      <c r="AP260" s="60">
        <v>7543.04</v>
      </c>
      <c r="AQ260" s="60">
        <v>7294.72</v>
      </c>
      <c r="AR260" s="61">
        <v>7655.05</v>
      </c>
    </row>
    <row r="261" spans="1:44" x14ac:dyDescent="0.35">
      <c r="A261" s="49" t="str">
        <f t="shared" si="21"/>
        <v>27</v>
      </c>
      <c r="B261" s="27">
        <v>66167</v>
      </c>
      <c r="C261" s="25" t="str">
        <f t="shared" si="22"/>
        <v>0000000</v>
      </c>
      <c r="D261" s="26" t="s">
        <v>3663</v>
      </c>
      <c r="E261" s="25" t="s">
        <v>1423</v>
      </c>
      <c r="F261" s="25" t="s">
        <v>1380</v>
      </c>
      <c r="G261" s="59" t="s">
        <v>1424</v>
      </c>
      <c r="H261" s="60">
        <v>135.66</v>
      </c>
      <c r="I261" s="60">
        <v>121.03</v>
      </c>
      <c r="J261" s="60">
        <v>119.8</v>
      </c>
      <c r="K261" s="60">
        <v>0</v>
      </c>
      <c r="L261" s="60">
        <v>0</v>
      </c>
      <c r="M261" s="60">
        <v>0</v>
      </c>
      <c r="N261" s="60">
        <v>0</v>
      </c>
      <c r="O261" s="60">
        <v>0</v>
      </c>
      <c r="P261" s="60">
        <v>0</v>
      </c>
      <c r="Q261" s="60">
        <v>0</v>
      </c>
      <c r="R261" s="60">
        <v>0</v>
      </c>
      <c r="S261" s="60">
        <v>0</v>
      </c>
      <c r="T261" s="60">
        <v>0</v>
      </c>
      <c r="U261" s="60">
        <v>0</v>
      </c>
      <c r="V261" s="60">
        <v>0</v>
      </c>
      <c r="W261" s="60">
        <v>0</v>
      </c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0">
        <v>0</v>
      </c>
      <c r="AD261" s="60">
        <v>0</v>
      </c>
      <c r="AE261" s="60">
        <v>0</v>
      </c>
      <c r="AF261" s="60">
        <v>0</v>
      </c>
      <c r="AG261" s="60">
        <v>0</v>
      </c>
      <c r="AH261" s="60">
        <v>0</v>
      </c>
      <c r="AI261" s="60">
        <v>135.66</v>
      </c>
      <c r="AJ261" s="60">
        <v>121.03</v>
      </c>
      <c r="AK261" s="60">
        <v>119.8</v>
      </c>
      <c r="AL261" s="60">
        <v>0</v>
      </c>
      <c r="AM261" s="60">
        <v>0</v>
      </c>
      <c r="AN261" s="60">
        <v>0</v>
      </c>
      <c r="AO261" s="60">
        <v>135.66</v>
      </c>
      <c r="AP261" s="60">
        <v>121.03</v>
      </c>
      <c r="AQ261" s="60">
        <v>119.8</v>
      </c>
      <c r="AR261" s="61">
        <v>135.66</v>
      </c>
    </row>
    <row r="262" spans="1:44" x14ac:dyDescent="0.35">
      <c r="A262" s="49" t="str">
        <f t="shared" si="21"/>
        <v>27</v>
      </c>
      <c r="B262" s="27">
        <v>66191</v>
      </c>
      <c r="C262" s="25" t="str">
        <f t="shared" si="22"/>
        <v>0000000</v>
      </c>
      <c r="D262" s="26" t="s">
        <v>3663</v>
      </c>
      <c r="E262" s="25" t="s">
        <v>1429</v>
      </c>
      <c r="F262" s="25" t="s">
        <v>1380</v>
      </c>
      <c r="G262" s="59" t="s">
        <v>1430</v>
      </c>
      <c r="H262" s="60">
        <v>2989.74</v>
      </c>
      <c r="I262" s="60">
        <v>2989.13</v>
      </c>
      <c r="J262" s="60">
        <v>3015.9</v>
      </c>
      <c r="K262" s="60">
        <v>0</v>
      </c>
      <c r="L262" s="60">
        <v>0</v>
      </c>
      <c r="M262" s="60">
        <v>0</v>
      </c>
      <c r="N262" s="60">
        <v>0</v>
      </c>
      <c r="O262" s="60">
        <v>0</v>
      </c>
      <c r="P262" s="60">
        <v>0</v>
      </c>
      <c r="Q262" s="60">
        <v>0</v>
      </c>
      <c r="R262" s="60">
        <v>0</v>
      </c>
      <c r="S262" s="60">
        <v>0</v>
      </c>
      <c r="T262" s="60">
        <v>0</v>
      </c>
      <c r="U262" s="60">
        <v>0</v>
      </c>
      <c r="V262" s="60">
        <v>0</v>
      </c>
      <c r="W262" s="60">
        <v>0</v>
      </c>
      <c r="X262" s="60">
        <v>0</v>
      </c>
      <c r="Y262" s="60">
        <v>0</v>
      </c>
      <c r="Z262" s="60">
        <v>0</v>
      </c>
      <c r="AA262" s="60">
        <v>0</v>
      </c>
      <c r="AB262" s="60">
        <v>0</v>
      </c>
      <c r="AC262" s="60">
        <v>0</v>
      </c>
      <c r="AD262" s="60">
        <v>0</v>
      </c>
      <c r="AE262" s="60">
        <v>0</v>
      </c>
      <c r="AF262" s="60">
        <v>0</v>
      </c>
      <c r="AG262" s="60">
        <v>0</v>
      </c>
      <c r="AH262" s="60">
        <v>0</v>
      </c>
      <c r="AI262" s="60">
        <v>2989.74</v>
      </c>
      <c r="AJ262" s="60">
        <v>2989.13</v>
      </c>
      <c r="AK262" s="60">
        <v>3015.9</v>
      </c>
      <c r="AL262" s="60">
        <v>0</v>
      </c>
      <c r="AM262" s="60">
        <v>0</v>
      </c>
      <c r="AN262" s="60">
        <v>0</v>
      </c>
      <c r="AO262" s="60">
        <v>2989.74</v>
      </c>
      <c r="AP262" s="60">
        <v>2989.13</v>
      </c>
      <c r="AQ262" s="60">
        <v>3015.9</v>
      </c>
      <c r="AR262" s="61">
        <v>3015.9</v>
      </c>
    </row>
    <row r="263" spans="1:44" x14ac:dyDescent="0.35">
      <c r="A263" s="49" t="str">
        <f t="shared" si="21"/>
        <v>27</v>
      </c>
      <c r="B263" s="27">
        <v>66225</v>
      </c>
      <c r="C263" s="25" t="str">
        <f t="shared" si="22"/>
        <v>0000000</v>
      </c>
      <c r="D263" s="26" t="s">
        <v>3663</v>
      </c>
      <c r="E263" s="25" t="s">
        <v>1431</v>
      </c>
      <c r="F263" s="25" t="s">
        <v>1380</v>
      </c>
      <c r="G263" s="59" t="s">
        <v>1432</v>
      </c>
      <c r="H263" s="60">
        <v>839.65</v>
      </c>
      <c r="I263" s="60">
        <v>863.74</v>
      </c>
      <c r="J263" s="60">
        <v>875.64</v>
      </c>
      <c r="K263" s="60">
        <v>0</v>
      </c>
      <c r="L263" s="60">
        <v>0</v>
      </c>
      <c r="M263" s="60">
        <v>0</v>
      </c>
      <c r="N263" s="60">
        <v>0</v>
      </c>
      <c r="O263" s="60">
        <v>0</v>
      </c>
      <c r="P263" s="60">
        <v>0</v>
      </c>
      <c r="Q263" s="60">
        <v>0</v>
      </c>
      <c r="R263" s="60">
        <v>0</v>
      </c>
      <c r="S263" s="60">
        <v>0</v>
      </c>
      <c r="T263" s="60">
        <v>0</v>
      </c>
      <c r="U263" s="60">
        <v>0</v>
      </c>
      <c r="V263" s="60">
        <v>0</v>
      </c>
      <c r="W263" s="60">
        <v>0</v>
      </c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0">
        <v>0</v>
      </c>
      <c r="AD263" s="60">
        <v>0</v>
      </c>
      <c r="AE263" s="60">
        <v>0</v>
      </c>
      <c r="AF263" s="60">
        <v>0</v>
      </c>
      <c r="AG263" s="60">
        <v>0</v>
      </c>
      <c r="AH263" s="60">
        <v>0</v>
      </c>
      <c r="AI263" s="60">
        <v>839.65</v>
      </c>
      <c r="AJ263" s="60">
        <v>863.74</v>
      </c>
      <c r="AK263" s="60">
        <v>875.64</v>
      </c>
      <c r="AL263" s="60">
        <v>0</v>
      </c>
      <c r="AM263" s="60">
        <v>0</v>
      </c>
      <c r="AN263" s="60">
        <v>0</v>
      </c>
      <c r="AO263" s="60">
        <v>839.65</v>
      </c>
      <c r="AP263" s="60">
        <v>863.74</v>
      </c>
      <c r="AQ263" s="60">
        <v>875.64</v>
      </c>
      <c r="AR263" s="61">
        <v>875.64</v>
      </c>
    </row>
    <row r="264" spans="1:44" x14ac:dyDescent="0.35">
      <c r="A264" s="49" t="str">
        <f t="shared" si="21"/>
        <v>27</v>
      </c>
      <c r="B264" s="27">
        <v>66233</v>
      </c>
      <c r="C264" s="25" t="str">
        <f t="shared" si="22"/>
        <v>0000000</v>
      </c>
      <c r="D264" s="26" t="s">
        <v>3663</v>
      </c>
      <c r="E264" s="25" t="s">
        <v>1433</v>
      </c>
      <c r="F264" s="25" t="s">
        <v>1380</v>
      </c>
      <c r="G264" s="59" t="s">
        <v>1434</v>
      </c>
      <c r="H264" s="60">
        <v>712.59</v>
      </c>
      <c r="I264" s="60">
        <v>690.84</v>
      </c>
      <c r="J264" s="60">
        <v>717.7</v>
      </c>
      <c r="K264" s="60">
        <v>0</v>
      </c>
      <c r="L264" s="60">
        <v>0</v>
      </c>
      <c r="M264" s="60">
        <v>0</v>
      </c>
      <c r="N264" s="60">
        <v>0</v>
      </c>
      <c r="O264" s="60">
        <v>0</v>
      </c>
      <c r="P264" s="60">
        <v>0</v>
      </c>
      <c r="Q264" s="60">
        <v>0</v>
      </c>
      <c r="R264" s="60">
        <v>0</v>
      </c>
      <c r="S264" s="60">
        <v>0</v>
      </c>
      <c r="T264" s="60">
        <v>0</v>
      </c>
      <c r="U264" s="60">
        <v>0</v>
      </c>
      <c r="V264" s="60">
        <v>0</v>
      </c>
      <c r="W264" s="60">
        <v>0</v>
      </c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0">
        <v>0</v>
      </c>
      <c r="AE264" s="60">
        <v>0</v>
      </c>
      <c r="AF264" s="60">
        <v>0</v>
      </c>
      <c r="AG264" s="60">
        <v>0</v>
      </c>
      <c r="AH264" s="60">
        <v>0</v>
      </c>
      <c r="AI264" s="60">
        <v>712.59</v>
      </c>
      <c r="AJ264" s="60">
        <v>690.84</v>
      </c>
      <c r="AK264" s="60">
        <v>717.7</v>
      </c>
      <c r="AL264" s="60">
        <v>0</v>
      </c>
      <c r="AM264" s="60">
        <v>0</v>
      </c>
      <c r="AN264" s="60">
        <v>0</v>
      </c>
      <c r="AO264" s="60">
        <v>712.59</v>
      </c>
      <c r="AP264" s="60">
        <v>690.84</v>
      </c>
      <c r="AQ264" s="60">
        <v>717.7</v>
      </c>
      <c r="AR264" s="61">
        <v>717.7</v>
      </c>
    </row>
    <row r="265" spans="1:44" x14ac:dyDescent="0.35">
      <c r="A265" s="49" t="str">
        <f t="shared" si="21"/>
        <v>27</v>
      </c>
      <c r="B265" s="27">
        <v>66068</v>
      </c>
      <c r="C265" s="25" t="str">
        <f t="shared" si="22"/>
        <v>0000000</v>
      </c>
      <c r="D265" s="26" t="s">
        <v>3663</v>
      </c>
      <c r="E265" s="25" t="s">
        <v>1403</v>
      </c>
      <c r="F265" s="25" t="s">
        <v>1380</v>
      </c>
      <c r="G265" s="59" t="s">
        <v>1404</v>
      </c>
      <c r="H265" s="60">
        <v>2518.4299999999998</v>
      </c>
      <c r="I265" s="60">
        <v>2531.6799999999998</v>
      </c>
      <c r="J265" s="60">
        <v>2504.19</v>
      </c>
      <c r="K265" s="60">
        <v>0</v>
      </c>
      <c r="L265" s="60">
        <v>0</v>
      </c>
      <c r="M265" s="60">
        <v>0</v>
      </c>
      <c r="N265" s="60">
        <v>0</v>
      </c>
      <c r="O265" s="60">
        <v>0</v>
      </c>
      <c r="P265" s="60">
        <v>0</v>
      </c>
      <c r="Q265" s="60">
        <v>0</v>
      </c>
      <c r="R265" s="60">
        <v>0</v>
      </c>
      <c r="S265" s="60">
        <v>0</v>
      </c>
      <c r="T265" s="60">
        <v>0</v>
      </c>
      <c r="U265" s="60">
        <v>0</v>
      </c>
      <c r="V265" s="60">
        <v>0</v>
      </c>
      <c r="W265" s="60">
        <v>0</v>
      </c>
      <c r="X265" s="60">
        <v>0</v>
      </c>
      <c r="Y265" s="60">
        <v>0</v>
      </c>
      <c r="Z265" s="60">
        <v>0</v>
      </c>
      <c r="AA265" s="60">
        <v>0</v>
      </c>
      <c r="AB265" s="60">
        <v>0</v>
      </c>
      <c r="AC265" s="60">
        <v>0</v>
      </c>
      <c r="AD265" s="60">
        <v>0</v>
      </c>
      <c r="AE265" s="60">
        <v>0</v>
      </c>
      <c r="AF265" s="60">
        <v>0</v>
      </c>
      <c r="AG265" s="60">
        <v>0</v>
      </c>
      <c r="AH265" s="60">
        <v>0</v>
      </c>
      <c r="AI265" s="60">
        <v>2518.4299999999998</v>
      </c>
      <c r="AJ265" s="60">
        <v>2531.6799999999998</v>
      </c>
      <c r="AK265" s="60">
        <v>2504.19</v>
      </c>
      <c r="AL265" s="60">
        <v>0</v>
      </c>
      <c r="AM265" s="60">
        <v>0</v>
      </c>
      <c r="AN265" s="60">
        <v>0</v>
      </c>
      <c r="AO265" s="60">
        <v>2518.4299999999998</v>
      </c>
      <c r="AP265" s="60">
        <v>2531.6799999999998</v>
      </c>
      <c r="AQ265" s="60">
        <v>2504.19</v>
      </c>
      <c r="AR265" s="61">
        <v>2531.6799999999998</v>
      </c>
    </row>
    <row r="266" spans="1:44" x14ac:dyDescent="0.35">
      <c r="A266" s="49" t="str">
        <f t="shared" si="21"/>
        <v>27</v>
      </c>
      <c r="B266" s="27">
        <v>66159</v>
      </c>
      <c r="C266" s="25" t="str">
        <f t="shared" si="22"/>
        <v>0000000</v>
      </c>
      <c r="D266" s="26" t="s">
        <v>3663</v>
      </c>
      <c r="E266" s="25" t="s">
        <v>1421</v>
      </c>
      <c r="F266" s="25" t="s">
        <v>1380</v>
      </c>
      <c r="G266" s="59" t="s">
        <v>1422</v>
      </c>
      <c r="H266" s="60">
        <v>15063.71</v>
      </c>
      <c r="I266" s="60">
        <v>15066.34</v>
      </c>
      <c r="J266" s="60">
        <v>14900.65</v>
      </c>
      <c r="K266" s="60">
        <v>0</v>
      </c>
      <c r="L266" s="60">
        <v>0</v>
      </c>
      <c r="M266" s="60">
        <v>0</v>
      </c>
      <c r="N266" s="60">
        <v>0</v>
      </c>
      <c r="O266" s="60">
        <v>0</v>
      </c>
      <c r="P266" s="60">
        <v>0</v>
      </c>
      <c r="Q266" s="60">
        <v>0</v>
      </c>
      <c r="R266" s="60">
        <v>0</v>
      </c>
      <c r="S266" s="60">
        <v>0</v>
      </c>
      <c r="T266" s="60">
        <v>0</v>
      </c>
      <c r="U266" s="60">
        <v>0</v>
      </c>
      <c r="V266" s="60">
        <v>0</v>
      </c>
      <c r="W266" s="60">
        <v>0</v>
      </c>
      <c r="X266" s="60">
        <v>0</v>
      </c>
      <c r="Y266" s="60">
        <v>0</v>
      </c>
      <c r="Z266" s="60">
        <v>0</v>
      </c>
      <c r="AA266" s="60">
        <v>0</v>
      </c>
      <c r="AB266" s="60">
        <v>0</v>
      </c>
      <c r="AC266" s="60">
        <v>0</v>
      </c>
      <c r="AD266" s="60">
        <v>0</v>
      </c>
      <c r="AE266" s="60">
        <v>0</v>
      </c>
      <c r="AF266" s="60">
        <v>0</v>
      </c>
      <c r="AG266" s="60">
        <v>0</v>
      </c>
      <c r="AH266" s="60">
        <v>0</v>
      </c>
      <c r="AI266" s="60">
        <v>15063.71</v>
      </c>
      <c r="AJ266" s="60">
        <v>15066.34</v>
      </c>
      <c r="AK266" s="60">
        <v>14900.65</v>
      </c>
      <c r="AL266" s="60">
        <v>0</v>
      </c>
      <c r="AM266" s="60">
        <v>0</v>
      </c>
      <c r="AN266" s="60">
        <v>0</v>
      </c>
      <c r="AO266" s="60">
        <v>15063.71</v>
      </c>
      <c r="AP266" s="60">
        <v>15066.34</v>
      </c>
      <c r="AQ266" s="60">
        <v>14900.65</v>
      </c>
      <c r="AR266" s="61">
        <v>15066.34</v>
      </c>
    </row>
    <row r="267" spans="1:44" x14ac:dyDescent="0.35">
      <c r="A267" s="49" t="str">
        <f t="shared" si="21"/>
        <v>27</v>
      </c>
      <c r="B267" s="27">
        <v>65987</v>
      </c>
      <c r="C267" s="25" t="str">
        <f t="shared" si="22"/>
        <v>0000000</v>
      </c>
      <c r="D267" s="26" t="s">
        <v>3663</v>
      </c>
      <c r="E267" s="25" t="s">
        <v>1393</v>
      </c>
      <c r="F267" s="25" t="s">
        <v>1380</v>
      </c>
      <c r="G267" s="59" t="s">
        <v>1394</v>
      </c>
      <c r="H267" s="60">
        <v>2039.56</v>
      </c>
      <c r="I267" s="60">
        <v>2121.4499999999998</v>
      </c>
      <c r="J267" s="60">
        <v>2124.09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  <c r="P267" s="60">
        <v>0</v>
      </c>
      <c r="Q267" s="60">
        <v>0</v>
      </c>
      <c r="R267" s="60">
        <v>0</v>
      </c>
      <c r="S267" s="60">
        <v>0</v>
      </c>
      <c r="T267" s="60">
        <v>0</v>
      </c>
      <c r="U267" s="60">
        <v>0</v>
      </c>
      <c r="V267" s="60">
        <v>0</v>
      </c>
      <c r="W267" s="60">
        <v>0</v>
      </c>
      <c r="X267" s="60">
        <v>0</v>
      </c>
      <c r="Y267" s="60">
        <v>0</v>
      </c>
      <c r="Z267" s="60">
        <v>0</v>
      </c>
      <c r="AA267" s="60">
        <v>0</v>
      </c>
      <c r="AB267" s="60">
        <v>0</v>
      </c>
      <c r="AC267" s="60">
        <v>0</v>
      </c>
      <c r="AD267" s="60">
        <v>0</v>
      </c>
      <c r="AE267" s="60">
        <v>0</v>
      </c>
      <c r="AF267" s="60">
        <v>0</v>
      </c>
      <c r="AG267" s="60">
        <v>0</v>
      </c>
      <c r="AH267" s="60">
        <v>0</v>
      </c>
      <c r="AI267" s="60">
        <v>2039.56</v>
      </c>
      <c r="AJ267" s="60">
        <v>2121.4499999999998</v>
      </c>
      <c r="AK267" s="60">
        <v>2124.09</v>
      </c>
      <c r="AL267" s="60">
        <v>0</v>
      </c>
      <c r="AM267" s="60">
        <v>0</v>
      </c>
      <c r="AN267" s="60">
        <v>0</v>
      </c>
      <c r="AO267" s="60">
        <v>2039.56</v>
      </c>
      <c r="AP267" s="60">
        <v>2121.4499999999998</v>
      </c>
      <c r="AQ267" s="60">
        <v>2124.09</v>
      </c>
      <c r="AR267" s="61">
        <v>2124.09</v>
      </c>
    </row>
    <row r="268" spans="1:44" x14ac:dyDescent="0.35">
      <c r="A268" s="49" t="str">
        <f t="shared" si="21"/>
        <v>27</v>
      </c>
      <c r="B268" s="27">
        <v>66092</v>
      </c>
      <c r="C268" s="25" t="str">
        <f t="shared" si="22"/>
        <v>0000000</v>
      </c>
      <c r="D268" s="26" t="s">
        <v>3663</v>
      </c>
      <c r="E268" s="25" t="s">
        <v>1409</v>
      </c>
      <c r="F268" s="25" t="s">
        <v>1380</v>
      </c>
      <c r="G268" s="59" t="s">
        <v>1410</v>
      </c>
      <c r="H268" s="60">
        <v>8683.61</v>
      </c>
      <c r="I268" s="60">
        <v>8642.82</v>
      </c>
      <c r="J268" s="60">
        <v>8546.2000000000007</v>
      </c>
      <c r="K268" s="60">
        <v>0</v>
      </c>
      <c r="L268" s="60">
        <v>0</v>
      </c>
      <c r="M268" s="60">
        <v>0</v>
      </c>
      <c r="N268" s="60">
        <v>0</v>
      </c>
      <c r="O268" s="60">
        <v>0</v>
      </c>
      <c r="P268" s="60">
        <v>0</v>
      </c>
      <c r="Q268" s="60">
        <v>0</v>
      </c>
      <c r="R268" s="60">
        <v>0</v>
      </c>
      <c r="S268" s="60">
        <v>0</v>
      </c>
      <c r="T268" s="60">
        <v>0</v>
      </c>
      <c r="U268" s="60">
        <v>0</v>
      </c>
      <c r="V268" s="60">
        <v>0</v>
      </c>
      <c r="W268" s="60">
        <v>0</v>
      </c>
      <c r="X268" s="60">
        <v>0</v>
      </c>
      <c r="Y268" s="60">
        <v>0</v>
      </c>
      <c r="Z268" s="60">
        <v>0</v>
      </c>
      <c r="AA268" s="60">
        <v>0</v>
      </c>
      <c r="AB268" s="60">
        <v>0</v>
      </c>
      <c r="AC268" s="60">
        <v>0</v>
      </c>
      <c r="AD268" s="60">
        <v>0</v>
      </c>
      <c r="AE268" s="60">
        <v>0</v>
      </c>
      <c r="AF268" s="60">
        <v>0</v>
      </c>
      <c r="AG268" s="60">
        <v>0</v>
      </c>
      <c r="AH268" s="60">
        <v>0</v>
      </c>
      <c r="AI268" s="60">
        <v>8683.61</v>
      </c>
      <c r="AJ268" s="60">
        <v>8642.82</v>
      </c>
      <c r="AK268" s="60">
        <v>8546.2000000000007</v>
      </c>
      <c r="AL268" s="60">
        <v>0</v>
      </c>
      <c r="AM268" s="60">
        <v>0</v>
      </c>
      <c r="AN268" s="60">
        <v>0</v>
      </c>
      <c r="AO268" s="60">
        <v>8683.61</v>
      </c>
      <c r="AP268" s="60">
        <v>8642.82</v>
      </c>
      <c r="AQ268" s="60">
        <v>8546.2000000000007</v>
      </c>
      <c r="AR268" s="61">
        <v>8683.61</v>
      </c>
    </row>
    <row r="269" spans="1:44" x14ac:dyDescent="0.35">
      <c r="A269" s="49" t="str">
        <f t="shared" si="21"/>
        <v>27</v>
      </c>
      <c r="B269" s="27">
        <v>73825</v>
      </c>
      <c r="C269" s="25" t="str">
        <f t="shared" si="22"/>
        <v>0000000</v>
      </c>
      <c r="D269" s="26" t="s">
        <v>3663</v>
      </c>
      <c r="E269" s="25" t="s">
        <v>1435</v>
      </c>
      <c r="F269" s="25" t="s">
        <v>1380</v>
      </c>
      <c r="G269" s="59" t="s">
        <v>1436</v>
      </c>
      <c r="H269" s="60">
        <v>4079.42</v>
      </c>
      <c r="I269" s="60">
        <v>4098.47</v>
      </c>
      <c r="J269" s="60">
        <v>3924.83</v>
      </c>
      <c r="K269" s="60">
        <v>0</v>
      </c>
      <c r="L269" s="60">
        <v>0</v>
      </c>
      <c r="M269" s="60">
        <v>0</v>
      </c>
      <c r="N269" s="60">
        <v>0</v>
      </c>
      <c r="O269" s="60">
        <v>0</v>
      </c>
      <c r="P269" s="60">
        <v>0</v>
      </c>
      <c r="Q269" s="60">
        <v>0</v>
      </c>
      <c r="R269" s="60">
        <v>0</v>
      </c>
      <c r="S269" s="60">
        <v>0</v>
      </c>
      <c r="T269" s="60">
        <v>0</v>
      </c>
      <c r="U269" s="60">
        <v>0</v>
      </c>
      <c r="V269" s="60">
        <v>0</v>
      </c>
      <c r="W269" s="60">
        <v>0</v>
      </c>
      <c r="X269" s="60">
        <v>0</v>
      </c>
      <c r="Y269" s="60">
        <v>0</v>
      </c>
      <c r="Z269" s="60">
        <v>0</v>
      </c>
      <c r="AA269" s="60">
        <v>0</v>
      </c>
      <c r="AB269" s="60">
        <v>0</v>
      </c>
      <c r="AC269" s="60">
        <v>0</v>
      </c>
      <c r="AD269" s="60">
        <v>0</v>
      </c>
      <c r="AE269" s="60">
        <v>0</v>
      </c>
      <c r="AF269" s="60">
        <v>0</v>
      </c>
      <c r="AG269" s="60">
        <v>0</v>
      </c>
      <c r="AH269" s="60">
        <v>0</v>
      </c>
      <c r="AI269" s="60">
        <v>4079.42</v>
      </c>
      <c r="AJ269" s="60">
        <v>4098.47</v>
      </c>
      <c r="AK269" s="60">
        <v>3924.83</v>
      </c>
      <c r="AL269" s="60">
        <v>0</v>
      </c>
      <c r="AM269" s="60">
        <v>0</v>
      </c>
      <c r="AN269" s="60">
        <v>0</v>
      </c>
      <c r="AO269" s="60">
        <v>4079.42</v>
      </c>
      <c r="AP269" s="60">
        <v>4098.47</v>
      </c>
      <c r="AQ269" s="60">
        <v>3924.83</v>
      </c>
      <c r="AR269" s="61">
        <v>4098.47</v>
      </c>
    </row>
    <row r="270" spans="1:44" x14ac:dyDescent="0.35">
      <c r="A270" s="49" t="str">
        <f t="shared" si="21"/>
        <v>27</v>
      </c>
      <c r="B270" s="27">
        <v>66134</v>
      </c>
      <c r="C270" s="25" t="str">
        <f t="shared" si="22"/>
        <v>0000000</v>
      </c>
      <c r="D270" s="26" t="s">
        <v>3663</v>
      </c>
      <c r="E270" s="25" t="s">
        <v>1417</v>
      </c>
      <c r="F270" s="25" t="s">
        <v>1380</v>
      </c>
      <c r="G270" s="59" t="s">
        <v>1418</v>
      </c>
      <c r="H270" s="60">
        <v>1594.61</v>
      </c>
      <c r="I270" s="60">
        <v>1526.56</v>
      </c>
      <c r="J270" s="60">
        <v>1557.63</v>
      </c>
      <c r="K270" s="60">
        <v>0</v>
      </c>
      <c r="L270" s="60">
        <v>0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>
        <v>0</v>
      </c>
      <c r="T270" s="60">
        <v>0</v>
      </c>
      <c r="U270" s="60">
        <v>0</v>
      </c>
      <c r="V270" s="60">
        <v>0</v>
      </c>
      <c r="W270" s="60">
        <v>0</v>
      </c>
      <c r="X270" s="60">
        <v>0</v>
      </c>
      <c r="Y270" s="60">
        <v>0</v>
      </c>
      <c r="Z270" s="60">
        <v>0</v>
      </c>
      <c r="AA270" s="60">
        <v>0</v>
      </c>
      <c r="AB270" s="60">
        <v>0</v>
      </c>
      <c r="AC270" s="60">
        <v>0</v>
      </c>
      <c r="AD270" s="60">
        <v>0</v>
      </c>
      <c r="AE270" s="60">
        <v>0</v>
      </c>
      <c r="AF270" s="60">
        <v>0</v>
      </c>
      <c r="AG270" s="60">
        <v>0</v>
      </c>
      <c r="AH270" s="60">
        <v>0</v>
      </c>
      <c r="AI270" s="60">
        <v>1594.61</v>
      </c>
      <c r="AJ270" s="60">
        <v>1526.56</v>
      </c>
      <c r="AK270" s="60">
        <v>1557.63</v>
      </c>
      <c r="AL270" s="60">
        <v>0</v>
      </c>
      <c r="AM270" s="60">
        <v>0</v>
      </c>
      <c r="AN270" s="60">
        <v>0</v>
      </c>
      <c r="AO270" s="60">
        <v>1594.61</v>
      </c>
      <c r="AP270" s="60">
        <v>1526.56</v>
      </c>
      <c r="AQ270" s="60">
        <v>1557.63</v>
      </c>
      <c r="AR270" s="61">
        <v>1594.61</v>
      </c>
    </row>
    <row r="271" spans="1:44" x14ac:dyDescent="0.35">
      <c r="A271" s="49" t="str">
        <f t="shared" si="21"/>
        <v>27</v>
      </c>
      <c r="B271" s="27">
        <v>66175</v>
      </c>
      <c r="C271" s="25" t="str">
        <f t="shared" si="22"/>
        <v>0000000</v>
      </c>
      <c r="D271" s="26" t="s">
        <v>3663</v>
      </c>
      <c r="E271" s="25" t="s">
        <v>1425</v>
      </c>
      <c r="F271" s="25" t="s">
        <v>1380</v>
      </c>
      <c r="G271" s="59" t="s">
        <v>1426</v>
      </c>
      <c r="H271" s="60">
        <v>82.12</v>
      </c>
      <c r="I271" s="60">
        <v>76.92</v>
      </c>
      <c r="J271" s="60">
        <v>85.27</v>
      </c>
      <c r="K271" s="60">
        <v>0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>
        <v>0</v>
      </c>
      <c r="T271" s="60">
        <v>0</v>
      </c>
      <c r="U271" s="60">
        <v>0</v>
      </c>
      <c r="V271" s="60">
        <v>0</v>
      </c>
      <c r="W271" s="60">
        <v>0</v>
      </c>
      <c r="X271" s="60">
        <v>0</v>
      </c>
      <c r="Y271" s="60">
        <v>0</v>
      </c>
      <c r="Z271" s="60">
        <v>0</v>
      </c>
      <c r="AA271" s="60">
        <v>0</v>
      </c>
      <c r="AB271" s="60">
        <v>0</v>
      </c>
      <c r="AC271" s="60">
        <v>0</v>
      </c>
      <c r="AD271" s="60">
        <v>0</v>
      </c>
      <c r="AE271" s="60">
        <v>0</v>
      </c>
      <c r="AF271" s="60">
        <v>0</v>
      </c>
      <c r="AG271" s="60">
        <v>0</v>
      </c>
      <c r="AH271" s="60">
        <v>0</v>
      </c>
      <c r="AI271" s="60">
        <v>82.12</v>
      </c>
      <c r="AJ271" s="60">
        <v>76.92</v>
      </c>
      <c r="AK271" s="60">
        <v>85.27</v>
      </c>
      <c r="AL271" s="60">
        <v>0</v>
      </c>
      <c r="AM271" s="60">
        <v>0</v>
      </c>
      <c r="AN271" s="60">
        <v>0</v>
      </c>
      <c r="AO271" s="60">
        <v>82.12</v>
      </c>
      <c r="AP271" s="60">
        <v>76.92</v>
      </c>
      <c r="AQ271" s="60">
        <v>85.27</v>
      </c>
      <c r="AR271" s="61">
        <v>85.27</v>
      </c>
    </row>
    <row r="272" spans="1:44" x14ac:dyDescent="0.35">
      <c r="A272" s="49" t="str">
        <f t="shared" si="21"/>
        <v>27</v>
      </c>
      <c r="B272" s="27">
        <v>66183</v>
      </c>
      <c r="C272" s="25" t="str">
        <f t="shared" si="22"/>
        <v>0000000</v>
      </c>
      <c r="D272" s="26" t="s">
        <v>3663</v>
      </c>
      <c r="E272" s="25" t="s">
        <v>1427</v>
      </c>
      <c r="F272" s="25" t="s">
        <v>1380</v>
      </c>
      <c r="G272" s="59" t="s">
        <v>1428</v>
      </c>
      <c r="H272" s="60">
        <v>72.17</v>
      </c>
      <c r="I272" s="60">
        <v>66.099999999999994</v>
      </c>
      <c r="J272" s="60">
        <v>65.849999999999994</v>
      </c>
      <c r="K272" s="60">
        <v>0</v>
      </c>
      <c r="L272" s="60">
        <v>0</v>
      </c>
      <c r="M272" s="60">
        <v>0</v>
      </c>
      <c r="N272" s="60">
        <v>0</v>
      </c>
      <c r="O272" s="60">
        <v>0</v>
      </c>
      <c r="P272" s="60">
        <v>0</v>
      </c>
      <c r="Q272" s="60">
        <v>0</v>
      </c>
      <c r="R272" s="60">
        <v>0</v>
      </c>
      <c r="S272" s="60">
        <v>0</v>
      </c>
      <c r="T272" s="60">
        <v>0</v>
      </c>
      <c r="U272" s="60">
        <v>0</v>
      </c>
      <c r="V272" s="60">
        <v>0</v>
      </c>
      <c r="W272" s="60">
        <v>0</v>
      </c>
      <c r="X272" s="60">
        <v>0</v>
      </c>
      <c r="Y272" s="60">
        <v>0</v>
      </c>
      <c r="Z272" s="60">
        <v>0</v>
      </c>
      <c r="AA272" s="60">
        <v>0</v>
      </c>
      <c r="AB272" s="60">
        <v>0</v>
      </c>
      <c r="AC272" s="60">
        <v>0</v>
      </c>
      <c r="AD272" s="60">
        <v>0</v>
      </c>
      <c r="AE272" s="60">
        <v>0</v>
      </c>
      <c r="AF272" s="60">
        <v>0</v>
      </c>
      <c r="AG272" s="60">
        <v>0</v>
      </c>
      <c r="AH272" s="60">
        <v>0</v>
      </c>
      <c r="AI272" s="60">
        <v>72.17</v>
      </c>
      <c r="AJ272" s="60">
        <v>66.099999999999994</v>
      </c>
      <c r="AK272" s="60">
        <v>65.849999999999994</v>
      </c>
      <c r="AL272" s="60">
        <v>0</v>
      </c>
      <c r="AM272" s="60">
        <v>0</v>
      </c>
      <c r="AN272" s="60">
        <v>0</v>
      </c>
      <c r="AO272" s="60">
        <v>72.17</v>
      </c>
      <c r="AP272" s="60">
        <v>66.099999999999994</v>
      </c>
      <c r="AQ272" s="60">
        <v>65.849999999999994</v>
      </c>
      <c r="AR272" s="61">
        <v>72.17</v>
      </c>
    </row>
    <row r="273" spans="1:44" x14ac:dyDescent="0.35">
      <c r="A273" s="49" t="str">
        <f t="shared" si="21"/>
        <v>27</v>
      </c>
      <c r="B273" s="27">
        <v>66084</v>
      </c>
      <c r="C273" s="25" t="str">
        <f t="shared" si="22"/>
        <v>0000000</v>
      </c>
      <c r="D273" s="26" t="s">
        <v>3663</v>
      </c>
      <c r="E273" s="25" t="s">
        <v>1407</v>
      </c>
      <c r="F273" s="25" t="s">
        <v>1380</v>
      </c>
      <c r="G273" s="59" t="s">
        <v>1408</v>
      </c>
      <c r="H273" s="60">
        <v>121.54</v>
      </c>
      <c r="I273" s="60">
        <v>110.43</v>
      </c>
      <c r="J273" s="60">
        <v>122.23</v>
      </c>
      <c r="K273" s="60">
        <v>0</v>
      </c>
      <c r="L273" s="60">
        <v>0</v>
      </c>
      <c r="M273" s="60">
        <v>0</v>
      </c>
      <c r="N273" s="60">
        <v>0</v>
      </c>
      <c r="O273" s="60">
        <v>0</v>
      </c>
      <c r="P273" s="60">
        <v>0</v>
      </c>
      <c r="Q273" s="60">
        <v>0</v>
      </c>
      <c r="R273" s="60">
        <v>0</v>
      </c>
      <c r="S273" s="60">
        <v>0</v>
      </c>
      <c r="T273" s="60">
        <v>0</v>
      </c>
      <c r="U273" s="60">
        <v>0</v>
      </c>
      <c r="V273" s="60">
        <v>0</v>
      </c>
      <c r="W273" s="60">
        <v>0</v>
      </c>
      <c r="X273" s="60">
        <v>0</v>
      </c>
      <c r="Y273" s="60">
        <v>0</v>
      </c>
      <c r="Z273" s="60">
        <v>0</v>
      </c>
      <c r="AA273" s="60">
        <v>0</v>
      </c>
      <c r="AB273" s="60">
        <v>0</v>
      </c>
      <c r="AC273" s="60">
        <v>0</v>
      </c>
      <c r="AD273" s="60">
        <v>0</v>
      </c>
      <c r="AE273" s="60">
        <v>0</v>
      </c>
      <c r="AF273" s="60">
        <v>0</v>
      </c>
      <c r="AG273" s="60">
        <v>0</v>
      </c>
      <c r="AH273" s="60">
        <v>0</v>
      </c>
      <c r="AI273" s="60">
        <v>121.54</v>
      </c>
      <c r="AJ273" s="60">
        <v>110.43</v>
      </c>
      <c r="AK273" s="60">
        <v>122.23</v>
      </c>
      <c r="AL273" s="60">
        <v>0</v>
      </c>
      <c r="AM273" s="60">
        <v>0</v>
      </c>
      <c r="AN273" s="60">
        <v>0</v>
      </c>
      <c r="AO273" s="60">
        <v>121.54</v>
      </c>
      <c r="AP273" s="60">
        <v>110.43</v>
      </c>
      <c r="AQ273" s="60">
        <v>122.23</v>
      </c>
      <c r="AR273" s="61">
        <v>122.23</v>
      </c>
    </row>
    <row r="274" spans="1:44" x14ac:dyDescent="0.35">
      <c r="A274" s="49" t="str">
        <f t="shared" si="21"/>
        <v>27</v>
      </c>
      <c r="B274" s="27">
        <v>75150</v>
      </c>
      <c r="C274" s="25" t="str">
        <f t="shared" si="22"/>
        <v>0000000</v>
      </c>
      <c r="D274" s="26" t="s">
        <v>3663</v>
      </c>
      <c r="E274" s="25" t="s">
        <v>1437</v>
      </c>
      <c r="F274" s="25" t="s">
        <v>1380</v>
      </c>
      <c r="G274" s="59" t="s">
        <v>1438</v>
      </c>
      <c r="H274" s="60">
        <v>9.58</v>
      </c>
      <c r="I274" s="60">
        <v>17.079999999999998</v>
      </c>
      <c r="J274" s="60">
        <v>15.81</v>
      </c>
      <c r="K274" s="60">
        <v>0</v>
      </c>
      <c r="L274" s="60">
        <v>0</v>
      </c>
      <c r="M274" s="60">
        <v>0</v>
      </c>
      <c r="N274" s="60">
        <v>0</v>
      </c>
      <c r="O274" s="60">
        <v>0</v>
      </c>
      <c r="P274" s="60">
        <v>0</v>
      </c>
      <c r="Q274" s="60">
        <v>0</v>
      </c>
      <c r="R274" s="60">
        <v>0</v>
      </c>
      <c r="S274" s="60">
        <v>0</v>
      </c>
      <c r="T274" s="60">
        <v>0</v>
      </c>
      <c r="U274" s="60">
        <v>0</v>
      </c>
      <c r="V274" s="60">
        <v>0</v>
      </c>
      <c r="W274" s="60">
        <v>0</v>
      </c>
      <c r="X274" s="60">
        <v>0</v>
      </c>
      <c r="Y274" s="60">
        <v>0</v>
      </c>
      <c r="Z274" s="60">
        <v>0</v>
      </c>
      <c r="AA274" s="60">
        <v>0</v>
      </c>
      <c r="AB274" s="60">
        <v>0</v>
      </c>
      <c r="AC274" s="60">
        <v>0</v>
      </c>
      <c r="AD274" s="60">
        <v>0</v>
      </c>
      <c r="AE274" s="60">
        <v>0</v>
      </c>
      <c r="AF274" s="60">
        <v>0</v>
      </c>
      <c r="AG274" s="60">
        <v>0</v>
      </c>
      <c r="AH274" s="60">
        <v>0</v>
      </c>
      <c r="AI274" s="60">
        <v>9.58</v>
      </c>
      <c r="AJ274" s="60">
        <v>17.079999999999998</v>
      </c>
      <c r="AK274" s="60">
        <v>15.81</v>
      </c>
      <c r="AL274" s="60">
        <v>0</v>
      </c>
      <c r="AM274" s="60">
        <v>0</v>
      </c>
      <c r="AN274" s="60">
        <v>0</v>
      </c>
      <c r="AO274" s="60">
        <v>9.58</v>
      </c>
      <c r="AP274" s="60">
        <v>17.079999999999998</v>
      </c>
      <c r="AQ274" s="60">
        <v>15.81</v>
      </c>
      <c r="AR274" s="61">
        <v>17.079999999999998</v>
      </c>
    </row>
    <row r="275" spans="1:44" x14ac:dyDescent="0.35">
      <c r="A275" s="49" t="str">
        <f t="shared" si="21"/>
        <v>27</v>
      </c>
      <c r="B275" s="27">
        <v>75440</v>
      </c>
      <c r="C275" s="25" t="str">
        <f t="shared" si="22"/>
        <v>0000000</v>
      </c>
      <c r="D275" s="26" t="s">
        <v>3663</v>
      </c>
      <c r="E275" s="25" t="s">
        <v>1441</v>
      </c>
      <c r="F275" s="25" t="s">
        <v>1380</v>
      </c>
      <c r="G275" s="59" t="s">
        <v>1442</v>
      </c>
      <c r="H275" s="60">
        <v>4395.63</v>
      </c>
      <c r="I275" s="60">
        <v>4374.5600000000004</v>
      </c>
      <c r="J275" s="60">
        <v>4344.6899999999996</v>
      </c>
      <c r="K275" s="60">
        <v>0</v>
      </c>
      <c r="L275" s="60">
        <v>0</v>
      </c>
      <c r="M275" s="60">
        <v>0</v>
      </c>
      <c r="N275" s="60">
        <v>0</v>
      </c>
      <c r="O275" s="60">
        <v>0</v>
      </c>
      <c r="P275" s="60">
        <v>0</v>
      </c>
      <c r="Q275" s="60">
        <v>0</v>
      </c>
      <c r="R275" s="60">
        <v>0</v>
      </c>
      <c r="S275" s="60">
        <v>0</v>
      </c>
      <c r="T275" s="60">
        <v>0</v>
      </c>
      <c r="U275" s="60">
        <v>0</v>
      </c>
      <c r="V275" s="60">
        <v>0</v>
      </c>
      <c r="W275" s="60">
        <v>0</v>
      </c>
      <c r="X275" s="60">
        <v>0</v>
      </c>
      <c r="Y275" s="60">
        <v>0</v>
      </c>
      <c r="Z275" s="60">
        <v>0</v>
      </c>
      <c r="AA275" s="60">
        <v>0</v>
      </c>
      <c r="AB275" s="60">
        <v>0</v>
      </c>
      <c r="AC275" s="60">
        <v>0</v>
      </c>
      <c r="AD275" s="60">
        <v>0</v>
      </c>
      <c r="AE275" s="60">
        <v>0</v>
      </c>
      <c r="AF275" s="60">
        <v>0</v>
      </c>
      <c r="AG275" s="60">
        <v>0</v>
      </c>
      <c r="AH275" s="60">
        <v>0</v>
      </c>
      <c r="AI275" s="60">
        <v>4395.63</v>
      </c>
      <c r="AJ275" s="60">
        <v>4374.5600000000004</v>
      </c>
      <c r="AK275" s="60">
        <v>4344.6899999999996</v>
      </c>
      <c r="AL275" s="60">
        <v>0</v>
      </c>
      <c r="AM275" s="60">
        <v>0</v>
      </c>
      <c r="AN275" s="60">
        <v>0</v>
      </c>
      <c r="AO275" s="60">
        <v>4395.63</v>
      </c>
      <c r="AP275" s="60">
        <v>4374.5600000000004</v>
      </c>
      <c r="AQ275" s="60">
        <v>4344.6899999999996</v>
      </c>
      <c r="AR275" s="61">
        <v>4395.63</v>
      </c>
    </row>
    <row r="276" spans="1:44" x14ac:dyDescent="0.35">
      <c r="A276" s="49" t="str">
        <f t="shared" si="21"/>
        <v>27</v>
      </c>
      <c r="B276" s="27">
        <v>75473</v>
      </c>
      <c r="C276" s="25" t="str">
        <f t="shared" si="22"/>
        <v>0000000</v>
      </c>
      <c r="D276" s="26" t="s">
        <v>3663</v>
      </c>
      <c r="E276" s="25" t="s">
        <v>1443</v>
      </c>
      <c r="F276" s="25" t="s">
        <v>1380</v>
      </c>
      <c r="G276" s="59" t="s">
        <v>1444</v>
      </c>
      <c r="H276" s="60">
        <v>1882.56</v>
      </c>
      <c r="I276" s="60">
        <v>1934.5</v>
      </c>
      <c r="J276" s="60">
        <v>1982.58</v>
      </c>
      <c r="K276" s="60">
        <v>0</v>
      </c>
      <c r="L276" s="60">
        <v>0</v>
      </c>
      <c r="M276" s="60">
        <v>0</v>
      </c>
      <c r="N276" s="60">
        <v>0</v>
      </c>
      <c r="O276" s="60">
        <v>0</v>
      </c>
      <c r="P276" s="60">
        <v>0</v>
      </c>
      <c r="Q276" s="60">
        <v>0</v>
      </c>
      <c r="R276" s="60">
        <v>0</v>
      </c>
      <c r="S276" s="60">
        <v>0</v>
      </c>
      <c r="T276" s="60">
        <v>0</v>
      </c>
      <c r="U276" s="60">
        <v>0</v>
      </c>
      <c r="V276" s="60">
        <v>0</v>
      </c>
      <c r="W276" s="60">
        <v>0</v>
      </c>
      <c r="X276" s="60">
        <v>0</v>
      </c>
      <c r="Y276" s="60">
        <v>0</v>
      </c>
      <c r="Z276" s="60">
        <v>0</v>
      </c>
      <c r="AA276" s="60">
        <v>0</v>
      </c>
      <c r="AB276" s="60">
        <v>0</v>
      </c>
      <c r="AC276" s="60">
        <v>0</v>
      </c>
      <c r="AD276" s="60">
        <v>0</v>
      </c>
      <c r="AE276" s="60">
        <v>0</v>
      </c>
      <c r="AF276" s="60">
        <v>0</v>
      </c>
      <c r="AG276" s="60">
        <v>0</v>
      </c>
      <c r="AH276" s="60">
        <v>0</v>
      </c>
      <c r="AI276" s="60">
        <v>1882.56</v>
      </c>
      <c r="AJ276" s="60">
        <v>1934.5</v>
      </c>
      <c r="AK276" s="60">
        <v>1982.58</v>
      </c>
      <c r="AL276" s="60">
        <v>0</v>
      </c>
      <c r="AM276" s="60">
        <v>0</v>
      </c>
      <c r="AN276" s="60">
        <v>0</v>
      </c>
      <c r="AO276" s="60">
        <v>1882.56</v>
      </c>
      <c r="AP276" s="60">
        <v>1934.5</v>
      </c>
      <c r="AQ276" s="60">
        <v>1982.58</v>
      </c>
      <c r="AR276" s="61">
        <v>1982.58</v>
      </c>
    </row>
    <row r="277" spans="1:44" x14ac:dyDescent="0.35">
      <c r="A277" s="49" t="str">
        <f t="shared" si="21"/>
        <v>27</v>
      </c>
      <c r="B277" s="27">
        <v>65979</v>
      </c>
      <c r="C277" s="25" t="str">
        <f t="shared" si="22"/>
        <v>0000000</v>
      </c>
      <c r="D277" s="26" t="s">
        <v>3663</v>
      </c>
      <c r="E277" s="25" t="s">
        <v>1391</v>
      </c>
      <c r="F277" s="25" t="s">
        <v>1380</v>
      </c>
      <c r="G277" s="59" t="s">
        <v>1392</v>
      </c>
      <c r="H277" s="60">
        <v>38.31</v>
      </c>
      <c r="I277" s="60">
        <v>37.11</v>
      </c>
      <c r="J277" s="60">
        <v>52.23</v>
      </c>
      <c r="K277" s="60">
        <v>0</v>
      </c>
      <c r="L277" s="60">
        <v>0</v>
      </c>
      <c r="M277" s="60">
        <v>0</v>
      </c>
      <c r="N277" s="60">
        <v>0</v>
      </c>
      <c r="O277" s="60">
        <v>0</v>
      </c>
      <c r="P277" s="60">
        <v>0</v>
      </c>
      <c r="Q277" s="60">
        <v>0</v>
      </c>
      <c r="R277" s="60">
        <v>0</v>
      </c>
      <c r="S277" s="60">
        <v>0</v>
      </c>
      <c r="T277" s="60">
        <v>0</v>
      </c>
      <c r="U277" s="60">
        <v>0</v>
      </c>
      <c r="V277" s="60">
        <v>0</v>
      </c>
      <c r="W277" s="60">
        <v>0</v>
      </c>
      <c r="X277" s="60">
        <v>0</v>
      </c>
      <c r="Y277" s="60">
        <v>0</v>
      </c>
      <c r="Z277" s="60">
        <v>0</v>
      </c>
      <c r="AA277" s="60">
        <v>0</v>
      </c>
      <c r="AB277" s="60">
        <v>0</v>
      </c>
      <c r="AC277" s="60">
        <v>0</v>
      </c>
      <c r="AD277" s="60">
        <v>0</v>
      </c>
      <c r="AE277" s="60">
        <v>0</v>
      </c>
      <c r="AF277" s="60">
        <v>0</v>
      </c>
      <c r="AG277" s="60">
        <v>0</v>
      </c>
      <c r="AH277" s="60">
        <v>0</v>
      </c>
      <c r="AI277" s="60">
        <v>38.31</v>
      </c>
      <c r="AJ277" s="60">
        <v>37.11</v>
      </c>
      <c r="AK277" s="60">
        <v>52.23</v>
      </c>
      <c r="AL277" s="60">
        <v>0</v>
      </c>
      <c r="AM277" s="60">
        <v>0</v>
      </c>
      <c r="AN277" s="60">
        <v>0</v>
      </c>
      <c r="AO277" s="60">
        <v>38.31</v>
      </c>
      <c r="AP277" s="60">
        <v>37.11</v>
      </c>
      <c r="AQ277" s="60">
        <v>52.23</v>
      </c>
      <c r="AR277" s="61">
        <v>52.23</v>
      </c>
    </row>
    <row r="278" spans="1:44" x14ac:dyDescent="0.35">
      <c r="A278" s="49" t="str">
        <f t="shared" si="21"/>
        <v>27</v>
      </c>
      <c r="B278" s="27">
        <v>66027</v>
      </c>
      <c r="C278" s="25" t="str">
        <f t="shared" si="22"/>
        <v>0000000</v>
      </c>
      <c r="D278" s="26" t="s">
        <v>3663</v>
      </c>
      <c r="E278" s="25" t="s">
        <v>1397</v>
      </c>
      <c r="F278" s="25" t="s">
        <v>1380</v>
      </c>
      <c r="G278" s="59" t="s">
        <v>1398</v>
      </c>
      <c r="H278" s="60">
        <v>33.39</v>
      </c>
      <c r="I278" s="60">
        <v>31.53</v>
      </c>
      <c r="J278" s="60">
        <v>32.25</v>
      </c>
      <c r="K278" s="60">
        <v>0</v>
      </c>
      <c r="L278" s="60">
        <v>0</v>
      </c>
      <c r="M278" s="60">
        <v>0</v>
      </c>
      <c r="N278" s="60">
        <v>0</v>
      </c>
      <c r="O278" s="60">
        <v>0</v>
      </c>
      <c r="P278" s="60">
        <v>0</v>
      </c>
      <c r="Q278" s="60">
        <v>0</v>
      </c>
      <c r="R278" s="60">
        <v>0</v>
      </c>
      <c r="S278" s="60">
        <v>0</v>
      </c>
      <c r="T278" s="60">
        <v>0</v>
      </c>
      <c r="U278" s="60">
        <v>0</v>
      </c>
      <c r="V278" s="60">
        <v>0</v>
      </c>
      <c r="W278" s="60">
        <v>0</v>
      </c>
      <c r="X278" s="60">
        <v>0</v>
      </c>
      <c r="Y278" s="60">
        <v>0</v>
      </c>
      <c r="Z278" s="60">
        <v>0</v>
      </c>
      <c r="AA278" s="60">
        <v>0</v>
      </c>
      <c r="AB278" s="60">
        <v>0</v>
      </c>
      <c r="AC278" s="60">
        <v>0</v>
      </c>
      <c r="AD278" s="60">
        <v>0</v>
      </c>
      <c r="AE278" s="60">
        <v>0</v>
      </c>
      <c r="AF278" s="60">
        <v>0</v>
      </c>
      <c r="AG278" s="60">
        <v>0</v>
      </c>
      <c r="AH278" s="60">
        <v>0</v>
      </c>
      <c r="AI278" s="60">
        <v>33.39</v>
      </c>
      <c r="AJ278" s="60">
        <v>31.53</v>
      </c>
      <c r="AK278" s="60">
        <v>32.25</v>
      </c>
      <c r="AL278" s="60">
        <v>0</v>
      </c>
      <c r="AM278" s="60">
        <v>0</v>
      </c>
      <c r="AN278" s="60">
        <v>0</v>
      </c>
      <c r="AO278" s="60">
        <v>33.39</v>
      </c>
      <c r="AP278" s="60">
        <v>31.53</v>
      </c>
      <c r="AQ278" s="60">
        <v>32.25</v>
      </c>
      <c r="AR278" s="61">
        <v>33.39</v>
      </c>
    </row>
    <row r="279" spans="1:44" x14ac:dyDescent="0.35">
      <c r="A279" s="49" t="str">
        <f t="shared" si="21"/>
        <v>27</v>
      </c>
      <c r="B279" s="27">
        <v>66076</v>
      </c>
      <c r="C279" s="25" t="str">
        <f t="shared" si="22"/>
        <v>0000000</v>
      </c>
      <c r="D279" s="26" t="s">
        <v>3663</v>
      </c>
      <c r="E279" s="25" t="s">
        <v>1405</v>
      </c>
      <c r="F279" s="25" t="s">
        <v>1380</v>
      </c>
      <c r="G279" s="59" t="s">
        <v>1406</v>
      </c>
      <c r="H279" s="60">
        <v>58.39</v>
      </c>
      <c r="I279" s="60">
        <v>72.36</v>
      </c>
      <c r="J279" s="60">
        <v>87.45</v>
      </c>
      <c r="K279" s="60">
        <v>0</v>
      </c>
      <c r="L279" s="60">
        <v>0</v>
      </c>
      <c r="M279" s="60">
        <v>0</v>
      </c>
      <c r="N279" s="60">
        <v>0</v>
      </c>
      <c r="O279" s="60">
        <v>0</v>
      </c>
      <c r="P279" s="60">
        <v>0</v>
      </c>
      <c r="Q279" s="60">
        <v>0</v>
      </c>
      <c r="R279" s="60">
        <v>0</v>
      </c>
      <c r="S279" s="60">
        <v>0</v>
      </c>
      <c r="T279" s="60">
        <v>0</v>
      </c>
      <c r="U279" s="60">
        <v>0</v>
      </c>
      <c r="V279" s="60">
        <v>0</v>
      </c>
      <c r="W279" s="60">
        <v>0</v>
      </c>
      <c r="X279" s="60">
        <v>0</v>
      </c>
      <c r="Y279" s="60">
        <v>0</v>
      </c>
      <c r="Z279" s="60">
        <v>0</v>
      </c>
      <c r="AA279" s="60">
        <v>0</v>
      </c>
      <c r="AB279" s="60">
        <v>0</v>
      </c>
      <c r="AC279" s="60">
        <v>0</v>
      </c>
      <c r="AD279" s="60">
        <v>0</v>
      </c>
      <c r="AE279" s="60">
        <v>0</v>
      </c>
      <c r="AF279" s="60">
        <v>0</v>
      </c>
      <c r="AG279" s="60">
        <v>0</v>
      </c>
      <c r="AH279" s="60">
        <v>0</v>
      </c>
      <c r="AI279" s="60">
        <v>58.39</v>
      </c>
      <c r="AJ279" s="60">
        <v>72.36</v>
      </c>
      <c r="AK279" s="60">
        <v>87.45</v>
      </c>
      <c r="AL279" s="60">
        <v>0</v>
      </c>
      <c r="AM279" s="60">
        <v>0</v>
      </c>
      <c r="AN279" s="60">
        <v>0</v>
      </c>
      <c r="AO279" s="60">
        <v>58.39</v>
      </c>
      <c r="AP279" s="60">
        <v>72.36</v>
      </c>
      <c r="AQ279" s="60">
        <v>87.45</v>
      </c>
      <c r="AR279" s="61">
        <v>87.45</v>
      </c>
    </row>
    <row r="280" spans="1:44" x14ac:dyDescent="0.35">
      <c r="A280" s="49" t="str">
        <f t="shared" ref="A280:A297" si="23">TEXT(21,"00")</f>
        <v>21</v>
      </c>
      <c r="B280" s="27">
        <v>10215</v>
      </c>
      <c r="C280" s="25" t="str">
        <f t="shared" si="22"/>
        <v>0000000</v>
      </c>
      <c r="D280" s="26" t="s">
        <v>3663</v>
      </c>
      <c r="E280" s="25" t="s">
        <v>1249</v>
      </c>
      <c r="F280" s="25" t="s">
        <v>1250</v>
      </c>
      <c r="G280" s="59" t="s">
        <v>1250</v>
      </c>
      <c r="H280" s="60">
        <v>0</v>
      </c>
      <c r="I280" s="60">
        <v>0</v>
      </c>
      <c r="J280" s="60">
        <v>0</v>
      </c>
      <c r="K280" s="60">
        <v>0</v>
      </c>
      <c r="L280" s="60">
        <v>0</v>
      </c>
      <c r="M280" s="60">
        <v>0</v>
      </c>
      <c r="N280" s="60">
        <v>0</v>
      </c>
      <c r="O280" s="60">
        <v>0</v>
      </c>
      <c r="P280" s="60">
        <v>0</v>
      </c>
      <c r="Q280" s="60">
        <v>0</v>
      </c>
      <c r="R280" s="60">
        <v>0</v>
      </c>
      <c r="S280" s="60">
        <v>0</v>
      </c>
      <c r="T280" s="60">
        <v>40.090000000000003</v>
      </c>
      <c r="U280" s="60">
        <v>38.479999999999997</v>
      </c>
      <c r="V280" s="60">
        <v>32.200000000000003</v>
      </c>
      <c r="W280" s="60">
        <v>247.94</v>
      </c>
      <c r="X280" s="60">
        <v>200.82</v>
      </c>
      <c r="Y280" s="60">
        <v>202.15</v>
      </c>
      <c r="Z280" s="60">
        <v>0</v>
      </c>
      <c r="AA280" s="60">
        <v>0</v>
      </c>
      <c r="AB280" s="60">
        <v>0</v>
      </c>
      <c r="AC280" s="60">
        <v>0</v>
      </c>
      <c r="AD280" s="60">
        <v>0</v>
      </c>
      <c r="AE280" s="60">
        <v>0</v>
      </c>
      <c r="AF280" s="60">
        <v>0</v>
      </c>
      <c r="AG280" s="60">
        <v>0</v>
      </c>
      <c r="AH280" s="60">
        <v>0</v>
      </c>
      <c r="AI280" s="60">
        <v>288.02999999999997</v>
      </c>
      <c r="AJ280" s="60">
        <v>239.3</v>
      </c>
      <c r="AK280" s="60">
        <v>234.35</v>
      </c>
      <c r="AL280" s="60">
        <v>0</v>
      </c>
      <c r="AM280" s="60">
        <v>0</v>
      </c>
      <c r="AN280" s="60">
        <v>0</v>
      </c>
      <c r="AO280" s="60">
        <v>288.02999999999997</v>
      </c>
      <c r="AP280" s="60">
        <v>239.3</v>
      </c>
      <c r="AQ280" s="60">
        <v>234.35</v>
      </c>
      <c r="AR280" s="61">
        <v>288.02999999999997</v>
      </c>
    </row>
    <row r="281" spans="1:44" x14ac:dyDescent="0.35">
      <c r="A281" s="49" t="str">
        <f t="shared" si="23"/>
        <v>21</v>
      </c>
      <c r="B281" s="27">
        <v>65300</v>
      </c>
      <c r="C281" s="25" t="str">
        <f t="shared" si="22"/>
        <v>0000000</v>
      </c>
      <c r="D281" s="26" t="s">
        <v>3663</v>
      </c>
      <c r="E281" s="25" t="s">
        <v>1253</v>
      </c>
      <c r="F281" s="25" t="s">
        <v>1250</v>
      </c>
      <c r="G281" s="59" t="s">
        <v>1254</v>
      </c>
      <c r="H281" s="60">
        <v>100.06</v>
      </c>
      <c r="I281" s="60">
        <v>91.81</v>
      </c>
      <c r="J281" s="60">
        <v>87.72</v>
      </c>
      <c r="K281" s="60">
        <v>0</v>
      </c>
      <c r="L281" s="60">
        <v>0</v>
      </c>
      <c r="M281" s="60">
        <v>0</v>
      </c>
      <c r="N281" s="60">
        <v>0</v>
      </c>
      <c r="O281" s="60">
        <v>0</v>
      </c>
      <c r="P281" s="60">
        <v>0</v>
      </c>
      <c r="Q281" s="60">
        <v>0</v>
      </c>
      <c r="R281" s="60">
        <v>0</v>
      </c>
      <c r="S281" s="60">
        <v>0</v>
      </c>
      <c r="T281" s="60">
        <v>0</v>
      </c>
      <c r="U281" s="60">
        <v>0</v>
      </c>
      <c r="V281" s="60">
        <v>0</v>
      </c>
      <c r="W281" s="60">
        <v>0</v>
      </c>
      <c r="X281" s="60">
        <v>0</v>
      </c>
      <c r="Y281" s="60">
        <v>0</v>
      </c>
      <c r="Z281" s="60">
        <v>0</v>
      </c>
      <c r="AA281" s="60">
        <v>0</v>
      </c>
      <c r="AB281" s="60">
        <v>0</v>
      </c>
      <c r="AC281" s="60">
        <v>0</v>
      </c>
      <c r="AD281" s="60">
        <v>0</v>
      </c>
      <c r="AE281" s="60">
        <v>0</v>
      </c>
      <c r="AF281" s="60">
        <v>0</v>
      </c>
      <c r="AG281" s="60">
        <v>0</v>
      </c>
      <c r="AH281" s="60">
        <v>0</v>
      </c>
      <c r="AI281" s="60">
        <v>100.06</v>
      </c>
      <c r="AJ281" s="60">
        <v>91.81</v>
      </c>
      <c r="AK281" s="60">
        <v>87.72</v>
      </c>
      <c r="AL281" s="60">
        <v>0</v>
      </c>
      <c r="AM281" s="60">
        <v>0</v>
      </c>
      <c r="AN281" s="60">
        <v>0</v>
      </c>
      <c r="AO281" s="60">
        <v>100.06</v>
      </c>
      <c r="AP281" s="60">
        <v>91.81</v>
      </c>
      <c r="AQ281" s="60">
        <v>87.72</v>
      </c>
      <c r="AR281" s="61">
        <v>100.06</v>
      </c>
    </row>
    <row r="282" spans="1:44" x14ac:dyDescent="0.35">
      <c r="A282" s="49" t="str">
        <f t="shared" si="23"/>
        <v>21</v>
      </c>
      <c r="B282" s="27">
        <v>65318</v>
      </c>
      <c r="C282" s="25" t="str">
        <f t="shared" si="22"/>
        <v>0000000</v>
      </c>
      <c r="D282" s="26" t="s">
        <v>3663</v>
      </c>
      <c r="E282" s="25" t="s">
        <v>1255</v>
      </c>
      <c r="F282" s="25" t="s">
        <v>1250</v>
      </c>
      <c r="G282" s="59" t="s">
        <v>1256</v>
      </c>
      <c r="H282" s="60">
        <v>1721.95</v>
      </c>
      <c r="I282" s="60">
        <v>1712.27</v>
      </c>
      <c r="J282" s="60">
        <v>1674.23</v>
      </c>
      <c r="K282" s="60">
        <v>0</v>
      </c>
      <c r="L282" s="60">
        <v>0</v>
      </c>
      <c r="M282" s="60">
        <v>0</v>
      </c>
      <c r="N282" s="60">
        <v>0</v>
      </c>
      <c r="O282" s="60">
        <v>0</v>
      </c>
      <c r="P282" s="60">
        <v>0</v>
      </c>
      <c r="Q282" s="60">
        <v>0</v>
      </c>
      <c r="R282" s="60">
        <v>0</v>
      </c>
      <c r="S282" s="60">
        <v>0</v>
      </c>
      <c r="T282" s="60">
        <v>0</v>
      </c>
      <c r="U282" s="60">
        <v>0</v>
      </c>
      <c r="V282" s="60">
        <v>0</v>
      </c>
      <c r="W282" s="60">
        <v>0</v>
      </c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0">
        <v>0</v>
      </c>
      <c r="AE282" s="60">
        <v>0</v>
      </c>
      <c r="AF282" s="60">
        <v>0</v>
      </c>
      <c r="AG282" s="60">
        <v>0</v>
      </c>
      <c r="AH282" s="60">
        <v>0</v>
      </c>
      <c r="AI282" s="60">
        <v>1721.95</v>
      </c>
      <c r="AJ282" s="60">
        <v>1712.27</v>
      </c>
      <c r="AK282" s="60">
        <v>1674.23</v>
      </c>
      <c r="AL282" s="60">
        <v>0</v>
      </c>
      <c r="AM282" s="60">
        <v>0</v>
      </c>
      <c r="AN282" s="60">
        <v>0</v>
      </c>
      <c r="AO282" s="60">
        <v>1721.95</v>
      </c>
      <c r="AP282" s="60">
        <v>1712.27</v>
      </c>
      <c r="AQ282" s="60">
        <v>1674.23</v>
      </c>
      <c r="AR282" s="61">
        <v>1721.95</v>
      </c>
    </row>
    <row r="283" spans="1:44" x14ac:dyDescent="0.35">
      <c r="A283" s="49" t="str">
        <f t="shared" si="23"/>
        <v>21</v>
      </c>
      <c r="B283" s="27">
        <v>65334</v>
      </c>
      <c r="C283" s="25" t="str">
        <f t="shared" si="22"/>
        <v>0000000</v>
      </c>
      <c r="D283" s="26" t="s">
        <v>3663</v>
      </c>
      <c r="E283" s="25" t="s">
        <v>1257</v>
      </c>
      <c r="F283" s="25" t="s">
        <v>1250</v>
      </c>
      <c r="G283" s="59" t="s">
        <v>1258</v>
      </c>
      <c r="H283" s="60">
        <v>1010.81</v>
      </c>
      <c r="I283" s="60">
        <v>995.64</v>
      </c>
      <c r="J283" s="60">
        <v>988.41</v>
      </c>
      <c r="K283" s="60">
        <v>0</v>
      </c>
      <c r="L283" s="60">
        <v>0</v>
      </c>
      <c r="M283" s="60">
        <v>0</v>
      </c>
      <c r="N283" s="60">
        <v>0</v>
      </c>
      <c r="O283" s="60">
        <v>0</v>
      </c>
      <c r="P283" s="60">
        <v>0</v>
      </c>
      <c r="Q283" s="60">
        <v>0</v>
      </c>
      <c r="R283" s="60">
        <v>0</v>
      </c>
      <c r="S283" s="60">
        <v>0</v>
      </c>
      <c r="T283" s="60">
        <v>0</v>
      </c>
      <c r="U283" s="60">
        <v>0</v>
      </c>
      <c r="V283" s="60">
        <v>0</v>
      </c>
      <c r="W283" s="60">
        <v>0</v>
      </c>
      <c r="X283" s="60">
        <v>0</v>
      </c>
      <c r="Y283" s="60">
        <v>0</v>
      </c>
      <c r="Z283" s="60">
        <v>0</v>
      </c>
      <c r="AA283" s="60">
        <v>0</v>
      </c>
      <c r="AB283" s="60">
        <v>0</v>
      </c>
      <c r="AC283" s="60">
        <v>0</v>
      </c>
      <c r="AD283" s="60">
        <v>0</v>
      </c>
      <c r="AE283" s="60">
        <v>0</v>
      </c>
      <c r="AF283" s="60">
        <v>0</v>
      </c>
      <c r="AG283" s="60">
        <v>0</v>
      </c>
      <c r="AH283" s="60">
        <v>0</v>
      </c>
      <c r="AI283" s="60">
        <v>1010.81</v>
      </c>
      <c r="AJ283" s="60">
        <v>995.64</v>
      </c>
      <c r="AK283" s="60">
        <v>988.41</v>
      </c>
      <c r="AL283" s="60">
        <v>0</v>
      </c>
      <c r="AM283" s="60">
        <v>0</v>
      </c>
      <c r="AN283" s="60">
        <v>0</v>
      </c>
      <c r="AO283" s="60">
        <v>1010.81</v>
      </c>
      <c r="AP283" s="60">
        <v>995.64</v>
      </c>
      <c r="AQ283" s="60">
        <v>988.41</v>
      </c>
      <c r="AR283" s="61">
        <v>1010.81</v>
      </c>
    </row>
    <row r="284" spans="1:44" x14ac:dyDescent="0.35">
      <c r="A284" s="49" t="str">
        <f t="shared" si="23"/>
        <v>21</v>
      </c>
      <c r="B284" s="27">
        <v>65359</v>
      </c>
      <c r="C284" s="25" t="str">
        <f t="shared" si="22"/>
        <v>0000000</v>
      </c>
      <c r="D284" s="26" t="s">
        <v>3663</v>
      </c>
      <c r="E284" s="25" t="s">
        <v>1261</v>
      </c>
      <c r="F284" s="25" t="s">
        <v>1250</v>
      </c>
      <c r="G284" s="59" t="s">
        <v>1262</v>
      </c>
      <c r="H284" s="60">
        <v>149</v>
      </c>
      <c r="I284" s="60">
        <v>147.11000000000001</v>
      </c>
      <c r="J284" s="60">
        <v>168.36</v>
      </c>
      <c r="K284" s="60">
        <v>0</v>
      </c>
      <c r="L284" s="60">
        <v>0</v>
      </c>
      <c r="M284" s="60">
        <v>0</v>
      </c>
      <c r="N284" s="60">
        <v>0</v>
      </c>
      <c r="O284" s="60">
        <v>0</v>
      </c>
      <c r="P284" s="60">
        <v>0</v>
      </c>
      <c r="Q284" s="60">
        <v>0</v>
      </c>
      <c r="R284" s="60">
        <v>0</v>
      </c>
      <c r="S284" s="60">
        <v>0</v>
      </c>
      <c r="T284" s="60">
        <v>0</v>
      </c>
      <c r="U284" s="60">
        <v>0</v>
      </c>
      <c r="V284" s="60">
        <v>0</v>
      </c>
      <c r="W284" s="60">
        <v>0</v>
      </c>
      <c r="X284" s="60">
        <v>0</v>
      </c>
      <c r="Y284" s="60">
        <v>0</v>
      </c>
      <c r="Z284" s="60">
        <v>0</v>
      </c>
      <c r="AA284" s="60">
        <v>0</v>
      </c>
      <c r="AB284" s="60">
        <v>0</v>
      </c>
      <c r="AC284" s="60">
        <v>0</v>
      </c>
      <c r="AD284" s="60">
        <v>0</v>
      </c>
      <c r="AE284" s="60">
        <v>0</v>
      </c>
      <c r="AF284" s="60">
        <v>0</v>
      </c>
      <c r="AG284" s="60">
        <v>0</v>
      </c>
      <c r="AH284" s="60">
        <v>0</v>
      </c>
      <c r="AI284" s="60">
        <v>149</v>
      </c>
      <c r="AJ284" s="60">
        <v>147.11000000000001</v>
      </c>
      <c r="AK284" s="60">
        <v>168.36</v>
      </c>
      <c r="AL284" s="60">
        <v>0</v>
      </c>
      <c r="AM284" s="60">
        <v>0</v>
      </c>
      <c r="AN284" s="60">
        <v>0</v>
      </c>
      <c r="AO284" s="60">
        <v>149</v>
      </c>
      <c r="AP284" s="60">
        <v>147.11000000000001</v>
      </c>
      <c r="AQ284" s="60">
        <v>168.36</v>
      </c>
      <c r="AR284" s="61">
        <v>168.36</v>
      </c>
    </row>
    <row r="285" spans="1:44" x14ac:dyDescent="0.35">
      <c r="A285" s="49" t="str">
        <f t="shared" si="23"/>
        <v>21</v>
      </c>
      <c r="B285" s="27">
        <v>65367</v>
      </c>
      <c r="C285" s="25" t="str">
        <f t="shared" si="22"/>
        <v>0000000</v>
      </c>
      <c r="D285" s="26" t="s">
        <v>3663</v>
      </c>
      <c r="E285" s="25" t="s">
        <v>1263</v>
      </c>
      <c r="F285" s="25" t="s">
        <v>1250</v>
      </c>
      <c r="G285" s="59" t="s">
        <v>1264</v>
      </c>
      <c r="H285" s="60">
        <v>1123.77</v>
      </c>
      <c r="I285" s="60">
        <v>1190.97</v>
      </c>
      <c r="J285" s="60">
        <v>1284.77</v>
      </c>
      <c r="K285" s="60">
        <v>0</v>
      </c>
      <c r="L285" s="60">
        <v>0</v>
      </c>
      <c r="M285" s="60">
        <v>0</v>
      </c>
      <c r="N285" s="60">
        <v>0</v>
      </c>
      <c r="O285" s="60">
        <v>0</v>
      </c>
      <c r="P285" s="60">
        <v>0</v>
      </c>
      <c r="Q285" s="60">
        <v>0</v>
      </c>
      <c r="R285" s="60">
        <v>0</v>
      </c>
      <c r="S285" s="60">
        <v>0</v>
      </c>
      <c r="T285" s="60">
        <v>0</v>
      </c>
      <c r="U285" s="60">
        <v>0</v>
      </c>
      <c r="V285" s="60">
        <v>0</v>
      </c>
      <c r="W285" s="60">
        <v>0</v>
      </c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0</v>
      </c>
      <c r="AD285" s="60">
        <v>0</v>
      </c>
      <c r="AE285" s="60">
        <v>0</v>
      </c>
      <c r="AF285" s="60">
        <v>0</v>
      </c>
      <c r="AG285" s="60">
        <v>0</v>
      </c>
      <c r="AH285" s="60">
        <v>0</v>
      </c>
      <c r="AI285" s="60">
        <v>1123.77</v>
      </c>
      <c r="AJ285" s="60">
        <v>1190.97</v>
      </c>
      <c r="AK285" s="60">
        <v>1284.77</v>
      </c>
      <c r="AL285" s="60">
        <v>0</v>
      </c>
      <c r="AM285" s="60">
        <v>0</v>
      </c>
      <c r="AN285" s="60">
        <v>0</v>
      </c>
      <c r="AO285" s="60">
        <v>1123.77</v>
      </c>
      <c r="AP285" s="60">
        <v>1190.97</v>
      </c>
      <c r="AQ285" s="60">
        <v>1284.77</v>
      </c>
      <c r="AR285" s="61">
        <v>1284.77</v>
      </c>
    </row>
    <row r="286" spans="1:44" x14ac:dyDescent="0.35">
      <c r="A286" s="49" t="str">
        <f t="shared" si="23"/>
        <v>21</v>
      </c>
      <c r="B286" s="27">
        <v>65391</v>
      </c>
      <c r="C286" s="25" t="str">
        <f t="shared" si="22"/>
        <v>0000000</v>
      </c>
      <c r="D286" s="26" t="s">
        <v>3663</v>
      </c>
      <c r="E286" s="25" t="s">
        <v>1265</v>
      </c>
      <c r="F286" s="25" t="s">
        <v>1250</v>
      </c>
      <c r="G286" s="59" t="s">
        <v>1266</v>
      </c>
      <c r="H286" s="60">
        <v>2182.9299999999998</v>
      </c>
      <c r="I286" s="60">
        <v>2234.5100000000002</v>
      </c>
      <c r="J286" s="60">
        <v>2307.48</v>
      </c>
      <c r="K286" s="60">
        <v>0</v>
      </c>
      <c r="L286" s="60">
        <v>0</v>
      </c>
      <c r="M286" s="60">
        <v>0</v>
      </c>
      <c r="N286" s="60">
        <v>0</v>
      </c>
      <c r="O286" s="60">
        <v>0</v>
      </c>
      <c r="P286" s="60">
        <v>0</v>
      </c>
      <c r="Q286" s="60">
        <v>0</v>
      </c>
      <c r="R286" s="60">
        <v>0</v>
      </c>
      <c r="S286" s="60">
        <v>0</v>
      </c>
      <c r="T286" s="60">
        <v>0</v>
      </c>
      <c r="U286" s="60">
        <v>0</v>
      </c>
      <c r="V286" s="60">
        <v>0</v>
      </c>
      <c r="W286" s="60">
        <v>0</v>
      </c>
      <c r="X286" s="60">
        <v>0</v>
      </c>
      <c r="Y286" s="60">
        <v>0</v>
      </c>
      <c r="Z286" s="60">
        <v>0</v>
      </c>
      <c r="AA286" s="60">
        <v>0</v>
      </c>
      <c r="AB286" s="60">
        <v>0</v>
      </c>
      <c r="AC286" s="60">
        <v>0</v>
      </c>
      <c r="AD286" s="60">
        <v>0</v>
      </c>
      <c r="AE286" s="60">
        <v>0</v>
      </c>
      <c r="AF286" s="60">
        <v>0</v>
      </c>
      <c r="AG286" s="60">
        <v>0</v>
      </c>
      <c r="AH286" s="60">
        <v>0</v>
      </c>
      <c r="AI286" s="60">
        <v>2182.9299999999998</v>
      </c>
      <c r="AJ286" s="60">
        <v>2234.5100000000002</v>
      </c>
      <c r="AK286" s="60">
        <v>2307.48</v>
      </c>
      <c r="AL286" s="60">
        <v>0</v>
      </c>
      <c r="AM286" s="60">
        <v>0</v>
      </c>
      <c r="AN286" s="60">
        <v>0</v>
      </c>
      <c r="AO286" s="60">
        <v>2182.9299999999998</v>
      </c>
      <c r="AP286" s="60">
        <v>2234.5100000000002</v>
      </c>
      <c r="AQ286" s="60">
        <v>2307.48</v>
      </c>
      <c r="AR286" s="61">
        <v>2307.48</v>
      </c>
    </row>
    <row r="287" spans="1:44" x14ac:dyDescent="0.35">
      <c r="A287" s="49" t="str">
        <f t="shared" si="23"/>
        <v>21</v>
      </c>
      <c r="B287" s="27">
        <v>65425</v>
      </c>
      <c r="C287" s="25" t="str">
        <f t="shared" ref="C287:C322" si="24">TEXT(,"0000000")</f>
        <v>0000000</v>
      </c>
      <c r="D287" s="26" t="s">
        <v>3663</v>
      </c>
      <c r="E287" s="25" t="s">
        <v>1274</v>
      </c>
      <c r="F287" s="25" t="s">
        <v>1250</v>
      </c>
      <c r="G287" s="59" t="s">
        <v>1275</v>
      </c>
      <c r="H287" s="60">
        <v>995.35</v>
      </c>
      <c r="I287" s="60">
        <v>951.2</v>
      </c>
      <c r="J287" s="60">
        <v>976.93</v>
      </c>
      <c r="K287" s="60">
        <v>0</v>
      </c>
      <c r="L287" s="60">
        <v>0</v>
      </c>
      <c r="M287" s="60">
        <v>0</v>
      </c>
      <c r="N287" s="60">
        <v>0</v>
      </c>
      <c r="O287" s="60">
        <v>0</v>
      </c>
      <c r="P287" s="60">
        <v>0</v>
      </c>
      <c r="Q287" s="60">
        <v>0</v>
      </c>
      <c r="R287" s="60">
        <v>0</v>
      </c>
      <c r="S287" s="60">
        <v>0</v>
      </c>
      <c r="T287" s="60">
        <v>0</v>
      </c>
      <c r="U287" s="60">
        <v>0</v>
      </c>
      <c r="V287" s="60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0">
        <v>0</v>
      </c>
      <c r="AE287" s="60">
        <v>0</v>
      </c>
      <c r="AF287" s="60">
        <v>0</v>
      </c>
      <c r="AG287" s="60">
        <v>0</v>
      </c>
      <c r="AH287" s="60">
        <v>0</v>
      </c>
      <c r="AI287" s="60">
        <v>995.35</v>
      </c>
      <c r="AJ287" s="60">
        <v>951.2</v>
      </c>
      <c r="AK287" s="60">
        <v>976.93</v>
      </c>
      <c r="AL287" s="60">
        <v>0</v>
      </c>
      <c r="AM287" s="60">
        <v>0</v>
      </c>
      <c r="AN287" s="60">
        <v>0</v>
      </c>
      <c r="AO287" s="60">
        <v>995.35</v>
      </c>
      <c r="AP287" s="60">
        <v>951.2</v>
      </c>
      <c r="AQ287" s="60">
        <v>976.93</v>
      </c>
      <c r="AR287" s="61">
        <v>995.35</v>
      </c>
    </row>
    <row r="288" spans="1:44" x14ac:dyDescent="0.35">
      <c r="A288" s="49" t="str">
        <f t="shared" si="23"/>
        <v>21</v>
      </c>
      <c r="B288" s="27">
        <v>65433</v>
      </c>
      <c r="C288" s="25" t="str">
        <f t="shared" si="24"/>
        <v>0000000</v>
      </c>
      <c r="D288" s="26" t="s">
        <v>3663</v>
      </c>
      <c r="E288" s="25" t="s">
        <v>1276</v>
      </c>
      <c r="F288" s="25" t="s">
        <v>1250</v>
      </c>
      <c r="G288" s="59" t="s">
        <v>1277</v>
      </c>
      <c r="H288" s="60">
        <v>334.47</v>
      </c>
      <c r="I288" s="60">
        <v>336.89</v>
      </c>
      <c r="J288" s="60">
        <v>348.91</v>
      </c>
      <c r="K288" s="60">
        <v>0</v>
      </c>
      <c r="L288" s="60">
        <v>0</v>
      </c>
      <c r="M288" s="60">
        <v>0</v>
      </c>
      <c r="N288" s="60">
        <v>0</v>
      </c>
      <c r="O288" s="60">
        <v>0</v>
      </c>
      <c r="P288" s="60">
        <v>0</v>
      </c>
      <c r="Q288" s="60">
        <v>0</v>
      </c>
      <c r="R288" s="60">
        <v>0</v>
      </c>
      <c r="S288" s="60">
        <v>0</v>
      </c>
      <c r="T288" s="60">
        <v>0</v>
      </c>
      <c r="U288" s="60">
        <v>0</v>
      </c>
      <c r="V288" s="60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0">
        <v>0</v>
      </c>
      <c r="AE288" s="60">
        <v>0</v>
      </c>
      <c r="AF288" s="60">
        <v>0</v>
      </c>
      <c r="AG288" s="60">
        <v>0</v>
      </c>
      <c r="AH288" s="60">
        <v>0</v>
      </c>
      <c r="AI288" s="60">
        <v>334.47</v>
      </c>
      <c r="AJ288" s="60">
        <v>336.89</v>
      </c>
      <c r="AK288" s="60">
        <v>348.91</v>
      </c>
      <c r="AL288" s="60">
        <v>0</v>
      </c>
      <c r="AM288" s="60">
        <v>0</v>
      </c>
      <c r="AN288" s="60">
        <v>0</v>
      </c>
      <c r="AO288" s="60">
        <v>334.47</v>
      </c>
      <c r="AP288" s="60">
        <v>336.89</v>
      </c>
      <c r="AQ288" s="60">
        <v>348.91</v>
      </c>
      <c r="AR288" s="61">
        <v>348.91</v>
      </c>
    </row>
    <row r="289" spans="1:44" x14ac:dyDescent="0.35">
      <c r="A289" s="49" t="str">
        <f t="shared" si="23"/>
        <v>21</v>
      </c>
      <c r="B289" s="27">
        <v>65458</v>
      </c>
      <c r="C289" s="25" t="str">
        <f t="shared" si="24"/>
        <v>0000000</v>
      </c>
      <c r="D289" s="26" t="s">
        <v>3663</v>
      </c>
      <c r="E289" s="25" t="s">
        <v>1278</v>
      </c>
      <c r="F289" s="25" t="s">
        <v>1250</v>
      </c>
      <c r="G289" s="59" t="s">
        <v>1279</v>
      </c>
      <c r="H289" s="60">
        <v>4180.2299999999996</v>
      </c>
      <c r="I289" s="60">
        <v>4034.11</v>
      </c>
      <c r="J289" s="60">
        <v>3983.77</v>
      </c>
      <c r="K289" s="60">
        <v>0</v>
      </c>
      <c r="L289" s="60">
        <v>0</v>
      </c>
      <c r="M289" s="60">
        <v>0</v>
      </c>
      <c r="N289" s="60">
        <v>0</v>
      </c>
      <c r="O289" s="60">
        <v>0</v>
      </c>
      <c r="P289" s="60">
        <v>0</v>
      </c>
      <c r="Q289" s="60">
        <v>0</v>
      </c>
      <c r="R289" s="60">
        <v>0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0">
        <v>0</v>
      </c>
      <c r="AE289" s="60">
        <v>0</v>
      </c>
      <c r="AF289" s="60">
        <v>0</v>
      </c>
      <c r="AG289" s="60">
        <v>0</v>
      </c>
      <c r="AH289" s="60">
        <v>0</v>
      </c>
      <c r="AI289" s="60">
        <v>4180.2299999999996</v>
      </c>
      <c r="AJ289" s="60">
        <v>4034.11</v>
      </c>
      <c r="AK289" s="60">
        <v>3983.77</v>
      </c>
      <c r="AL289" s="60">
        <v>0</v>
      </c>
      <c r="AM289" s="60">
        <v>0</v>
      </c>
      <c r="AN289" s="60">
        <v>0</v>
      </c>
      <c r="AO289" s="60">
        <v>4180.2299999999996</v>
      </c>
      <c r="AP289" s="60">
        <v>4034.11</v>
      </c>
      <c r="AQ289" s="60">
        <v>3983.77</v>
      </c>
      <c r="AR289" s="61">
        <v>4180.2299999999996</v>
      </c>
    </row>
    <row r="290" spans="1:44" x14ac:dyDescent="0.35">
      <c r="A290" s="49" t="str">
        <f t="shared" si="23"/>
        <v>21</v>
      </c>
      <c r="B290" s="27">
        <v>65474</v>
      </c>
      <c r="C290" s="25" t="str">
        <f t="shared" si="24"/>
        <v>0000000</v>
      </c>
      <c r="D290" s="26" t="s">
        <v>3663</v>
      </c>
      <c r="E290" s="25" t="s">
        <v>1282</v>
      </c>
      <c r="F290" s="25" t="s">
        <v>1250</v>
      </c>
      <c r="G290" s="59" t="s">
        <v>1283</v>
      </c>
      <c r="H290" s="60">
        <v>262.19</v>
      </c>
      <c r="I290" s="60">
        <v>282.14999999999998</v>
      </c>
      <c r="J290" s="60">
        <v>315.23</v>
      </c>
      <c r="K290" s="60">
        <v>0</v>
      </c>
      <c r="L290" s="60">
        <v>0</v>
      </c>
      <c r="M290" s="60">
        <v>0</v>
      </c>
      <c r="N290" s="60">
        <v>0</v>
      </c>
      <c r="O290" s="60">
        <v>10.74</v>
      </c>
      <c r="P290" s="60">
        <v>41.6</v>
      </c>
      <c r="Q290" s="60">
        <v>0</v>
      </c>
      <c r="R290" s="60">
        <v>0</v>
      </c>
      <c r="S290" s="60">
        <v>0</v>
      </c>
      <c r="T290" s="60">
        <v>0</v>
      </c>
      <c r="U290" s="60">
        <v>0</v>
      </c>
      <c r="V290" s="60">
        <v>0</v>
      </c>
      <c r="W290" s="60">
        <v>0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0">
        <v>0</v>
      </c>
      <c r="AE290" s="60">
        <v>0</v>
      </c>
      <c r="AF290" s="60">
        <v>0</v>
      </c>
      <c r="AG290" s="60">
        <v>0</v>
      </c>
      <c r="AH290" s="60">
        <v>0</v>
      </c>
      <c r="AI290" s="60">
        <v>262.19</v>
      </c>
      <c r="AJ290" s="60">
        <v>292.89</v>
      </c>
      <c r="AK290" s="60">
        <v>356.83</v>
      </c>
      <c r="AL290" s="60">
        <v>0</v>
      </c>
      <c r="AM290" s="60">
        <v>0</v>
      </c>
      <c r="AN290" s="60">
        <v>0</v>
      </c>
      <c r="AO290" s="60">
        <v>262.19</v>
      </c>
      <c r="AP290" s="60">
        <v>292.89</v>
      </c>
      <c r="AQ290" s="60">
        <v>356.83</v>
      </c>
      <c r="AR290" s="61">
        <v>356.83</v>
      </c>
    </row>
    <row r="291" spans="1:44" x14ac:dyDescent="0.35">
      <c r="A291" s="49" t="str">
        <f t="shared" si="23"/>
        <v>21</v>
      </c>
      <c r="B291" s="27">
        <v>65466</v>
      </c>
      <c r="C291" s="25" t="str">
        <f t="shared" si="24"/>
        <v>0000000</v>
      </c>
      <c r="D291" s="26" t="s">
        <v>3663</v>
      </c>
      <c r="E291" s="25" t="s">
        <v>1280</v>
      </c>
      <c r="F291" s="25" t="s">
        <v>1250</v>
      </c>
      <c r="G291" s="59" t="s">
        <v>1281</v>
      </c>
      <c r="H291" s="60">
        <v>2483.2399999999998</v>
      </c>
      <c r="I291" s="60">
        <v>2471.27</v>
      </c>
      <c r="J291" s="60">
        <v>2452.48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  <c r="P291" s="60">
        <v>0</v>
      </c>
      <c r="Q291" s="60">
        <v>0</v>
      </c>
      <c r="R291" s="60">
        <v>0</v>
      </c>
      <c r="S291" s="60">
        <v>0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0">
        <v>0</v>
      </c>
      <c r="AE291" s="60">
        <v>0</v>
      </c>
      <c r="AF291" s="60">
        <v>0</v>
      </c>
      <c r="AG291" s="60">
        <v>0</v>
      </c>
      <c r="AH291" s="60">
        <v>0</v>
      </c>
      <c r="AI291" s="60">
        <v>2483.2399999999998</v>
      </c>
      <c r="AJ291" s="60">
        <v>2471.27</v>
      </c>
      <c r="AK291" s="60">
        <v>2452.48</v>
      </c>
      <c r="AL291" s="60">
        <v>0</v>
      </c>
      <c r="AM291" s="60">
        <v>0</v>
      </c>
      <c r="AN291" s="60">
        <v>0</v>
      </c>
      <c r="AO291" s="60">
        <v>2483.2399999999998</v>
      </c>
      <c r="AP291" s="60">
        <v>2471.27</v>
      </c>
      <c r="AQ291" s="60">
        <v>2452.48</v>
      </c>
      <c r="AR291" s="61">
        <v>2483.2399999999998</v>
      </c>
    </row>
    <row r="292" spans="1:44" x14ac:dyDescent="0.35">
      <c r="A292" s="49" t="str">
        <f t="shared" si="23"/>
        <v>21</v>
      </c>
      <c r="B292" s="27">
        <v>65482</v>
      </c>
      <c r="C292" s="25" t="str">
        <f t="shared" si="24"/>
        <v>0000000</v>
      </c>
      <c r="D292" s="26" t="s">
        <v>3663</v>
      </c>
      <c r="E292" s="25" t="s">
        <v>1284</v>
      </c>
      <c r="F292" s="25" t="s">
        <v>1250</v>
      </c>
      <c r="G292" s="59" t="s">
        <v>1285</v>
      </c>
      <c r="H292" s="60">
        <v>4405.4399999999996</v>
      </c>
      <c r="I292" s="60">
        <v>4506.08</v>
      </c>
      <c r="J292" s="60">
        <v>4809.8599999999997</v>
      </c>
      <c r="K292" s="60">
        <v>0</v>
      </c>
      <c r="L292" s="60">
        <v>0</v>
      </c>
      <c r="M292" s="60">
        <v>0</v>
      </c>
      <c r="N292" s="60">
        <v>0</v>
      </c>
      <c r="O292" s="60">
        <v>0</v>
      </c>
      <c r="P292" s="60">
        <v>0</v>
      </c>
      <c r="Q292" s="60">
        <v>0</v>
      </c>
      <c r="R292" s="60">
        <v>0</v>
      </c>
      <c r="S292" s="60">
        <v>0</v>
      </c>
      <c r="T292" s="60">
        <v>0</v>
      </c>
      <c r="U292" s="60">
        <v>0</v>
      </c>
      <c r="V292" s="60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0">
        <v>0</v>
      </c>
      <c r="AE292" s="60">
        <v>0</v>
      </c>
      <c r="AF292" s="60">
        <v>0</v>
      </c>
      <c r="AG292" s="60">
        <v>0</v>
      </c>
      <c r="AH292" s="60">
        <v>0</v>
      </c>
      <c r="AI292" s="60">
        <v>4405.4399999999996</v>
      </c>
      <c r="AJ292" s="60">
        <v>4506.08</v>
      </c>
      <c r="AK292" s="60">
        <v>4809.8599999999997</v>
      </c>
      <c r="AL292" s="60">
        <v>0</v>
      </c>
      <c r="AM292" s="60">
        <v>0</v>
      </c>
      <c r="AN292" s="60">
        <v>0</v>
      </c>
      <c r="AO292" s="60">
        <v>4405.4399999999996</v>
      </c>
      <c r="AP292" s="60">
        <v>4506.08</v>
      </c>
      <c r="AQ292" s="60">
        <v>4809.8599999999997</v>
      </c>
      <c r="AR292" s="61">
        <v>4809.8599999999997</v>
      </c>
    </row>
    <row r="293" spans="1:44" x14ac:dyDescent="0.35">
      <c r="A293" s="49" t="str">
        <f t="shared" si="23"/>
        <v>21</v>
      </c>
      <c r="B293" s="27">
        <v>65417</v>
      </c>
      <c r="C293" s="25" t="str">
        <f t="shared" si="24"/>
        <v>0000000</v>
      </c>
      <c r="D293" s="26" t="s">
        <v>3663</v>
      </c>
      <c r="E293" s="25" t="s">
        <v>1269</v>
      </c>
      <c r="F293" s="25" t="s">
        <v>1250</v>
      </c>
      <c r="G293" s="59" t="s">
        <v>1270</v>
      </c>
      <c r="H293" s="60">
        <v>6898.35</v>
      </c>
      <c r="I293" s="60">
        <v>6744.45</v>
      </c>
      <c r="J293" s="60">
        <v>6789.23</v>
      </c>
      <c r="K293" s="60">
        <v>0</v>
      </c>
      <c r="L293" s="60">
        <v>0</v>
      </c>
      <c r="M293" s="60">
        <v>0</v>
      </c>
      <c r="N293" s="60">
        <v>0</v>
      </c>
      <c r="O293" s="60">
        <v>0</v>
      </c>
      <c r="P293" s="60">
        <v>0</v>
      </c>
      <c r="Q293" s="60">
        <v>0</v>
      </c>
      <c r="R293" s="60">
        <v>0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0">
        <v>0</v>
      </c>
      <c r="AE293" s="60">
        <v>0</v>
      </c>
      <c r="AF293" s="60">
        <v>0</v>
      </c>
      <c r="AG293" s="60">
        <v>0</v>
      </c>
      <c r="AH293" s="60">
        <v>0</v>
      </c>
      <c r="AI293" s="60">
        <v>6898.35</v>
      </c>
      <c r="AJ293" s="60">
        <v>6744.45</v>
      </c>
      <c r="AK293" s="60">
        <v>6789.23</v>
      </c>
      <c r="AL293" s="60">
        <v>0</v>
      </c>
      <c r="AM293" s="60">
        <v>0</v>
      </c>
      <c r="AN293" s="60">
        <v>0</v>
      </c>
      <c r="AO293" s="60">
        <v>6898.35</v>
      </c>
      <c r="AP293" s="60">
        <v>6744.45</v>
      </c>
      <c r="AQ293" s="60">
        <v>6789.23</v>
      </c>
      <c r="AR293" s="61">
        <v>6898.35</v>
      </c>
    </row>
    <row r="294" spans="1:44" x14ac:dyDescent="0.35">
      <c r="A294" s="49" t="str">
        <f t="shared" si="23"/>
        <v>21</v>
      </c>
      <c r="B294" s="27">
        <v>73361</v>
      </c>
      <c r="C294" s="25" t="str">
        <f t="shared" si="24"/>
        <v>0000000</v>
      </c>
      <c r="D294" s="26" t="s">
        <v>3663</v>
      </c>
      <c r="E294" s="25" t="s">
        <v>1286</v>
      </c>
      <c r="F294" s="25" t="s">
        <v>1250</v>
      </c>
      <c r="G294" s="59" t="s">
        <v>1287</v>
      </c>
      <c r="H294" s="60">
        <v>338.88</v>
      </c>
      <c r="I294" s="60">
        <v>335.58</v>
      </c>
      <c r="J294" s="60">
        <v>345.6</v>
      </c>
      <c r="K294" s="60">
        <v>0</v>
      </c>
      <c r="L294" s="60">
        <v>0</v>
      </c>
      <c r="M294" s="60">
        <v>0</v>
      </c>
      <c r="N294" s="60">
        <v>104.03</v>
      </c>
      <c r="O294" s="60">
        <v>94.64</v>
      </c>
      <c r="P294" s="60">
        <v>88.5</v>
      </c>
      <c r="Q294" s="60">
        <v>0</v>
      </c>
      <c r="R294" s="60">
        <v>0</v>
      </c>
      <c r="S294" s="60">
        <v>0</v>
      </c>
      <c r="T294" s="60">
        <v>0</v>
      </c>
      <c r="U294" s="60">
        <v>0</v>
      </c>
      <c r="V294" s="60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0">
        <v>0</v>
      </c>
      <c r="AE294" s="60">
        <v>0</v>
      </c>
      <c r="AF294" s="60">
        <v>0</v>
      </c>
      <c r="AG294" s="60">
        <v>0</v>
      </c>
      <c r="AH294" s="60">
        <v>0</v>
      </c>
      <c r="AI294" s="60">
        <v>442.91</v>
      </c>
      <c r="AJ294" s="60">
        <v>430.22</v>
      </c>
      <c r="AK294" s="60">
        <v>434.1</v>
      </c>
      <c r="AL294" s="60">
        <v>0</v>
      </c>
      <c r="AM294" s="60">
        <v>0</v>
      </c>
      <c r="AN294" s="60">
        <v>0</v>
      </c>
      <c r="AO294" s="60">
        <v>442.91</v>
      </c>
      <c r="AP294" s="60">
        <v>430.22</v>
      </c>
      <c r="AQ294" s="60">
        <v>434.1</v>
      </c>
      <c r="AR294" s="61">
        <v>442.91</v>
      </c>
    </row>
    <row r="295" spans="1:44" x14ac:dyDescent="0.35">
      <c r="A295" s="49" t="str">
        <f t="shared" si="23"/>
        <v>21</v>
      </c>
      <c r="B295" s="27">
        <v>75002</v>
      </c>
      <c r="C295" s="25" t="str">
        <f t="shared" si="24"/>
        <v>0000000</v>
      </c>
      <c r="D295" s="26" t="s">
        <v>3663</v>
      </c>
      <c r="E295" s="25" t="s">
        <v>1288</v>
      </c>
      <c r="F295" s="25" t="s">
        <v>1250</v>
      </c>
      <c r="G295" s="59" t="s">
        <v>1289</v>
      </c>
      <c r="H295" s="60">
        <v>1638.57</v>
      </c>
      <c r="I295" s="60">
        <v>1605.31</v>
      </c>
      <c r="J295" s="60">
        <v>1661.38</v>
      </c>
      <c r="K295" s="60">
        <v>0</v>
      </c>
      <c r="L295" s="60">
        <v>0</v>
      </c>
      <c r="M295" s="60">
        <v>0</v>
      </c>
      <c r="N295" s="60">
        <v>0</v>
      </c>
      <c r="O295" s="60">
        <v>0</v>
      </c>
      <c r="P295" s="60">
        <v>0</v>
      </c>
      <c r="Q295" s="60">
        <v>0</v>
      </c>
      <c r="R295" s="60">
        <v>0</v>
      </c>
      <c r="S295" s="60">
        <v>0</v>
      </c>
      <c r="T295" s="60">
        <v>0</v>
      </c>
      <c r="U295" s="60">
        <v>0</v>
      </c>
      <c r="V295" s="60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0">
        <v>0</v>
      </c>
      <c r="AE295" s="60">
        <v>0</v>
      </c>
      <c r="AF295" s="60">
        <v>0</v>
      </c>
      <c r="AG295" s="60">
        <v>0</v>
      </c>
      <c r="AH295" s="60">
        <v>0</v>
      </c>
      <c r="AI295" s="60">
        <v>1638.57</v>
      </c>
      <c r="AJ295" s="60">
        <v>1605.31</v>
      </c>
      <c r="AK295" s="60">
        <v>1661.38</v>
      </c>
      <c r="AL295" s="60">
        <v>0</v>
      </c>
      <c r="AM295" s="60">
        <v>0</v>
      </c>
      <c r="AN295" s="60">
        <v>0</v>
      </c>
      <c r="AO295" s="60">
        <v>1638.57</v>
      </c>
      <c r="AP295" s="60">
        <v>1605.31</v>
      </c>
      <c r="AQ295" s="60">
        <v>1661.38</v>
      </c>
      <c r="AR295" s="61">
        <v>1661.38</v>
      </c>
    </row>
    <row r="296" spans="1:44" x14ac:dyDescent="0.35">
      <c r="A296" s="49" t="str">
        <f t="shared" si="23"/>
        <v>21</v>
      </c>
      <c r="B296" s="27">
        <v>65409</v>
      </c>
      <c r="C296" s="25" t="str">
        <f t="shared" si="24"/>
        <v>0000000</v>
      </c>
      <c r="D296" s="26" t="s">
        <v>3663</v>
      </c>
      <c r="E296" s="25" t="s">
        <v>1267</v>
      </c>
      <c r="F296" s="25" t="s">
        <v>1250</v>
      </c>
      <c r="G296" s="59" t="s">
        <v>1268</v>
      </c>
      <c r="H296" s="60">
        <v>32.56</v>
      </c>
      <c r="I296" s="60">
        <v>32.46</v>
      </c>
      <c r="J296" s="60">
        <v>33.450000000000003</v>
      </c>
      <c r="K296" s="60">
        <v>0</v>
      </c>
      <c r="L296" s="60">
        <v>0</v>
      </c>
      <c r="M296" s="60">
        <v>0</v>
      </c>
      <c r="N296" s="60">
        <v>0</v>
      </c>
      <c r="O296" s="60">
        <v>0</v>
      </c>
      <c r="P296" s="60">
        <v>0</v>
      </c>
      <c r="Q296" s="60">
        <v>0</v>
      </c>
      <c r="R296" s="60">
        <v>0</v>
      </c>
      <c r="S296" s="60">
        <v>0</v>
      </c>
      <c r="T296" s="60">
        <v>0</v>
      </c>
      <c r="U296" s="60">
        <v>0</v>
      </c>
      <c r="V296" s="60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0">
        <v>0</v>
      </c>
      <c r="AE296" s="60">
        <v>0</v>
      </c>
      <c r="AF296" s="60">
        <v>0</v>
      </c>
      <c r="AG296" s="60">
        <v>0</v>
      </c>
      <c r="AH296" s="60">
        <v>0</v>
      </c>
      <c r="AI296" s="60">
        <v>32.56</v>
      </c>
      <c r="AJ296" s="60">
        <v>32.46</v>
      </c>
      <c r="AK296" s="60">
        <v>33.450000000000003</v>
      </c>
      <c r="AL296" s="60">
        <v>0</v>
      </c>
      <c r="AM296" s="60">
        <v>0</v>
      </c>
      <c r="AN296" s="60">
        <v>0</v>
      </c>
      <c r="AO296" s="60">
        <v>32.56</v>
      </c>
      <c r="AP296" s="60">
        <v>32.46</v>
      </c>
      <c r="AQ296" s="60">
        <v>33.450000000000003</v>
      </c>
      <c r="AR296" s="61">
        <v>33.450000000000003</v>
      </c>
    </row>
    <row r="297" spans="1:44" x14ac:dyDescent="0.35">
      <c r="A297" s="49" t="str">
        <f t="shared" si="23"/>
        <v>21</v>
      </c>
      <c r="B297" s="27">
        <v>65342</v>
      </c>
      <c r="C297" s="25" t="str">
        <f t="shared" si="24"/>
        <v>0000000</v>
      </c>
      <c r="D297" s="26" t="s">
        <v>3663</v>
      </c>
      <c r="E297" s="25" t="s">
        <v>1259</v>
      </c>
      <c r="F297" s="25" t="s">
        <v>1250</v>
      </c>
      <c r="G297" s="59" t="s">
        <v>1260</v>
      </c>
      <c r="H297" s="60">
        <v>8.2100000000000009</v>
      </c>
      <c r="I297" s="60">
        <v>15.15</v>
      </c>
      <c r="J297" s="60">
        <v>19.350000000000001</v>
      </c>
      <c r="K297" s="60">
        <v>0</v>
      </c>
      <c r="L297" s="60">
        <v>0</v>
      </c>
      <c r="M297" s="60">
        <v>0</v>
      </c>
      <c r="N297" s="60">
        <v>0</v>
      </c>
      <c r="O297" s="60">
        <v>0</v>
      </c>
      <c r="P297" s="60">
        <v>0</v>
      </c>
      <c r="Q297" s="60">
        <v>0</v>
      </c>
      <c r="R297" s="60">
        <v>0</v>
      </c>
      <c r="S297" s="60">
        <v>0</v>
      </c>
      <c r="T297" s="60">
        <v>0</v>
      </c>
      <c r="U297" s="60">
        <v>0</v>
      </c>
      <c r="V297" s="60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0">
        <v>0</v>
      </c>
      <c r="AE297" s="60">
        <v>0</v>
      </c>
      <c r="AF297" s="60">
        <v>0</v>
      </c>
      <c r="AG297" s="60">
        <v>0</v>
      </c>
      <c r="AH297" s="60">
        <v>0</v>
      </c>
      <c r="AI297" s="60">
        <v>8.2100000000000009</v>
      </c>
      <c r="AJ297" s="60">
        <v>15.15</v>
      </c>
      <c r="AK297" s="60">
        <v>19.350000000000001</v>
      </c>
      <c r="AL297" s="60">
        <v>0</v>
      </c>
      <c r="AM297" s="60">
        <v>0</v>
      </c>
      <c r="AN297" s="60">
        <v>0</v>
      </c>
      <c r="AO297" s="60">
        <v>8.2100000000000009</v>
      </c>
      <c r="AP297" s="60">
        <v>15.15</v>
      </c>
      <c r="AQ297" s="60">
        <v>19.350000000000001</v>
      </c>
      <c r="AR297" s="61">
        <v>19.350000000000001</v>
      </c>
    </row>
    <row r="298" spans="1:44" x14ac:dyDescent="0.35">
      <c r="A298" s="49" t="str">
        <f t="shared" ref="A298:A324" si="25">TEXT(47,"00")</f>
        <v>47</v>
      </c>
      <c r="B298" s="27">
        <v>10470</v>
      </c>
      <c r="C298" s="25" t="str">
        <f t="shared" si="24"/>
        <v>0000000</v>
      </c>
      <c r="D298" s="26" t="s">
        <v>3663</v>
      </c>
      <c r="E298" s="25" t="s">
        <v>2963</v>
      </c>
      <c r="F298" s="25" t="s">
        <v>2964</v>
      </c>
      <c r="G298" s="59" t="s">
        <v>2964</v>
      </c>
      <c r="H298" s="60">
        <v>0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60">
        <v>0</v>
      </c>
      <c r="O298" s="60">
        <v>0</v>
      </c>
      <c r="P298" s="60">
        <v>0</v>
      </c>
      <c r="Q298" s="60">
        <v>0</v>
      </c>
      <c r="R298" s="60">
        <v>0</v>
      </c>
      <c r="S298" s="60">
        <v>0</v>
      </c>
      <c r="T298" s="60">
        <v>0</v>
      </c>
      <c r="U298" s="60">
        <v>0</v>
      </c>
      <c r="V298" s="60">
        <v>0</v>
      </c>
      <c r="W298" s="60">
        <v>91.07</v>
      </c>
      <c r="X298" s="60">
        <v>76.86</v>
      </c>
      <c r="Y298" s="60">
        <v>76.67</v>
      </c>
      <c r="Z298" s="60">
        <v>0</v>
      </c>
      <c r="AA298" s="60">
        <v>0</v>
      </c>
      <c r="AB298" s="60">
        <v>0</v>
      </c>
      <c r="AC298" s="60">
        <v>0</v>
      </c>
      <c r="AD298" s="60">
        <v>0</v>
      </c>
      <c r="AE298" s="60">
        <v>0</v>
      </c>
      <c r="AF298" s="60">
        <v>0</v>
      </c>
      <c r="AG298" s="60">
        <v>0</v>
      </c>
      <c r="AH298" s="60">
        <v>0</v>
      </c>
      <c r="AI298" s="60">
        <v>91.07</v>
      </c>
      <c r="AJ298" s="60">
        <v>76.86</v>
      </c>
      <c r="AK298" s="60">
        <v>76.67</v>
      </c>
      <c r="AL298" s="60">
        <v>0</v>
      </c>
      <c r="AM298" s="60">
        <v>0</v>
      </c>
      <c r="AN298" s="60">
        <v>0</v>
      </c>
      <c r="AO298" s="60">
        <v>91.07</v>
      </c>
      <c r="AP298" s="60">
        <v>76.86</v>
      </c>
      <c r="AQ298" s="60">
        <v>76.67</v>
      </c>
      <c r="AR298" s="61">
        <v>91.07</v>
      </c>
    </row>
    <row r="299" spans="1:44" x14ac:dyDescent="0.35">
      <c r="A299" s="49" t="str">
        <f t="shared" si="25"/>
        <v>47</v>
      </c>
      <c r="B299" s="27">
        <v>70326</v>
      </c>
      <c r="C299" s="25" t="str">
        <f t="shared" si="24"/>
        <v>0000000</v>
      </c>
      <c r="D299" s="26" t="s">
        <v>3663</v>
      </c>
      <c r="E299" s="25" t="s">
        <v>2986</v>
      </c>
      <c r="F299" s="25" t="s">
        <v>2964</v>
      </c>
      <c r="G299" s="59" t="s">
        <v>2987</v>
      </c>
      <c r="H299" s="60">
        <v>190.24</v>
      </c>
      <c r="I299" s="60">
        <v>182.74</v>
      </c>
      <c r="J299" s="60">
        <v>163.87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  <c r="P299" s="60">
        <v>0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0">
        <v>0</v>
      </c>
      <c r="AE299" s="60">
        <v>0</v>
      </c>
      <c r="AF299" s="60">
        <v>0</v>
      </c>
      <c r="AG299" s="60">
        <v>0</v>
      </c>
      <c r="AH299" s="60">
        <v>0</v>
      </c>
      <c r="AI299" s="60">
        <v>190.24</v>
      </c>
      <c r="AJ299" s="60">
        <v>182.74</v>
      </c>
      <c r="AK299" s="60">
        <v>163.87</v>
      </c>
      <c r="AL299" s="60">
        <v>0</v>
      </c>
      <c r="AM299" s="60">
        <v>0</v>
      </c>
      <c r="AN299" s="60">
        <v>0</v>
      </c>
      <c r="AO299" s="60">
        <v>190.24</v>
      </c>
      <c r="AP299" s="60">
        <v>182.74</v>
      </c>
      <c r="AQ299" s="60">
        <v>163.87</v>
      </c>
      <c r="AR299" s="61">
        <v>190.24</v>
      </c>
    </row>
    <row r="300" spans="1:44" x14ac:dyDescent="0.35">
      <c r="A300" s="49" t="str">
        <f t="shared" si="25"/>
        <v>47</v>
      </c>
      <c r="B300" s="27">
        <v>70409</v>
      </c>
      <c r="C300" s="25" t="str">
        <f t="shared" si="24"/>
        <v>0000000</v>
      </c>
      <c r="D300" s="26" t="s">
        <v>3663</v>
      </c>
      <c r="E300" s="25" t="s">
        <v>2997</v>
      </c>
      <c r="F300" s="25" t="s">
        <v>2964</v>
      </c>
      <c r="G300" s="59" t="s">
        <v>2998</v>
      </c>
      <c r="H300" s="60">
        <v>44.41</v>
      </c>
      <c r="I300" s="60">
        <v>45.96</v>
      </c>
      <c r="J300" s="60">
        <v>55.68</v>
      </c>
      <c r="K300" s="60">
        <v>0</v>
      </c>
      <c r="L300" s="60">
        <v>0</v>
      </c>
      <c r="M300" s="60">
        <v>0</v>
      </c>
      <c r="N300" s="60">
        <v>0</v>
      </c>
      <c r="O300" s="60">
        <v>0</v>
      </c>
      <c r="P300" s="60">
        <v>0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0</v>
      </c>
      <c r="AD300" s="60">
        <v>0</v>
      </c>
      <c r="AE300" s="60">
        <v>0</v>
      </c>
      <c r="AF300" s="60">
        <v>0</v>
      </c>
      <c r="AG300" s="60">
        <v>0</v>
      </c>
      <c r="AH300" s="60">
        <v>0</v>
      </c>
      <c r="AI300" s="60">
        <v>44.41</v>
      </c>
      <c r="AJ300" s="60">
        <v>45.96</v>
      </c>
      <c r="AK300" s="60">
        <v>55.68</v>
      </c>
      <c r="AL300" s="60">
        <v>0</v>
      </c>
      <c r="AM300" s="60">
        <v>0</v>
      </c>
      <c r="AN300" s="60">
        <v>0</v>
      </c>
      <c r="AO300" s="60">
        <v>44.41</v>
      </c>
      <c r="AP300" s="60">
        <v>45.96</v>
      </c>
      <c r="AQ300" s="60">
        <v>55.68</v>
      </c>
      <c r="AR300" s="61">
        <v>55.68</v>
      </c>
    </row>
    <row r="301" spans="1:44" x14ac:dyDescent="0.35">
      <c r="A301" s="49" t="str">
        <f t="shared" si="25"/>
        <v>47</v>
      </c>
      <c r="B301" s="27">
        <v>70417</v>
      </c>
      <c r="C301" s="25" t="str">
        <f t="shared" si="24"/>
        <v>0000000</v>
      </c>
      <c r="D301" s="26" t="s">
        <v>3663</v>
      </c>
      <c r="E301" s="25" t="s">
        <v>2999</v>
      </c>
      <c r="F301" s="25" t="s">
        <v>2964</v>
      </c>
      <c r="G301" s="59" t="s">
        <v>3000</v>
      </c>
      <c r="H301" s="60">
        <v>145.61000000000001</v>
      </c>
      <c r="I301" s="60">
        <v>151.63</v>
      </c>
      <c r="J301" s="60">
        <v>149.25</v>
      </c>
      <c r="K301" s="60">
        <v>0</v>
      </c>
      <c r="L301" s="60">
        <v>0</v>
      </c>
      <c r="M301" s="60">
        <v>0</v>
      </c>
      <c r="N301" s="60">
        <v>0</v>
      </c>
      <c r="O301" s="60">
        <v>0</v>
      </c>
      <c r="P301" s="60">
        <v>0</v>
      </c>
      <c r="Q301" s="60">
        <v>0</v>
      </c>
      <c r="R301" s="60">
        <v>0</v>
      </c>
      <c r="S301" s="60">
        <v>0</v>
      </c>
      <c r="T301" s="60">
        <v>0</v>
      </c>
      <c r="U301" s="60">
        <v>0</v>
      </c>
      <c r="V301" s="60">
        <v>0</v>
      </c>
      <c r="W301" s="60">
        <v>0</v>
      </c>
      <c r="X301" s="60">
        <v>0</v>
      </c>
      <c r="Y301" s="60">
        <v>0</v>
      </c>
      <c r="Z301" s="60">
        <v>0</v>
      </c>
      <c r="AA301" s="60">
        <v>0</v>
      </c>
      <c r="AB301" s="60">
        <v>0</v>
      </c>
      <c r="AC301" s="60">
        <v>0</v>
      </c>
      <c r="AD301" s="60">
        <v>0</v>
      </c>
      <c r="AE301" s="60">
        <v>0</v>
      </c>
      <c r="AF301" s="60">
        <v>0</v>
      </c>
      <c r="AG301" s="60">
        <v>0</v>
      </c>
      <c r="AH301" s="60">
        <v>0</v>
      </c>
      <c r="AI301" s="60">
        <v>145.61000000000001</v>
      </c>
      <c r="AJ301" s="60">
        <v>151.63</v>
      </c>
      <c r="AK301" s="60">
        <v>149.25</v>
      </c>
      <c r="AL301" s="60">
        <v>0</v>
      </c>
      <c r="AM301" s="60">
        <v>0</v>
      </c>
      <c r="AN301" s="60">
        <v>0</v>
      </c>
      <c r="AO301" s="60">
        <v>145.61000000000001</v>
      </c>
      <c r="AP301" s="60">
        <v>151.63</v>
      </c>
      <c r="AQ301" s="60">
        <v>149.25</v>
      </c>
      <c r="AR301" s="61">
        <v>151.63</v>
      </c>
    </row>
    <row r="302" spans="1:44" x14ac:dyDescent="0.35">
      <c r="A302" s="49" t="str">
        <f t="shared" si="25"/>
        <v>47</v>
      </c>
      <c r="B302" s="27">
        <v>70425</v>
      </c>
      <c r="C302" s="25" t="str">
        <f t="shared" si="24"/>
        <v>0000000</v>
      </c>
      <c r="D302" s="26" t="s">
        <v>3663</v>
      </c>
      <c r="E302" s="25" t="s">
        <v>3001</v>
      </c>
      <c r="F302" s="25" t="s">
        <v>2964</v>
      </c>
      <c r="G302" s="59" t="s">
        <v>3002</v>
      </c>
      <c r="H302" s="60">
        <v>465.23</v>
      </c>
      <c r="I302" s="60">
        <v>422.75</v>
      </c>
      <c r="J302" s="60">
        <v>411.46</v>
      </c>
      <c r="K302" s="60">
        <v>0</v>
      </c>
      <c r="L302" s="60">
        <v>0</v>
      </c>
      <c r="M302" s="60">
        <v>0</v>
      </c>
      <c r="N302" s="60">
        <v>0</v>
      </c>
      <c r="O302" s="60">
        <v>0</v>
      </c>
      <c r="P302" s="60">
        <v>0</v>
      </c>
      <c r="Q302" s="60">
        <v>0</v>
      </c>
      <c r="R302" s="60">
        <v>0</v>
      </c>
      <c r="S302" s="60">
        <v>0</v>
      </c>
      <c r="T302" s="60">
        <v>0</v>
      </c>
      <c r="U302" s="60">
        <v>0</v>
      </c>
      <c r="V302" s="60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0">
        <v>0</v>
      </c>
      <c r="AE302" s="60">
        <v>0</v>
      </c>
      <c r="AF302" s="60">
        <v>0</v>
      </c>
      <c r="AG302" s="60">
        <v>0</v>
      </c>
      <c r="AH302" s="60">
        <v>0</v>
      </c>
      <c r="AI302" s="60">
        <v>465.23</v>
      </c>
      <c r="AJ302" s="60">
        <v>422.75</v>
      </c>
      <c r="AK302" s="60">
        <v>411.46</v>
      </c>
      <c r="AL302" s="60">
        <v>0</v>
      </c>
      <c r="AM302" s="60">
        <v>0</v>
      </c>
      <c r="AN302" s="60">
        <v>0</v>
      </c>
      <c r="AO302" s="60">
        <v>465.23</v>
      </c>
      <c r="AP302" s="60">
        <v>422.75</v>
      </c>
      <c r="AQ302" s="60">
        <v>411.46</v>
      </c>
      <c r="AR302" s="61">
        <v>465.23</v>
      </c>
    </row>
    <row r="303" spans="1:44" x14ac:dyDescent="0.35">
      <c r="A303" s="49" t="str">
        <f t="shared" si="25"/>
        <v>47</v>
      </c>
      <c r="B303" s="27">
        <v>70482</v>
      </c>
      <c r="C303" s="25" t="str">
        <f t="shared" si="24"/>
        <v>0000000</v>
      </c>
      <c r="D303" s="26" t="s">
        <v>3663</v>
      </c>
      <c r="E303" s="25" t="s">
        <v>3007</v>
      </c>
      <c r="F303" s="25" t="s">
        <v>2964</v>
      </c>
      <c r="G303" s="59" t="s">
        <v>3008</v>
      </c>
      <c r="H303" s="60">
        <v>258.45</v>
      </c>
      <c r="I303" s="60">
        <v>306.07</v>
      </c>
      <c r="J303" s="60">
        <v>318.73</v>
      </c>
      <c r="K303" s="60">
        <v>0</v>
      </c>
      <c r="L303" s="60">
        <v>0</v>
      </c>
      <c r="M303" s="60">
        <v>0</v>
      </c>
      <c r="N303" s="60">
        <v>0</v>
      </c>
      <c r="O303" s="60">
        <v>0</v>
      </c>
      <c r="P303" s="60">
        <v>0</v>
      </c>
      <c r="Q303" s="60">
        <v>0</v>
      </c>
      <c r="R303" s="60">
        <v>0</v>
      </c>
      <c r="S303" s="60">
        <v>0</v>
      </c>
      <c r="T303" s="60">
        <v>0</v>
      </c>
      <c r="U303" s="60">
        <v>0</v>
      </c>
      <c r="V303" s="60">
        <v>0</v>
      </c>
      <c r="W303" s="60">
        <v>0</v>
      </c>
      <c r="X303" s="60">
        <v>0</v>
      </c>
      <c r="Y303" s="60">
        <v>0</v>
      </c>
      <c r="Z303" s="60">
        <v>0</v>
      </c>
      <c r="AA303" s="60">
        <v>0</v>
      </c>
      <c r="AB303" s="60">
        <v>0</v>
      </c>
      <c r="AC303" s="60">
        <v>0</v>
      </c>
      <c r="AD303" s="60">
        <v>0</v>
      </c>
      <c r="AE303" s="60">
        <v>0</v>
      </c>
      <c r="AF303" s="60">
        <v>0</v>
      </c>
      <c r="AG303" s="60">
        <v>0</v>
      </c>
      <c r="AH303" s="60">
        <v>0</v>
      </c>
      <c r="AI303" s="60">
        <v>258.45</v>
      </c>
      <c r="AJ303" s="60">
        <v>306.07</v>
      </c>
      <c r="AK303" s="60">
        <v>318.73</v>
      </c>
      <c r="AL303" s="60">
        <v>0</v>
      </c>
      <c r="AM303" s="60">
        <v>0</v>
      </c>
      <c r="AN303" s="60">
        <v>0</v>
      </c>
      <c r="AO303" s="60">
        <v>258.45</v>
      </c>
      <c r="AP303" s="60">
        <v>306.07</v>
      </c>
      <c r="AQ303" s="60">
        <v>318.73</v>
      </c>
      <c r="AR303" s="61">
        <v>318.73</v>
      </c>
    </row>
    <row r="304" spans="1:44" x14ac:dyDescent="0.35">
      <c r="A304" s="49" t="str">
        <f t="shared" si="25"/>
        <v>47</v>
      </c>
      <c r="B304" s="27">
        <v>70243</v>
      </c>
      <c r="C304" s="25" t="str">
        <f t="shared" si="24"/>
        <v>0000000</v>
      </c>
      <c r="D304" s="26" t="s">
        <v>3663</v>
      </c>
      <c r="E304" s="25" t="s">
        <v>2978</v>
      </c>
      <c r="F304" s="25" t="s">
        <v>2964</v>
      </c>
      <c r="G304" s="59" t="s">
        <v>2979</v>
      </c>
      <c r="H304" s="60">
        <v>61</v>
      </c>
      <c r="I304" s="60">
        <v>71.400000000000006</v>
      </c>
      <c r="J304" s="60">
        <v>78.2</v>
      </c>
      <c r="K304" s="60">
        <v>0</v>
      </c>
      <c r="L304" s="60">
        <v>0</v>
      </c>
      <c r="M304" s="60">
        <v>0</v>
      </c>
      <c r="N304" s="60">
        <v>0</v>
      </c>
      <c r="O304" s="60">
        <v>0</v>
      </c>
      <c r="P304" s="60">
        <v>0</v>
      </c>
      <c r="Q304" s="60">
        <v>0</v>
      </c>
      <c r="R304" s="60">
        <v>0</v>
      </c>
      <c r="S304" s="60">
        <v>0</v>
      </c>
      <c r="T304" s="60">
        <v>0</v>
      </c>
      <c r="U304" s="60">
        <v>0</v>
      </c>
      <c r="V304" s="60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0</v>
      </c>
      <c r="AD304" s="60">
        <v>0</v>
      </c>
      <c r="AE304" s="60">
        <v>0</v>
      </c>
      <c r="AF304" s="60">
        <v>0</v>
      </c>
      <c r="AG304" s="60">
        <v>0</v>
      </c>
      <c r="AH304" s="60">
        <v>0</v>
      </c>
      <c r="AI304" s="60">
        <v>61</v>
      </c>
      <c r="AJ304" s="60">
        <v>71.400000000000006</v>
      </c>
      <c r="AK304" s="60">
        <v>78.2</v>
      </c>
      <c r="AL304" s="60">
        <v>0</v>
      </c>
      <c r="AM304" s="60">
        <v>0</v>
      </c>
      <c r="AN304" s="60">
        <v>0</v>
      </c>
      <c r="AO304" s="60">
        <v>61</v>
      </c>
      <c r="AP304" s="60">
        <v>71.400000000000006</v>
      </c>
      <c r="AQ304" s="60">
        <v>78.2</v>
      </c>
      <c r="AR304" s="61">
        <v>78.2</v>
      </c>
    </row>
    <row r="305" spans="1:44" x14ac:dyDescent="0.35">
      <c r="A305" s="49" t="str">
        <f t="shared" si="25"/>
        <v>47</v>
      </c>
      <c r="B305" s="27">
        <v>70185</v>
      </c>
      <c r="C305" s="25" t="str">
        <f t="shared" si="24"/>
        <v>0000000</v>
      </c>
      <c r="D305" s="26" t="s">
        <v>3663</v>
      </c>
      <c r="E305" s="25" t="s">
        <v>2970</v>
      </c>
      <c r="F305" s="25" t="s">
        <v>2964</v>
      </c>
      <c r="G305" s="59" t="s">
        <v>2971</v>
      </c>
      <c r="H305" s="60">
        <v>135.93</v>
      </c>
      <c r="I305" s="60">
        <v>139.22</v>
      </c>
      <c r="J305" s="60">
        <v>143.47</v>
      </c>
      <c r="K305" s="60">
        <v>0</v>
      </c>
      <c r="L305" s="60">
        <v>0</v>
      </c>
      <c r="M305" s="60">
        <v>0</v>
      </c>
      <c r="N305" s="60">
        <v>0</v>
      </c>
      <c r="O305" s="60">
        <v>0</v>
      </c>
      <c r="P305" s="60">
        <v>0</v>
      </c>
      <c r="Q305" s="60">
        <v>0</v>
      </c>
      <c r="R305" s="60">
        <v>0</v>
      </c>
      <c r="S305" s="60">
        <v>0</v>
      </c>
      <c r="T305" s="60">
        <v>0</v>
      </c>
      <c r="U305" s="60">
        <v>0</v>
      </c>
      <c r="V305" s="60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0">
        <v>0</v>
      </c>
      <c r="AE305" s="60">
        <v>0</v>
      </c>
      <c r="AF305" s="60">
        <v>0</v>
      </c>
      <c r="AG305" s="60">
        <v>0</v>
      </c>
      <c r="AH305" s="60">
        <v>0</v>
      </c>
      <c r="AI305" s="60">
        <v>135.93</v>
      </c>
      <c r="AJ305" s="60">
        <v>139.22</v>
      </c>
      <c r="AK305" s="60">
        <v>143.47</v>
      </c>
      <c r="AL305" s="60">
        <v>0</v>
      </c>
      <c r="AM305" s="60">
        <v>0</v>
      </c>
      <c r="AN305" s="60">
        <v>0</v>
      </c>
      <c r="AO305" s="60">
        <v>135.93</v>
      </c>
      <c r="AP305" s="60">
        <v>139.22</v>
      </c>
      <c r="AQ305" s="60">
        <v>143.47</v>
      </c>
      <c r="AR305" s="61">
        <v>143.47</v>
      </c>
    </row>
    <row r="306" spans="1:44" x14ac:dyDescent="0.35">
      <c r="A306" s="49" t="str">
        <f t="shared" si="25"/>
        <v>47</v>
      </c>
      <c r="B306" s="27">
        <v>70508</v>
      </c>
      <c r="C306" s="25" t="str">
        <f t="shared" si="24"/>
        <v>0000000</v>
      </c>
      <c r="D306" s="26" t="s">
        <v>3663</v>
      </c>
      <c r="E306" s="25" t="s">
        <v>3011</v>
      </c>
      <c r="F306" s="25" t="s">
        <v>2964</v>
      </c>
      <c r="G306" s="59" t="s">
        <v>3012</v>
      </c>
      <c r="H306" s="60">
        <v>789.27</v>
      </c>
      <c r="I306" s="60">
        <v>817.47</v>
      </c>
      <c r="J306" s="60">
        <v>830.45</v>
      </c>
      <c r="K306" s="60">
        <v>0</v>
      </c>
      <c r="L306" s="60">
        <v>0</v>
      </c>
      <c r="M306" s="60">
        <v>0</v>
      </c>
      <c r="N306" s="60">
        <v>0</v>
      </c>
      <c r="O306" s="60">
        <v>0</v>
      </c>
      <c r="P306" s="60">
        <v>0</v>
      </c>
      <c r="Q306" s="60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0">
        <v>0</v>
      </c>
      <c r="AE306" s="60">
        <v>0</v>
      </c>
      <c r="AF306" s="60">
        <v>0</v>
      </c>
      <c r="AG306" s="60">
        <v>0</v>
      </c>
      <c r="AH306" s="60">
        <v>0</v>
      </c>
      <c r="AI306" s="60">
        <v>789.27</v>
      </c>
      <c r="AJ306" s="60">
        <v>817.47</v>
      </c>
      <c r="AK306" s="60">
        <v>830.45</v>
      </c>
      <c r="AL306" s="60">
        <v>0</v>
      </c>
      <c r="AM306" s="60">
        <v>0</v>
      </c>
      <c r="AN306" s="60">
        <v>0</v>
      </c>
      <c r="AO306" s="60">
        <v>789.27</v>
      </c>
      <c r="AP306" s="60">
        <v>817.47</v>
      </c>
      <c r="AQ306" s="60">
        <v>830.45</v>
      </c>
      <c r="AR306" s="61">
        <v>830.45</v>
      </c>
    </row>
    <row r="307" spans="1:44" x14ac:dyDescent="0.35">
      <c r="A307" s="49" t="str">
        <f t="shared" si="25"/>
        <v>47</v>
      </c>
      <c r="B307" s="27">
        <v>70466</v>
      </c>
      <c r="C307" s="25" t="str">
        <f t="shared" si="24"/>
        <v>0000000</v>
      </c>
      <c r="D307" s="26" t="s">
        <v>3663</v>
      </c>
      <c r="E307" s="25" t="s">
        <v>3005</v>
      </c>
      <c r="F307" s="25" t="s">
        <v>2964</v>
      </c>
      <c r="G307" s="59" t="s">
        <v>3006</v>
      </c>
      <c r="H307" s="60">
        <v>429.23</v>
      </c>
      <c r="I307" s="60">
        <v>465.01</v>
      </c>
      <c r="J307" s="60">
        <v>460.03</v>
      </c>
      <c r="K307" s="60">
        <v>0</v>
      </c>
      <c r="L307" s="60">
        <v>0</v>
      </c>
      <c r="M307" s="60">
        <v>0</v>
      </c>
      <c r="N307" s="60">
        <v>0</v>
      </c>
      <c r="O307" s="60">
        <v>0</v>
      </c>
      <c r="P307" s="60">
        <v>0</v>
      </c>
      <c r="Q307" s="60">
        <v>0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0</v>
      </c>
      <c r="Z307" s="60">
        <v>0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0</v>
      </c>
      <c r="AG307" s="60">
        <v>0</v>
      </c>
      <c r="AH307" s="60">
        <v>0</v>
      </c>
      <c r="AI307" s="60">
        <v>429.23</v>
      </c>
      <c r="AJ307" s="60">
        <v>465.01</v>
      </c>
      <c r="AK307" s="60">
        <v>460.03</v>
      </c>
      <c r="AL307" s="60">
        <v>0</v>
      </c>
      <c r="AM307" s="60">
        <v>0</v>
      </c>
      <c r="AN307" s="60">
        <v>0</v>
      </c>
      <c r="AO307" s="60">
        <v>429.23</v>
      </c>
      <c r="AP307" s="60">
        <v>465.01</v>
      </c>
      <c r="AQ307" s="60">
        <v>460.03</v>
      </c>
      <c r="AR307" s="61">
        <v>465.01</v>
      </c>
    </row>
    <row r="308" spans="1:44" x14ac:dyDescent="0.35">
      <c r="A308" s="49" t="str">
        <f t="shared" si="25"/>
        <v>47</v>
      </c>
      <c r="B308" s="27">
        <v>70516</v>
      </c>
      <c r="C308" s="25" t="str">
        <f t="shared" si="24"/>
        <v>0000000</v>
      </c>
      <c r="D308" s="26" t="s">
        <v>3663</v>
      </c>
      <c r="E308" s="25" t="s">
        <v>3013</v>
      </c>
      <c r="F308" s="25" t="s">
        <v>2964</v>
      </c>
      <c r="G308" s="59" t="s">
        <v>3014</v>
      </c>
      <c r="H308" s="60">
        <v>610.41</v>
      </c>
      <c r="I308" s="60">
        <v>641.37</v>
      </c>
      <c r="J308" s="60">
        <v>638.14</v>
      </c>
      <c r="K308" s="60">
        <v>0</v>
      </c>
      <c r="L308" s="60">
        <v>0</v>
      </c>
      <c r="M308" s="60">
        <v>0</v>
      </c>
      <c r="N308" s="60">
        <v>0</v>
      </c>
      <c r="O308" s="60">
        <v>0</v>
      </c>
      <c r="P308" s="60">
        <v>0</v>
      </c>
      <c r="Q308" s="60">
        <v>0</v>
      </c>
      <c r="R308" s="60">
        <v>0</v>
      </c>
      <c r="S308" s="60">
        <v>0</v>
      </c>
      <c r="T308" s="60">
        <v>0</v>
      </c>
      <c r="U308" s="60">
        <v>0</v>
      </c>
      <c r="V308" s="60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0">
        <v>0</v>
      </c>
      <c r="AE308" s="60">
        <v>0</v>
      </c>
      <c r="AF308" s="60">
        <v>0</v>
      </c>
      <c r="AG308" s="60">
        <v>0</v>
      </c>
      <c r="AH308" s="60">
        <v>0</v>
      </c>
      <c r="AI308" s="60">
        <v>610.41</v>
      </c>
      <c r="AJ308" s="60">
        <v>641.37</v>
      </c>
      <c r="AK308" s="60">
        <v>638.14</v>
      </c>
      <c r="AL308" s="60">
        <v>0</v>
      </c>
      <c r="AM308" s="60">
        <v>0</v>
      </c>
      <c r="AN308" s="60">
        <v>0</v>
      </c>
      <c r="AO308" s="60">
        <v>610.41</v>
      </c>
      <c r="AP308" s="60">
        <v>641.37</v>
      </c>
      <c r="AQ308" s="60">
        <v>638.14</v>
      </c>
      <c r="AR308" s="61">
        <v>641.37</v>
      </c>
    </row>
    <row r="309" spans="1:44" x14ac:dyDescent="0.35">
      <c r="A309" s="49" t="str">
        <f t="shared" si="25"/>
        <v>47</v>
      </c>
      <c r="B309" s="27">
        <v>73684</v>
      </c>
      <c r="C309" s="25" t="str">
        <f t="shared" si="24"/>
        <v>0000000</v>
      </c>
      <c r="D309" s="26" t="s">
        <v>3663</v>
      </c>
      <c r="E309" s="25" t="s">
        <v>3015</v>
      </c>
      <c r="F309" s="25" t="s">
        <v>2964</v>
      </c>
      <c r="G309" s="59" t="s">
        <v>3016</v>
      </c>
      <c r="H309" s="60">
        <v>280.22000000000003</v>
      </c>
      <c r="I309" s="60">
        <v>258.60000000000002</v>
      </c>
      <c r="J309" s="60">
        <v>237.01</v>
      </c>
      <c r="K309" s="60">
        <v>0</v>
      </c>
      <c r="L309" s="60">
        <v>0</v>
      </c>
      <c r="M309" s="60">
        <v>0</v>
      </c>
      <c r="N309" s="60">
        <v>0</v>
      </c>
      <c r="O309" s="60">
        <v>0</v>
      </c>
      <c r="P309" s="60">
        <v>0</v>
      </c>
      <c r="Q309" s="60">
        <v>0</v>
      </c>
      <c r="R309" s="60">
        <v>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0</v>
      </c>
      <c r="AG309" s="60">
        <v>0</v>
      </c>
      <c r="AH309" s="60">
        <v>0</v>
      </c>
      <c r="AI309" s="60">
        <v>280.22000000000003</v>
      </c>
      <c r="AJ309" s="60">
        <v>258.60000000000002</v>
      </c>
      <c r="AK309" s="60">
        <v>237.01</v>
      </c>
      <c r="AL309" s="60">
        <v>0</v>
      </c>
      <c r="AM309" s="60">
        <v>0</v>
      </c>
      <c r="AN309" s="60">
        <v>0</v>
      </c>
      <c r="AO309" s="60">
        <v>280.22000000000003</v>
      </c>
      <c r="AP309" s="60">
        <v>258.60000000000002</v>
      </c>
      <c r="AQ309" s="60">
        <v>237.01</v>
      </c>
      <c r="AR309" s="61">
        <v>280.22000000000003</v>
      </c>
    </row>
    <row r="310" spans="1:44" x14ac:dyDescent="0.35">
      <c r="A310" s="49" t="str">
        <f t="shared" si="25"/>
        <v>47</v>
      </c>
      <c r="B310" s="27">
        <v>70250</v>
      </c>
      <c r="C310" s="25" t="str">
        <f t="shared" si="24"/>
        <v>0000000</v>
      </c>
      <c r="D310" s="26" t="s">
        <v>3663</v>
      </c>
      <c r="E310" s="25" t="s">
        <v>2980</v>
      </c>
      <c r="F310" s="25" t="s">
        <v>2964</v>
      </c>
      <c r="G310" s="59" t="s">
        <v>2981</v>
      </c>
      <c r="H310" s="60">
        <v>55.07</v>
      </c>
      <c r="I310" s="60">
        <v>59.06</v>
      </c>
      <c r="J310" s="60">
        <v>51.59</v>
      </c>
      <c r="K310" s="60">
        <v>0</v>
      </c>
      <c r="L310" s="60">
        <v>0</v>
      </c>
      <c r="M310" s="60">
        <v>0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60">
        <v>0</v>
      </c>
      <c r="T310" s="60">
        <v>0</v>
      </c>
      <c r="U310" s="60">
        <v>0</v>
      </c>
      <c r="V310" s="60">
        <v>0</v>
      </c>
      <c r="W310" s="60">
        <v>0</v>
      </c>
      <c r="X310" s="60">
        <v>0</v>
      </c>
      <c r="Y310" s="60">
        <v>0</v>
      </c>
      <c r="Z310" s="60">
        <v>0</v>
      </c>
      <c r="AA310" s="60">
        <v>0</v>
      </c>
      <c r="AB310" s="60">
        <v>0</v>
      </c>
      <c r="AC310" s="60">
        <v>0</v>
      </c>
      <c r="AD310" s="60">
        <v>0</v>
      </c>
      <c r="AE310" s="60">
        <v>0</v>
      </c>
      <c r="AF310" s="60">
        <v>0</v>
      </c>
      <c r="AG310" s="60">
        <v>0</v>
      </c>
      <c r="AH310" s="60">
        <v>0</v>
      </c>
      <c r="AI310" s="60">
        <v>55.07</v>
      </c>
      <c r="AJ310" s="60">
        <v>59.06</v>
      </c>
      <c r="AK310" s="60">
        <v>51.59</v>
      </c>
      <c r="AL310" s="60">
        <v>0</v>
      </c>
      <c r="AM310" s="60">
        <v>0</v>
      </c>
      <c r="AN310" s="60">
        <v>0</v>
      </c>
      <c r="AO310" s="60">
        <v>55.07</v>
      </c>
      <c r="AP310" s="60">
        <v>59.06</v>
      </c>
      <c r="AQ310" s="60">
        <v>51.59</v>
      </c>
      <c r="AR310" s="61">
        <v>59.06</v>
      </c>
    </row>
    <row r="311" spans="1:44" x14ac:dyDescent="0.35">
      <c r="A311" s="49" t="str">
        <f t="shared" si="25"/>
        <v>47</v>
      </c>
      <c r="B311" s="27">
        <v>70334</v>
      </c>
      <c r="C311" s="25" t="str">
        <f t="shared" si="24"/>
        <v>0000000</v>
      </c>
      <c r="D311" s="26" t="s">
        <v>3663</v>
      </c>
      <c r="E311" s="25" t="s">
        <v>2988</v>
      </c>
      <c r="F311" s="25" t="s">
        <v>2964</v>
      </c>
      <c r="G311" s="59" t="s">
        <v>2989</v>
      </c>
      <c r="H311" s="60">
        <v>98.88</v>
      </c>
      <c r="I311" s="60">
        <v>99.92</v>
      </c>
      <c r="J311" s="60">
        <v>91.98</v>
      </c>
      <c r="K311" s="60">
        <v>0</v>
      </c>
      <c r="L311" s="60">
        <v>0</v>
      </c>
      <c r="M311" s="60">
        <v>0</v>
      </c>
      <c r="N311" s="60">
        <v>0</v>
      </c>
      <c r="O311" s="60">
        <v>0</v>
      </c>
      <c r="P311" s="60">
        <v>0</v>
      </c>
      <c r="Q311" s="60">
        <v>0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0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>
        <v>0</v>
      </c>
      <c r="AG311" s="60">
        <v>0</v>
      </c>
      <c r="AH311" s="60">
        <v>0</v>
      </c>
      <c r="AI311" s="60">
        <v>98.88</v>
      </c>
      <c r="AJ311" s="60">
        <v>99.92</v>
      </c>
      <c r="AK311" s="60">
        <v>91.98</v>
      </c>
      <c r="AL311" s="60">
        <v>0</v>
      </c>
      <c r="AM311" s="60">
        <v>0</v>
      </c>
      <c r="AN311" s="60">
        <v>0</v>
      </c>
      <c r="AO311" s="60">
        <v>98.88</v>
      </c>
      <c r="AP311" s="60">
        <v>99.92</v>
      </c>
      <c r="AQ311" s="60">
        <v>91.98</v>
      </c>
      <c r="AR311" s="61">
        <v>99.92</v>
      </c>
    </row>
    <row r="312" spans="1:44" x14ac:dyDescent="0.35">
      <c r="A312" s="49" t="str">
        <f t="shared" si="25"/>
        <v>47</v>
      </c>
      <c r="B312" s="27">
        <v>70193</v>
      </c>
      <c r="C312" s="25" t="str">
        <f t="shared" si="24"/>
        <v>0000000</v>
      </c>
      <c r="D312" s="26" t="s">
        <v>3663</v>
      </c>
      <c r="E312" s="25" t="s">
        <v>2972</v>
      </c>
      <c r="F312" s="25" t="s">
        <v>2964</v>
      </c>
      <c r="G312" s="59" t="s">
        <v>2973</v>
      </c>
      <c r="H312" s="60">
        <v>14.43</v>
      </c>
      <c r="I312" s="60">
        <v>12.7</v>
      </c>
      <c r="J312" s="60">
        <v>13.29</v>
      </c>
      <c r="K312" s="60">
        <v>0</v>
      </c>
      <c r="L312" s="60">
        <v>0</v>
      </c>
      <c r="M312" s="60">
        <v>0</v>
      </c>
      <c r="N312" s="60">
        <v>0</v>
      </c>
      <c r="O312" s="60">
        <v>0</v>
      </c>
      <c r="P312" s="60">
        <v>0</v>
      </c>
      <c r="Q312" s="60">
        <v>0</v>
      </c>
      <c r="R312" s="60">
        <v>0</v>
      </c>
      <c r="S312" s="60">
        <v>0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0</v>
      </c>
      <c r="Z312" s="60">
        <v>0</v>
      </c>
      <c r="AA312" s="60">
        <v>0</v>
      </c>
      <c r="AB312" s="60">
        <v>0</v>
      </c>
      <c r="AC312" s="60">
        <v>0</v>
      </c>
      <c r="AD312" s="60">
        <v>0</v>
      </c>
      <c r="AE312" s="60">
        <v>0</v>
      </c>
      <c r="AF312" s="60">
        <v>0</v>
      </c>
      <c r="AG312" s="60">
        <v>0</v>
      </c>
      <c r="AH312" s="60">
        <v>0</v>
      </c>
      <c r="AI312" s="60">
        <v>14.43</v>
      </c>
      <c r="AJ312" s="60">
        <v>12.7</v>
      </c>
      <c r="AK312" s="60">
        <v>13.29</v>
      </c>
      <c r="AL312" s="60">
        <v>0</v>
      </c>
      <c r="AM312" s="60">
        <v>0</v>
      </c>
      <c r="AN312" s="60">
        <v>0</v>
      </c>
      <c r="AO312" s="60">
        <v>14.43</v>
      </c>
      <c r="AP312" s="60">
        <v>12.7</v>
      </c>
      <c r="AQ312" s="60">
        <v>13.29</v>
      </c>
      <c r="AR312" s="61">
        <v>14.43</v>
      </c>
    </row>
    <row r="313" spans="1:44" x14ac:dyDescent="0.35">
      <c r="A313" s="49" t="str">
        <f t="shared" si="25"/>
        <v>47</v>
      </c>
      <c r="B313" s="27">
        <v>70201</v>
      </c>
      <c r="C313" s="25" t="str">
        <f t="shared" si="24"/>
        <v>0000000</v>
      </c>
      <c r="D313" s="26" t="s">
        <v>3663</v>
      </c>
      <c r="E313" s="25" t="s">
        <v>2974</v>
      </c>
      <c r="F313" s="25" t="s">
        <v>2964</v>
      </c>
      <c r="G313" s="59" t="s">
        <v>2975</v>
      </c>
      <c r="H313" s="60">
        <v>140.4</v>
      </c>
      <c r="I313" s="60">
        <v>143.03</v>
      </c>
      <c r="J313" s="60">
        <v>151.1</v>
      </c>
      <c r="K313" s="60">
        <v>0</v>
      </c>
      <c r="L313" s="60">
        <v>0</v>
      </c>
      <c r="M313" s="60">
        <v>0</v>
      </c>
      <c r="N313" s="60">
        <v>0</v>
      </c>
      <c r="O313" s="60">
        <v>0</v>
      </c>
      <c r="P313" s="60">
        <v>0</v>
      </c>
      <c r="Q313" s="60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>
        <v>0</v>
      </c>
      <c r="AE313" s="60">
        <v>0</v>
      </c>
      <c r="AF313" s="60">
        <v>0</v>
      </c>
      <c r="AG313" s="60">
        <v>0</v>
      </c>
      <c r="AH313" s="60">
        <v>0</v>
      </c>
      <c r="AI313" s="60">
        <v>140.4</v>
      </c>
      <c r="AJ313" s="60">
        <v>143.03</v>
      </c>
      <c r="AK313" s="60">
        <v>151.1</v>
      </c>
      <c r="AL313" s="60">
        <v>0</v>
      </c>
      <c r="AM313" s="60">
        <v>0</v>
      </c>
      <c r="AN313" s="60">
        <v>0</v>
      </c>
      <c r="AO313" s="60">
        <v>140.4</v>
      </c>
      <c r="AP313" s="60">
        <v>143.03</v>
      </c>
      <c r="AQ313" s="60">
        <v>151.1</v>
      </c>
      <c r="AR313" s="61">
        <v>151.1</v>
      </c>
    </row>
    <row r="314" spans="1:44" x14ac:dyDescent="0.35">
      <c r="A314" s="49" t="str">
        <f t="shared" si="25"/>
        <v>47</v>
      </c>
      <c r="B314" s="27">
        <v>70227</v>
      </c>
      <c r="C314" s="25" t="str">
        <f t="shared" si="24"/>
        <v>0000000</v>
      </c>
      <c r="D314" s="26" t="s">
        <v>3663</v>
      </c>
      <c r="E314" s="25" t="s">
        <v>2976</v>
      </c>
      <c r="F314" s="25" t="s">
        <v>2964</v>
      </c>
      <c r="G314" s="59" t="s">
        <v>2977</v>
      </c>
      <c r="H314" s="60">
        <v>58.75</v>
      </c>
      <c r="I314" s="60">
        <v>54.14</v>
      </c>
      <c r="J314" s="60">
        <v>51.24</v>
      </c>
      <c r="K314" s="60">
        <v>0</v>
      </c>
      <c r="L314" s="60">
        <v>0</v>
      </c>
      <c r="M314" s="60">
        <v>0</v>
      </c>
      <c r="N314" s="60">
        <v>0</v>
      </c>
      <c r="O314" s="60">
        <v>0</v>
      </c>
      <c r="P314" s="60">
        <v>0</v>
      </c>
      <c r="Q314" s="60">
        <v>0</v>
      </c>
      <c r="R314" s="60">
        <v>0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>
        <v>0</v>
      </c>
      <c r="Z314" s="60">
        <v>0</v>
      </c>
      <c r="AA314" s="60">
        <v>0</v>
      </c>
      <c r="AB314" s="60">
        <v>0</v>
      </c>
      <c r="AC314" s="60">
        <v>0</v>
      </c>
      <c r="AD314" s="60">
        <v>0</v>
      </c>
      <c r="AE314" s="60">
        <v>0</v>
      </c>
      <c r="AF314" s="60">
        <v>0</v>
      </c>
      <c r="AG314" s="60">
        <v>0</v>
      </c>
      <c r="AH314" s="60">
        <v>0</v>
      </c>
      <c r="AI314" s="60">
        <v>58.75</v>
      </c>
      <c r="AJ314" s="60">
        <v>54.14</v>
      </c>
      <c r="AK314" s="60">
        <v>51.24</v>
      </c>
      <c r="AL314" s="60">
        <v>0</v>
      </c>
      <c r="AM314" s="60">
        <v>0</v>
      </c>
      <c r="AN314" s="60">
        <v>0</v>
      </c>
      <c r="AO314" s="60">
        <v>58.75</v>
      </c>
      <c r="AP314" s="60">
        <v>54.14</v>
      </c>
      <c r="AQ314" s="60">
        <v>51.24</v>
      </c>
      <c r="AR314" s="61">
        <v>58.75</v>
      </c>
    </row>
    <row r="315" spans="1:44" x14ac:dyDescent="0.35">
      <c r="A315" s="49" t="str">
        <f t="shared" si="25"/>
        <v>47</v>
      </c>
      <c r="B315" s="27">
        <v>70318</v>
      </c>
      <c r="C315" s="25" t="str">
        <f t="shared" si="24"/>
        <v>0000000</v>
      </c>
      <c r="D315" s="26" t="s">
        <v>3663</v>
      </c>
      <c r="E315" s="25" t="s">
        <v>2984</v>
      </c>
      <c r="F315" s="25" t="s">
        <v>2964</v>
      </c>
      <c r="G315" s="59" t="s">
        <v>2985</v>
      </c>
      <c r="H315" s="60">
        <v>23.9</v>
      </c>
      <c r="I315" s="60">
        <v>33.89</v>
      </c>
      <c r="J315" s="60">
        <v>32.06</v>
      </c>
      <c r="K315" s="60">
        <v>0</v>
      </c>
      <c r="L315" s="60">
        <v>0</v>
      </c>
      <c r="M315" s="60">
        <v>0</v>
      </c>
      <c r="N315" s="60">
        <v>0</v>
      </c>
      <c r="O315" s="60">
        <v>0</v>
      </c>
      <c r="P315" s="60">
        <v>0</v>
      </c>
      <c r="Q315" s="60">
        <v>0</v>
      </c>
      <c r="R315" s="60">
        <v>0</v>
      </c>
      <c r="S315" s="60">
        <v>0</v>
      </c>
      <c r="T315" s="60">
        <v>0</v>
      </c>
      <c r="U315" s="60">
        <v>0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0</v>
      </c>
      <c r="AE315" s="60">
        <v>0</v>
      </c>
      <c r="AF315" s="60">
        <v>0</v>
      </c>
      <c r="AG315" s="60">
        <v>0</v>
      </c>
      <c r="AH315" s="60">
        <v>0</v>
      </c>
      <c r="AI315" s="60">
        <v>23.9</v>
      </c>
      <c r="AJ315" s="60">
        <v>33.89</v>
      </c>
      <c r="AK315" s="60">
        <v>32.06</v>
      </c>
      <c r="AL315" s="60">
        <v>0</v>
      </c>
      <c r="AM315" s="60">
        <v>0</v>
      </c>
      <c r="AN315" s="60">
        <v>0</v>
      </c>
      <c r="AO315" s="60">
        <v>23.9</v>
      </c>
      <c r="AP315" s="60">
        <v>33.89</v>
      </c>
      <c r="AQ315" s="60">
        <v>32.06</v>
      </c>
      <c r="AR315" s="61">
        <v>33.89</v>
      </c>
    </row>
    <row r="316" spans="1:44" x14ac:dyDescent="0.35">
      <c r="A316" s="49" t="str">
        <f t="shared" si="25"/>
        <v>47</v>
      </c>
      <c r="B316" s="27">
        <v>70359</v>
      </c>
      <c r="C316" s="25" t="str">
        <f t="shared" si="24"/>
        <v>0000000</v>
      </c>
      <c r="D316" s="26" t="s">
        <v>3663</v>
      </c>
      <c r="E316" s="25" t="s">
        <v>2990</v>
      </c>
      <c r="F316" s="25" t="s">
        <v>2964</v>
      </c>
      <c r="G316" s="59" t="s">
        <v>2991</v>
      </c>
      <c r="H316" s="60">
        <v>36.409999999999997</v>
      </c>
      <c r="I316" s="60">
        <v>35.49</v>
      </c>
      <c r="J316" s="60">
        <v>34.880000000000003</v>
      </c>
      <c r="K316" s="60">
        <v>0</v>
      </c>
      <c r="L316" s="60">
        <v>0</v>
      </c>
      <c r="M316" s="60">
        <v>0</v>
      </c>
      <c r="N316" s="60">
        <v>0</v>
      </c>
      <c r="O316" s="60">
        <v>0</v>
      </c>
      <c r="P316" s="60">
        <v>0</v>
      </c>
      <c r="Q316" s="60">
        <v>0</v>
      </c>
      <c r="R316" s="60">
        <v>0</v>
      </c>
      <c r="S316" s="60">
        <v>0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60">
        <v>0</v>
      </c>
      <c r="AG316" s="60">
        <v>0</v>
      </c>
      <c r="AH316" s="60">
        <v>0</v>
      </c>
      <c r="AI316" s="60">
        <v>36.409999999999997</v>
      </c>
      <c r="AJ316" s="60">
        <v>35.49</v>
      </c>
      <c r="AK316" s="60">
        <v>34.880000000000003</v>
      </c>
      <c r="AL316" s="60">
        <v>0</v>
      </c>
      <c r="AM316" s="60">
        <v>0</v>
      </c>
      <c r="AN316" s="60">
        <v>0</v>
      </c>
      <c r="AO316" s="60">
        <v>36.409999999999997</v>
      </c>
      <c r="AP316" s="60">
        <v>35.49</v>
      </c>
      <c r="AQ316" s="60">
        <v>34.880000000000003</v>
      </c>
      <c r="AR316" s="61">
        <v>36.409999999999997</v>
      </c>
    </row>
    <row r="317" spans="1:44" x14ac:dyDescent="0.35">
      <c r="A317" s="49" t="str">
        <f t="shared" si="25"/>
        <v>47</v>
      </c>
      <c r="B317" s="27">
        <v>70367</v>
      </c>
      <c r="C317" s="25" t="str">
        <f t="shared" si="24"/>
        <v>0000000</v>
      </c>
      <c r="D317" s="26" t="s">
        <v>3663</v>
      </c>
      <c r="E317" s="25" t="s">
        <v>2992</v>
      </c>
      <c r="F317" s="25" t="s">
        <v>2964</v>
      </c>
      <c r="G317" s="59" t="s">
        <v>2929</v>
      </c>
      <c r="H317" s="60">
        <v>19.5</v>
      </c>
      <c r="I317" s="60">
        <v>10.68</v>
      </c>
      <c r="J317" s="60">
        <v>12.85</v>
      </c>
      <c r="K317" s="60">
        <v>0</v>
      </c>
      <c r="L317" s="60">
        <v>0</v>
      </c>
      <c r="M317" s="60">
        <v>0</v>
      </c>
      <c r="N317" s="60">
        <v>0</v>
      </c>
      <c r="O317" s="60">
        <v>0</v>
      </c>
      <c r="P317" s="60">
        <v>0</v>
      </c>
      <c r="Q317" s="60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0</v>
      </c>
      <c r="AF317" s="60">
        <v>0</v>
      </c>
      <c r="AG317" s="60">
        <v>0</v>
      </c>
      <c r="AH317" s="60">
        <v>0</v>
      </c>
      <c r="AI317" s="60">
        <v>19.5</v>
      </c>
      <c r="AJ317" s="60">
        <v>10.68</v>
      </c>
      <c r="AK317" s="60">
        <v>12.85</v>
      </c>
      <c r="AL317" s="60">
        <v>0</v>
      </c>
      <c r="AM317" s="60">
        <v>0</v>
      </c>
      <c r="AN317" s="60">
        <v>0</v>
      </c>
      <c r="AO317" s="60">
        <v>19.5</v>
      </c>
      <c r="AP317" s="60">
        <v>10.68</v>
      </c>
      <c r="AQ317" s="60">
        <v>12.85</v>
      </c>
      <c r="AR317" s="61">
        <v>19.5</v>
      </c>
    </row>
    <row r="318" spans="1:44" x14ac:dyDescent="0.35">
      <c r="A318" s="49" t="str">
        <f t="shared" si="25"/>
        <v>47</v>
      </c>
      <c r="B318" s="27">
        <v>70375</v>
      </c>
      <c r="C318" s="25" t="str">
        <f t="shared" si="24"/>
        <v>0000000</v>
      </c>
      <c r="D318" s="26" t="s">
        <v>3663</v>
      </c>
      <c r="E318" s="25" t="s">
        <v>2993</v>
      </c>
      <c r="F318" s="25" t="s">
        <v>2964</v>
      </c>
      <c r="G318" s="59" t="s">
        <v>2994</v>
      </c>
      <c r="H318" s="60">
        <v>4.38</v>
      </c>
      <c r="I318" s="60">
        <v>5.04</v>
      </c>
      <c r="J318" s="60">
        <v>2.77</v>
      </c>
      <c r="K318" s="60">
        <v>0</v>
      </c>
      <c r="L318" s="60">
        <v>0</v>
      </c>
      <c r="M318" s="60">
        <v>0</v>
      </c>
      <c r="N318" s="60">
        <v>0</v>
      </c>
      <c r="O318" s="60">
        <v>0</v>
      </c>
      <c r="P318" s="60">
        <v>0</v>
      </c>
      <c r="Q318" s="60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>
        <v>0</v>
      </c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0</v>
      </c>
      <c r="AF318" s="60">
        <v>0</v>
      </c>
      <c r="AG318" s="60">
        <v>0</v>
      </c>
      <c r="AH318" s="60">
        <v>0</v>
      </c>
      <c r="AI318" s="60">
        <v>4.38</v>
      </c>
      <c r="AJ318" s="60">
        <v>5.04</v>
      </c>
      <c r="AK318" s="60">
        <v>2.77</v>
      </c>
      <c r="AL318" s="60">
        <v>0</v>
      </c>
      <c r="AM318" s="60">
        <v>0</v>
      </c>
      <c r="AN318" s="60">
        <v>0</v>
      </c>
      <c r="AO318" s="60">
        <v>4.38</v>
      </c>
      <c r="AP318" s="60">
        <v>5.04</v>
      </c>
      <c r="AQ318" s="60">
        <v>2.77</v>
      </c>
      <c r="AR318" s="61">
        <v>5.04</v>
      </c>
    </row>
    <row r="319" spans="1:44" x14ac:dyDescent="0.35">
      <c r="A319" s="49" t="str">
        <f t="shared" si="25"/>
        <v>47</v>
      </c>
      <c r="B319" s="27">
        <v>70383</v>
      </c>
      <c r="C319" s="25" t="str">
        <f t="shared" si="24"/>
        <v>0000000</v>
      </c>
      <c r="D319" s="26" t="s">
        <v>3663</v>
      </c>
      <c r="E319" s="25" t="s">
        <v>2995</v>
      </c>
      <c r="F319" s="25" t="s">
        <v>2964</v>
      </c>
      <c r="G319" s="59" t="s">
        <v>2996</v>
      </c>
      <c r="H319" s="60">
        <v>18.399999999999999</v>
      </c>
      <c r="I319" s="60">
        <v>10.57</v>
      </c>
      <c r="J319" s="60">
        <v>14</v>
      </c>
      <c r="K319" s="60">
        <v>0</v>
      </c>
      <c r="L319" s="60">
        <v>0</v>
      </c>
      <c r="M319" s="60">
        <v>0</v>
      </c>
      <c r="N319" s="60">
        <v>0</v>
      </c>
      <c r="O319" s="60">
        <v>0</v>
      </c>
      <c r="P319" s="60">
        <v>0</v>
      </c>
      <c r="Q319" s="60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60">
        <v>0</v>
      </c>
      <c r="Y319" s="60">
        <v>0</v>
      </c>
      <c r="Z319" s="60">
        <v>0</v>
      </c>
      <c r="AA319" s="60">
        <v>0</v>
      </c>
      <c r="AB319" s="60">
        <v>0</v>
      </c>
      <c r="AC319" s="60">
        <v>0</v>
      </c>
      <c r="AD319" s="60">
        <v>0</v>
      </c>
      <c r="AE319" s="60">
        <v>0</v>
      </c>
      <c r="AF319" s="60">
        <v>0</v>
      </c>
      <c r="AG319" s="60">
        <v>0</v>
      </c>
      <c r="AH319" s="60">
        <v>0</v>
      </c>
      <c r="AI319" s="60">
        <v>18.399999999999999</v>
      </c>
      <c r="AJ319" s="60">
        <v>10.57</v>
      </c>
      <c r="AK319" s="60">
        <v>14</v>
      </c>
      <c r="AL319" s="60">
        <v>0</v>
      </c>
      <c r="AM319" s="60">
        <v>0</v>
      </c>
      <c r="AN319" s="60">
        <v>0</v>
      </c>
      <c r="AO319" s="60">
        <v>18.399999999999999</v>
      </c>
      <c r="AP319" s="60">
        <v>10.57</v>
      </c>
      <c r="AQ319" s="60">
        <v>14</v>
      </c>
      <c r="AR319" s="61">
        <v>18.399999999999999</v>
      </c>
    </row>
    <row r="320" spans="1:44" x14ac:dyDescent="0.35">
      <c r="A320" s="49" t="str">
        <f t="shared" si="25"/>
        <v>47</v>
      </c>
      <c r="B320" s="27">
        <v>70458</v>
      </c>
      <c r="C320" s="25" t="str">
        <f t="shared" si="24"/>
        <v>0000000</v>
      </c>
      <c r="D320" s="26" t="s">
        <v>3663</v>
      </c>
      <c r="E320" s="25" t="s">
        <v>3003</v>
      </c>
      <c r="F320" s="25" t="s">
        <v>2964</v>
      </c>
      <c r="G320" s="59" t="s">
        <v>3004</v>
      </c>
      <c r="H320" s="60">
        <v>10.99</v>
      </c>
      <c r="I320" s="60">
        <v>15.08</v>
      </c>
      <c r="J320" s="60">
        <v>9.8800000000000008</v>
      </c>
      <c r="K320" s="60">
        <v>0</v>
      </c>
      <c r="L320" s="60">
        <v>0</v>
      </c>
      <c r="M320" s="60">
        <v>0</v>
      </c>
      <c r="N320" s="60">
        <v>0</v>
      </c>
      <c r="O320" s="60">
        <v>0</v>
      </c>
      <c r="P320" s="60">
        <v>0</v>
      </c>
      <c r="Q320" s="60">
        <v>0</v>
      </c>
      <c r="R320" s="60">
        <v>0</v>
      </c>
      <c r="S320" s="60">
        <v>0</v>
      </c>
      <c r="T320" s="60">
        <v>0</v>
      </c>
      <c r="U320" s="60">
        <v>0</v>
      </c>
      <c r="V320" s="60">
        <v>0</v>
      </c>
      <c r="W320" s="60">
        <v>0</v>
      </c>
      <c r="X320" s="60">
        <v>0</v>
      </c>
      <c r="Y320" s="60">
        <v>0</v>
      </c>
      <c r="Z320" s="60">
        <v>0</v>
      </c>
      <c r="AA320" s="60">
        <v>0</v>
      </c>
      <c r="AB320" s="60">
        <v>0</v>
      </c>
      <c r="AC320" s="60">
        <v>0</v>
      </c>
      <c r="AD320" s="60">
        <v>0</v>
      </c>
      <c r="AE320" s="60">
        <v>0</v>
      </c>
      <c r="AF320" s="60">
        <v>0</v>
      </c>
      <c r="AG320" s="60">
        <v>0</v>
      </c>
      <c r="AH320" s="60">
        <v>0</v>
      </c>
      <c r="AI320" s="60">
        <v>10.99</v>
      </c>
      <c r="AJ320" s="60">
        <v>15.08</v>
      </c>
      <c r="AK320" s="60">
        <v>9.8800000000000008</v>
      </c>
      <c r="AL320" s="60">
        <v>0</v>
      </c>
      <c r="AM320" s="60">
        <v>0</v>
      </c>
      <c r="AN320" s="60">
        <v>0</v>
      </c>
      <c r="AO320" s="60">
        <v>10.99</v>
      </c>
      <c r="AP320" s="60">
        <v>15.08</v>
      </c>
      <c r="AQ320" s="60">
        <v>9.8800000000000008</v>
      </c>
      <c r="AR320" s="61">
        <v>15.08</v>
      </c>
    </row>
    <row r="321" spans="1:44" x14ac:dyDescent="0.35">
      <c r="A321" s="49" t="str">
        <f t="shared" si="25"/>
        <v>47</v>
      </c>
      <c r="B321" s="27">
        <v>70490</v>
      </c>
      <c r="C321" s="25" t="str">
        <f t="shared" si="24"/>
        <v>0000000</v>
      </c>
      <c r="D321" s="26" t="s">
        <v>3663</v>
      </c>
      <c r="E321" s="25" t="s">
        <v>3009</v>
      </c>
      <c r="F321" s="25" t="s">
        <v>2964</v>
      </c>
      <c r="G321" s="59" t="s">
        <v>3010</v>
      </c>
      <c r="H321" s="60">
        <v>32.67</v>
      </c>
      <c r="I321" s="60">
        <v>37.270000000000003</v>
      </c>
      <c r="J321" s="60">
        <v>31.01</v>
      </c>
      <c r="K321" s="60">
        <v>0</v>
      </c>
      <c r="L321" s="60">
        <v>0</v>
      </c>
      <c r="M321" s="60">
        <v>0</v>
      </c>
      <c r="N321" s="60">
        <v>0</v>
      </c>
      <c r="O321" s="60">
        <v>0</v>
      </c>
      <c r="P321" s="60">
        <v>0</v>
      </c>
      <c r="Q321" s="60">
        <v>0</v>
      </c>
      <c r="R321" s="60">
        <v>0</v>
      </c>
      <c r="S321" s="60">
        <v>0</v>
      </c>
      <c r="T321" s="60">
        <v>0</v>
      </c>
      <c r="U321" s="60">
        <v>0</v>
      </c>
      <c r="V321" s="60">
        <v>0</v>
      </c>
      <c r="W321" s="60">
        <v>0</v>
      </c>
      <c r="X321" s="60">
        <v>0</v>
      </c>
      <c r="Y321" s="60">
        <v>0</v>
      </c>
      <c r="Z321" s="60">
        <v>0</v>
      </c>
      <c r="AA321" s="60">
        <v>0</v>
      </c>
      <c r="AB321" s="60">
        <v>0</v>
      </c>
      <c r="AC321" s="60">
        <v>0</v>
      </c>
      <c r="AD321" s="60">
        <v>0</v>
      </c>
      <c r="AE321" s="60">
        <v>0</v>
      </c>
      <c r="AF321" s="60">
        <v>0</v>
      </c>
      <c r="AG321" s="60">
        <v>0</v>
      </c>
      <c r="AH321" s="60">
        <v>0</v>
      </c>
      <c r="AI321" s="60">
        <v>32.67</v>
      </c>
      <c r="AJ321" s="60">
        <v>37.270000000000003</v>
      </c>
      <c r="AK321" s="60">
        <v>31.01</v>
      </c>
      <c r="AL321" s="60">
        <v>0</v>
      </c>
      <c r="AM321" s="60">
        <v>0</v>
      </c>
      <c r="AN321" s="60">
        <v>0</v>
      </c>
      <c r="AO321" s="60">
        <v>32.67</v>
      </c>
      <c r="AP321" s="60">
        <v>37.270000000000003</v>
      </c>
      <c r="AQ321" s="60">
        <v>31.01</v>
      </c>
      <c r="AR321" s="61">
        <v>37.270000000000003</v>
      </c>
    </row>
    <row r="322" spans="1:44" x14ac:dyDescent="0.35">
      <c r="A322" s="49" t="str">
        <f t="shared" si="25"/>
        <v>47</v>
      </c>
      <c r="B322" s="27">
        <v>76455</v>
      </c>
      <c r="C322" s="25" t="str">
        <f t="shared" si="24"/>
        <v>0000000</v>
      </c>
      <c r="D322" s="26" t="s">
        <v>3663</v>
      </c>
      <c r="E322" s="25" t="s">
        <v>3017</v>
      </c>
      <c r="F322" s="25" t="s">
        <v>2964</v>
      </c>
      <c r="G322" s="59" t="s">
        <v>3018</v>
      </c>
      <c r="H322" s="60">
        <v>573.58000000000004</v>
      </c>
      <c r="I322" s="60">
        <v>568.12</v>
      </c>
      <c r="J322" s="60">
        <v>565.66</v>
      </c>
      <c r="K322" s="60">
        <v>0</v>
      </c>
      <c r="L322" s="60">
        <v>0</v>
      </c>
      <c r="M322" s="60">
        <v>0</v>
      </c>
      <c r="N322" s="60">
        <v>0</v>
      </c>
      <c r="O322" s="60">
        <v>0</v>
      </c>
      <c r="P322" s="60">
        <v>0</v>
      </c>
      <c r="Q322" s="60">
        <v>0</v>
      </c>
      <c r="R322" s="60">
        <v>0</v>
      </c>
      <c r="S322" s="60">
        <v>0</v>
      </c>
      <c r="T322" s="60">
        <v>0</v>
      </c>
      <c r="U322" s="60">
        <v>0</v>
      </c>
      <c r="V322" s="60">
        <v>0</v>
      </c>
      <c r="W322" s="60">
        <v>0</v>
      </c>
      <c r="X322" s="60">
        <v>0</v>
      </c>
      <c r="Y322" s="60">
        <v>0</v>
      </c>
      <c r="Z322" s="60">
        <v>0</v>
      </c>
      <c r="AA322" s="60">
        <v>0</v>
      </c>
      <c r="AB322" s="60">
        <v>0</v>
      </c>
      <c r="AC322" s="60">
        <v>0</v>
      </c>
      <c r="AD322" s="60">
        <v>0</v>
      </c>
      <c r="AE322" s="60">
        <v>0</v>
      </c>
      <c r="AF322" s="60">
        <v>0</v>
      </c>
      <c r="AG322" s="60">
        <v>0</v>
      </c>
      <c r="AH322" s="60">
        <v>0</v>
      </c>
      <c r="AI322" s="60">
        <v>573.58000000000004</v>
      </c>
      <c r="AJ322" s="60">
        <v>568.12</v>
      </c>
      <c r="AK322" s="60">
        <v>565.66</v>
      </c>
      <c r="AL322" s="60">
        <v>0</v>
      </c>
      <c r="AM322" s="60">
        <v>0</v>
      </c>
      <c r="AN322" s="60">
        <v>0</v>
      </c>
      <c r="AO322" s="60">
        <v>573.58000000000004</v>
      </c>
      <c r="AP322" s="60">
        <v>568.12</v>
      </c>
      <c r="AQ322" s="60">
        <v>565.66</v>
      </c>
      <c r="AR322" s="61">
        <v>573.58000000000004</v>
      </c>
    </row>
    <row r="323" spans="1:44" x14ac:dyDescent="0.35">
      <c r="A323" s="49" t="str">
        <f t="shared" si="25"/>
        <v>47</v>
      </c>
      <c r="B323" s="27">
        <v>10470</v>
      </c>
      <c r="C323" s="25" t="str">
        <f>TEXT(117168,"0000000")</f>
        <v>0117168</v>
      </c>
      <c r="D323" s="26" t="s">
        <v>2967</v>
      </c>
      <c r="E323" s="25" t="s">
        <v>2965</v>
      </c>
      <c r="F323" s="25" t="s">
        <v>2964</v>
      </c>
      <c r="G323" s="59" t="s">
        <v>2966</v>
      </c>
      <c r="H323" s="60">
        <v>0</v>
      </c>
      <c r="I323" s="60">
        <v>0</v>
      </c>
      <c r="J323" s="60">
        <v>0</v>
      </c>
      <c r="K323" s="60">
        <v>0</v>
      </c>
      <c r="L323" s="60">
        <v>0</v>
      </c>
      <c r="M323" s="60">
        <v>0</v>
      </c>
      <c r="N323" s="60">
        <v>0</v>
      </c>
      <c r="O323" s="60">
        <v>0</v>
      </c>
      <c r="P323" s="60">
        <v>0</v>
      </c>
      <c r="Q323" s="60">
        <v>0</v>
      </c>
      <c r="R323" s="60">
        <v>0</v>
      </c>
      <c r="S323" s="60">
        <v>0</v>
      </c>
      <c r="T323" s="60">
        <v>0</v>
      </c>
      <c r="U323" s="60">
        <v>0</v>
      </c>
      <c r="V323" s="60">
        <v>0</v>
      </c>
      <c r="W323" s="60">
        <v>0</v>
      </c>
      <c r="X323" s="60">
        <v>0</v>
      </c>
      <c r="Y323" s="60">
        <v>0</v>
      </c>
      <c r="Z323" s="60">
        <v>417.81</v>
      </c>
      <c r="AA323" s="60">
        <v>416.01</v>
      </c>
      <c r="AB323" s="60">
        <v>473.81</v>
      </c>
      <c r="AC323" s="60">
        <v>0</v>
      </c>
      <c r="AD323" s="60">
        <v>0</v>
      </c>
      <c r="AE323" s="60">
        <v>0</v>
      </c>
      <c r="AF323" s="60">
        <v>0</v>
      </c>
      <c r="AG323" s="60">
        <v>0</v>
      </c>
      <c r="AH323" s="60">
        <v>0</v>
      </c>
      <c r="AI323" s="60">
        <v>417.81</v>
      </c>
      <c r="AJ323" s="60">
        <v>416.01</v>
      </c>
      <c r="AK323" s="60">
        <v>473.81</v>
      </c>
      <c r="AL323" s="60">
        <v>0</v>
      </c>
      <c r="AM323" s="60">
        <v>0</v>
      </c>
      <c r="AN323" s="60">
        <v>0</v>
      </c>
      <c r="AO323" s="60">
        <v>417.81</v>
      </c>
      <c r="AP323" s="60">
        <v>416.01</v>
      </c>
      <c r="AQ323" s="60">
        <v>473.81</v>
      </c>
      <c r="AR323" s="61">
        <v>473.81</v>
      </c>
    </row>
    <row r="324" spans="1:44" x14ac:dyDescent="0.35">
      <c r="A324" s="49" t="str">
        <f t="shared" si="25"/>
        <v>47</v>
      </c>
      <c r="B324" s="27">
        <v>10470</v>
      </c>
      <c r="C324" s="25" t="str">
        <f>TEXT(137372,"0000000")</f>
        <v>0137372</v>
      </c>
      <c r="D324" s="27">
        <v>1958</v>
      </c>
      <c r="E324" s="25" t="s">
        <v>2968</v>
      </c>
      <c r="F324" s="25" t="s">
        <v>2964</v>
      </c>
      <c r="G324" s="59" t="s">
        <v>2969</v>
      </c>
      <c r="H324" s="60">
        <v>0</v>
      </c>
      <c r="I324" s="60">
        <v>0</v>
      </c>
      <c r="J324" s="60">
        <v>0</v>
      </c>
      <c r="K324" s="60">
        <v>0</v>
      </c>
      <c r="L324" s="60">
        <v>0</v>
      </c>
      <c r="M324" s="60">
        <v>0</v>
      </c>
      <c r="N324" s="60">
        <v>0</v>
      </c>
      <c r="O324" s="60">
        <v>0</v>
      </c>
      <c r="P324" s="60">
        <v>0</v>
      </c>
      <c r="Q324" s="60">
        <v>0</v>
      </c>
      <c r="R324" s="60">
        <v>0</v>
      </c>
      <c r="S324" s="60">
        <v>0</v>
      </c>
      <c r="T324" s="60">
        <v>0</v>
      </c>
      <c r="U324" s="60">
        <v>0</v>
      </c>
      <c r="V324" s="60">
        <v>0</v>
      </c>
      <c r="W324" s="60">
        <v>0</v>
      </c>
      <c r="X324" s="60">
        <v>0</v>
      </c>
      <c r="Y324" s="60">
        <v>0</v>
      </c>
      <c r="Z324" s="60">
        <v>116.41</v>
      </c>
      <c r="AA324" s="60">
        <v>116.53</v>
      </c>
      <c r="AB324" s="60">
        <v>116.92</v>
      </c>
      <c r="AC324" s="60">
        <v>0</v>
      </c>
      <c r="AD324" s="60">
        <v>0</v>
      </c>
      <c r="AE324" s="60">
        <v>0</v>
      </c>
      <c r="AF324" s="60">
        <v>0</v>
      </c>
      <c r="AG324" s="60">
        <v>0</v>
      </c>
      <c r="AH324" s="60">
        <v>0</v>
      </c>
      <c r="AI324" s="60">
        <v>116.41</v>
      </c>
      <c r="AJ324" s="60">
        <v>116.53</v>
      </c>
      <c r="AK324" s="60">
        <v>116.92</v>
      </c>
      <c r="AL324" s="60">
        <v>0</v>
      </c>
      <c r="AM324" s="60">
        <v>0</v>
      </c>
      <c r="AN324" s="60">
        <v>0</v>
      </c>
      <c r="AO324" s="60">
        <v>116.41</v>
      </c>
      <c r="AP324" s="60">
        <v>116.53</v>
      </c>
      <c r="AQ324" s="60">
        <v>116.92</v>
      </c>
      <c r="AR324" s="61">
        <v>116.92</v>
      </c>
    </row>
    <row r="325" spans="1:44" x14ac:dyDescent="0.35">
      <c r="A325" s="49" t="str">
        <f t="shared" ref="A325:A369" si="26">TEXT(49,"00")</f>
        <v>49</v>
      </c>
      <c r="B325" s="27">
        <v>10496</v>
      </c>
      <c r="C325" s="25" t="str">
        <f t="shared" ref="C325:C365" si="27">TEXT(,"0000000")</f>
        <v>0000000</v>
      </c>
      <c r="D325" s="26" t="s">
        <v>3663</v>
      </c>
      <c r="E325" s="25" t="s">
        <v>3051</v>
      </c>
      <c r="F325" s="25" t="s">
        <v>3052</v>
      </c>
      <c r="G325" s="59" t="s">
        <v>3052</v>
      </c>
      <c r="H325" s="60">
        <v>0</v>
      </c>
      <c r="I325" s="60">
        <v>0</v>
      </c>
      <c r="J325" s="60">
        <v>0</v>
      </c>
      <c r="K325" s="60">
        <v>0</v>
      </c>
      <c r="L325" s="60">
        <v>0</v>
      </c>
      <c r="M325" s="60">
        <v>0</v>
      </c>
      <c r="N325" s="60">
        <v>0</v>
      </c>
      <c r="O325" s="60">
        <v>0</v>
      </c>
      <c r="P325" s="60">
        <v>0</v>
      </c>
      <c r="Q325" s="60">
        <v>0</v>
      </c>
      <c r="R325" s="60">
        <v>0</v>
      </c>
      <c r="S325" s="60">
        <v>0</v>
      </c>
      <c r="T325" s="60">
        <v>86.32</v>
      </c>
      <c r="U325" s="60">
        <v>76.31</v>
      </c>
      <c r="V325" s="60">
        <v>40.75</v>
      </c>
      <c r="W325" s="60">
        <v>203.17</v>
      </c>
      <c r="X325" s="60">
        <v>216.16</v>
      </c>
      <c r="Y325" s="60">
        <v>223.15</v>
      </c>
      <c r="Z325" s="60">
        <v>0</v>
      </c>
      <c r="AA325" s="60">
        <v>0</v>
      </c>
      <c r="AB325" s="60">
        <v>0</v>
      </c>
      <c r="AC325" s="60">
        <v>0</v>
      </c>
      <c r="AD325" s="60">
        <v>0</v>
      </c>
      <c r="AE325" s="60">
        <v>0</v>
      </c>
      <c r="AF325" s="60">
        <v>0</v>
      </c>
      <c r="AG325" s="60">
        <v>0</v>
      </c>
      <c r="AH325" s="60">
        <v>0</v>
      </c>
      <c r="AI325" s="60">
        <v>289.49</v>
      </c>
      <c r="AJ325" s="60">
        <v>292.47000000000003</v>
      </c>
      <c r="AK325" s="60">
        <v>263.89999999999998</v>
      </c>
      <c r="AL325" s="60">
        <v>0</v>
      </c>
      <c r="AM325" s="60">
        <v>0</v>
      </c>
      <c r="AN325" s="60">
        <v>0</v>
      </c>
      <c r="AO325" s="60">
        <v>289.49</v>
      </c>
      <c r="AP325" s="60">
        <v>292.47000000000003</v>
      </c>
      <c r="AQ325" s="60">
        <v>263.89999999999998</v>
      </c>
      <c r="AR325" s="61">
        <v>292.47000000000003</v>
      </c>
    </row>
    <row r="326" spans="1:44" x14ac:dyDescent="0.35">
      <c r="A326" s="49" t="str">
        <f t="shared" si="26"/>
        <v>49</v>
      </c>
      <c r="B326" s="27">
        <v>70599</v>
      </c>
      <c r="C326" s="25" t="str">
        <f t="shared" si="27"/>
        <v>0000000</v>
      </c>
      <c r="D326" s="26" t="s">
        <v>3663</v>
      </c>
      <c r="E326" s="25" t="s">
        <v>3053</v>
      </c>
      <c r="F326" s="25" t="s">
        <v>3052</v>
      </c>
      <c r="G326" s="59" t="s">
        <v>3054</v>
      </c>
      <c r="H326" s="60">
        <v>110.79</v>
      </c>
      <c r="I326" s="60">
        <v>106.32</v>
      </c>
      <c r="J326" s="60">
        <v>107.05</v>
      </c>
      <c r="K326" s="60">
        <v>0</v>
      </c>
      <c r="L326" s="60">
        <v>0</v>
      </c>
      <c r="M326" s="60">
        <v>0</v>
      </c>
      <c r="N326" s="60">
        <v>0</v>
      </c>
      <c r="O326" s="60">
        <v>0</v>
      </c>
      <c r="P326" s="60">
        <v>0</v>
      </c>
      <c r="Q326" s="60">
        <v>0</v>
      </c>
      <c r="R326" s="60">
        <v>0</v>
      </c>
      <c r="S326" s="60">
        <v>0</v>
      </c>
      <c r="T326" s="60">
        <v>0</v>
      </c>
      <c r="U326" s="60">
        <v>0</v>
      </c>
      <c r="V326" s="60">
        <v>0</v>
      </c>
      <c r="W326" s="60">
        <v>0</v>
      </c>
      <c r="X326" s="60">
        <v>0</v>
      </c>
      <c r="Y326" s="60">
        <v>0</v>
      </c>
      <c r="Z326" s="60">
        <v>0</v>
      </c>
      <c r="AA326" s="60">
        <v>0</v>
      </c>
      <c r="AB326" s="60">
        <v>0</v>
      </c>
      <c r="AC326" s="60">
        <v>0</v>
      </c>
      <c r="AD326" s="60">
        <v>0</v>
      </c>
      <c r="AE326" s="60">
        <v>0</v>
      </c>
      <c r="AF326" s="60">
        <v>0</v>
      </c>
      <c r="AG326" s="60">
        <v>0</v>
      </c>
      <c r="AH326" s="60">
        <v>0</v>
      </c>
      <c r="AI326" s="60">
        <v>110.79</v>
      </c>
      <c r="AJ326" s="60">
        <v>106.32</v>
      </c>
      <c r="AK326" s="60">
        <v>107.05</v>
      </c>
      <c r="AL326" s="60">
        <v>0</v>
      </c>
      <c r="AM326" s="60">
        <v>0</v>
      </c>
      <c r="AN326" s="60">
        <v>0</v>
      </c>
      <c r="AO326" s="60">
        <v>110.79</v>
      </c>
      <c r="AP326" s="60">
        <v>106.32</v>
      </c>
      <c r="AQ326" s="60">
        <v>107.05</v>
      </c>
      <c r="AR326" s="61">
        <v>110.79</v>
      </c>
    </row>
    <row r="327" spans="1:44" x14ac:dyDescent="0.35">
      <c r="A327" s="49" t="str">
        <f t="shared" si="26"/>
        <v>49</v>
      </c>
      <c r="B327" s="27">
        <v>70607</v>
      </c>
      <c r="C327" s="25" t="str">
        <f t="shared" si="27"/>
        <v>0000000</v>
      </c>
      <c r="D327" s="26" t="s">
        <v>3663</v>
      </c>
      <c r="E327" s="25" t="s">
        <v>3055</v>
      </c>
      <c r="F327" s="25" t="s">
        <v>3052</v>
      </c>
      <c r="G327" s="59" t="s">
        <v>3056</v>
      </c>
      <c r="H327" s="60">
        <v>1425.56</v>
      </c>
      <c r="I327" s="60">
        <v>1422.27</v>
      </c>
      <c r="J327" s="60">
        <v>1470.64</v>
      </c>
      <c r="K327" s="60">
        <v>0</v>
      </c>
      <c r="L327" s="60">
        <v>0</v>
      </c>
      <c r="M327" s="60">
        <v>0</v>
      </c>
      <c r="N327" s="60">
        <v>0</v>
      </c>
      <c r="O327" s="60">
        <v>0</v>
      </c>
      <c r="P327" s="60">
        <v>0</v>
      </c>
      <c r="Q327" s="60">
        <v>0</v>
      </c>
      <c r="R327" s="60">
        <v>0</v>
      </c>
      <c r="S327" s="60">
        <v>0</v>
      </c>
      <c r="T327" s="60">
        <v>0</v>
      </c>
      <c r="U327" s="60">
        <v>0</v>
      </c>
      <c r="V327" s="60">
        <v>0</v>
      </c>
      <c r="W327" s="60">
        <v>0</v>
      </c>
      <c r="X327" s="60">
        <v>0</v>
      </c>
      <c r="Y327" s="60">
        <v>0</v>
      </c>
      <c r="Z327" s="60">
        <v>0</v>
      </c>
      <c r="AA327" s="60">
        <v>0</v>
      </c>
      <c r="AB327" s="60">
        <v>0</v>
      </c>
      <c r="AC327" s="60">
        <v>0</v>
      </c>
      <c r="AD327" s="60">
        <v>0</v>
      </c>
      <c r="AE327" s="60">
        <v>0</v>
      </c>
      <c r="AF327" s="60">
        <v>0</v>
      </c>
      <c r="AG327" s="60">
        <v>0</v>
      </c>
      <c r="AH327" s="60">
        <v>0</v>
      </c>
      <c r="AI327" s="60">
        <v>1425.56</v>
      </c>
      <c r="AJ327" s="60">
        <v>1422.27</v>
      </c>
      <c r="AK327" s="60">
        <v>1470.64</v>
      </c>
      <c r="AL327" s="60">
        <v>0</v>
      </c>
      <c r="AM327" s="60">
        <v>0</v>
      </c>
      <c r="AN327" s="60">
        <v>0</v>
      </c>
      <c r="AO327" s="60">
        <v>1425.56</v>
      </c>
      <c r="AP327" s="60">
        <v>1422.27</v>
      </c>
      <c r="AQ327" s="60">
        <v>1470.64</v>
      </c>
      <c r="AR327" s="61">
        <v>1470.64</v>
      </c>
    </row>
    <row r="328" spans="1:44" x14ac:dyDescent="0.35">
      <c r="A328" s="49" t="str">
        <f t="shared" si="26"/>
        <v>49</v>
      </c>
      <c r="B328" s="27">
        <v>70615</v>
      </c>
      <c r="C328" s="25" t="str">
        <f t="shared" si="27"/>
        <v>0000000</v>
      </c>
      <c r="D328" s="26" t="s">
        <v>3663</v>
      </c>
      <c r="E328" s="25" t="s">
        <v>3057</v>
      </c>
      <c r="F328" s="25" t="s">
        <v>3052</v>
      </c>
      <c r="G328" s="59" t="s">
        <v>3058</v>
      </c>
      <c r="H328" s="60">
        <v>1456.94</v>
      </c>
      <c r="I328" s="60">
        <v>1396.98</v>
      </c>
      <c r="J328" s="60">
        <v>1303.05</v>
      </c>
      <c r="K328" s="60">
        <v>0</v>
      </c>
      <c r="L328" s="60">
        <v>0</v>
      </c>
      <c r="M328" s="60">
        <v>0</v>
      </c>
      <c r="N328" s="60">
        <v>0</v>
      </c>
      <c r="O328" s="60">
        <v>0</v>
      </c>
      <c r="P328" s="60">
        <v>0</v>
      </c>
      <c r="Q328" s="60">
        <v>0</v>
      </c>
      <c r="R328" s="60">
        <v>0</v>
      </c>
      <c r="S328" s="60">
        <v>0</v>
      </c>
      <c r="T328" s="60">
        <v>0</v>
      </c>
      <c r="U328" s="60">
        <v>0</v>
      </c>
      <c r="V328" s="60">
        <v>0</v>
      </c>
      <c r="W328" s="60">
        <v>0</v>
      </c>
      <c r="X328" s="60">
        <v>0</v>
      </c>
      <c r="Y328" s="60">
        <v>0</v>
      </c>
      <c r="Z328" s="60">
        <v>0</v>
      </c>
      <c r="AA328" s="60">
        <v>0</v>
      </c>
      <c r="AB328" s="60">
        <v>0</v>
      </c>
      <c r="AC328" s="60">
        <v>0</v>
      </c>
      <c r="AD328" s="60">
        <v>0</v>
      </c>
      <c r="AE328" s="60">
        <v>0</v>
      </c>
      <c r="AF328" s="60">
        <v>0</v>
      </c>
      <c r="AG328" s="60">
        <v>0</v>
      </c>
      <c r="AH328" s="60">
        <v>0</v>
      </c>
      <c r="AI328" s="60">
        <v>1456.94</v>
      </c>
      <c r="AJ328" s="60">
        <v>1396.98</v>
      </c>
      <c r="AK328" s="60">
        <v>1303.05</v>
      </c>
      <c r="AL328" s="60">
        <v>0</v>
      </c>
      <c r="AM328" s="60">
        <v>0</v>
      </c>
      <c r="AN328" s="60">
        <v>0</v>
      </c>
      <c r="AO328" s="60">
        <v>1456.94</v>
      </c>
      <c r="AP328" s="60">
        <v>1396.98</v>
      </c>
      <c r="AQ328" s="60">
        <v>1303.05</v>
      </c>
      <c r="AR328" s="61">
        <v>1456.94</v>
      </c>
    </row>
    <row r="329" spans="1:44" x14ac:dyDescent="0.35">
      <c r="A329" s="49" t="str">
        <f t="shared" si="26"/>
        <v>49</v>
      </c>
      <c r="B329" s="27">
        <v>70623</v>
      </c>
      <c r="C329" s="25" t="str">
        <f t="shared" si="27"/>
        <v>0000000</v>
      </c>
      <c r="D329" s="26" t="s">
        <v>3663</v>
      </c>
      <c r="E329" s="25" t="s">
        <v>3059</v>
      </c>
      <c r="F329" s="25" t="s">
        <v>3052</v>
      </c>
      <c r="G329" s="59" t="s">
        <v>3060</v>
      </c>
      <c r="H329" s="60">
        <v>871.64</v>
      </c>
      <c r="I329" s="60">
        <v>866.31</v>
      </c>
      <c r="J329" s="60">
        <v>900.96</v>
      </c>
      <c r="K329" s="60">
        <v>0</v>
      </c>
      <c r="L329" s="60">
        <v>0</v>
      </c>
      <c r="M329" s="60">
        <v>0</v>
      </c>
      <c r="N329" s="60">
        <v>0</v>
      </c>
      <c r="O329" s="60">
        <v>0</v>
      </c>
      <c r="P329" s="60">
        <v>0</v>
      </c>
      <c r="Q329" s="60">
        <v>0</v>
      </c>
      <c r="R329" s="60">
        <v>0</v>
      </c>
      <c r="S329" s="60">
        <v>0</v>
      </c>
      <c r="T329" s="60">
        <v>0</v>
      </c>
      <c r="U329" s="60">
        <v>0</v>
      </c>
      <c r="V329" s="60">
        <v>0</v>
      </c>
      <c r="W329" s="60">
        <v>0</v>
      </c>
      <c r="X329" s="60">
        <v>0</v>
      </c>
      <c r="Y329" s="60">
        <v>0</v>
      </c>
      <c r="Z329" s="60">
        <v>0</v>
      </c>
      <c r="AA329" s="60">
        <v>0</v>
      </c>
      <c r="AB329" s="60">
        <v>0</v>
      </c>
      <c r="AC329" s="60">
        <v>0</v>
      </c>
      <c r="AD329" s="60">
        <v>0</v>
      </c>
      <c r="AE329" s="60">
        <v>0</v>
      </c>
      <c r="AF329" s="60">
        <v>0</v>
      </c>
      <c r="AG329" s="60">
        <v>0</v>
      </c>
      <c r="AH329" s="60">
        <v>0</v>
      </c>
      <c r="AI329" s="60">
        <v>871.64</v>
      </c>
      <c r="AJ329" s="60">
        <v>866.31</v>
      </c>
      <c r="AK329" s="60">
        <v>900.96</v>
      </c>
      <c r="AL329" s="60">
        <v>0</v>
      </c>
      <c r="AM329" s="60">
        <v>0</v>
      </c>
      <c r="AN329" s="60">
        <v>0</v>
      </c>
      <c r="AO329" s="60">
        <v>871.64</v>
      </c>
      <c r="AP329" s="60">
        <v>866.31</v>
      </c>
      <c r="AQ329" s="60">
        <v>900.96</v>
      </c>
      <c r="AR329" s="61">
        <v>900.96</v>
      </c>
    </row>
    <row r="330" spans="1:44" x14ac:dyDescent="0.35">
      <c r="A330" s="49" t="str">
        <f t="shared" si="26"/>
        <v>49</v>
      </c>
      <c r="B330" s="27">
        <v>70649</v>
      </c>
      <c r="C330" s="25" t="str">
        <f t="shared" si="27"/>
        <v>0000000</v>
      </c>
      <c r="D330" s="26" t="s">
        <v>3663</v>
      </c>
      <c r="E330" s="25" t="s">
        <v>3061</v>
      </c>
      <c r="F330" s="25" t="s">
        <v>3052</v>
      </c>
      <c r="G330" s="59" t="s">
        <v>3062</v>
      </c>
      <c r="H330" s="60">
        <v>14.03</v>
      </c>
      <c r="I330" s="60">
        <v>18.86</v>
      </c>
      <c r="J330" s="60">
        <v>14.27</v>
      </c>
      <c r="K330" s="60">
        <v>0</v>
      </c>
      <c r="L330" s="60">
        <v>0</v>
      </c>
      <c r="M330" s="60">
        <v>0</v>
      </c>
      <c r="N330" s="60">
        <v>0</v>
      </c>
      <c r="O330" s="60">
        <v>0</v>
      </c>
      <c r="P330" s="60">
        <v>0</v>
      </c>
      <c r="Q330" s="60">
        <v>0</v>
      </c>
      <c r="R330" s="60">
        <v>0</v>
      </c>
      <c r="S330" s="60">
        <v>0</v>
      </c>
      <c r="T330" s="60">
        <v>0</v>
      </c>
      <c r="U330" s="60">
        <v>0</v>
      </c>
      <c r="V330" s="60">
        <v>0</v>
      </c>
      <c r="W330" s="60">
        <v>0</v>
      </c>
      <c r="X330" s="60">
        <v>0</v>
      </c>
      <c r="Y330" s="60">
        <v>0</v>
      </c>
      <c r="Z330" s="60">
        <v>0</v>
      </c>
      <c r="AA330" s="60">
        <v>0</v>
      </c>
      <c r="AB330" s="60">
        <v>0</v>
      </c>
      <c r="AC330" s="60">
        <v>143.97</v>
      </c>
      <c r="AD330" s="60">
        <v>161.56</v>
      </c>
      <c r="AE330" s="60">
        <v>183.52</v>
      </c>
      <c r="AF330" s="60">
        <v>0</v>
      </c>
      <c r="AG330" s="60">
        <v>0</v>
      </c>
      <c r="AH330" s="60">
        <v>0</v>
      </c>
      <c r="AI330" s="60">
        <v>158</v>
      </c>
      <c r="AJ330" s="60">
        <v>180.42</v>
      </c>
      <c r="AK330" s="60">
        <v>197.79</v>
      </c>
      <c r="AL330" s="60">
        <v>0</v>
      </c>
      <c r="AM330" s="60">
        <v>0</v>
      </c>
      <c r="AN330" s="60">
        <v>0</v>
      </c>
      <c r="AO330" s="60">
        <v>158</v>
      </c>
      <c r="AP330" s="60">
        <v>180.42</v>
      </c>
      <c r="AQ330" s="60">
        <v>197.79</v>
      </c>
      <c r="AR330" s="61">
        <v>197.79</v>
      </c>
    </row>
    <row r="331" spans="1:44" x14ac:dyDescent="0.35">
      <c r="A331" s="49" t="str">
        <f t="shared" si="26"/>
        <v>49</v>
      </c>
      <c r="B331" s="27">
        <v>70656</v>
      </c>
      <c r="C331" s="25" t="str">
        <f t="shared" si="27"/>
        <v>0000000</v>
      </c>
      <c r="D331" s="26" t="s">
        <v>3663</v>
      </c>
      <c r="E331" s="25" t="s">
        <v>3063</v>
      </c>
      <c r="F331" s="25" t="s">
        <v>3052</v>
      </c>
      <c r="G331" s="59" t="s">
        <v>3064</v>
      </c>
      <c r="H331" s="60">
        <v>1192.3699999999999</v>
      </c>
      <c r="I331" s="60">
        <v>1186.55</v>
      </c>
      <c r="J331" s="60">
        <v>1191.6400000000001</v>
      </c>
      <c r="K331" s="60">
        <v>0</v>
      </c>
      <c r="L331" s="60">
        <v>0</v>
      </c>
      <c r="M331" s="60">
        <v>0</v>
      </c>
      <c r="N331" s="60">
        <v>0</v>
      </c>
      <c r="O331" s="60">
        <v>0</v>
      </c>
      <c r="P331" s="60">
        <v>0</v>
      </c>
      <c r="Q331" s="60">
        <v>0</v>
      </c>
      <c r="R331" s="60">
        <v>0</v>
      </c>
      <c r="S331" s="60">
        <v>0</v>
      </c>
      <c r="T331" s="60">
        <v>0</v>
      </c>
      <c r="U331" s="60">
        <v>0</v>
      </c>
      <c r="V331" s="60">
        <v>0</v>
      </c>
      <c r="W331" s="60">
        <v>0</v>
      </c>
      <c r="X331" s="60">
        <v>0</v>
      </c>
      <c r="Y331" s="60">
        <v>0</v>
      </c>
      <c r="Z331" s="60">
        <v>0</v>
      </c>
      <c r="AA331" s="60">
        <v>0</v>
      </c>
      <c r="AB331" s="60">
        <v>0</v>
      </c>
      <c r="AC331" s="60">
        <v>0</v>
      </c>
      <c r="AD331" s="60">
        <v>0</v>
      </c>
      <c r="AE331" s="60">
        <v>0</v>
      </c>
      <c r="AF331" s="60">
        <v>0</v>
      </c>
      <c r="AG331" s="60">
        <v>0</v>
      </c>
      <c r="AH331" s="60">
        <v>0</v>
      </c>
      <c r="AI331" s="60">
        <v>1192.3699999999999</v>
      </c>
      <c r="AJ331" s="60">
        <v>1186.55</v>
      </c>
      <c r="AK331" s="60">
        <v>1191.6400000000001</v>
      </c>
      <c r="AL331" s="60">
        <v>0</v>
      </c>
      <c r="AM331" s="60">
        <v>0</v>
      </c>
      <c r="AN331" s="60">
        <v>0</v>
      </c>
      <c r="AO331" s="60">
        <v>1192.3699999999999</v>
      </c>
      <c r="AP331" s="60">
        <v>1186.55</v>
      </c>
      <c r="AQ331" s="60">
        <v>1191.6400000000001</v>
      </c>
      <c r="AR331" s="61">
        <v>1192.3699999999999</v>
      </c>
    </row>
    <row r="332" spans="1:44" x14ac:dyDescent="0.35">
      <c r="A332" s="49" t="str">
        <f t="shared" si="26"/>
        <v>49</v>
      </c>
      <c r="B332" s="27">
        <v>73882</v>
      </c>
      <c r="C332" s="25" t="str">
        <f t="shared" si="27"/>
        <v>0000000</v>
      </c>
      <c r="D332" s="26" t="s">
        <v>3663</v>
      </c>
      <c r="E332" s="25" t="s">
        <v>3152</v>
      </c>
      <c r="F332" s="25" t="s">
        <v>3052</v>
      </c>
      <c r="G332" s="59" t="s">
        <v>3153</v>
      </c>
      <c r="H332" s="60">
        <v>5718.35</v>
      </c>
      <c r="I332" s="60">
        <v>5552.42</v>
      </c>
      <c r="J332" s="60">
        <v>5185.3599999999997</v>
      </c>
      <c r="K332" s="60">
        <v>0</v>
      </c>
      <c r="L332" s="60">
        <v>0</v>
      </c>
      <c r="M332" s="60">
        <v>0</v>
      </c>
      <c r="N332" s="60">
        <v>0</v>
      </c>
      <c r="O332" s="60">
        <v>0</v>
      </c>
      <c r="P332" s="60">
        <v>0</v>
      </c>
      <c r="Q332" s="60">
        <v>0</v>
      </c>
      <c r="R332" s="60">
        <v>0</v>
      </c>
      <c r="S332" s="60">
        <v>0</v>
      </c>
      <c r="T332" s="60">
        <v>0</v>
      </c>
      <c r="U332" s="60">
        <v>0</v>
      </c>
      <c r="V332" s="60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0</v>
      </c>
      <c r="AD332" s="60">
        <v>0</v>
      </c>
      <c r="AE332" s="60">
        <v>0</v>
      </c>
      <c r="AF332" s="60">
        <v>0</v>
      </c>
      <c r="AG332" s="60">
        <v>0</v>
      </c>
      <c r="AH332" s="60">
        <v>0</v>
      </c>
      <c r="AI332" s="60">
        <v>5718.35</v>
      </c>
      <c r="AJ332" s="60">
        <v>5552.42</v>
      </c>
      <c r="AK332" s="60">
        <v>5185.3599999999997</v>
      </c>
      <c r="AL332" s="60">
        <v>0</v>
      </c>
      <c r="AM332" s="60">
        <v>0</v>
      </c>
      <c r="AN332" s="60">
        <v>0</v>
      </c>
      <c r="AO332" s="60">
        <v>5718.35</v>
      </c>
      <c r="AP332" s="60">
        <v>5552.42</v>
      </c>
      <c r="AQ332" s="60">
        <v>5185.3599999999997</v>
      </c>
      <c r="AR332" s="61">
        <v>5718.35</v>
      </c>
    </row>
    <row r="333" spans="1:44" x14ac:dyDescent="0.35">
      <c r="A333" s="49" t="str">
        <f t="shared" si="26"/>
        <v>49</v>
      </c>
      <c r="B333" s="27">
        <v>70672</v>
      </c>
      <c r="C333" s="25" t="str">
        <f t="shared" si="27"/>
        <v>0000000</v>
      </c>
      <c r="D333" s="26" t="s">
        <v>3663</v>
      </c>
      <c r="E333" s="25" t="s">
        <v>3065</v>
      </c>
      <c r="F333" s="25" t="s">
        <v>3052</v>
      </c>
      <c r="G333" s="59" t="s">
        <v>3066</v>
      </c>
      <c r="H333" s="60">
        <v>8.58</v>
      </c>
      <c r="I333" s="60">
        <v>8.5</v>
      </c>
      <c r="J333" s="60">
        <v>9.49</v>
      </c>
      <c r="K333" s="60">
        <v>0</v>
      </c>
      <c r="L333" s="60">
        <v>0</v>
      </c>
      <c r="M333" s="60">
        <v>0</v>
      </c>
      <c r="N333" s="60">
        <v>0</v>
      </c>
      <c r="O333" s="60">
        <v>0</v>
      </c>
      <c r="P333" s="60">
        <v>0</v>
      </c>
      <c r="Q333" s="60">
        <v>0</v>
      </c>
      <c r="R333" s="60">
        <v>0</v>
      </c>
      <c r="S333" s="60">
        <v>0</v>
      </c>
      <c r="T333" s="60">
        <v>0</v>
      </c>
      <c r="U333" s="60">
        <v>0</v>
      </c>
      <c r="V333" s="60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0">
        <v>145.74</v>
      </c>
      <c r="AD333" s="60">
        <v>125.49</v>
      </c>
      <c r="AE333" s="60">
        <v>128.91999999999999</v>
      </c>
      <c r="AF333" s="60">
        <v>0</v>
      </c>
      <c r="AG333" s="60">
        <v>0</v>
      </c>
      <c r="AH333" s="60">
        <v>0</v>
      </c>
      <c r="AI333" s="60">
        <v>154.32</v>
      </c>
      <c r="AJ333" s="60">
        <v>133.99</v>
      </c>
      <c r="AK333" s="60">
        <v>138.41</v>
      </c>
      <c r="AL333" s="60">
        <v>0</v>
      </c>
      <c r="AM333" s="60">
        <v>0</v>
      </c>
      <c r="AN333" s="60">
        <v>0</v>
      </c>
      <c r="AO333" s="60">
        <v>154.32</v>
      </c>
      <c r="AP333" s="60">
        <v>133.99</v>
      </c>
      <c r="AQ333" s="60">
        <v>138.41</v>
      </c>
      <c r="AR333" s="61">
        <v>154.32</v>
      </c>
    </row>
    <row r="334" spans="1:44" x14ac:dyDescent="0.35">
      <c r="A334" s="49" t="str">
        <f t="shared" si="26"/>
        <v>49</v>
      </c>
      <c r="B334" s="27">
        <v>70680</v>
      </c>
      <c r="C334" s="25" t="str">
        <f t="shared" si="27"/>
        <v>0000000</v>
      </c>
      <c r="D334" s="26" t="s">
        <v>3663</v>
      </c>
      <c r="E334" s="25" t="s">
        <v>3067</v>
      </c>
      <c r="F334" s="25" t="s">
        <v>3052</v>
      </c>
      <c r="G334" s="59" t="s">
        <v>3068</v>
      </c>
      <c r="H334" s="60">
        <v>52.39</v>
      </c>
      <c r="I334" s="60">
        <v>45.63</v>
      </c>
      <c r="J334" s="60">
        <v>36.39</v>
      </c>
      <c r="K334" s="60">
        <v>0</v>
      </c>
      <c r="L334" s="60">
        <v>0</v>
      </c>
      <c r="M334" s="60">
        <v>0</v>
      </c>
      <c r="N334" s="60">
        <v>8.5299999999999994</v>
      </c>
      <c r="O334" s="60">
        <v>4.57</v>
      </c>
      <c r="P334" s="60">
        <v>6.39</v>
      </c>
      <c r="Q334" s="60">
        <v>0</v>
      </c>
      <c r="R334" s="60">
        <v>0</v>
      </c>
      <c r="S334" s="60">
        <v>0</v>
      </c>
      <c r="T334" s="60">
        <v>0</v>
      </c>
      <c r="U334" s="60">
        <v>0</v>
      </c>
      <c r="V334" s="60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153.6</v>
      </c>
      <c r="AD334" s="60">
        <v>154.04</v>
      </c>
      <c r="AE334" s="60">
        <v>176.74</v>
      </c>
      <c r="AF334" s="60">
        <v>0</v>
      </c>
      <c r="AG334" s="60">
        <v>0</v>
      </c>
      <c r="AH334" s="60">
        <v>0</v>
      </c>
      <c r="AI334" s="60">
        <v>214.52</v>
      </c>
      <c r="AJ334" s="60">
        <v>204.24</v>
      </c>
      <c r="AK334" s="60">
        <v>219.52</v>
      </c>
      <c r="AL334" s="60">
        <v>0</v>
      </c>
      <c r="AM334" s="60">
        <v>0</v>
      </c>
      <c r="AN334" s="60">
        <v>0</v>
      </c>
      <c r="AO334" s="60">
        <v>214.52</v>
      </c>
      <c r="AP334" s="60">
        <v>204.24</v>
      </c>
      <c r="AQ334" s="60">
        <v>219.52</v>
      </c>
      <c r="AR334" s="61">
        <v>219.52</v>
      </c>
    </row>
    <row r="335" spans="1:44" x14ac:dyDescent="0.35">
      <c r="A335" s="49" t="str">
        <f t="shared" si="26"/>
        <v>49</v>
      </c>
      <c r="B335" s="27">
        <v>70698</v>
      </c>
      <c r="C335" s="25" t="str">
        <f t="shared" si="27"/>
        <v>0000000</v>
      </c>
      <c r="D335" s="26" t="s">
        <v>3663</v>
      </c>
      <c r="E335" s="25" t="s">
        <v>3069</v>
      </c>
      <c r="F335" s="25" t="s">
        <v>3052</v>
      </c>
      <c r="G335" s="59" t="s">
        <v>3070</v>
      </c>
      <c r="H335" s="60">
        <v>13.31</v>
      </c>
      <c r="I335" s="60">
        <v>8.9600000000000009</v>
      </c>
      <c r="J335" s="60">
        <v>9.86</v>
      </c>
      <c r="K335" s="60">
        <v>0</v>
      </c>
      <c r="L335" s="60">
        <v>0</v>
      </c>
      <c r="M335" s="60">
        <v>0</v>
      </c>
      <c r="N335" s="60">
        <v>0</v>
      </c>
      <c r="O335" s="60">
        <v>0</v>
      </c>
      <c r="P335" s="60">
        <v>0</v>
      </c>
      <c r="Q335" s="60">
        <v>0</v>
      </c>
      <c r="R335" s="60">
        <v>0</v>
      </c>
      <c r="S335" s="60">
        <v>0</v>
      </c>
      <c r="T335" s="60">
        <v>0</v>
      </c>
      <c r="U335" s="60">
        <v>0</v>
      </c>
      <c r="V335" s="60">
        <v>0</v>
      </c>
      <c r="W335" s="60">
        <v>0</v>
      </c>
      <c r="X335" s="60">
        <v>0</v>
      </c>
      <c r="Y335" s="60">
        <v>0</v>
      </c>
      <c r="Z335" s="60">
        <v>0</v>
      </c>
      <c r="AA335" s="60">
        <v>0</v>
      </c>
      <c r="AB335" s="60">
        <v>0</v>
      </c>
      <c r="AC335" s="60">
        <v>0</v>
      </c>
      <c r="AD335" s="60">
        <v>0</v>
      </c>
      <c r="AE335" s="60">
        <v>0</v>
      </c>
      <c r="AF335" s="60">
        <v>0</v>
      </c>
      <c r="AG335" s="60">
        <v>0</v>
      </c>
      <c r="AH335" s="60">
        <v>0</v>
      </c>
      <c r="AI335" s="60">
        <v>13.31</v>
      </c>
      <c r="AJ335" s="60">
        <v>8.9600000000000009</v>
      </c>
      <c r="AK335" s="60">
        <v>9.86</v>
      </c>
      <c r="AL335" s="60">
        <v>0</v>
      </c>
      <c r="AM335" s="60">
        <v>0</v>
      </c>
      <c r="AN335" s="60">
        <v>0</v>
      </c>
      <c r="AO335" s="60">
        <v>13.31</v>
      </c>
      <c r="AP335" s="60">
        <v>8.9600000000000009</v>
      </c>
      <c r="AQ335" s="60">
        <v>9.86</v>
      </c>
      <c r="AR335" s="61">
        <v>13.31</v>
      </c>
    </row>
    <row r="336" spans="1:44" x14ac:dyDescent="0.35">
      <c r="A336" s="49" t="str">
        <f t="shared" si="26"/>
        <v>49</v>
      </c>
      <c r="B336" s="27">
        <v>70706</v>
      </c>
      <c r="C336" s="25" t="str">
        <f t="shared" si="27"/>
        <v>0000000</v>
      </c>
      <c r="D336" s="26" t="s">
        <v>3663</v>
      </c>
      <c r="E336" s="25" t="s">
        <v>3071</v>
      </c>
      <c r="F336" s="25" t="s">
        <v>3052</v>
      </c>
      <c r="G336" s="59" t="s">
        <v>3072</v>
      </c>
      <c r="H336" s="60">
        <v>102.85</v>
      </c>
      <c r="I336" s="60">
        <v>112.08</v>
      </c>
      <c r="J336" s="60">
        <v>108.21</v>
      </c>
      <c r="K336" s="60">
        <v>0</v>
      </c>
      <c r="L336" s="60">
        <v>0</v>
      </c>
      <c r="M336" s="60">
        <v>0</v>
      </c>
      <c r="N336" s="60">
        <v>78.37</v>
      </c>
      <c r="O336" s="60">
        <v>73.7</v>
      </c>
      <c r="P336" s="60">
        <v>69.87</v>
      </c>
      <c r="Q336" s="60">
        <v>0</v>
      </c>
      <c r="R336" s="60">
        <v>0</v>
      </c>
      <c r="S336" s="60">
        <v>0</v>
      </c>
      <c r="T336" s="60">
        <v>0</v>
      </c>
      <c r="U336" s="60">
        <v>0</v>
      </c>
      <c r="V336" s="60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0">
        <v>0</v>
      </c>
      <c r="AE336" s="60">
        <v>0</v>
      </c>
      <c r="AF336" s="60">
        <v>0</v>
      </c>
      <c r="AG336" s="60">
        <v>0</v>
      </c>
      <c r="AH336" s="60">
        <v>0</v>
      </c>
      <c r="AI336" s="60">
        <v>181.22</v>
      </c>
      <c r="AJ336" s="60">
        <v>185.78</v>
      </c>
      <c r="AK336" s="60">
        <v>178.08</v>
      </c>
      <c r="AL336" s="60">
        <v>0</v>
      </c>
      <c r="AM336" s="60">
        <v>0</v>
      </c>
      <c r="AN336" s="60">
        <v>0</v>
      </c>
      <c r="AO336" s="60">
        <v>181.22</v>
      </c>
      <c r="AP336" s="60">
        <v>185.78</v>
      </c>
      <c r="AQ336" s="60">
        <v>178.08</v>
      </c>
      <c r="AR336" s="61">
        <v>185.78</v>
      </c>
    </row>
    <row r="337" spans="1:44" x14ac:dyDescent="0.35">
      <c r="A337" s="49" t="str">
        <f t="shared" si="26"/>
        <v>49</v>
      </c>
      <c r="B337" s="27">
        <v>70714</v>
      </c>
      <c r="C337" s="25" t="str">
        <f t="shared" si="27"/>
        <v>0000000</v>
      </c>
      <c r="D337" s="26" t="s">
        <v>3663</v>
      </c>
      <c r="E337" s="25" t="s">
        <v>3073</v>
      </c>
      <c r="F337" s="25" t="s">
        <v>3052</v>
      </c>
      <c r="G337" s="59" t="s">
        <v>3074</v>
      </c>
      <c r="H337" s="60">
        <v>40.299999999999997</v>
      </c>
      <c r="I337" s="60">
        <v>39.270000000000003</v>
      </c>
      <c r="J337" s="60">
        <v>34.770000000000003</v>
      </c>
      <c r="K337" s="60">
        <v>0</v>
      </c>
      <c r="L337" s="60">
        <v>0</v>
      </c>
      <c r="M337" s="60">
        <v>0</v>
      </c>
      <c r="N337" s="60">
        <v>0</v>
      </c>
      <c r="O337" s="60">
        <v>0</v>
      </c>
      <c r="P337" s="60">
        <v>0</v>
      </c>
      <c r="Q337" s="60">
        <v>0</v>
      </c>
      <c r="R337" s="60">
        <v>0</v>
      </c>
      <c r="S337" s="60">
        <v>0</v>
      </c>
      <c r="T337" s="60">
        <v>0</v>
      </c>
      <c r="U337" s="60">
        <v>0</v>
      </c>
      <c r="V337" s="60">
        <v>0</v>
      </c>
      <c r="W337" s="60">
        <v>0</v>
      </c>
      <c r="X337" s="60">
        <v>0</v>
      </c>
      <c r="Y337" s="60">
        <v>0</v>
      </c>
      <c r="Z337" s="60">
        <v>0</v>
      </c>
      <c r="AA337" s="60">
        <v>0</v>
      </c>
      <c r="AB337" s="60">
        <v>0</v>
      </c>
      <c r="AC337" s="60">
        <v>721.28</v>
      </c>
      <c r="AD337" s="60">
        <v>666.37</v>
      </c>
      <c r="AE337" s="60">
        <v>677.11</v>
      </c>
      <c r="AF337" s="60">
        <v>0</v>
      </c>
      <c r="AG337" s="60">
        <v>0</v>
      </c>
      <c r="AH337" s="60">
        <v>0</v>
      </c>
      <c r="AI337" s="60">
        <v>761.58</v>
      </c>
      <c r="AJ337" s="60">
        <v>705.64</v>
      </c>
      <c r="AK337" s="60">
        <v>711.88</v>
      </c>
      <c r="AL337" s="60">
        <v>0</v>
      </c>
      <c r="AM337" s="60">
        <v>0</v>
      </c>
      <c r="AN337" s="60">
        <v>0</v>
      </c>
      <c r="AO337" s="60">
        <v>761.58</v>
      </c>
      <c r="AP337" s="60">
        <v>705.64</v>
      </c>
      <c r="AQ337" s="60">
        <v>711.88</v>
      </c>
      <c r="AR337" s="61">
        <v>761.58</v>
      </c>
    </row>
    <row r="338" spans="1:44" x14ac:dyDescent="0.35">
      <c r="A338" s="49" t="str">
        <f t="shared" si="26"/>
        <v>49</v>
      </c>
      <c r="B338" s="27">
        <v>70722</v>
      </c>
      <c r="C338" s="25" t="str">
        <f t="shared" si="27"/>
        <v>0000000</v>
      </c>
      <c r="D338" s="26" t="s">
        <v>3663</v>
      </c>
      <c r="E338" s="25" t="s">
        <v>3075</v>
      </c>
      <c r="F338" s="25" t="s">
        <v>3052</v>
      </c>
      <c r="G338" s="59" t="s">
        <v>3076</v>
      </c>
      <c r="H338" s="60">
        <v>11.37</v>
      </c>
      <c r="I338" s="60">
        <v>10.98</v>
      </c>
      <c r="J338" s="60">
        <v>18.36</v>
      </c>
      <c r="K338" s="60">
        <v>0</v>
      </c>
      <c r="L338" s="60">
        <v>0</v>
      </c>
      <c r="M338" s="60">
        <v>0</v>
      </c>
      <c r="N338" s="60">
        <v>0</v>
      </c>
      <c r="O338" s="60">
        <v>0</v>
      </c>
      <c r="P338" s="60">
        <v>0</v>
      </c>
      <c r="Q338" s="60">
        <v>0</v>
      </c>
      <c r="R338" s="60">
        <v>0</v>
      </c>
      <c r="S338" s="60">
        <v>0</v>
      </c>
      <c r="T338" s="60">
        <v>0</v>
      </c>
      <c r="U338" s="60">
        <v>0</v>
      </c>
      <c r="V338" s="60">
        <v>0</v>
      </c>
      <c r="W338" s="60">
        <v>0</v>
      </c>
      <c r="X338" s="60">
        <v>0</v>
      </c>
      <c r="Y338" s="60">
        <v>0</v>
      </c>
      <c r="Z338" s="60">
        <v>0</v>
      </c>
      <c r="AA338" s="60">
        <v>0</v>
      </c>
      <c r="AB338" s="60">
        <v>0</v>
      </c>
      <c r="AC338" s="60">
        <v>167.02</v>
      </c>
      <c r="AD338" s="60">
        <v>190.38</v>
      </c>
      <c r="AE338" s="60">
        <v>177.93</v>
      </c>
      <c r="AF338" s="60">
        <v>0</v>
      </c>
      <c r="AG338" s="60">
        <v>0</v>
      </c>
      <c r="AH338" s="60">
        <v>0</v>
      </c>
      <c r="AI338" s="60">
        <v>178.39</v>
      </c>
      <c r="AJ338" s="60">
        <v>201.36</v>
      </c>
      <c r="AK338" s="60">
        <v>196.29</v>
      </c>
      <c r="AL338" s="60">
        <v>0</v>
      </c>
      <c r="AM338" s="60">
        <v>0</v>
      </c>
      <c r="AN338" s="60">
        <v>0</v>
      </c>
      <c r="AO338" s="60">
        <v>178.39</v>
      </c>
      <c r="AP338" s="60">
        <v>201.36</v>
      </c>
      <c r="AQ338" s="60">
        <v>196.29</v>
      </c>
      <c r="AR338" s="61">
        <v>201.36</v>
      </c>
    </row>
    <row r="339" spans="1:44" x14ac:dyDescent="0.35">
      <c r="A339" s="49" t="str">
        <f t="shared" si="26"/>
        <v>49</v>
      </c>
      <c r="B339" s="27">
        <v>70730</v>
      </c>
      <c r="C339" s="25" t="str">
        <f t="shared" si="27"/>
        <v>0000000</v>
      </c>
      <c r="D339" s="26" t="s">
        <v>3663</v>
      </c>
      <c r="E339" s="25" t="s">
        <v>3079</v>
      </c>
      <c r="F339" s="25" t="s">
        <v>3052</v>
      </c>
      <c r="G339" s="59" t="s">
        <v>3080</v>
      </c>
      <c r="H339" s="60">
        <v>45.39</v>
      </c>
      <c r="I339" s="60">
        <v>39.9</v>
      </c>
      <c r="J339" s="60">
        <v>40.840000000000003</v>
      </c>
      <c r="K339" s="60">
        <v>0</v>
      </c>
      <c r="L339" s="60">
        <v>0</v>
      </c>
      <c r="M339" s="60">
        <v>0</v>
      </c>
      <c r="N339" s="60">
        <v>0</v>
      </c>
      <c r="O339" s="60">
        <v>0</v>
      </c>
      <c r="P339" s="60">
        <v>0</v>
      </c>
      <c r="Q339" s="60">
        <v>0</v>
      </c>
      <c r="R339" s="60">
        <v>0</v>
      </c>
      <c r="S339" s="60">
        <v>0</v>
      </c>
      <c r="T339" s="60">
        <v>0</v>
      </c>
      <c r="U339" s="60">
        <v>0</v>
      </c>
      <c r="V339" s="60">
        <v>0</v>
      </c>
      <c r="W339" s="60">
        <v>0</v>
      </c>
      <c r="X339" s="60">
        <v>0</v>
      </c>
      <c r="Y339" s="60">
        <v>0</v>
      </c>
      <c r="Z339" s="60">
        <v>0</v>
      </c>
      <c r="AA339" s="60">
        <v>0</v>
      </c>
      <c r="AB339" s="60">
        <v>0</v>
      </c>
      <c r="AC339" s="60">
        <v>165.44</v>
      </c>
      <c r="AD339" s="60">
        <v>134.44</v>
      </c>
      <c r="AE339" s="60">
        <v>479.88</v>
      </c>
      <c r="AF339" s="60">
        <v>0</v>
      </c>
      <c r="AG339" s="60">
        <v>0</v>
      </c>
      <c r="AH339" s="60">
        <v>0</v>
      </c>
      <c r="AI339" s="60">
        <v>210.83</v>
      </c>
      <c r="AJ339" s="60">
        <v>174.34</v>
      </c>
      <c r="AK339" s="60">
        <v>520.72</v>
      </c>
      <c r="AL339" s="60">
        <v>0</v>
      </c>
      <c r="AM339" s="60">
        <v>0</v>
      </c>
      <c r="AN339" s="60">
        <v>-353.49</v>
      </c>
      <c r="AO339" s="60">
        <v>210.83</v>
      </c>
      <c r="AP339" s="60">
        <v>174.34</v>
      </c>
      <c r="AQ339" s="60">
        <v>167.23</v>
      </c>
      <c r="AR339" s="61">
        <v>210.83</v>
      </c>
    </row>
    <row r="340" spans="1:44" x14ac:dyDescent="0.35">
      <c r="A340" s="49" t="str">
        <f t="shared" si="26"/>
        <v>49</v>
      </c>
      <c r="B340" s="27">
        <v>70763</v>
      </c>
      <c r="C340" s="25" t="str">
        <f t="shared" si="27"/>
        <v>0000000</v>
      </c>
      <c r="D340" s="26" t="s">
        <v>3663</v>
      </c>
      <c r="E340" s="25" t="s">
        <v>3084</v>
      </c>
      <c r="F340" s="25" t="s">
        <v>3052</v>
      </c>
      <c r="G340" s="59" t="s">
        <v>3085</v>
      </c>
      <c r="H340" s="60">
        <v>58.59</v>
      </c>
      <c r="I340" s="60">
        <v>52.57</v>
      </c>
      <c r="J340" s="60">
        <v>50</v>
      </c>
      <c r="K340" s="60">
        <v>0</v>
      </c>
      <c r="L340" s="60">
        <v>0</v>
      </c>
      <c r="M340" s="60">
        <v>0</v>
      </c>
      <c r="N340" s="60">
        <v>0</v>
      </c>
      <c r="O340" s="60">
        <v>0</v>
      </c>
      <c r="P340" s="60">
        <v>0</v>
      </c>
      <c r="Q340" s="60">
        <v>0</v>
      </c>
      <c r="R340" s="60">
        <v>0</v>
      </c>
      <c r="S340" s="60">
        <v>0</v>
      </c>
      <c r="T340" s="60">
        <v>0</v>
      </c>
      <c r="U340" s="60">
        <v>0</v>
      </c>
      <c r="V340" s="60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v>0</v>
      </c>
      <c r="AD340" s="60">
        <v>0</v>
      </c>
      <c r="AE340" s="60">
        <v>0</v>
      </c>
      <c r="AF340" s="60">
        <v>0</v>
      </c>
      <c r="AG340" s="60">
        <v>0</v>
      </c>
      <c r="AH340" s="60">
        <v>0</v>
      </c>
      <c r="AI340" s="60">
        <v>58.59</v>
      </c>
      <c r="AJ340" s="60">
        <v>52.57</v>
      </c>
      <c r="AK340" s="60">
        <v>50</v>
      </c>
      <c r="AL340" s="60">
        <v>0</v>
      </c>
      <c r="AM340" s="60">
        <v>0</v>
      </c>
      <c r="AN340" s="60">
        <v>0</v>
      </c>
      <c r="AO340" s="60">
        <v>58.59</v>
      </c>
      <c r="AP340" s="60">
        <v>52.57</v>
      </c>
      <c r="AQ340" s="60">
        <v>50</v>
      </c>
      <c r="AR340" s="61">
        <v>58.59</v>
      </c>
    </row>
    <row r="341" spans="1:44" x14ac:dyDescent="0.35">
      <c r="A341" s="49" t="str">
        <f t="shared" si="26"/>
        <v>49</v>
      </c>
      <c r="B341" s="27">
        <v>70789</v>
      </c>
      <c r="C341" s="25" t="str">
        <f t="shared" si="27"/>
        <v>0000000</v>
      </c>
      <c r="D341" s="26" t="s">
        <v>3663</v>
      </c>
      <c r="E341" s="25" t="s">
        <v>3086</v>
      </c>
      <c r="F341" s="25" t="s">
        <v>3052</v>
      </c>
      <c r="G341" s="59" t="s">
        <v>3087</v>
      </c>
      <c r="H341" s="60">
        <v>61.26</v>
      </c>
      <c r="I341" s="60">
        <v>56.54</v>
      </c>
      <c r="J341" s="60">
        <v>54.2</v>
      </c>
      <c r="K341" s="60">
        <v>0</v>
      </c>
      <c r="L341" s="60">
        <v>0</v>
      </c>
      <c r="M341" s="60">
        <v>0</v>
      </c>
      <c r="N341" s="60">
        <v>44.21</v>
      </c>
      <c r="O341" s="60">
        <v>48.61</v>
      </c>
      <c r="P341" s="60">
        <v>50.89</v>
      </c>
      <c r="Q341" s="60">
        <v>0</v>
      </c>
      <c r="R341" s="60">
        <v>0</v>
      </c>
      <c r="S341" s="60">
        <v>0</v>
      </c>
      <c r="T341" s="60">
        <v>0</v>
      </c>
      <c r="U341" s="60">
        <v>0</v>
      </c>
      <c r="V341" s="60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0">
        <v>0</v>
      </c>
      <c r="AE341" s="60">
        <v>0</v>
      </c>
      <c r="AF341" s="60">
        <v>0</v>
      </c>
      <c r="AG341" s="60">
        <v>0</v>
      </c>
      <c r="AH341" s="60">
        <v>0</v>
      </c>
      <c r="AI341" s="60">
        <v>105.47</v>
      </c>
      <c r="AJ341" s="60">
        <v>105.15</v>
      </c>
      <c r="AK341" s="60">
        <v>105.09</v>
      </c>
      <c r="AL341" s="60">
        <v>0</v>
      </c>
      <c r="AM341" s="60">
        <v>0</v>
      </c>
      <c r="AN341" s="60">
        <v>0</v>
      </c>
      <c r="AO341" s="60">
        <v>105.47</v>
      </c>
      <c r="AP341" s="60">
        <v>105.15</v>
      </c>
      <c r="AQ341" s="60">
        <v>105.09</v>
      </c>
      <c r="AR341" s="61">
        <v>105.47</v>
      </c>
    </row>
    <row r="342" spans="1:44" x14ac:dyDescent="0.35">
      <c r="A342" s="49" t="str">
        <f t="shared" si="26"/>
        <v>49</v>
      </c>
      <c r="B342" s="27">
        <v>70797</v>
      </c>
      <c r="C342" s="25" t="str">
        <f t="shared" si="27"/>
        <v>0000000</v>
      </c>
      <c r="D342" s="26" t="s">
        <v>3663</v>
      </c>
      <c r="E342" s="25" t="s">
        <v>3088</v>
      </c>
      <c r="F342" s="25" t="s">
        <v>3052</v>
      </c>
      <c r="G342" s="59" t="s">
        <v>3089</v>
      </c>
      <c r="H342" s="60">
        <v>51.98</v>
      </c>
      <c r="I342" s="60">
        <v>49.83</v>
      </c>
      <c r="J342" s="60">
        <v>45.69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  <c r="P342" s="60">
        <v>0</v>
      </c>
      <c r="Q342" s="60">
        <v>0</v>
      </c>
      <c r="R342" s="60">
        <v>0</v>
      </c>
      <c r="S342" s="60">
        <v>0</v>
      </c>
      <c r="T342" s="60">
        <v>0</v>
      </c>
      <c r="U342" s="60">
        <v>0</v>
      </c>
      <c r="V342" s="60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152.59</v>
      </c>
      <c r="AD342" s="60">
        <v>155.58000000000001</v>
      </c>
      <c r="AE342" s="60">
        <v>953.58</v>
      </c>
      <c r="AF342" s="60">
        <v>0</v>
      </c>
      <c r="AG342" s="60">
        <v>0</v>
      </c>
      <c r="AH342" s="60">
        <v>0</v>
      </c>
      <c r="AI342" s="60">
        <v>204.57</v>
      </c>
      <c r="AJ342" s="60">
        <v>205.41</v>
      </c>
      <c r="AK342" s="60">
        <v>999.27</v>
      </c>
      <c r="AL342" s="60">
        <v>0</v>
      </c>
      <c r="AM342" s="60">
        <v>0</v>
      </c>
      <c r="AN342" s="60">
        <v>-796.76</v>
      </c>
      <c r="AO342" s="60">
        <v>204.57</v>
      </c>
      <c r="AP342" s="60">
        <v>205.41</v>
      </c>
      <c r="AQ342" s="60">
        <v>202.51</v>
      </c>
      <c r="AR342" s="61">
        <v>205.41</v>
      </c>
    </row>
    <row r="343" spans="1:44" x14ac:dyDescent="0.35">
      <c r="A343" s="49" t="str">
        <f t="shared" si="26"/>
        <v>49</v>
      </c>
      <c r="B343" s="27">
        <v>70805</v>
      </c>
      <c r="C343" s="25" t="str">
        <f t="shared" si="27"/>
        <v>0000000</v>
      </c>
      <c r="D343" s="26" t="s">
        <v>3663</v>
      </c>
      <c r="E343" s="25" t="s">
        <v>3095</v>
      </c>
      <c r="F343" s="25" t="s">
        <v>3052</v>
      </c>
      <c r="G343" s="59" t="s">
        <v>3096</v>
      </c>
      <c r="H343" s="60">
        <v>400.75</v>
      </c>
      <c r="I343" s="60">
        <v>369.26</v>
      </c>
      <c r="J343" s="60">
        <v>362.89</v>
      </c>
      <c r="K343" s="60">
        <v>0</v>
      </c>
      <c r="L343" s="60">
        <v>0</v>
      </c>
      <c r="M343" s="60">
        <v>0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863.08</v>
      </c>
      <c r="AD343" s="60">
        <v>844.88</v>
      </c>
      <c r="AE343" s="60">
        <v>835.88</v>
      </c>
      <c r="AF343" s="60">
        <v>0</v>
      </c>
      <c r="AG343" s="60">
        <v>0</v>
      </c>
      <c r="AH343" s="60">
        <v>0</v>
      </c>
      <c r="AI343" s="60">
        <v>1263.83</v>
      </c>
      <c r="AJ343" s="60">
        <v>1214.1400000000001</v>
      </c>
      <c r="AK343" s="60">
        <v>1198.77</v>
      </c>
      <c r="AL343" s="60">
        <v>0</v>
      </c>
      <c r="AM343" s="60">
        <v>0</v>
      </c>
      <c r="AN343" s="60">
        <v>0</v>
      </c>
      <c r="AO343" s="60">
        <v>1263.83</v>
      </c>
      <c r="AP343" s="60">
        <v>1214.1400000000001</v>
      </c>
      <c r="AQ343" s="60">
        <v>1198.77</v>
      </c>
      <c r="AR343" s="61">
        <v>1263.83</v>
      </c>
    </row>
    <row r="344" spans="1:44" x14ac:dyDescent="0.35">
      <c r="A344" s="49" t="str">
        <f t="shared" si="26"/>
        <v>49</v>
      </c>
      <c r="B344" s="27">
        <v>70813</v>
      </c>
      <c r="C344" s="25" t="str">
        <f t="shared" si="27"/>
        <v>0000000</v>
      </c>
      <c r="D344" s="26" t="s">
        <v>3663</v>
      </c>
      <c r="E344" s="25" t="s">
        <v>3097</v>
      </c>
      <c r="F344" s="25" t="s">
        <v>3052</v>
      </c>
      <c r="G344" s="59" t="s">
        <v>3098</v>
      </c>
      <c r="H344" s="60">
        <v>60.03</v>
      </c>
      <c r="I344" s="60">
        <v>51.15</v>
      </c>
      <c r="J344" s="60">
        <v>59</v>
      </c>
      <c r="K344" s="60">
        <v>0</v>
      </c>
      <c r="L344" s="60">
        <v>0</v>
      </c>
      <c r="M344" s="60">
        <v>0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0">
        <v>0</v>
      </c>
      <c r="AE344" s="60">
        <v>0</v>
      </c>
      <c r="AF344" s="60">
        <v>0</v>
      </c>
      <c r="AG344" s="60">
        <v>0</v>
      </c>
      <c r="AH344" s="60">
        <v>0</v>
      </c>
      <c r="AI344" s="60">
        <v>60.03</v>
      </c>
      <c r="AJ344" s="60">
        <v>51.15</v>
      </c>
      <c r="AK344" s="60">
        <v>59</v>
      </c>
      <c r="AL344" s="60">
        <v>0</v>
      </c>
      <c r="AM344" s="60">
        <v>0</v>
      </c>
      <c r="AN344" s="60">
        <v>0</v>
      </c>
      <c r="AO344" s="60">
        <v>60.03</v>
      </c>
      <c r="AP344" s="60">
        <v>51.15</v>
      </c>
      <c r="AQ344" s="60">
        <v>59</v>
      </c>
      <c r="AR344" s="61">
        <v>60.03</v>
      </c>
    </row>
    <row r="345" spans="1:44" x14ac:dyDescent="0.35">
      <c r="A345" s="49" t="str">
        <f t="shared" si="26"/>
        <v>49</v>
      </c>
      <c r="B345" s="27">
        <v>70821</v>
      </c>
      <c r="C345" s="25" t="str">
        <f t="shared" si="27"/>
        <v>0000000</v>
      </c>
      <c r="D345" s="26" t="s">
        <v>3663</v>
      </c>
      <c r="E345" s="25" t="s">
        <v>3099</v>
      </c>
      <c r="F345" s="25" t="s">
        <v>3052</v>
      </c>
      <c r="G345" s="59" t="s">
        <v>3100</v>
      </c>
      <c r="H345" s="60">
        <v>18.05</v>
      </c>
      <c r="I345" s="60">
        <v>17.36</v>
      </c>
      <c r="J345" s="60">
        <v>16.100000000000001</v>
      </c>
      <c r="K345" s="60">
        <v>0</v>
      </c>
      <c r="L345" s="60">
        <v>0</v>
      </c>
      <c r="M345" s="60">
        <v>0</v>
      </c>
      <c r="N345" s="60">
        <v>0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0">
        <v>0</v>
      </c>
      <c r="AE345" s="60">
        <v>0</v>
      </c>
      <c r="AF345" s="60">
        <v>0</v>
      </c>
      <c r="AG345" s="60">
        <v>0</v>
      </c>
      <c r="AH345" s="60">
        <v>0</v>
      </c>
      <c r="AI345" s="60">
        <v>18.05</v>
      </c>
      <c r="AJ345" s="60">
        <v>17.36</v>
      </c>
      <c r="AK345" s="60">
        <v>16.100000000000001</v>
      </c>
      <c r="AL345" s="60">
        <v>0</v>
      </c>
      <c r="AM345" s="60">
        <v>0</v>
      </c>
      <c r="AN345" s="60">
        <v>0</v>
      </c>
      <c r="AO345" s="60">
        <v>18.05</v>
      </c>
      <c r="AP345" s="60">
        <v>17.36</v>
      </c>
      <c r="AQ345" s="60">
        <v>16.100000000000001</v>
      </c>
      <c r="AR345" s="61">
        <v>18.05</v>
      </c>
    </row>
    <row r="346" spans="1:44" x14ac:dyDescent="0.35">
      <c r="A346" s="49" t="str">
        <f t="shared" si="26"/>
        <v>49</v>
      </c>
      <c r="B346" s="27">
        <v>70839</v>
      </c>
      <c r="C346" s="25" t="str">
        <f t="shared" si="27"/>
        <v>0000000</v>
      </c>
      <c r="D346" s="26" t="s">
        <v>3663</v>
      </c>
      <c r="E346" s="25" t="s">
        <v>3101</v>
      </c>
      <c r="F346" s="25" t="s">
        <v>3052</v>
      </c>
      <c r="G346" s="59" t="s">
        <v>3102</v>
      </c>
      <c r="H346" s="60">
        <v>84.21</v>
      </c>
      <c r="I346" s="60">
        <v>70.239999999999995</v>
      </c>
      <c r="J346" s="60">
        <v>65.14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v>673.48</v>
      </c>
      <c r="AD346" s="60">
        <v>690.06</v>
      </c>
      <c r="AE346" s="60">
        <v>693.66</v>
      </c>
      <c r="AF346" s="60">
        <v>0</v>
      </c>
      <c r="AG346" s="60">
        <v>0</v>
      </c>
      <c r="AH346" s="60">
        <v>0</v>
      </c>
      <c r="AI346" s="60">
        <v>757.69</v>
      </c>
      <c r="AJ346" s="60">
        <v>760.3</v>
      </c>
      <c r="AK346" s="60">
        <v>758.8</v>
      </c>
      <c r="AL346" s="60">
        <v>0</v>
      </c>
      <c r="AM346" s="60">
        <v>0</v>
      </c>
      <c r="AN346" s="60">
        <v>0</v>
      </c>
      <c r="AO346" s="60">
        <v>757.69</v>
      </c>
      <c r="AP346" s="60">
        <v>760.3</v>
      </c>
      <c r="AQ346" s="60">
        <v>758.8</v>
      </c>
      <c r="AR346" s="61">
        <v>760.3</v>
      </c>
    </row>
    <row r="347" spans="1:44" x14ac:dyDescent="0.35">
      <c r="A347" s="49" t="str">
        <f t="shared" si="26"/>
        <v>49</v>
      </c>
      <c r="B347" s="27">
        <v>70847</v>
      </c>
      <c r="C347" s="25" t="str">
        <f t="shared" si="27"/>
        <v>0000000</v>
      </c>
      <c r="D347" s="26" t="s">
        <v>3663</v>
      </c>
      <c r="E347" s="25" t="s">
        <v>3105</v>
      </c>
      <c r="F347" s="25" t="s">
        <v>3052</v>
      </c>
      <c r="G347" s="59" t="s">
        <v>3106</v>
      </c>
      <c r="H347" s="60">
        <v>292.17</v>
      </c>
      <c r="I347" s="60">
        <v>301.49</v>
      </c>
      <c r="J347" s="60">
        <v>286.39999999999998</v>
      </c>
      <c r="K347" s="60">
        <v>0</v>
      </c>
      <c r="L347" s="60">
        <v>0</v>
      </c>
      <c r="M347" s="60">
        <v>0</v>
      </c>
      <c r="N347" s="60">
        <v>0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1400.5</v>
      </c>
      <c r="AD347" s="60">
        <v>1373.26</v>
      </c>
      <c r="AE347" s="60">
        <v>1369.66</v>
      </c>
      <c r="AF347" s="60">
        <v>0</v>
      </c>
      <c r="AG347" s="60">
        <v>0</v>
      </c>
      <c r="AH347" s="60">
        <v>0</v>
      </c>
      <c r="AI347" s="60">
        <v>1692.67</v>
      </c>
      <c r="AJ347" s="60">
        <v>1674.75</v>
      </c>
      <c r="AK347" s="60">
        <v>1656.06</v>
      </c>
      <c r="AL347" s="60">
        <v>0</v>
      </c>
      <c r="AM347" s="60">
        <v>0</v>
      </c>
      <c r="AN347" s="60">
        <v>0</v>
      </c>
      <c r="AO347" s="60">
        <v>1692.67</v>
      </c>
      <c r="AP347" s="60">
        <v>1674.75</v>
      </c>
      <c r="AQ347" s="60">
        <v>1656.06</v>
      </c>
      <c r="AR347" s="61">
        <v>1692.67</v>
      </c>
    </row>
    <row r="348" spans="1:44" x14ac:dyDescent="0.35">
      <c r="A348" s="49" t="str">
        <f t="shared" si="26"/>
        <v>49</v>
      </c>
      <c r="B348" s="27">
        <v>70854</v>
      </c>
      <c r="C348" s="25" t="str">
        <f t="shared" si="27"/>
        <v>0000000</v>
      </c>
      <c r="D348" s="26" t="s">
        <v>3663</v>
      </c>
      <c r="E348" s="25" t="s">
        <v>3109</v>
      </c>
      <c r="F348" s="25" t="s">
        <v>3052</v>
      </c>
      <c r="G348" s="59" t="s">
        <v>3110</v>
      </c>
      <c r="H348" s="60">
        <v>1514.5</v>
      </c>
      <c r="I348" s="60">
        <v>1455.35</v>
      </c>
      <c r="J348" s="60">
        <v>1428.5</v>
      </c>
      <c r="K348" s="60">
        <v>0</v>
      </c>
      <c r="L348" s="60">
        <v>0</v>
      </c>
      <c r="M348" s="60">
        <v>0</v>
      </c>
      <c r="N348" s="60">
        <v>0</v>
      </c>
      <c r="O348" s="60">
        <v>0</v>
      </c>
      <c r="P348" s="60">
        <v>0</v>
      </c>
      <c r="Q348" s="60">
        <v>0</v>
      </c>
      <c r="R348" s="60">
        <v>0</v>
      </c>
      <c r="S348" s="60">
        <v>0</v>
      </c>
      <c r="T348" s="60">
        <v>0</v>
      </c>
      <c r="U348" s="60">
        <v>0</v>
      </c>
      <c r="V348" s="60">
        <v>0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0">
        <v>685.91</v>
      </c>
      <c r="AD348" s="60">
        <v>675.74</v>
      </c>
      <c r="AE348" s="60">
        <v>689.27</v>
      </c>
      <c r="AF348" s="60">
        <v>0</v>
      </c>
      <c r="AG348" s="60">
        <v>0</v>
      </c>
      <c r="AH348" s="60">
        <v>0</v>
      </c>
      <c r="AI348" s="60">
        <v>2200.41</v>
      </c>
      <c r="AJ348" s="60">
        <v>2131.09</v>
      </c>
      <c r="AK348" s="60">
        <v>2117.77</v>
      </c>
      <c r="AL348" s="60">
        <v>0</v>
      </c>
      <c r="AM348" s="60">
        <v>0</v>
      </c>
      <c r="AN348" s="60">
        <v>0</v>
      </c>
      <c r="AO348" s="60">
        <v>2200.41</v>
      </c>
      <c r="AP348" s="60">
        <v>2131.09</v>
      </c>
      <c r="AQ348" s="60">
        <v>2117.77</v>
      </c>
      <c r="AR348" s="61">
        <v>2200.41</v>
      </c>
    </row>
    <row r="349" spans="1:44" x14ac:dyDescent="0.35">
      <c r="A349" s="49" t="str">
        <f t="shared" si="26"/>
        <v>49</v>
      </c>
      <c r="B349" s="27">
        <v>70862</v>
      </c>
      <c r="C349" s="25" t="str">
        <f t="shared" si="27"/>
        <v>0000000</v>
      </c>
      <c r="D349" s="26" t="s">
        <v>3663</v>
      </c>
      <c r="E349" s="25" t="s">
        <v>3111</v>
      </c>
      <c r="F349" s="25" t="s">
        <v>3052</v>
      </c>
      <c r="G349" s="59" t="s">
        <v>3112</v>
      </c>
      <c r="H349" s="60">
        <v>4115.67</v>
      </c>
      <c r="I349" s="60">
        <v>4125.38</v>
      </c>
      <c r="J349" s="60">
        <v>4252.0600000000004</v>
      </c>
      <c r="K349" s="60">
        <v>0</v>
      </c>
      <c r="L349" s="60">
        <v>0</v>
      </c>
      <c r="M349" s="60">
        <v>0</v>
      </c>
      <c r="N349" s="60">
        <v>0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560.61</v>
      </c>
      <c r="AD349" s="60">
        <v>536.80999999999995</v>
      </c>
      <c r="AE349" s="60">
        <v>500.97</v>
      </c>
      <c r="AF349" s="60">
        <v>0</v>
      </c>
      <c r="AG349" s="60">
        <v>0</v>
      </c>
      <c r="AH349" s="60">
        <v>0</v>
      </c>
      <c r="AI349" s="60">
        <v>4676.28</v>
      </c>
      <c r="AJ349" s="60">
        <v>4662.1899999999996</v>
      </c>
      <c r="AK349" s="60">
        <v>4753.03</v>
      </c>
      <c r="AL349" s="60">
        <v>0</v>
      </c>
      <c r="AM349" s="60">
        <v>0</v>
      </c>
      <c r="AN349" s="60">
        <v>0</v>
      </c>
      <c r="AO349" s="60">
        <v>4676.28</v>
      </c>
      <c r="AP349" s="60">
        <v>4662.1899999999996</v>
      </c>
      <c r="AQ349" s="60">
        <v>4753.03</v>
      </c>
      <c r="AR349" s="61">
        <v>4753.03</v>
      </c>
    </row>
    <row r="350" spans="1:44" x14ac:dyDescent="0.35">
      <c r="A350" s="49" t="str">
        <f t="shared" si="26"/>
        <v>49</v>
      </c>
      <c r="B350" s="27">
        <v>70870</v>
      </c>
      <c r="C350" s="25" t="str">
        <f t="shared" si="27"/>
        <v>0000000</v>
      </c>
      <c r="D350" s="26" t="s">
        <v>3663</v>
      </c>
      <c r="E350" s="25" t="s">
        <v>3113</v>
      </c>
      <c r="F350" s="25" t="s">
        <v>3052</v>
      </c>
      <c r="G350" s="59" t="s">
        <v>3114</v>
      </c>
      <c r="H350" s="60">
        <v>239.41</v>
      </c>
      <c r="I350" s="60">
        <v>253.71</v>
      </c>
      <c r="J350" s="60">
        <v>247.37</v>
      </c>
      <c r="K350" s="60">
        <v>0</v>
      </c>
      <c r="L350" s="60">
        <v>0</v>
      </c>
      <c r="M350" s="60">
        <v>0</v>
      </c>
      <c r="N350" s="60">
        <v>0</v>
      </c>
      <c r="O350" s="60">
        <v>0</v>
      </c>
      <c r="P350" s="60">
        <v>0</v>
      </c>
      <c r="Q350" s="60">
        <v>0</v>
      </c>
      <c r="R350" s="60">
        <v>0</v>
      </c>
      <c r="S350" s="60">
        <v>0</v>
      </c>
      <c r="T350" s="60">
        <v>0</v>
      </c>
      <c r="U350" s="60">
        <v>0</v>
      </c>
      <c r="V350" s="60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0</v>
      </c>
      <c r="AC350" s="60">
        <v>913.31</v>
      </c>
      <c r="AD350" s="60">
        <v>885.26</v>
      </c>
      <c r="AE350" s="60">
        <v>898.68</v>
      </c>
      <c r="AF350" s="60">
        <v>0</v>
      </c>
      <c r="AG350" s="60">
        <v>0</v>
      </c>
      <c r="AH350" s="60">
        <v>0</v>
      </c>
      <c r="AI350" s="60">
        <v>1152.72</v>
      </c>
      <c r="AJ350" s="60">
        <v>1138.97</v>
      </c>
      <c r="AK350" s="60">
        <v>1146.05</v>
      </c>
      <c r="AL350" s="60">
        <v>0</v>
      </c>
      <c r="AM350" s="60">
        <v>0</v>
      </c>
      <c r="AN350" s="60">
        <v>0</v>
      </c>
      <c r="AO350" s="60">
        <v>1152.72</v>
      </c>
      <c r="AP350" s="60">
        <v>1138.97</v>
      </c>
      <c r="AQ350" s="60">
        <v>1146.05</v>
      </c>
      <c r="AR350" s="61">
        <v>1152.72</v>
      </c>
    </row>
    <row r="351" spans="1:44" x14ac:dyDescent="0.35">
      <c r="A351" s="49" t="str">
        <f t="shared" si="26"/>
        <v>49</v>
      </c>
      <c r="B351" s="27">
        <v>70896</v>
      </c>
      <c r="C351" s="25" t="str">
        <f t="shared" si="27"/>
        <v>0000000</v>
      </c>
      <c r="D351" s="26" t="s">
        <v>3663</v>
      </c>
      <c r="E351" s="25" t="s">
        <v>3117</v>
      </c>
      <c r="F351" s="25" t="s">
        <v>3052</v>
      </c>
      <c r="G351" s="59" t="s">
        <v>3118</v>
      </c>
      <c r="H351" s="60">
        <v>1223.46</v>
      </c>
      <c r="I351" s="60">
        <v>1121.4100000000001</v>
      </c>
      <c r="J351" s="60">
        <v>1142.04</v>
      </c>
      <c r="K351" s="60">
        <v>0</v>
      </c>
      <c r="L351" s="60">
        <v>0</v>
      </c>
      <c r="M351" s="60">
        <v>0</v>
      </c>
      <c r="N351" s="60">
        <v>0</v>
      </c>
      <c r="O351" s="60">
        <v>0</v>
      </c>
      <c r="P351" s="60">
        <v>0</v>
      </c>
      <c r="Q351" s="60">
        <v>0</v>
      </c>
      <c r="R351" s="60">
        <v>0</v>
      </c>
      <c r="S351" s="60">
        <v>0</v>
      </c>
      <c r="T351" s="60">
        <v>0</v>
      </c>
      <c r="U351" s="60">
        <v>0</v>
      </c>
      <c r="V351" s="60">
        <v>0</v>
      </c>
      <c r="W351" s="60">
        <v>0</v>
      </c>
      <c r="X351" s="60">
        <v>0</v>
      </c>
      <c r="Y351" s="60">
        <v>0</v>
      </c>
      <c r="Z351" s="60">
        <v>0</v>
      </c>
      <c r="AA351" s="60">
        <v>0</v>
      </c>
      <c r="AB351" s="60">
        <v>0</v>
      </c>
      <c r="AC351" s="60">
        <v>1705.07</v>
      </c>
      <c r="AD351" s="60">
        <v>1665.81</v>
      </c>
      <c r="AE351" s="60">
        <v>1653.29</v>
      </c>
      <c r="AF351" s="60">
        <v>0</v>
      </c>
      <c r="AG351" s="60">
        <v>0</v>
      </c>
      <c r="AH351" s="60">
        <v>0</v>
      </c>
      <c r="AI351" s="60">
        <v>2928.53</v>
      </c>
      <c r="AJ351" s="60">
        <v>2787.22</v>
      </c>
      <c r="AK351" s="60">
        <v>2795.33</v>
      </c>
      <c r="AL351" s="60">
        <v>0</v>
      </c>
      <c r="AM351" s="60">
        <v>0</v>
      </c>
      <c r="AN351" s="60">
        <v>0</v>
      </c>
      <c r="AO351" s="60">
        <v>2928.53</v>
      </c>
      <c r="AP351" s="60">
        <v>2787.22</v>
      </c>
      <c r="AQ351" s="60">
        <v>2795.33</v>
      </c>
      <c r="AR351" s="61">
        <v>2928.53</v>
      </c>
    </row>
    <row r="352" spans="1:44" x14ac:dyDescent="0.35">
      <c r="A352" s="49" t="str">
        <f t="shared" si="26"/>
        <v>49</v>
      </c>
      <c r="B352" s="27">
        <v>70904</v>
      </c>
      <c r="C352" s="25" t="str">
        <f t="shared" si="27"/>
        <v>0000000</v>
      </c>
      <c r="D352" s="26" t="s">
        <v>3663</v>
      </c>
      <c r="E352" s="25" t="s">
        <v>3119</v>
      </c>
      <c r="F352" s="25" t="s">
        <v>3052</v>
      </c>
      <c r="G352" s="59" t="s">
        <v>3120</v>
      </c>
      <c r="H352" s="60">
        <v>1396.78</v>
      </c>
      <c r="I352" s="60">
        <v>1353.79</v>
      </c>
      <c r="J352" s="60">
        <v>1325.5</v>
      </c>
      <c r="K352" s="60">
        <v>0</v>
      </c>
      <c r="L352" s="60">
        <v>0</v>
      </c>
      <c r="M352" s="60">
        <v>0</v>
      </c>
      <c r="N352" s="60">
        <v>0</v>
      </c>
      <c r="O352" s="60">
        <v>0</v>
      </c>
      <c r="P352" s="60">
        <v>0</v>
      </c>
      <c r="Q352" s="60">
        <v>0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1165.6300000000001</v>
      </c>
      <c r="AD352" s="60">
        <v>1189.6400000000001</v>
      </c>
      <c r="AE352" s="60">
        <v>1257.47</v>
      </c>
      <c r="AF352" s="60">
        <v>0</v>
      </c>
      <c r="AG352" s="60">
        <v>0</v>
      </c>
      <c r="AH352" s="60">
        <v>0</v>
      </c>
      <c r="AI352" s="60">
        <v>2562.41</v>
      </c>
      <c r="AJ352" s="60">
        <v>2543.4299999999998</v>
      </c>
      <c r="AK352" s="60">
        <v>2582.9699999999998</v>
      </c>
      <c r="AL352" s="60">
        <v>0</v>
      </c>
      <c r="AM352" s="60">
        <v>0</v>
      </c>
      <c r="AN352" s="60">
        <v>0</v>
      </c>
      <c r="AO352" s="60">
        <v>2562.41</v>
      </c>
      <c r="AP352" s="60">
        <v>2543.4299999999998</v>
      </c>
      <c r="AQ352" s="60">
        <v>2582.9699999999998</v>
      </c>
      <c r="AR352" s="61">
        <v>2582.9699999999998</v>
      </c>
    </row>
    <row r="353" spans="1:44" x14ac:dyDescent="0.35">
      <c r="A353" s="49" t="str">
        <f t="shared" si="26"/>
        <v>49</v>
      </c>
      <c r="B353" s="27">
        <v>70912</v>
      </c>
      <c r="C353" s="25" t="str">
        <f t="shared" si="27"/>
        <v>0000000</v>
      </c>
      <c r="D353" s="26" t="s">
        <v>3663</v>
      </c>
      <c r="E353" s="25" t="s">
        <v>3121</v>
      </c>
      <c r="F353" s="25" t="s">
        <v>3052</v>
      </c>
      <c r="G353" s="59" t="s">
        <v>3122</v>
      </c>
      <c r="H353" s="60">
        <v>2841.72</v>
      </c>
      <c r="I353" s="60">
        <v>2795.07</v>
      </c>
      <c r="J353" s="60">
        <v>2777.55</v>
      </c>
      <c r="K353" s="60">
        <v>0</v>
      </c>
      <c r="L353" s="60">
        <v>0</v>
      </c>
      <c r="M353" s="60">
        <v>0</v>
      </c>
      <c r="N353" s="60">
        <v>0</v>
      </c>
      <c r="O353" s="60">
        <v>0</v>
      </c>
      <c r="P353" s="60">
        <v>0</v>
      </c>
      <c r="Q353" s="60">
        <v>0</v>
      </c>
      <c r="R353" s="60">
        <v>0</v>
      </c>
      <c r="S353" s="60">
        <v>0</v>
      </c>
      <c r="T353" s="60">
        <v>0</v>
      </c>
      <c r="U353" s="60">
        <v>0</v>
      </c>
      <c r="V353" s="60">
        <v>0</v>
      </c>
      <c r="W353" s="60">
        <v>0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1680.58</v>
      </c>
      <c r="AD353" s="60">
        <v>1629.35</v>
      </c>
      <c r="AE353" s="60">
        <v>1657.47</v>
      </c>
      <c r="AF353" s="60">
        <v>0</v>
      </c>
      <c r="AG353" s="60">
        <v>0</v>
      </c>
      <c r="AH353" s="60">
        <v>0</v>
      </c>
      <c r="AI353" s="60">
        <v>4522.3</v>
      </c>
      <c r="AJ353" s="60">
        <v>4424.42</v>
      </c>
      <c r="AK353" s="60">
        <v>4435.0200000000004</v>
      </c>
      <c r="AL353" s="60">
        <v>0</v>
      </c>
      <c r="AM353" s="60">
        <v>0</v>
      </c>
      <c r="AN353" s="60">
        <v>0</v>
      </c>
      <c r="AO353" s="60">
        <v>4522.3</v>
      </c>
      <c r="AP353" s="60">
        <v>4424.42</v>
      </c>
      <c r="AQ353" s="60">
        <v>4435.0200000000004</v>
      </c>
      <c r="AR353" s="61">
        <v>4522.3</v>
      </c>
    </row>
    <row r="354" spans="1:44" x14ac:dyDescent="0.35">
      <c r="A354" s="49" t="str">
        <f t="shared" si="26"/>
        <v>49</v>
      </c>
      <c r="B354" s="27">
        <v>70920</v>
      </c>
      <c r="C354" s="25" t="str">
        <f t="shared" si="27"/>
        <v>0000000</v>
      </c>
      <c r="D354" s="26" t="s">
        <v>3663</v>
      </c>
      <c r="E354" s="25" t="s">
        <v>3123</v>
      </c>
      <c r="F354" s="25" t="s">
        <v>3052</v>
      </c>
      <c r="G354" s="59" t="s">
        <v>3124</v>
      </c>
      <c r="H354" s="60">
        <v>8893.26</v>
      </c>
      <c r="I354" s="60">
        <v>8926.5499999999993</v>
      </c>
      <c r="J354" s="60">
        <v>9077.34</v>
      </c>
      <c r="K354" s="60">
        <v>0</v>
      </c>
      <c r="L354" s="60">
        <v>0</v>
      </c>
      <c r="M354" s="60">
        <v>0</v>
      </c>
      <c r="N354" s="60">
        <v>0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60">
        <v>0</v>
      </c>
      <c r="U354" s="60">
        <v>0</v>
      </c>
      <c r="V354" s="60">
        <v>0</v>
      </c>
      <c r="W354" s="60">
        <v>0</v>
      </c>
      <c r="X354" s="60">
        <v>0</v>
      </c>
      <c r="Y354" s="60">
        <v>0</v>
      </c>
      <c r="Z354" s="60">
        <v>0</v>
      </c>
      <c r="AA354" s="60">
        <v>0</v>
      </c>
      <c r="AB354" s="60">
        <v>0</v>
      </c>
      <c r="AC354" s="60">
        <v>123.61</v>
      </c>
      <c r="AD354" s="60">
        <v>120.9</v>
      </c>
      <c r="AE354" s="60">
        <v>121.17</v>
      </c>
      <c r="AF354" s="60">
        <v>0</v>
      </c>
      <c r="AG354" s="60">
        <v>0</v>
      </c>
      <c r="AH354" s="60">
        <v>0</v>
      </c>
      <c r="AI354" s="60">
        <v>9016.8700000000008</v>
      </c>
      <c r="AJ354" s="60">
        <v>9047.4500000000007</v>
      </c>
      <c r="AK354" s="60">
        <v>9198.51</v>
      </c>
      <c r="AL354" s="60">
        <v>0</v>
      </c>
      <c r="AM354" s="60">
        <v>0</v>
      </c>
      <c r="AN354" s="60">
        <v>0</v>
      </c>
      <c r="AO354" s="60">
        <v>9016.8700000000008</v>
      </c>
      <c r="AP354" s="60">
        <v>9047.4500000000007</v>
      </c>
      <c r="AQ354" s="60">
        <v>9198.51</v>
      </c>
      <c r="AR354" s="61">
        <v>9198.51</v>
      </c>
    </row>
    <row r="355" spans="1:44" x14ac:dyDescent="0.35">
      <c r="A355" s="49" t="str">
        <f t="shared" si="26"/>
        <v>49</v>
      </c>
      <c r="B355" s="27">
        <v>70938</v>
      </c>
      <c r="C355" s="25" t="str">
        <f t="shared" si="27"/>
        <v>0000000</v>
      </c>
      <c r="D355" s="26" t="s">
        <v>3663</v>
      </c>
      <c r="E355" s="25" t="s">
        <v>3125</v>
      </c>
      <c r="F355" s="25" t="s">
        <v>3052</v>
      </c>
      <c r="G355" s="59" t="s">
        <v>3126</v>
      </c>
      <c r="H355" s="60">
        <v>415.52</v>
      </c>
      <c r="I355" s="60">
        <v>395.89</v>
      </c>
      <c r="J355" s="60">
        <v>404.32</v>
      </c>
      <c r="K355" s="60">
        <v>0</v>
      </c>
      <c r="L355" s="60">
        <v>0</v>
      </c>
      <c r="M355" s="60">
        <v>0</v>
      </c>
      <c r="N355" s="60">
        <v>0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>
        <v>0</v>
      </c>
      <c r="X355" s="60">
        <v>0</v>
      </c>
      <c r="Y355" s="60">
        <v>0</v>
      </c>
      <c r="Z355" s="60">
        <v>0</v>
      </c>
      <c r="AA355" s="60">
        <v>0</v>
      </c>
      <c r="AB355" s="60">
        <v>0</v>
      </c>
      <c r="AC355" s="60">
        <v>0</v>
      </c>
      <c r="AD355" s="60">
        <v>0</v>
      </c>
      <c r="AE355" s="60">
        <v>247.08</v>
      </c>
      <c r="AF355" s="60">
        <v>0</v>
      </c>
      <c r="AG355" s="60">
        <v>0</v>
      </c>
      <c r="AH355" s="60">
        <v>0</v>
      </c>
      <c r="AI355" s="60">
        <v>415.52</v>
      </c>
      <c r="AJ355" s="60">
        <v>395.89</v>
      </c>
      <c r="AK355" s="60">
        <v>651.4</v>
      </c>
      <c r="AL355" s="60">
        <v>0</v>
      </c>
      <c r="AM355" s="60">
        <v>0</v>
      </c>
      <c r="AN355" s="60">
        <v>-247.08</v>
      </c>
      <c r="AO355" s="60">
        <v>415.52</v>
      </c>
      <c r="AP355" s="60">
        <v>395.89</v>
      </c>
      <c r="AQ355" s="60">
        <v>404.32</v>
      </c>
      <c r="AR355" s="61">
        <v>415.52</v>
      </c>
    </row>
    <row r="356" spans="1:44" x14ac:dyDescent="0.35">
      <c r="A356" s="49" t="str">
        <f t="shared" si="26"/>
        <v>49</v>
      </c>
      <c r="B356" s="27">
        <v>70953</v>
      </c>
      <c r="C356" s="25" t="str">
        <f t="shared" si="27"/>
        <v>0000000</v>
      </c>
      <c r="D356" s="26" t="s">
        <v>3663</v>
      </c>
      <c r="E356" s="25" t="s">
        <v>3132</v>
      </c>
      <c r="F356" s="25" t="s">
        <v>3052</v>
      </c>
      <c r="G356" s="59" t="s">
        <v>3133</v>
      </c>
      <c r="H356" s="60">
        <v>2899.64</v>
      </c>
      <c r="I356" s="60">
        <v>2907.23</v>
      </c>
      <c r="J356" s="60">
        <v>2978.47</v>
      </c>
      <c r="K356" s="60">
        <v>0</v>
      </c>
      <c r="L356" s="60">
        <v>0</v>
      </c>
      <c r="M356" s="60">
        <v>0</v>
      </c>
      <c r="N356" s="60">
        <v>0</v>
      </c>
      <c r="O356" s="60">
        <v>0</v>
      </c>
      <c r="P356" s="60">
        <v>0</v>
      </c>
      <c r="Q356" s="60">
        <v>0</v>
      </c>
      <c r="R356" s="60">
        <v>0</v>
      </c>
      <c r="S356" s="60">
        <v>0</v>
      </c>
      <c r="T356" s="60">
        <v>0</v>
      </c>
      <c r="U356" s="60">
        <v>0</v>
      </c>
      <c r="V356" s="60">
        <v>0</v>
      </c>
      <c r="W356" s="60">
        <v>0</v>
      </c>
      <c r="X356" s="60">
        <v>0</v>
      </c>
      <c r="Y356" s="60">
        <v>0</v>
      </c>
      <c r="Z356" s="60">
        <v>0</v>
      </c>
      <c r="AA356" s="60">
        <v>0</v>
      </c>
      <c r="AB356" s="60">
        <v>0</v>
      </c>
      <c r="AC356" s="60">
        <v>0</v>
      </c>
      <c r="AD356" s="60">
        <v>0</v>
      </c>
      <c r="AE356" s="60">
        <v>0</v>
      </c>
      <c r="AF356" s="60">
        <v>0</v>
      </c>
      <c r="AG356" s="60">
        <v>0</v>
      </c>
      <c r="AH356" s="60">
        <v>0</v>
      </c>
      <c r="AI356" s="60">
        <v>2899.64</v>
      </c>
      <c r="AJ356" s="60">
        <v>2907.23</v>
      </c>
      <c r="AK356" s="60">
        <v>2978.47</v>
      </c>
      <c r="AL356" s="60">
        <v>0</v>
      </c>
      <c r="AM356" s="60">
        <v>0</v>
      </c>
      <c r="AN356" s="60">
        <v>0</v>
      </c>
      <c r="AO356" s="60">
        <v>2899.64</v>
      </c>
      <c r="AP356" s="60">
        <v>2907.23</v>
      </c>
      <c r="AQ356" s="60">
        <v>2978.47</v>
      </c>
      <c r="AR356" s="61">
        <v>2978.47</v>
      </c>
    </row>
    <row r="357" spans="1:44" x14ac:dyDescent="0.35">
      <c r="A357" s="49" t="str">
        <f t="shared" si="26"/>
        <v>49</v>
      </c>
      <c r="B357" s="27">
        <v>70961</v>
      </c>
      <c r="C357" s="25" t="str">
        <f t="shared" si="27"/>
        <v>0000000</v>
      </c>
      <c r="D357" s="26" t="s">
        <v>3663</v>
      </c>
      <c r="E357" s="25" t="s">
        <v>3140</v>
      </c>
      <c r="F357" s="25" t="s">
        <v>3052</v>
      </c>
      <c r="G357" s="59" t="s">
        <v>3141</v>
      </c>
      <c r="H357" s="60">
        <v>267.72000000000003</v>
      </c>
      <c r="I357" s="60">
        <v>272.20999999999998</v>
      </c>
      <c r="J357" s="60">
        <v>287.33999999999997</v>
      </c>
      <c r="K357" s="60">
        <v>0</v>
      </c>
      <c r="L357" s="60">
        <v>0</v>
      </c>
      <c r="M357" s="60">
        <v>0</v>
      </c>
      <c r="N357" s="60">
        <v>0</v>
      </c>
      <c r="O357" s="60">
        <v>0</v>
      </c>
      <c r="P357" s="60">
        <v>0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0</v>
      </c>
      <c r="W357" s="60">
        <v>0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632.38</v>
      </c>
      <c r="AD357" s="60">
        <v>608.47</v>
      </c>
      <c r="AE357" s="60">
        <v>605.16</v>
      </c>
      <c r="AF357" s="60">
        <v>0</v>
      </c>
      <c r="AG357" s="60">
        <v>0</v>
      </c>
      <c r="AH357" s="60">
        <v>0</v>
      </c>
      <c r="AI357" s="60">
        <v>900.1</v>
      </c>
      <c r="AJ357" s="60">
        <v>880.68</v>
      </c>
      <c r="AK357" s="60">
        <v>892.5</v>
      </c>
      <c r="AL357" s="60">
        <v>0</v>
      </c>
      <c r="AM357" s="60">
        <v>0</v>
      </c>
      <c r="AN357" s="60">
        <v>0</v>
      </c>
      <c r="AO357" s="60">
        <v>900.1</v>
      </c>
      <c r="AP357" s="60">
        <v>880.68</v>
      </c>
      <c r="AQ357" s="60">
        <v>892.5</v>
      </c>
      <c r="AR357" s="61">
        <v>900.1</v>
      </c>
    </row>
    <row r="358" spans="1:44" x14ac:dyDescent="0.35">
      <c r="A358" s="49" t="str">
        <f t="shared" si="26"/>
        <v>49</v>
      </c>
      <c r="B358" s="27">
        <v>71001</v>
      </c>
      <c r="C358" s="25" t="str">
        <f t="shared" si="27"/>
        <v>0000000</v>
      </c>
      <c r="D358" s="26" t="s">
        <v>3663</v>
      </c>
      <c r="E358" s="25" t="s">
        <v>3146</v>
      </c>
      <c r="F358" s="25" t="s">
        <v>3052</v>
      </c>
      <c r="G358" s="59" t="s">
        <v>3147</v>
      </c>
      <c r="H358" s="60">
        <v>129.03</v>
      </c>
      <c r="I358" s="60">
        <v>127.2</v>
      </c>
      <c r="J358" s="60">
        <v>133.94999999999999</v>
      </c>
      <c r="K358" s="60">
        <v>0</v>
      </c>
      <c r="L358" s="60">
        <v>0</v>
      </c>
      <c r="M358" s="60">
        <v>0</v>
      </c>
      <c r="N358" s="60">
        <v>0</v>
      </c>
      <c r="O358" s="60">
        <v>0</v>
      </c>
      <c r="P358" s="60">
        <v>0</v>
      </c>
      <c r="Q358" s="60">
        <v>0</v>
      </c>
      <c r="R358" s="60">
        <v>0</v>
      </c>
      <c r="S358" s="60">
        <v>0</v>
      </c>
      <c r="T358" s="60">
        <v>0</v>
      </c>
      <c r="U358" s="60">
        <v>0</v>
      </c>
      <c r="V358" s="60">
        <v>0</v>
      </c>
      <c r="W358" s="60">
        <v>0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>
        <v>0</v>
      </c>
      <c r="AE358" s="60">
        <v>0</v>
      </c>
      <c r="AF358" s="60">
        <v>0</v>
      </c>
      <c r="AG358" s="60">
        <v>0</v>
      </c>
      <c r="AH358" s="60">
        <v>0</v>
      </c>
      <c r="AI358" s="60">
        <v>129.03</v>
      </c>
      <c r="AJ358" s="60">
        <v>127.2</v>
      </c>
      <c r="AK358" s="60">
        <v>133.94999999999999</v>
      </c>
      <c r="AL358" s="60">
        <v>0</v>
      </c>
      <c r="AM358" s="60">
        <v>0</v>
      </c>
      <c r="AN358" s="60">
        <v>0</v>
      </c>
      <c r="AO358" s="60">
        <v>129.03</v>
      </c>
      <c r="AP358" s="60">
        <v>127.2</v>
      </c>
      <c r="AQ358" s="60">
        <v>133.94999999999999</v>
      </c>
      <c r="AR358" s="61">
        <v>133.94999999999999</v>
      </c>
    </row>
    <row r="359" spans="1:44" x14ac:dyDescent="0.35">
      <c r="A359" s="49" t="str">
        <f t="shared" si="26"/>
        <v>49</v>
      </c>
      <c r="B359" s="27">
        <v>71019</v>
      </c>
      <c r="C359" s="25" t="str">
        <f t="shared" si="27"/>
        <v>0000000</v>
      </c>
      <c r="D359" s="26" t="s">
        <v>3663</v>
      </c>
      <c r="E359" s="25" t="s">
        <v>3148</v>
      </c>
      <c r="F359" s="25" t="s">
        <v>3052</v>
      </c>
      <c r="G359" s="59" t="s">
        <v>3149</v>
      </c>
      <c r="H359" s="60">
        <v>214.15</v>
      </c>
      <c r="I359" s="60">
        <v>209.88</v>
      </c>
      <c r="J359" s="60">
        <v>204.28</v>
      </c>
      <c r="K359" s="60">
        <v>0</v>
      </c>
      <c r="L359" s="60">
        <v>0</v>
      </c>
      <c r="M359" s="60">
        <v>0</v>
      </c>
      <c r="N359" s="60">
        <v>0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60">
        <v>0</v>
      </c>
      <c r="U359" s="60">
        <v>0</v>
      </c>
      <c r="V359" s="60">
        <v>0</v>
      </c>
      <c r="W359" s="60">
        <v>0</v>
      </c>
      <c r="X359" s="60">
        <v>0</v>
      </c>
      <c r="Y359" s="60">
        <v>0</v>
      </c>
      <c r="Z359" s="60">
        <v>0</v>
      </c>
      <c r="AA359" s="60">
        <v>0</v>
      </c>
      <c r="AB359" s="60">
        <v>0</v>
      </c>
      <c r="AC359" s="60">
        <v>0</v>
      </c>
      <c r="AD359" s="60">
        <v>0</v>
      </c>
      <c r="AE359" s="60">
        <v>0</v>
      </c>
      <c r="AF359" s="60">
        <v>0</v>
      </c>
      <c r="AG359" s="60">
        <v>0</v>
      </c>
      <c r="AH359" s="60">
        <v>0</v>
      </c>
      <c r="AI359" s="60">
        <v>214.15</v>
      </c>
      <c r="AJ359" s="60">
        <v>209.88</v>
      </c>
      <c r="AK359" s="60">
        <v>204.28</v>
      </c>
      <c r="AL359" s="60">
        <v>0</v>
      </c>
      <c r="AM359" s="60">
        <v>0</v>
      </c>
      <c r="AN359" s="60">
        <v>0</v>
      </c>
      <c r="AO359" s="60">
        <v>214.15</v>
      </c>
      <c r="AP359" s="60">
        <v>209.88</v>
      </c>
      <c r="AQ359" s="60">
        <v>204.28</v>
      </c>
      <c r="AR359" s="61">
        <v>214.15</v>
      </c>
    </row>
    <row r="360" spans="1:44" x14ac:dyDescent="0.35">
      <c r="A360" s="49" t="str">
        <f t="shared" si="26"/>
        <v>49</v>
      </c>
      <c r="B360" s="27">
        <v>71035</v>
      </c>
      <c r="C360" s="25" t="str">
        <f t="shared" si="27"/>
        <v>0000000</v>
      </c>
      <c r="D360" s="26" t="s">
        <v>3663</v>
      </c>
      <c r="E360" s="25" t="s">
        <v>3150</v>
      </c>
      <c r="F360" s="25" t="s">
        <v>3052</v>
      </c>
      <c r="G360" s="59" t="s">
        <v>3151</v>
      </c>
      <c r="H360" s="60">
        <v>709.66</v>
      </c>
      <c r="I360" s="60">
        <v>715.19</v>
      </c>
      <c r="J360" s="60">
        <v>764.31</v>
      </c>
      <c r="K360" s="60">
        <v>0</v>
      </c>
      <c r="L360" s="60">
        <v>0</v>
      </c>
      <c r="M360" s="60">
        <v>0</v>
      </c>
      <c r="N360" s="60">
        <v>0</v>
      </c>
      <c r="O360" s="60">
        <v>0</v>
      </c>
      <c r="P360" s="60">
        <v>0</v>
      </c>
      <c r="Q360" s="60">
        <v>0</v>
      </c>
      <c r="R360" s="60">
        <v>0</v>
      </c>
      <c r="S360" s="60">
        <v>0</v>
      </c>
      <c r="T360" s="60">
        <v>0</v>
      </c>
      <c r="U360" s="60">
        <v>0</v>
      </c>
      <c r="V360" s="60">
        <v>0</v>
      </c>
      <c r="W360" s="60">
        <v>0</v>
      </c>
      <c r="X360" s="60">
        <v>0</v>
      </c>
      <c r="Y360" s="60">
        <v>0</v>
      </c>
      <c r="Z360" s="60">
        <v>0</v>
      </c>
      <c r="AA360" s="60">
        <v>0</v>
      </c>
      <c r="AB360" s="60">
        <v>0</v>
      </c>
      <c r="AC360" s="60">
        <v>416.21</v>
      </c>
      <c r="AD360" s="60">
        <v>415.1</v>
      </c>
      <c r="AE360" s="60">
        <v>365.69</v>
      </c>
      <c r="AF360" s="60">
        <v>0</v>
      </c>
      <c r="AG360" s="60">
        <v>0</v>
      </c>
      <c r="AH360" s="60">
        <v>0</v>
      </c>
      <c r="AI360" s="60">
        <v>1125.8699999999999</v>
      </c>
      <c r="AJ360" s="60">
        <v>1130.29</v>
      </c>
      <c r="AK360" s="60">
        <v>1130</v>
      </c>
      <c r="AL360" s="60">
        <v>0</v>
      </c>
      <c r="AM360" s="60">
        <v>0</v>
      </c>
      <c r="AN360" s="60">
        <v>0</v>
      </c>
      <c r="AO360" s="60">
        <v>1125.8699999999999</v>
      </c>
      <c r="AP360" s="60">
        <v>1130.29</v>
      </c>
      <c r="AQ360" s="60">
        <v>1130</v>
      </c>
      <c r="AR360" s="61">
        <v>1130.29</v>
      </c>
    </row>
    <row r="361" spans="1:44" x14ac:dyDescent="0.35">
      <c r="A361" s="49" t="str">
        <f t="shared" si="26"/>
        <v>49</v>
      </c>
      <c r="B361" s="27">
        <v>70995</v>
      </c>
      <c r="C361" s="25" t="str">
        <f t="shared" si="27"/>
        <v>0000000</v>
      </c>
      <c r="D361" s="26" t="s">
        <v>3663</v>
      </c>
      <c r="E361" s="25" t="s">
        <v>3144</v>
      </c>
      <c r="F361" s="25" t="s">
        <v>3052</v>
      </c>
      <c r="G361" s="59" t="s">
        <v>3145</v>
      </c>
      <c r="H361" s="60">
        <v>742.71</v>
      </c>
      <c r="I361" s="60">
        <v>721.85</v>
      </c>
      <c r="J361" s="60">
        <v>753.57</v>
      </c>
      <c r="K361" s="60">
        <v>0</v>
      </c>
      <c r="L361" s="60">
        <v>0</v>
      </c>
      <c r="M361" s="60">
        <v>0</v>
      </c>
      <c r="N361" s="60">
        <v>0</v>
      </c>
      <c r="O361" s="60">
        <v>0</v>
      </c>
      <c r="P361" s="60">
        <v>0</v>
      </c>
      <c r="Q361" s="60">
        <v>0</v>
      </c>
      <c r="R361" s="60">
        <v>0</v>
      </c>
      <c r="S361" s="60">
        <v>0</v>
      </c>
      <c r="T361" s="60">
        <v>0</v>
      </c>
      <c r="U361" s="60">
        <v>0</v>
      </c>
      <c r="V361" s="60">
        <v>0</v>
      </c>
      <c r="W361" s="60">
        <v>0</v>
      </c>
      <c r="X361" s="60">
        <v>0</v>
      </c>
      <c r="Y361" s="60">
        <v>0</v>
      </c>
      <c r="Z361" s="60">
        <v>0</v>
      </c>
      <c r="AA361" s="60">
        <v>0</v>
      </c>
      <c r="AB361" s="60">
        <v>0</v>
      </c>
      <c r="AC361" s="60">
        <v>0</v>
      </c>
      <c r="AD361" s="60">
        <v>0</v>
      </c>
      <c r="AE361" s="60">
        <v>0</v>
      </c>
      <c r="AF361" s="60">
        <v>0</v>
      </c>
      <c r="AG361" s="60">
        <v>0</v>
      </c>
      <c r="AH361" s="60">
        <v>0</v>
      </c>
      <c r="AI361" s="60">
        <v>742.71</v>
      </c>
      <c r="AJ361" s="60">
        <v>721.85</v>
      </c>
      <c r="AK361" s="60">
        <v>753.57</v>
      </c>
      <c r="AL361" s="60">
        <v>0</v>
      </c>
      <c r="AM361" s="60">
        <v>0</v>
      </c>
      <c r="AN361" s="60">
        <v>0</v>
      </c>
      <c r="AO361" s="60">
        <v>742.71</v>
      </c>
      <c r="AP361" s="60">
        <v>721.85</v>
      </c>
      <c r="AQ361" s="60">
        <v>753.57</v>
      </c>
      <c r="AR361" s="61">
        <v>753.57</v>
      </c>
    </row>
    <row r="362" spans="1:44" x14ac:dyDescent="0.35">
      <c r="A362" s="49" t="str">
        <f t="shared" si="26"/>
        <v>49</v>
      </c>
      <c r="B362" s="27">
        <v>70979</v>
      </c>
      <c r="C362" s="25" t="str">
        <f t="shared" si="27"/>
        <v>0000000</v>
      </c>
      <c r="D362" s="26" t="s">
        <v>3663</v>
      </c>
      <c r="E362" s="25" t="s">
        <v>3142</v>
      </c>
      <c r="F362" s="25" t="s">
        <v>3052</v>
      </c>
      <c r="G362" s="59" t="s">
        <v>3143</v>
      </c>
      <c r="H362" s="60">
        <v>114.49</v>
      </c>
      <c r="I362" s="60">
        <v>120.17</v>
      </c>
      <c r="J362" s="60">
        <v>126.36</v>
      </c>
      <c r="K362" s="60">
        <v>0</v>
      </c>
      <c r="L362" s="60">
        <v>0</v>
      </c>
      <c r="M362" s="60">
        <v>0</v>
      </c>
      <c r="N362" s="60">
        <v>0</v>
      </c>
      <c r="O362" s="60">
        <v>0</v>
      </c>
      <c r="P362" s="60">
        <v>0</v>
      </c>
      <c r="Q362" s="60">
        <v>0</v>
      </c>
      <c r="R362" s="60">
        <v>0</v>
      </c>
      <c r="S362" s="60">
        <v>0</v>
      </c>
      <c r="T362" s="60">
        <v>0</v>
      </c>
      <c r="U362" s="60">
        <v>0</v>
      </c>
      <c r="V362" s="60">
        <v>0</v>
      </c>
      <c r="W362" s="60">
        <v>0</v>
      </c>
      <c r="X362" s="60">
        <v>0</v>
      </c>
      <c r="Y362" s="60">
        <v>0</v>
      </c>
      <c r="Z362" s="60">
        <v>0</v>
      </c>
      <c r="AA362" s="60">
        <v>0</v>
      </c>
      <c r="AB362" s="60">
        <v>0</v>
      </c>
      <c r="AC362" s="60">
        <v>0</v>
      </c>
      <c r="AD362" s="60">
        <v>0</v>
      </c>
      <c r="AE362" s="60">
        <v>0</v>
      </c>
      <c r="AF362" s="60">
        <v>0</v>
      </c>
      <c r="AG362" s="60">
        <v>0</v>
      </c>
      <c r="AH362" s="60">
        <v>0</v>
      </c>
      <c r="AI362" s="60">
        <v>114.49</v>
      </c>
      <c r="AJ362" s="60">
        <v>120.17</v>
      </c>
      <c r="AK362" s="60">
        <v>126.36</v>
      </c>
      <c r="AL362" s="60">
        <v>0</v>
      </c>
      <c r="AM362" s="60">
        <v>0</v>
      </c>
      <c r="AN362" s="60">
        <v>0</v>
      </c>
      <c r="AO362" s="60">
        <v>114.49</v>
      </c>
      <c r="AP362" s="60">
        <v>120.17</v>
      </c>
      <c r="AQ362" s="60">
        <v>126.36</v>
      </c>
      <c r="AR362" s="61">
        <v>126.36</v>
      </c>
    </row>
    <row r="363" spans="1:44" x14ac:dyDescent="0.35">
      <c r="A363" s="49" t="str">
        <f t="shared" si="26"/>
        <v>49</v>
      </c>
      <c r="B363" s="27">
        <v>75358</v>
      </c>
      <c r="C363" s="25" t="str">
        <f t="shared" si="27"/>
        <v>0000000</v>
      </c>
      <c r="D363" s="26" t="s">
        <v>3663</v>
      </c>
      <c r="E363" s="25" t="s">
        <v>3156</v>
      </c>
      <c r="F363" s="25" t="s">
        <v>3052</v>
      </c>
      <c r="G363" s="59" t="s">
        <v>3157</v>
      </c>
      <c r="H363" s="60">
        <v>3285.63</v>
      </c>
      <c r="I363" s="60">
        <v>3189.14</v>
      </c>
      <c r="J363" s="60">
        <v>3189.76</v>
      </c>
      <c r="K363" s="60">
        <v>0</v>
      </c>
      <c r="L363" s="60">
        <v>0</v>
      </c>
      <c r="M363" s="60">
        <v>0</v>
      </c>
      <c r="N363" s="60">
        <v>0</v>
      </c>
      <c r="O363" s="60">
        <v>0</v>
      </c>
      <c r="P363" s="60">
        <v>0</v>
      </c>
      <c r="Q363" s="60">
        <v>0</v>
      </c>
      <c r="R363" s="60">
        <v>0</v>
      </c>
      <c r="S363" s="60">
        <v>0</v>
      </c>
      <c r="T363" s="60">
        <v>0</v>
      </c>
      <c r="U363" s="60">
        <v>0</v>
      </c>
      <c r="V363" s="60">
        <v>0</v>
      </c>
      <c r="W363" s="60">
        <v>0</v>
      </c>
      <c r="X363" s="60">
        <v>0</v>
      </c>
      <c r="Y363" s="60">
        <v>0</v>
      </c>
      <c r="Z363" s="60">
        <v>0</v>
      </c>
      <c r="AA363" s="60">
        <v>0</v>
      </c>
      <c r="AB363" s="60">
        <v>0</v>
      </c>
      <c r="AC363" s="60">
        <v>1116.6400000000001</v>
      </c>
      <c r="AD363" s="60">
        <v>1118.7</v>
      </c>
      <c r="AE363" s="60">
        <v>1158.72</v>
      </c>
      <c r="AF363" s="60">
        <v>0</v>
      </c>
      <c r="AG363" s="60">
        <v>0</v>
      </c>
      <c r="AH363" s="60">
        <v>0</v>
      </c>
      <c r="AI363" s="60">
        <v>4402.2700000000004</v>
      </c>
      <c r="AJ363" s="60">
        <v>4307.84</v>
      </c>
      <c r="AK363" s="60">
        <v>4348.4799999999996</v>
      </c>
      <c r="AL363" s="60">
        <v>0</v>
      </c>
      <c r="AM363" s="60">
        <v>0</v>
      </c>
      <c r="AN363" s="60">
        <v>0</v>
      </c>
      <c r="AO363" s="60">
        <v>4402.2700000000004</v>
      </c>
      <c r="AP363" s="60">
        <v>4307.84</v>
      </c>
      <c r="AQ363" s="60">
        <v>4348.4799999999996</v>
      </c>
      <c r="AR363" s="61">
        <v>4402.2700000000004</v>
      </c>
    </row>
    <row r="364" spans="1:44" x14ac:dyDescent="0.35">
      <c r="A364" s="49" t="str">
        <f t="shared" si="26"/>
        <v>49</v>
      </c>
      <c r="B364" s="27">
        <v>75390</v>
      </c>
      <c r="C364" s="25" t="str">
        <f t="shared" si="27"/>
        <v>0000000</v>
      </c>
      <c r="D364" s="26" t="s">
        <v>3663</v>
      </c>
      <c r="E364" s="25" t="s">
        <v>3158</v>
      </c>
      <c r="F364" s="25" t="s">
        <v>3052</v>
      </c>
      <c r="G364" s="59" t="s">
        <v>3159</v>
      </c>
      <c r="H364" s="60">
        <v>1127.3499999999999</v>
      </c>
      <c r="I364" s="60">
        <v>1135.58</v>
      </c>
      <c r="J364" s="60">
        <v>1153.8599999999999</v>
      </c>
      <c r="K364" s="60">
        <v>0</v>
      </c>
      <c r="L364" s="60">
        <v>0</v>
      </c>
      <c r="M364" s="60">
        <v>0</v>
      </c>
      <c r="N364" s="60">
        <v>0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>
        <v>0</v>
      </c>
      <c r="U364" s="60">
        <v>0</v>
      </c>
      <c r="V364" s="60">
        <v>0</v>
      </c>
      <c r="W364" s="60">
        <v>0</v>
      </c>
      <c r="X364" s="60">
        <v>0</v>
      </c>
      <c r="Y364" s="60">
        <v>0</v>
      </c>
      <c r="Z364" s="60">
        <v>0</v>
      </c>
      <c r="AA364" s="60">
        <v>0</v>
      </c>
      <c r="AB364" s="60">
        <v>0</v>
      </c>
      <c r="AC364" s="60">
        <v>0</v>
      </c>
      <c r="AD364" s="60">
        <v>0</v>
      </c>
      <c r="AE364" s="60">
        <v>0</v>
      </c>
      <c r="AF364" s="60">
        <v>0</v>
      </c>
      <c r="AG364" s="60">
        <v>0</v>
      </c>
      <c r="AH364" s="60">
        <v>0</v>
      </c>
      <c r="AI364" s="60">
        <v>1127.3499999999999</v>
      </c>
      <c r="AJ364" s="60">
        <v>1135.58</v>
      </c>
      <c r="AK364" s="60">
        <v>1153.8599999999999</v>
      </c>
      <c r="AL364" s="60">
        <v>0</v>
      </c>
      <c r="AM364" s="60">
        <v>0</v>
      </c>
      <c r="AN364" s="60">
        <v>0</v>
      </c>
      <c r="AO364" s="60">
        <v>1127.3499999999999</v>
      </c>
      <c r="AP364" s="60">
        <v>1135.58</v>
      </c>
      <c r="AQ364" s="60">
        <v>1153.8599999999999</v>
      </c>
      <c r="AR364" s="61">
        <v>1153.8599999999999</v>
      </c>
    </row>
    <row r="365" spans="1:44" x14ac:dyDescent="0.35">
      <c r="A365" s="49" t="str">
        <f t="shared" si="26"/>
        <v>49</v>
      </c>
      <c r="B365" s="27">
        <v>70888</v>
      </c>
      <c r="C365" s="25" t="str">
        <f t="shared" si="27"/>
        <v>0000000</v>
      </c>
      <c r="D365" s="26" t="s">
        <v>3663</v>
      </c>
      <c r="E365" s="25" t="s">
        <v>3115</v>
      </c>
      <c r="F365" s="25" t="s">
        <v>3052</v>
      </c>
      <c r="G365" s="59" t="s">
        <v>3116</v>
      </c>
      <c r="H365" s="60">
        <v>6.09</v>
      </c>
      <c r="I365" s="60">
        <v>6.99</v>
      </c>
      <c r="J365" s="60">
        <v>7.69</v>
      </c>
      <c r="K365" s="60">
        <v>0</v>
      </c>
      <c r="L365" s="60">
        <v>0</v>
      </c>
      <c r="M365" s="60">
        <v>0</v>
      </c>
      <c r="N365" s="60">
        <v>0</v>
      </c>
      <c r="O365" s="60">
        <v>0</v>
      </c>
      <c r="P365" s="60">
        <v>0</v>
      </c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>
        <v>0</v>
      </c>
      <c r="W365" s="60">
        <v>0</v>
      </c>
      <c r="X365" s="60">
        <v>0</v>
      </c>
      <c r="Y365" s="60">
        <v>0</v>
      </c>
      <c r="Z365" s="60">
        <v>0</v>
      </c>
      <c r="AA365" s="60">
        <v>0</v>
      </c>
      <c r="AB365" s="60">
        <v>0</v>
      </c>
      <c r="AC365" s="60">
        <v>0</v>
      </c>
      <c r="AD365" s="60">
        <v>0</v>
      </c>
      <c r="AE365" s="60">
        <v>0</v>
      </c>
      <c r="AF365" s="60">
        <v>0</v>
      </c>
      <c r="AG365" s="60">
        <v>0</v>
      </c>
      <c r="AH365" s="60">
        <v>0</v>
      </c>
      <c r="AI365" s="60">
        <v>6.09</v>
      </c>
      <c r="AJ365" s="60">
        <v>6.99</v>
      </c>
      <c r="AK365" s="60">
        <v>7.69</v>
      </c>
      <c r="AL365" s="60">
        <v>0</v>
      </c>
      <c r="AM365" s="60">
        <v>0</v>
      </c>
      <c r="AN365" s="60">
        <v>0</v>
      </c>
      <c r="AO365" s="60">
        <v>6.09</v>
      </c>
      <c r="AP365" s="60">
        <v>6.99</v>
      </c>
      <c r="AQ365" s="60">
        <v>7.69</v>
      </c>
      <c r="AR365" s="61">
        <v>7.69</v>
      </c>
    </row>
    <row r="366" spans="1:44" x14ac:dyDescent="0.35">
      <c r="A366" s="49" t="str">
        <f t="shared" si="26"/>
        <v>49</v>
      </c>
      <c r="B366" s="27">
        <v>70797</v>
      </c>
      <c r="C366" s="25" t="str">
        <f>TEXT(139568,"0000000")</f>
        <v>0139568</v>
      </c>
      <c r="D366" s="27">
        <v>2071</v>
      </c>
      <c r="E366" s="25" t="s">
        <v>3093</v>
      </c>
      <c r="F366" s="25" t="s">
        <v>3052</v>
      </c>
      <c r="G366" s="59" t="s">
        <v>3094</v>
      </c>
      <c r="H366" s="60">
        <v>0</v>
      </c>
      <c r="I366" s="60">
        <v>0</v>
      </c>
      <c r="J366" s="60">
        <v>0</v>
      </c>
      <c r="K366" s="60">
        <v>0</v>
      </c>
      <c r="L366" s="60">
        <v>0</v>
      </c>
      <c r="M366" s="60">
        <v>0</v>
      </c>
      <c r="N366" s="60">
        <v>0</v>
      </c>
      <c r="O366" s="60">
        <v>0</v>
      </c>
      <c r="P366" s="60">
        <v>0</v>
      </c>
      <c r="Q366" s="60">
        <v>0</v>
      </c>
      <c r="R366" s="60">
        <v>0</v>
      </c>
      <c r="S366" s="60">
        <v>0</v>
      </c>
      <c r="T366" s="60">
        <v>0</v>
      </c>
      <c r="U366" s="60">
        <v>0</v>
      </c>
      <c r="V366" s="60">
        <v>0</v>
      </c>
      <c r="W366" s="60">
        <v>0</v>
      </c>
      <c r="X366" s="60">
        <v>0</v>
      </c>
      <c r="Y366" s="60">
        <v>0</v>
      </c>
      <c r="Z366" s="60">
        <v>0</v>
      </c>
      <c r="AA366" s="60">
        <v>0</v>
      </c>
      <c r="AB366" s="60">
        <v>0</v>
      </c>
      <c r="AC366" s="60">
        <v>582.66999999999996</v>
      </c>
      <c r="AD366" s="60">
        <v>515.08000000000004</v>
      </c>
      <c r="AE366" s="60">
        <v>369.25</v>
      </c>
      <c r="AF366" s="60">
        <v>0</v>
      </c>
      <c r="AG366" s="60">
        <v>0</v>
      </c>
      <c r="AH366" s="60">
        <v>0</v>
      </c>
      <c r="AI366" s="60">
        <v>582.66999999999996</v>
      </c>
      <c r="AJ366" s="60">
        <v>515.08000000000004</v>
      </c>
      <c r="AK366" s="60">
        <v>369.25</v>
      </c>
      <c r="AL366" s="60">
        <v>0</v>
      </c>
      <c r="AM366" s="60">
        <v>0</v>
      </c>
      <c r="AN366" s="60">
        <v>0</v>
      </c>
      <c r="AO366" s="60">
        <v>582.66999999999996</v>
      </c>
      <c r="AP366" s="60">
        <v>515.08000000000004</v>
      </c>
      <c r="AQ366" s="60">
        <v>369.25</v>
      </c>
      <c r="AR366" s="61">
        <v>582.66999999999996</v>
      </c>
    </row>
    <row r="367" spans="1:44" x14ac:dyDescent="0.35">
      <c r="A367" s="49" t="str">
        <f t="shared" si="26"/>
        <v>49</v>
      </c>
      <c r="B367" s="27">
        <v>70730</v>
      </c>
      <c r="C367" s="25" t="str">
        <f>TEXT(6120588,"0000000")</f>
        <v>6120588</v>
      </c>
      <c r="D367" s="26" t="s">
        <v>3083</v>
      </c>
      <c r="E367" s="25" t="s">
        <v>3081</v>
      </c>
      <c r="F367" s="25" t="s">
        <v>3052</v>
      </c>
      <c r="G367" s="59" t="s">
        <v>3082</v>
      </c>
      <c r="H367" s="60">
        <v>0</v>
      </c>
      <c r="I367" s="60">
        <v>0</v>
      </c>
      <c r="J367" s="60">
        <v>0</v>
      </c>
      <c r="K367" s="60">
        <v>0</v>
      </c>
      <c r="L367" s="60">
        <v>0</v>
      </c>
      <c r="M367" s="60">
        <v>0</v>
      </c>
      <c r="N367" s="60">
        <v>0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0">
        <v>0</v>
      </c>
      <c r="U367" s="60">
        <v>0</v>
      </c>
      <c r="V367" s="60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315.60000000000002</v>
      </c>
      <c r="AD367" s="60">
        <v>312.70999999999998</v>
      </c>
      <c r="AE367" s="60">
        <v>0</v>
      </c>
      <c r="AF367" s="60">
        <v>0</v>
      </c>
      <c r="AG367" s="60">
        <v>0</v>
      </c>
      <c r="AH367" s="60">
        <v>0</v>
      </c>
      <c r="AI367" s="60">
        <v>315.60000000000002</v>
      </c>
      <c r="AJ367" s="60">
        <v>312.70999999999998</v>
      </c>
      <c r="AK367" s="60">
        <v>0</v>
      </c>
      <c r="AL367" s="60">
        <v>0</v>
      </c>
      <c r="AM367" s="60">
        <v>0</v>
      </c>
      <c r="AN367" s="60">
        <v>353.49</v>
      </c>
      <c r="AO367" s="60">
        <v>315.60000000000002</v>
      </c>
      <c r="AP367" s="60">
        <v>312.70999999999998</v>
      </c>
      <c r="AQ367" s="60">
        <v>353.49</v>
      </c>
      <c r="AR367" s="61">
        <v>353.49</v>
      </c>
    </row>
    <row r="368" spans="1:44" x14ac:dyDescent="0.35">
      <c r="A368" s="49" t="str">
        <f t="shared" si="26"/>
        <v>49</v>
      </c>
      <c r="B368" s="27">
        <v>70797</v>
      </c>
      <c r="C368" s="25" t="str">
        <f>TEXT(107284,"0000000")</f>
        <v>0107284</v>
      </c>
      <c r="D368" s="26" t="s">
        <v>3092</v>
      </c>
      <c r="E368" s="25" t="s">
        <v>3090</v>
      </c>
      <c r="F368" s="25" t="s">
        <v>3052</v>
      </c>
      <c r="G368" s="59" t="s">
        <v>3091</v>
      </c>
      <c r="H368" s="60">
        <v>0</v>
      </c>
      <c r="I368" s="60">
        <v>0</v>
      </c>
      <c r="J368" s="60">
        <v>0</v>
      </c>
      <c r="K368" s="60">
        <v>0</v>
      </c>
      <c r="L368" s="60">
        <v>0</v>
      </c>
      <c r="M368" s="60">
        <v>0</v>
      </c>
      <c r="N368" s="60">
        <v>0</v>
      </c>
      <c r="O368" s="60">
        <v>0</v>
      </c>
      <c r="P368" s="60">
        <v>0</v>
      </c>
      <c r="Q368" s="60">
        <v>0</v>
      </c>
      <c r="R368" s="60">
        <v>0</v>
      </c>
      <c r="S368" s="60">
        <v>0</v>
      </c>
      <c r="T368" s="60">
        <v>0</v>
      </c>
      <c r="U368" s="60">
        <v>0</v>
      </c>
      <c r="V368" s="60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844.65</v>
      </c>
      <c r="AD368" s="60">
        <v>799.27</v>
      </c>
      <c r="AE368" s="60">
        <v>0</v>
      </c>
      <c r="AF368" s="60">
        <v>0</v>
      </c>
      <c r="AG368" s="60">
        <v>0</v>
      </c>
      <c r="AH368" s="60">
        <v>0</v>
      </c>
      <c r="AI368" s="60">
        <v>844.65</v>
      </c>
      <c r="AJ368" s="60">
        <v>799.27</v>
      </c>
      <c r="AK368" s="60">
        <v>0</v>
      </c>
      <c r="AL368" s="60">
        <v>0</v>
      </c>
      <c r="AM368" s="60">
        <v>0</v>
      </c>
      <c r="AN368" s="60">
        <v>796.76</v>
      </c>
      <c r="AO368" s="60">
        <v>844.65</v>
      </c>
      <c r="AP368" s="60">
        <v>799.27</v>
      </c>
      <c r="AQ368" s="60">
        <v>796.76</v>
      </c>
      <c r="AR368" s="61">
        <v>844.65</v>
      </c>
    </row>
    <row r="369" spans="1:44" x14ac:dyDescent="0.35">
      <c r="A369" s="49" t="str">
        <f t="shared" si="26"/>
        <v>49</v>
      </c>
      <c r="B369" s="27">
        <v>70938</v>
      </c>
      <c r="C369" s="25" t="str">
        <f>TEXT(6113039,"0000000")</f>
        <v>6113039</v>
      </c>
      <c r="D369" s="26" t="s">
        <v>3131</v>
      </c>
      <c r="E369" s="25" t="s">
        <v>3129</v>
      </c>
      <c r="F369" s="25" t="s">
        <v>3052</v>
      </c>
      <c r="G369" s="59" t="s">
        <v>3130</v>
      </c>
      <c r="H369" s="60">
        <v>0</v>
      </c>
      <c r="I369" s="60">
        <v>0</v>
      </c>
      <c r="J369" s="60">
        <v>0</v>
      </c>
      <c r="K369" s="60">
        <v>0</v>
      </c>
      <c r="L369" s="60">
        <v>0</v>
      </c>
      <c r="M369" s="60">
        <v>0</v>
      </c>
      <c r="N369" s="60">
        <v>0</v>
      </c>
      <c r="O369" s="60">
        <v>0</v>
      </c>
      <c r="P369" s="60">
        <v>0</v>
      </c>
      <c r="Q369" s="60">
        <v>0</v>
      </c>
      <c r="R369" s="60">
        <v>0</v>
      </c>
      <c r="S369" s="60">
        <v>0</v>
      </c>
      <c r="T369" s="60">
        <v>0</v>
      </c>
      <c r="U369" s="60">
        <v>0</v>
      </c>
      <c r="V369" s="60">
        <v>0</v>
      </c>
      <c r="W369" s="60">
        <v>0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270.77</v>
      </c>
      <c r="AD369" s="60">
        <v>249.92</v>
      </c>
      <c r="AE369" s="60">
        <v>0</v>
      </c>
      <c r="AF369" s="60">
        <v>0</v>
      </c>
      <c r="AG369" s="60">
        <v>0</v>
      </c>
      <c r="AH369" s="60">
        <v>0</v>
      </c>
      <c r="AI369" s="60">
        <v>270.77</v>
      </c>
      <c r="AJ369" s="60">
        <v>249.92</v>
      </c>
      <c r="AK369" s="60">
        <v>0</v>
      </c>
      <c r="AL369" s="60">
        <v>0</v>
      </c>
      <c r="AM369" s="60">
        <v>0</v>
      </c>
      <c r="AN369" s="60">
        <v>247.08</v>
      </c>
      <c r="AO369" s="60">
        <v>270.77</v>
      </c>
      <c r="AP369" s="60">
        <v>249.92</v>
      </c>
      <c r="AQ369" s="60">
        <v>247.08</v>
      </c>
      <c r="AR369" s="61">
        <v>270.77</v>
      </c>
    </row>
    <row r="370" spans="1:44" x14ac:dyDescent="0.35">
      <c r="A370" s="49" t="str">
        <f>TEXT(46,"00")</f>
        <v>46</v>
      </c>
      <c r="B370" s="27">
        <v>10462</v>
      </c>
      <c r="C370" s="25" t="str">
        <f t="shared" ref="C370:C396" si="28">TEXT(,"0000000")</f>
        <v>0000000</v>
      </c>
      <c r="D370" s="26" t="s">
        <v>3663</v>
      </c>
      <c r="E370" s="25" t="s">
        <v>2959</v>
      </c>
      <c r="F370" s="25" t="s">
        <v>2960</v>
      </c>
      <c r="G370" s="59" t="s">
        <v>2960</v>
      </c>
      <c r="H370" s="60">
        <v>0</v>
      </c>
      <c r="I370" s="60">
        <v>0</v>
      </c>
      <c r="J370" s="60">
        <v>0</v>
      </c>
      <c r="K370" s="60">
        <v>0</v>
      </c>
      <c r="L370" s="60">
        <v>0</v>
      </c>
      <c r="M370" s="60">
        <v>0</v>
      </c>
      <c r="N370" s="60">
        <v>0</v>
      </c>
      <c r="O370" s="60">
        <v>0</v>
      </c>
      <c r="P370" s="60">
        <v>0</v>
      </c>
      <c r="Q370" s="60">
        <v>0</v>
      </c>
      <c r="R370" s="60">
        <v>0</v>
      </c>
      <c r="S370" s="60">
        <v>0</v>
      </c>
      <c r="T370" s="60">
        <v>0</v>
      </c>
      <c r="U370" s="60">
        <v>0</v>
      </c>
      <c r="V370" s="60">
        <v>0</v>
      </c>
      <c r="W370" s="60">
        <v>14.11</v>
      </c>
      <c r="X370" s="60">
        <v>13.67</v>
      </c>
      <c r="Y370" s="60">
        <v>14.96</v>
      </c>
      <c r="Z370" s="60">
        <v>0</v>
      </c>
      <c r="AA370" s="60">
        <v>0</v>
      </c>
      <c r="AB370" s="60">
        <v>0</v>
      </c>
      <c r="AC370" s="60">
        <v>0</v>
      </c>
      <c r="AD370" s="60">
        <v>0</v>
      </c>
      <c r="AE370" s="60">
        <v>0</v>
      </c>
      <c r="AF370" s="60">
        <v>0</v>
      </c>
      <c r="AG370" s="60">
        <v>0</v>
      </c>
      <c r="AH370" s="60">
        <v>0</v>
      </c>
      <c r="AI370" s="60">
        <v>14.11</v>
      </c>
      <c r="AJ370" s="60">
        <v>13.67</v>
      </c>
      <c r="AK370" s="60">
        <v>14.96</v>
      </c>
      <c r="AL370" s="60">
        <v>0</v>
      </c>
      <c r="AM370" s="60">
        <v>0</v>
      </c>
      <c r="AN370" s="60">
        <v>0</v>
      </c>
      <c r="AO370" s="60">
        <v>14.11</v>
      </c>
      <c r="AP370" s="60">
        <v>13.67</v>
      </c>
      <c r="AQ370" s="60">
        <v>14.96</v>
      </c>
      <c r="AR370" s="61">
        <v>14.96</v>
      </c>
    </row>
    <row r="371" spans="1:44" x14ac:dyDescent="0.35">
      <c r="A371" s="49" t="str">
        <f>TEXT(46,"00")</f>
        <v>46</v>
      </c>
      <c r="B371" s="27">
        <v>70177</v>
      </c>
      <c r="C371" s="25" t="str">
        <f t="shared" si="28"/>
        <v>0000000</v>
      </c>
      <c r="D371" s="26" t="s">
        <v>3663</v>
      </c>
      <c r="E371" s="25" t="s">
        <v>2961</v>
      </c>
      <c r="F371" s="25" t="s">
        <v>2960</v>
      </c>
      <c r="G371" s="59" t="s">
        <v>2962</v>
      </c>
      <c r="H371" s="60">
        <v>356.14</v>
      </c>
      <c r="I371" s="60">
        <v>351.2</v>
      </c>
      <c r="J371" s="60">
        <v>347.95</v>
      </c>
      <c r="K371" s="60">
        <v>0</v>
      </c>
      <c r="L371" s="60">
        <v>0</v>
      </c>
      <c r="M371" s="60">
        <v>0</v>
      </c>
      <c r="N371" s="60">
        <v>0</v>
      </c>
      <c r="O371" s="60">
        <v>0</v>
      </c>
      <c r="P371" s="60">
        <v>0</v>
      </c>
      <c r="Q371" s="60">
        <v>0</v>
      </c>
      <c r="R371" s="60">
        <v>0</v>
      </c>
      <c r="S371" s="60">
        <v>0</v>
      </c>
      <c r="T371" s="60">
        <v>0</v>
      </c>
      <c r="U371" s="60">
        <v>0</v>
      </c>
      <c r="V371" s="60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0">
        <v>0</v>
      </c>
      <c r="AD371" s="60">
        <v>0</v>
      </c>
      <c r="AE371" s="60">
        <v>0</v>
      </c>
      <c r="AF371" s="60">
        <v>0</v>
      </c>
      <c r="AG371" s="60">
        <v>0</v>
      </c>
      <c r="AH371" s="60">
        <v>0</v>
      </c>
      <c r="AI371" s="60">
        <v>356.14</v>
      </c>
      <c r="AJ371" s="60">
        <v>351.2</v>
      </c>
      <c r="AK371" s="60">
        <v>347.95</v>
      </c>
      <c r="AL371" s="60">
        <v>0</v>
      </c>
      <c r="AM371" s="60">
        <v>0</v>
      </c>
      <c r="AN371" s="60">
        <v>0</v>
      </c>
      <c r="AO371" s="60">
        <v>356.14</v>
      </c>
      <c r="AP371" s="60">
        <v>351.2</v>
      </c>
      <c r="AQ371" s="60">
        <v>347.95</v>
      </c>
      <c r="AR371" s="61">
        <v>356.14</v>
      </c>
    </row>
    <row r="372" spans="1:44" x14ac:dyDescent="0.35">
      <c r="A372" s="49" t="str">
        <f t="shared" ref="A372:A389" si="29">TEXT(7,"00")</f>
        <v>07</v>
      </c>
      <c r="B372" s="27">
        <v>61697</v>
      </c>
      <c r="C372" s="25" t="str">
        <f t="shared" si="28"/>
        <v>0000000</v>
      </c>
      <c r="D372" s="26" t="s">
        <v>3663</v>
      </c>
      <c r="E372" s="25" t="s">
        <v>255</v>
      </c>
      <c r="F372" s="25" t="s">
        <v>256</v>
      </c>
      <c r="G372" s="59" t="s">
        <v>256</v>
      </c>
      <c r="H372" s="60">
        <v>1112.43</v>
      </c>
      <c r="I372" s="60">
        <v>1099.4100000000001</v>
      </c>
      <c r="J372" s="60">
        <v>1093.82</v>
      </c>
      <c r="K372" s="60">
        <v>0</v>
      </c>
      <c r="L372" s="60">
        <v>0</v>
      </c>
      <c r="M372" s="60">
        <v>0</v>
      </c>
      <c r="N372" s="60">
        <v>0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>
        <v>0</v>
      </c>
      <c r="U372" s="60">
        <v>0</v>
      </c>
      <c r="V372" s="60">
        <v>0</v>
      </c>
      <c r="W372" s="60">
        <v>0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0">
        <v>0</v>
      </c>
      <c r="AD372" s="60">
        <v>0</v>
      </c>
      <c r="AE372" s="60">
        <v>0</v>
      </c>
      <c r="AF372" s="60">
        <v>0</v>
      </c>
      <c r="AG372" s="60">
        <v>0</v>
      </c>
      <c r="AH372" s="60">
        <v>0</v>
      </c>
      <c r="AI372" s="60">
        <v>1112.43</v>
      </c>
      <c r="AJ372" s="60">
        <v>1099.4100000000001</v>
      </c>
      <c r="AK372" s="60">
        <v>1093.82</v>
      </c>
      <c r="AL372" s="60">
        <v>0</v>
      </c>
      <c r="AM372" s="60">
        <v>0</v>
      </c>
      <c r="AN372" s="60">
        <v>0</v>
      </c>
      <c r="AO372" s="60">
        <v>1112.43</v>
      </c>
      <c r="AP372" s="60">
        <v>1099.4100000000001</v>
      </c>
      <c r="AQ372" s="60">
        <v>1093.82</v>
      </c>
      <c r="AR372" s="61">
        <v>1112.43</v>
      </c>
    </row>
    <row r="373" spans="1:44" x14ac:dyDescent="0.35">
      <c r="A373" s="49" t="str">
        <f t="shared" si="29"/>
        <v>07</v>
      </c>
      <c r="B373" s="27">
        <v>61655</v>
      </c>
      <c r="C373" s="25" t="str">
        <f t="shared" si="28"/>
        <v>0000000</v>
      </c>
      <c r="D373" s="26" t="s">
        <v>3663</v>
      </c>
      <c r="E373" s="25" t="s">
        <v>287</v>
      </c>
      <c r="F373" s="25" t="s">
        <v>256</v>
      </c>
      <c r="G373" s="59" t="s">
        <v>288</v>
      </c>
      <c r="H373" s="60">
        <v>9282.66</v>
      </c>
      <c r="I373" s="60">
        <v>8865.7000000000007</v>
      </c>
      <c r="J373" s="60">
        <v>8508.2999999999993</v>
      </c>
      <c r="K373" s="60">
        <v>0</v>
      </c>
      <c r="L373" s="60">
        <v>0</v>
      </c>
      <c r="M373" s="60">
        <v>0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>
        <v>0</v>
      </c>
      <c r="U373" s="60">
        <v>0</v>
      </c>
      <c r="V373" s="60">
        <v>0</v>
      </c>
      <c r="W373" s="60">
        <v>0</v>
      </c>
      <c r="X373" s="60">
        <v>0</v>
      </c>
      <c r="Y373" s="60">
        <v>0</v>
      </c>
      <c r="Z373" s="60">
        <v>0</v>
      </c>
      <c r="AA373" s="60">
        <v>0</v>
      </c>
      <c r="AB373" s="60">
        <v>0</v>
      </c>
      <c r="AC373" s="60">
        <v>0</v>
      </c>
      <c r="AD373" s="60">
        <v>0</v>
      </c>
      <c r="AE373" s="60">
        <v>0</v>
      </c>
      <c r="AF373" s="60">
        <v>0</v>
      </c>
      <c r="AG373" s="60">
        <v>0</v>
      </c>
      <c r="AH373" s="60">
        <v>0</v>
      </c>
      <c r="AI373" s="60">
        <v>9282.66</v>
      </c>
      <c r="AJ373" s="60">
        <v>8865.7000000000007</v>
      </c>
      <c r="AK373" s="60">
        <v>8508.2999999999993</v>
      </c>
      <c r="AL373" s="60">
        <v>0</v>
      </c>
      <c r="AM373" s="60">
        <v>0</v>
      </c>
      <c r="AN373" s="60">
        <v>0</v>
      </c>
      <c r="AO373" s="60">
        <v>9282.66</v>
      </c>
      <c r="AP373" s="60">
        <v>8865.7000000000007</v>
      </c>
      <c r="AQ373" s="60">
        <v>8508.2999999999993</v>
      </c>
      <c r="AR373" s="61">
        <v>9282.66</v>
      </c>
    </row>
    <row r="374" spans="1:44" x14ac:dyDescent="0.35">
      <c r="A374" s="49" t="str">
        <f t="shared" si="29"/>
        <v>07</v>
      </c>
      <c r="B374" s="27">
        <v>61705</v>
      </c>
      <c r="C374" s="25" t="str">
        <f t="shared" si="28"/>
        <v>0000000</v>
      </c>
      <c r="D374" s="26" t="s">
        <v>3663</v>
      </c>
      <c r="E374" s="25" t="s">
        <v>295</v>
      </c>
      <c r="F374" s="25" t="s">
        <v>256</v>
      </c>
      <c r="G374" s="59" t="s">
        <v>296</v>
      </c>
      <c r="H374" s="60">
        <v>561.88</v>
      </c>
      <c r="I374" s="60">
        <v>540.34</v>
      </c>
      <c r="J374" s="60">
        <v>527.21</v>
      </c>
      <c r="K374" s="60">
        <v>0</v>
      </c>
      <c r="L374" s="60">
        <v>0</v>
      </c>
      <c r="M374" s="60">
        <v>0</v>
      </c>
      <c r="N374" s="60">
        <v>0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0</v>
      </c>
      <c r="V374" s="60">
        <v>0</v>
      </c>
      <c r="W374" s="60">
        <v>0</v>
      </c>
      <c r="X374" s="60">
        <v>0</v>
      </c>
      <c r="Y374" s="60">
        <v>0</v>
      </c>
      <c r="Z374" s="60">
        <v>0</v>
      </c>
      <c r="AA374" s="60">
        <v>0</v>
      </c>
      <c r="AB374" s="60">
        <v>0</v>
      </c>
      <c r="AC374" s="60">
        <v>0</v>
      </c>
      <c r="AD374" s="60">
        <v>0</v>
      </c>
      <c r="AE374" s="60">
        <v>0</v>
      </c>
      <c r="AF374" s="60">
        <v>0</v>
      </c>
      <c r="AG374" s="60">
        <v>0</v>
      </c>
      <c r="AH374" s="60">
        <v>0</v>
      </c>
      <c r="AI374" s="60">
        <v>561.88</v>
      </c>
      <c r="AJ374" s="60">
        <v>540.34</v>
      </c>
      <c r="AK374" s="60">
        <v>527.21</v>
      </c>
      <c r="AL374" s="60">
        <v>0</v>
      </c>
      <c r="AM374" s="60">
        <v>0</v>
      </c>
      <c r="AN374" s="60">
        <v>0</v>
      </c>
      <c r="AO374" s="60">
        <v>561.88</v>
      </c>
      <c r="AP374" s="60">
        <v>540.34</v>
      </c>
      <c r="AQ374" s="60">
        <v>527.21</v>
      </c>
      <c r="AR374" s="61">
        <v>561.88</v>
      </c>
    </row>
    <row r="375" spans="1:44" x14ac:dyDescent="0.35">
      <c r="A375" s="49" t="str">
        <f t="shared" si="29"/>
        <v>07</v>
      </c>
      <c r="B375" s="27">
        <v>61713</v>
      </c>
      <c r="C375" s="25" t="str">
        <f t="shared" si="28"/>
        <v>0000000</v>
      </c>
      <c r="D375" s="26" t="s">
        <v>3663</v>
      </c>
      <c r="E375" s="25" t="s">
        <v>297</v>
      </c>
      <c r="F375" s="25" t="s">
        <v>256</v>
      </c>
      <c r="G375" s="59" t="s">
        <v>298</v>
      </c>
      <c r="H375" s="60">
        <v>3097.65</v>
      </c>
      <c r="I375" s="60">
        <v>3055.45</v>
      </c>
      <c r="J375" s="60">
        <v>3038.1</v>
      </c>
      <c r="K375" s="60">
        <v>0</v>
      </c>
      <c r="L375" s="60">
        <v>0</v>
      </c>
      <c r="M375" s="60">
        <v>0</v>
      </c>
      <c r="N375" s="60">
        <v>0</v>
      </c>
      <c r="O375" s="60">
        <v>0</v>
      </c>
      <c r="P375" s="60">
        <v>0</v>
      </c>
      <c r="Q375" s="60">
        <v>0</v>
      </c>
      <c r="R375" s="60">
        <v>0</v>
      </c>
      <c r="S375" s="60">
        <v>0</v>
      </c>
      <c r="T375" s="60">
        <v>0</v>
      </c>
      <c r="U375" s="60">
        <v>0</v>
      </c>
      <c r="V375" s="60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0">
        <v>0</v>
      </c>
      <c r="AE375" s="60">
        <v>0</v>
      </c>
      <c r="AF375" s="60">
        <v>0</v>
      </c>
      <c r="AG375" s="60">
        <v>0</v>
      </c>
      <c r="AH375" s="60">
        <v>0</v>
      </c>
      <c r="AI375" s="60">
        <v>3097.65</v>
      </c>
      <c r="AJ375" s="60">
        <v>3055.45</v>
      </c>
      <c r="AK375" s="60">
        <v>3038.1</v>
      </c>
      <c r="AL375" s="60">
        <v>0</v>
      </c>
      <c r="AM375" s="60">
        <v>0</v>
      </c>
      <c r="AN375" s="60">
        <v>0</v>
      </c>
      <c r="AO375" s="60">
        <v>3097.65</v>
      </c>
      <c r="AP375" s="60">
        <v>3055.45</v>
      </c>
      <c r="AQ375" s="60">
        <v>3038.1</v>
      </c>
      <c r="AR375" s="61">
        <v>3097.65</v>
      </c>
    </row>
    <row r="376" spans="1:44" x14ac:dyDescent="0.35">
      <c r="A376" s="49" t="str">
        <f t="shared" si="29"/>
        <v>07</v>
      </c>
      <c r="B376" s="27">
        <v>61747</v>
      </c>
      <c r="C376" s="25" t="str">
        <f t="shared" si="28"/>
        <v>0000000</v>
      </c>
      <c r="D376" s="26" t="s">
        <v>3663</v>
      </c>
      <c r="E376" s="25" t="s">
        <v>303</v>
      </c>
      <c r="F376" s="25" t="s">
        <v>256</v>
      </c>
      <c r="G376" s="59" t="s">
        <v>304</v>
      </c>
      <c r="H376" s="60">
        <v>1730.67</v>
      </c>
      <c r="I376" s="60">
        <v>1680.68</v>
      </c>
      <c r="J376" s="60">
        <v>1695.29</v>
      </c>
      <c r="K376" s="60">
        <v>0</v>
      </c>
      <c r="L376" s="60">
        <v>0</v>
      </c>
      <c r="M376" s="60">
        <v>0</v>
      </c>
      <c r="N376" s="60">
        <v>0</v>
      </c>
      <c r="O376" s="60">
        <v>0</v>
      </c>
      <c r="P376" s="60">
        <v>0</v>
      </c>
      <c r="Q376" s="60">
        <v>0</v>
      </c>
      <c r="R376" s="60">
        <v>0</v>
      </c>
      <c r="S376" s="60">
        <v>0</v>
      </c>
      <c r="T376" s="60">
        <v>0</v>
      </c>
      <c r="U376" s="60">
        <v>0</v>
      </c>
      <c r="V376" s="60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0">
        <v>0</v>
      </c>
      <c r="AE376" s="60">
        <v>0</v>
      </c>
      <c r="AF376" s="60">
        <v>0</v>
      </c>
      <c r="AG376" s="60">
        <v>0</v>
      </c>
      <c r="AH376" s="60">
        <v>0</v>
      </c>
      <c r="AI376" s="60">
        <v>1730.67</v>
      </c>
      <c r="AJ376" s="60">
        <v>1680.68</v>
      </c>
      <c r="AK376" s="60">
        <v>1695.29</v>
      </c>
      <c r="AL376" s="60">
        <v>0</v>
      </c>
      <c r="AM376" s="60">
        <v>0</v>
      </c>
      <c r="AN376" s="60">
        <v>0</v>
      </c>
      <c r="AO376" s="60">
        <v>1730.67</v>
      </c>
      <c r="AP376" s="60">
        <v>1680.68</v>
      </c>
      <c r="AQ376" s="60">
        <v>1695.29</v>
      </c>
      <c r="AR376" s="61">
        <v>1730.67</v>
      </c>
    </row>
    <row r="377" spans="1:44" x14ac:dyDescent="0.35">
      <c r="A377" s="49" t="str">
        <f t="shared" si="29"/>
        <v>07</v>
      </c>
      <c r="B377" s="27">
        <v>61762</v>
      </c>
      <c r="C377" s="25" t="str">
        <f t="shared" si="28"/>
        <v>0000000</v>
      </c>
      <c r="D377" s="26" t="s">
        <v>3663</v>
      </c>
      <c r="E377" s="25" t="s">
        <v>309</v>
      </c>
      <c r="F377" s="25" t="s">
        <v>256</v>
      </c>
      <c r="G377" s="59" t="s">
        <v>310</v>
      </c>
      <c r="H377" s="60">
        <v>4801.21</v>
      </c>
      <c r="I377" s="60">
        <v>4662.37</v>
      </c>
      <c r="J377" s="60">
        <v>4440.0600000000004</v>
      </c>
      <c r="K377" s="60">
        <v>0</v>
      </c>
      <c r="L377" s="60">
        <v>0</v>
      </c>
      <c r="M377" s="60">
        <v>0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0">
        <v>0</v>
      </c>
      <c r="U377" s="60">
        <v>0</v>
      </c>
      <c r="V377" s="60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0">
        <v>0</v>
      </c>
      <c r="AE377" s="60">
        <v>0</v>
      </c>
      <c r="AF377" s="60">
        <v>0</v>
      </c>
      <c r="AG377" s="60">
        <v>0</v>
      </c>
      <c r="AH377" s="60">
        <v>0</v>
      </c>
      <c r="AI377" s="60">
        <v>4801.21</v>
      </c>
      <c r="AJ377" s="60">
        <v>4662.37</v>
      </c>
      <c r="AK377" s="60">
        <v>4440.0600000000004</v>
      </c>
      <c r="AL377" s="60">
        <v>0</v>
      </c>
      <c r="AM377" s="60">
        <v>0</v>
      </c>
      <c r="AN377" s="60">
        <v>0</v>
      </c>
      <c r="AO377" s="60">
        <v>4801.21</v>
      </c>
      <c r="AP377" s="60">
        <v>4662.37</v>
      </c>
      <c r="AQ377" s="60">
        <v>4440.0600000000004</v>
      </c>
      <c r="AR377" s="61">
        <v>4801.21</v>
      </c>
    </row>
    <row r="378" spans="1:44" x14ac:dyDescent="0.35">
      <c r="A378" s="49" t="str">
        <f t="shared" si="29"/>
        <v>07</v>
      </c>
      <c r="B378" s="27">
        <v>61770</v>
      </c>
      <c r="C378" s="25" t="str">
        <f t="shared" si="28"/>
        <v>0000000</v>
      </c>
      <c r="D378" s="26" t="s">
        <v>3663</v>
      </c>
      <c r="E378" s="25" t="s">
        <v>311</v>
      </c>
      <c r="F378" s="25" t="s">
        <v>256</v>
      </c>
      <c r="G378" s="59" t="s">
        <v>312</v>
      </c>
      <c r="H378" s="60">
        <v>2471.4499999999998</v>
      </c>
      <c r="I378" s="60">
        <v>2411.21</v>
      </c>
      <c r="J378" s="60">
        <v>2420.15</v>
      </c>
      <c r="K378" s="60">
        <v>0</v>
      </c>
      <c r="L378" s="60">
        <v>0</v>
      </c>
      <c r="M378" s="60">
        <v>0</v>
      </c>
      <c r="N378" s="60">
        <v>0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0">
        <v>0</v>
      </c>
      <c r="U378" s="60">
        <v>0</v>
      </c>
      <c r="V378" s="60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0">
        <v>0</v>
      </c>
      <c r="AE378" s="60">
        <v>0</v>
      </c>
      <c r="AF378" s="60">
        <v>0</v>
      </c>
      <c r="AG378" s="60">
        <v>0</v>
      </c>
      <c r="AH378" s="60">
        <v>0</v>
      </c>
      <c r="AI378" s="60">
        <v>2471.4499999999998</v>
      </c>
      <c r="AJ378" s="60">
        <v>2411.21</v>
      </c>
      <c r="AK378" s="60">
        <v>2420.15</v>
      </c>
      <c r="AL378" s="60">
        <v>0</v>
      </c>
      <c r="AM378" s="60">
        <v>0</v>
      </c>
      <c r="AN378" s="60">
        <v>0</v>
      </c>
      <c r="AO378" s="60">
        <v>2471.4499999999998</v>
      </c>
      <c r="AP378" s="60">
        <v>2411.21</v>
      </c>
      <c r="AQ378" s="60">
        <v>2420.15</v>
      </c>
      <c r="AR378" s="61">
        <v>2471.4499999999998</v>
      </c>
    </row>
    <row r="379" spans="1:44" x14ac:dyDescent="0.35">
      <c r="A379" s="49" t="str">
        <f t="shared" si="29"/>
        <v>07</v>
      </c>
      <c r="B379" s="27">
        <v>61812</v>
      </c>
      <c r="C379" s="25" t="str">
        <f t="shared" si="28"/>
        <v>0000000</v>
      </c>
      <c r="D379" s="26" t="s">
        <v>3663</v>
      </c>
      <c r="E379" s="25" t="s">
        <v>334</v>
      </c>
      <c r="F379" s="25" t="s">
        <v>256</v>
      </c>
      <c r="G379" s="59" t="s">
        <v>335</v>
      </c>
      <c r="H379" s="60">
        <v>3402.51</v>
      </c>
      <c r="I379" s="60">
        <v>3259.7</v>
      </c>
      <c r="J379" s="60">
        <v>3164.54</v>
      </c>
      <c r="K379" s="60">
        <v>0</v>
      </c>
      <c r="L379" s="60">
        <v>0</v>
      </c>
      <c r="M379" s="60">
        <v>0</v>
      </c>
      <c r="N379" s="60">
        <v>0</v>
      </c>
      <c r="O379" s="60">
        <v>0</v>
      </c>
      <c r="P379" s="60">
        <v>0</v>
      </c>
      <c r="Q379" s="60">
        <v>0</v>
      </c>
      <c r="R379" s="60">
        <v>0</v>
      </c>
      <c r="S379" s="60">
        <v>0</v>
      </c>
      <c r="T379" s="60">
        <v>0</v>
      </c>
      <c r="U379" s="60">
        <v>0</v>
      </c>
      <c r="V379" s="60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0">
        <v>0</v>
      </c>
      <c r="AE379" s="60">
        <v>0</v>
      </c>
      <c r="AF379" s="60">
        <v>0</v>
      </c>
      <c r="AG379" s="60">
        <v>0</v>
      </c>
      <c r="AH379" s="60">
        <v>0</v>
      </c>
      <c r="AI379" s="60">
        <v>3402.51</v>
      </c>
      <c r="AJ379" s="60">
        <v>3259.7</v>
      </c>
      <c r="AK379" s="60">
        <v>3164.54</v>
      </c>
      <c r="AL379" s="60">
        <v>0</v>
      </c>
      <c r="AM379" s="60">
        <v>0</v>
      </c>
      <c r="AN379" s="60">
        <v>0</v>
      </c>
      <c r="AO379" s="60">
        <v>3402.51</v>
      </c>
      <c r="AP379" s="60">
        <v>3259.7</v>
      </c>
      <c r="AQ379" s="60">
        <v>3164.54</v>
      </c>
      <c r="AR379" s="61">
        <v>3402.51</v>
      </c>
    </row>
    <row r="380" spans="1:44" x14ac:dyDescent="0.35">
      <c r="A380" s="49" t="str">
        <f t="shared" si="29"/>
        <v>07</v>
      </c>
      <c r="B380" s="27">
        <v>61721</v>
      </c>
      <c r="C380" s="25" t="str">
        <f t="shared" si="28"/>
        <v>0000000</v>
      </c>
      <c r="D380" s="26" t="s">
        <v>3663</v>
      </c>
      <c r="E380" s="25" t="s">
        <v>299</v>
      </c>
      <c r="F380" s="25" t="s">
        <v>256</v>
      </c>
      <c r="G380" s="59" t="s">
        <v>300</v>
      </c>
      <c r="H380" s="60">
        <v>7616.83</v>
      </c>
      <c r="I380" s="60">
        <v>7576.22</v>
      </c>
      <c r="J380" s="60">
        <v>7530.08</v>
      </c>
      <c r="K380" s="60">
        <v>0</v>
      </c>
      <c r="L380" s="60">
        <v>0</v>
      </c>
      <c r="M380" s="60">
        <v>0</v>
      </c>
      <c r="N380" s="60">
        <v>0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0">
        <v>0</v>
      </c>
      <c r="U380" s="60">
        <v>0</v>
      </c>
      <c r="V380" s="60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0">
        <v>0</v>
      </c>
      <c r="AE380" s="60">
        <v>0</v>
      </c>
      <c r="AF380" s="60">
        <v>0</v>
      </c>
      <c r="AG380" s="60">
        <v>0</v>
      </c>
      <c r="AH380" s="60">
        <v>0</v>
      </c>
      <c r="AI380" s="60">
        <v>7616.83</v>
      </c>
      <c r="AJ380" s="60">
        <v>7576.22</v>
      </c>
      <c r="AK380" s="60">
        <v>7530.08</v>
      </c>
      <c r="AL380" s="60">
        <v>0</v>
      </c>
      <c r="AM380" s="60">
        <v>0</v>
      </c>
      <c r="AN380" s="60">
        <v>0</v>
      </c>
      <c r="AO380" s="60">
        <v>7616.83</v>
      </c>
      <c r="AP380" s="60">
        <v>7576.22</v>
      </c>
      <c r="AQ380" s="60">
        <v>7530.08</v>
      </c>
      <c r="AR380" s="61">
        <v>7616.83</v>
      </c>
    </row>
    <row r="381" spans="1:44" x14ac:dyDescent="0.35">
      <c r="A381" s="49" t="str">
        <f t="shared" si="29"/>
        <v>07</v>
      </c>
      <c r="B381" s="27">
        <v>61648</v>
      </c>
      <c r="C381" s="25" t="str">
        <f t="shared" si="28"/>
        <v>0000000</v>
      </c>
      <c r="D381" s="26" t="s">
        <v>3663</v>
      </c>
      <c r="E381" s="25" t="s">
        <v>277</v>
      </c>
      <c r="F381" s="25" t="s">
        <v>256</v>
      </c>
      <c r="G381" s="59" t="s">
        <v>278</v>
      </c>
      <c r="H381" s="60">
        <v>13637.86</v>
      </c>
      <c r="I381" s="60">
        <v>13625.13</v>
      </c>
      <c r="J381" s="60">
        <v>13626.02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0">
        <v>0</v>
      </c>
      <c r="U381" s="60">
        <v>0</v>
      </c>
      <c r="V381" s="60">
        <v>0</v>
      </c>
      <c r="W381" s="60">
        <v>0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0">
        <v>0</v>
      </c>
      <c r="AD381" s="60">
        <v>0</v>
      </c>
      <c r="AE381" s="60">
        <v>0</v>
      </c>
      <c r="AF381" s="60">
        <v>0</v>
      </c>
      <c r="AG381" s="60">
        <v>0</v>
      </c>
      <c r="AH381" s="60">
        <v>0</v>
      </c>
      <c r="AI381" s="60">
        <v>13637.86</v>
      </c>
      <c r="AJ381" s="60">
        <v>13625.13</v>
      </c>
      <c r="AK381" s="60">
        <v>13626.02</v>
      </c>
      <c r="AL381" s="60">
        <v>0</v>
      </c>
      <c r="AM381" s="60">
        <v>0</v>
      </c>
      <c r="AN381" s="60">
        <v>0</v>
      </c>
      <c r="AO381" s="60">
        <v>13637.86</v>
      </c>
      <c r="AP381" s="60">
        <v>13625.13</v>
      </c>
      <c r="AQ381" s="60">
        <v>13626.02</v>
      </c>
      <c r="AR381" s="61">
        <v>13637.86</v>
      </c>
    </row>
    <row r="382" spans="1:44" x14ac:dyDescent="0.35">
      <c r="A382" s="49" t="str">
        <f t="shared" si="29"/>
        <v>07</v>
      </c>
      <c r="B382" s="27">
        <v>61739</v>
      </c>
      <c r="C382" s="25" t="str">
        <f t="shared" si="28"/>
        <v>0000000</v>
      </c>
      <c r="D382" s="26" t="s">
        <v>3663</v>
      </c>
      <c r="E382" s="25" t="s">
        <v>301</v>
      </c>
      <c r="F382" s="25" t="s">
        <v>256</v>
      </c>
      <c r="G382" s="59" t="s">
        <v>302</v>
      </c>
      <c r="H382" s="60">
        <v>3567.47</v>
      </c>
      <c r="I382" s="60">
        <v>3525.7</v>
      </c>
      <c r="J382" s="60">
        <v>3581.81</v>
      </c>
      <c r="K382" s="60">
        <v>0</v>
      </c>
      <c r="L382" s="60">
        <v>0</v>
      </c>
      <c r="M382" s="60">
        <v>0</v>
      </c>
      <c r="N382" s="60">
        <v>0</v>
      </c>
      <c r="O382" s="60">
        <v>0</v>
      </c>
      <c r="P382" s="60">
        <v>0</v>
      </c>
      <c r="Q382" s="60">
        <v>0</v>
      </c>
      <c r="R382" s="60">
        <v>0</v>
      </c>
      <c r="S382" s="60">
        <v>0</v>
      </c>
      <c r="T382" s="60">
        <v>0</v>
      </c>
      <c r="U382" s="60">
        <v>0</v>
      </c>
      <c r="V382" s="60">
        <v>0</v>
      </c>
      <c r="W382" s="60">
        <v>0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60">
        <v>0</v>
      </c>
      <c r="AE382" s="60">
        <v>0</v>
      </c>
      <c r="AF382" s="60">
        <v>0</v>
      </c>
      <c r="AG382" s="60">
        <v>0</v>
      </c>
      <c r="AH382" s="60">
        <v>0</v>
      </c>
      <c r="AI382" s="60">
        <v>3567.47</v>
      </c>
      <c r="AJ382" s="60">
        <v>3525.7</v>
      </c>
      <c r="AK382" s="60">
        <v>3581.81</v>
      </c>
      <c r="AL382" s="60">
        <v>0</v>
      </c>
      <c r="AM382" s="60">
        <v>0</v>
      </c>
      <c r="AN382" s="60">
        <v>0</v>
      </c>
      <c r="AO382" s="60">
        <v>3567.47</v>
      </c>
      <c r="AP382" s="60">
        <v>3525.7</v>
      </c>
      <c r="AQ382" s="60">
        <v>3581.81</v>
      </c>
      <c r="AR382" s="61">
        <v>3581.81</v>
      </c>
    </row>
    <row r="383" spans="1:44" x14ac:dyDescent="0.35">
      <c r="A383" s="49" t="str">
        <f t="shared" si="29"/>
        <v>07</v>
      </c>
      <c r="B383" s="27">
        <v>61788</v>
      </c>
      <c r="C383" s="25" t="str">
        <f t="shared" si="28"/>
        <v>0000000</v>
      </c>
      <c r="D383" s="26" t="s">
        <v>3663</v>
      </c>
      <c r="E383" s="25" t="s">
        <v>313</v>
      </c>
      <c r="F383" s="25" t="s">
        <v>256</v>
      </c>
      <c r="G383" s="59" t="s">
        <v>314</v>
      </c>
      <c r="H383" s="60">
        <v>9755.68</v>
      </c>
      <c r="I383" s="60">
        <v>9599.7099999999991</v>
      </c>
      <c r="J383" s="60">
        <v>9417.39</v>
      </c>
      <c r="K383" s="60">
        <v>0</v>
      </c>
      <c r="L383" s="60">
        <v>0</v>
      </c>
      <c r="M383" s="60">
        <v>0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>
        <v>0</v>
      </c>
      <c r="U383" s="60">
        <v>0</v>
      </c>
      <c r="V383" s="60">
        <v>0</v>
      </c>
      <c r="W383" s="60">
        <v>0</v>
      </c>
      <c r="X383" s="60">
        <v>0</v>
      </c>
      <c r="Y383" s="60">
        <v>0</v>
      </c>
      <c r="Z383" s="60">
        <v>0</v>
      </c>
      <c r="AA383" s="60">
        <v>0</v>
      </c>
      <c r="AB383" s="60">
        <v>0</v>
      </c>
      <c r="AC383" s="60">
        <v>0</v>
      </c>
      <c r="AD383" s="60">
        <v>0</v>
      </c>
      <c r="AE383" s="60">
        <v>0</v>
      </c>
      <c r="AF383" s="60">
        <v>0</v>
      </c>
      <c r="AG383" s="60">
        <v>0</v>
      </c>
      <c r="AH383" s="60">
        <v>0</v>
      </c>
      <c r="AI383" s="60">
        <v>9755.68</v>
      </c>
      <c r="AJ383" s="60">
        <v>9599.7099999999991</v>
      </c>
      <c r="AK383" s="60">
        <v>9417.39</v>
      </c>
      <c r="AL383" s="60">
        <v>0</v>
      </c>
      <c r="AM383" s="60">
        <v>0</v>
      </c>
      <c r="AN383" s="60">
        <v>0</v>
      </c>
      <c r="AO383" s="60">
        <v>9755.68</v>
      </c>
      <c r="AP383" s="60">
        <v>9599.7099999999991</v>
      </c>
      <c r="AQ383" s="60">
        <v>9417.39</v>
      </c>
      <c r="AR383" s="61">
        <v>9755.68</v>
      </c>
    </row>
    <row r="384" spans="1:44" x14ac:dyDescent="0.35">
      <c r="A384" s="49" t="str">
        <f t="shared" si="29"/>
        <v>07</v>
      </c>
      <c r="B384" s="27">
        <v>10074</v>
      </c>
      <c r="C384" s="25" t="str">
        <f t="shared" si="28"/>
        <v>0000000</v>
      </c>
      <c r="D384" s="26" t="s">
        <v>3663</v>
      </c>
      <c r="E384" s="25" t="s">
        <v>257</v>
      </c>
      <c r="F384" s="25" t="s">
        <v>256</v>
      </c>
      <c r="G384" s="59" t="s">
        <v>258</v>
      </c>
      <c r="H384" s="60">
        <v>0</v>
      </c>
      <c r="I384" s="60">
        <v>0</v>
      </c>
      <c r="J384" s="60">
        <v>0</v>
      </c>
      <c r="K384" s="60">
        <v>0</v>
      </c>
      <c r="L384" s="60">
        <v>0</v>
      </c>
      <c r="M384" s="60">
        <v>0</v>
      </c>
      <c r="N384" s="60">
        <v>0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0">
        <v>58.7</v>
      </c>
      <c r="U384" s="60">
        <v>62.27</v>
      </c>
      <c r="V384" s="60">
        <v>56.82</v>
      </c>
      <c r="W384" s="60">
        <v>195.77</v>
      </c>
      <c r="X384" s="60">
        <v>213.96</v>
      </c>
      <c r="Y384" s="60">
        <v>208.91</v>
      </c>
      <c r="Z384" s="60">
        <v>0</v>
      </c>
      <c r="AA384" s="60">
        <v>0</v>
      </c>
      <c r="AB384" s="60">
        <v>0</v>
      </c>
      <c r="AC384" s="60">
        <v>0</v>
      </c>
      <c r="AD384" s="60">
        <v>0</v>
      </c>
      <c r="AE384" s="60">
        <v>0</v>
      </c>
      <c r="AF384" s="60">
        <v>0</v>
      </c>
      <c r="AG384" s="60">
        <v>0</v>
      </c>
      <c r="AH384" s="60">
        <v>0</v>
      </c>
      <c r="AI384" s="60">
        <v>254.47</v>
      </c>
      <c r="AJ384" s="60">
        <v>276.23</v>
      </c>
      <c r="AK384" s="60">
        <v>265.73</v>
      </c>
      <c r="AL384" s="60">
        <v>0</v>
      </c>
      <c r="AM384" s="60">
        <v>0</v>
      </c>
      <c r="AN384" s="60">
        <v>0</v>
      </c>
      <c r="AO384" s="60">
        <v>254.47</v>
      </c>
      <c r="AP384" s="60">
        <v>276.23</v>
      </c>
      <c r="AQ384" s="60">
        <v>265.73</v>
      </c>
      <c r="AR384" s="61">
        <v>276.23</v>
      </c>
    </row>
    <row r="385" spans="1:44" x14ac:dyDescent="0.35">
      <c r="A385" s="49" t="str">
        <f t="shared" si="29"/>
        <v>07</v>
      </c>
      <c r="B385" s="27">
        <v>61671</v>
      </c>
      <c r="C385" s="25" t="str">
        <f t="shared" si="28"/>
        <v>0000000</v>
      </c>
      <c r="D385" s="26" t="s">
        <v>3663</v>
      </c>
      <c r="E385" s="25" t="s">
        <v>293</v>
      </c>
      <c r="F385" s="25" t="s">
        <v>256</v>
      </c>
      <c r="G385" s="59" t="s">
        <v>294</v>
      </c>
      <c r="H385" s="60">
        <v>63.82</v>
      </c>
      <c r="I385" s="60">
        <v>59.56</v>
      </c>
      <c r="J385" s="60">
        <v>67.45</v>
      </c>
      <c r="K385" s="60">
        <v>0</v>
      </c>
      <c r="L385" s="60">
        <v>0</v>
      </c>
      <c r="M385" s="60">
        <v>0</v>
      </c>
      <c r="N385" s="60">
        <v>0</v>
      </c>
      <c r="O385" s="60">
        <v>0</v>
      </c>
      <c r="P385" s="60">
        <v>0</v>
      </c>
      <c r="Q385" s="60">
        <v>0</v>
      </c>
      <c r="R385" s="60">
        <v>0</v>
      </c>
      <c r="S385" s="60">
        <v>0</v>
      </c>
      <c r="T385" s="60">
        <v>0</v>
      </c>
      <c r="U385" s="60">
        <v>0</v>
      </c>
      <c r="V385" s="60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0">
        <v>0</v>
      </c>
      <c r="AE385" s="60">
        <v>0</v>
      </c>
      <c r="AF385" s="60">
        <v>0</v>
      </c>
      <c r="AG385" s="60">
        <v>0</v>
      </c>
      <c r="AH385" s="60">
        <v>0</v>
      </c>
      <c r="AI385" s="60">
        <v>63.82</v>
      </c>
      <c r="AJ385" s="60">
        <v>59.56</v>
      </c>
      <c r="AK385" s="60">
        <v>67.45</v>
      </c>
      <c r="AL385" s="60">
        <v>0</v>
      </c>
      <c r="AM385" s="60">
        <v>0</v>
      </c>
      <c r="AN385" s="60">
        <v>0</v>
      </c>
      <c r="AO385" s="60">
        <v>63.82</v>
      </c>
      <c r="AP385" s="60">
        <v>59.56</v>
      </c>
      <c r="AQ385" s="60">
        <v>67.45</v>
      </c>
      <c r="AR385" s="61">
        <v>67.45</v>
      </c>
    </row>
    <row r="386" spans="1:44" x14ac:dyDescent="0.35">
      <c r="A386" s="49" t="str">
        <f t="shared" si="29"/>
        <v>07</v>
      </c>
      <c r="B386" s="27">
        <v>61630</v>
      </c>
      <c r="C386" s="25" t="str">
        <f t="shared" si="28"/>
        <v>0000000</v>
      </c>
      <c r="D386" s="26" t="s">
        <v>3663</v>
      </c>
      <c r="E386" s="25" t="s">
        <v>275</v>
      </c>
      <c r="F386" s="25" t="s">
        <v>256</v>
      </c>
      <c r="G386" s="59" t="s">
        <v>276</v>
      </c>
      <c r="H386" s="60">
        <v>5179.24</v>
      </c>
      <c r="I386" s="60">
        <v>5154.1499999999996</v>
      </c>
      <c r="J386" s="60">
        <v>5191.95</v>
      </c>
      <c r="K386" s="60">
        <v>0</v>
      </c>
      <c r="L386" s="60">
        <v>0</v>
      </c>
      <c r="M386" s="60">
        <v>0</v>
      </c>
      <c r="N386" s="60">
        <v>0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0">
        <v>0</v>
      </c>
      <c r="U386" s="60">
        <v>0</v>
      </c>
      <c r="V386" s="60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0">
        <v>0</v>
      </c>
      <c r="AE386" s="60">
        <v>0</v>
      </c>
      <c r="AF386" s="60">
        <v>0</v>
      </c>
      <c r="AG386" s="60">
        <v>0</v>
      </c>
      <c r="AH386" s="60">
        <v>0</v>
      </c>
      <c r="AI386" s="60">
        <v>5179.24</v>
      </c>
      <c r="AJ386" s="60">
        <v>5154.1499999999996</v>
      </c>
      <c r="AK386" s="60">
        <v>5191.95</v>
      </c>
      <c r="AL386" s="60">
        <v>0</v>
      </c>
      <c r="AM386" s="60">
        <v>0</v>
      </c>
      <c r="AN386" s="60">
        <v>0</v>
      </c>
      <c r="AO386" s="60">
        <v>5179.24</v>
      </c>
      <c r="AP386" s="60">
        <v>5154.1499999999996</v>
      </c>
      <c r="AQ386" s="60">
        <v>5191.95</v>
      </c>
      <c r="AR386" s="61">
        <v>5191.95</v>
      </c>
    </row>
    <row r="387" spans="1:44" x14ac:dyDescent="0.35">
      <c r="A387" s="49" t="str">
        <f t="shared" si="29"/>
        <v>07</v>
      </c>
      <c r="B387" s="27">
        <v>61663</v>
      </c>
      <c r="C387" s="25" t="str">
        <f t="shared" si="28"/>
        <v>0000000</v>
      </c>
      <c r="D387" s="26" t="s">
        <v>3663</v>
      </c>
      <c r="E387" s="25" t="s">
        <v>289</v>
      </c>
      <c r="F387" s="25" t="s">
        <v>256</v>
      </c>
      <c r="G387" s="59" t="s">
        <v>290</v>
      </c>
      <c r="H387" s="60">
        <v>1168.3699999999999</v>
      </c>
      <c r="I387" s="60">
        <v>1143.1600000000001</v>
      </c>
      <c r="J387" s="60">
        <v>1161.01</v>
      </c>
      <c r="K387" s="60">
        <v>0</v>
      </c>
      <c r="L387" s="60">
        <v>0</v>
      </c>
      <c r="M387" s="60">
        <v>0</v>
      </c>
      <c r="N387" s="60">
        <v>0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0</v>
      </c>
      <c r="U387" s="60">
        <v>0</v>
      </c>
      <c r="V387" s="60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0">
        <v>0</v>
      </c>
      <c r="AE387" s="60">
        <v>0</v>
      </c>
      <c r="AF387" s="60">
        <v>0</v>
      </c>
      <c r="AG387" s="60">
        <v>0</v>
      </c>
      <c r="AH387" s="60">
        <v>0</v>
      </c>
      <c r="AI387" s="60">
        <v>1168.3699999999999</v>
      </c>
      <c r="AJ387" s="60">
        <v>1143.1600000000001</v>
      </c>
      <c r="AK387" s="60">
        <v>1161.01</v>
      </c>
      <c r="AL387" s="60">
        <v>0</v>
      </c>
      <c r="AM387" s="60">
        <v>0</v>
      </c>
      <c r="AN387" s="60">
        <v>0</v>
      </c>
      <c r="AO387" s="60">
        <v>1168.3699999999999</v>
      </c>
      <c r="AP387" s="60">
        <v>1143.1600000000001</v>
      </c>
      <c r="AQ387" s="60">
        <v>1161.01</v>
      </c>
      <c r="AR387" s="61">
        <v>1168.3699999999999</v>
      </c>
    </row>
    <row r="388" spans="1:44" x14ac:dyDescent="0.35">
      <c r="A388" s="49" t="str">
        <f t="shared" si="29"/>
        <v>07</v>
      </c>
      <c r="B388" s="27">
        <v>61796</v>
      </c>
      <c r="C388" s="25" t="str">
        <f t="shared" si="28"/>
        <v>0000000</v>
      </c>
      <c r="D388" s="26" t="s">
        <v>3663</v>
      </c>
      <c r="E388" s="25" t="s">
        <v>315</v>
      </c>
      <c r="F388" s="25" t="s">
        <v>316</v>
      </c>
      <c r="G388" s="59" t="s">
        <v>316</v>
      </c>
      <c r="H388" s="60">
        <v>23476.880000000001</v>
      </c>
      <c r="I388" s="60">
        <v>23309.66</v>
      </c>
      <c r="J388" s="60">
        <v>23503.96</v>
      </c>
      <c r="K388" s="60">
        <v>0</v>
      </c>
      <c r="L388" s="60">
        <v>0</v>
      </c>
      <c r="M388" s="60">
        <v>0</v>
      </c>
      <c r="N388" s="60">
        <v>0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520.5</v>
      </c>
      <c r="AD388" s="60">
        <v>513.42999999999995</v>
      </c>
      <c r="AE388" s="60">
        <v>462.98</v>
      </c>
      <c r="AF388" s="60">
        <v>0</v>
      </c>
      <c r="AG388" s="60">
        <v>0</v>
      </c>
      <c r="AH388" s="60">
        <v>0</v>
      </c>
      <c r="AI388" s="60">
        <v>23997.38</v>
      </c>
      <c r="AJ388" s="60">
        <v>23823.09</v>
      </c>
      <c r="AK388" s="60">
        <v>23966.94</v>
      </c>
      <c r="AL388" s="60">
        <v>0</v>
      </c>
      <c r="AM388" s="60">
        <v>0</v>
      </c>
      <c r="AN388" s="60">
        <v>0</v>
      </c>
      <c r="AO388" s="60">
        <v>23997.38</v>
      </c>
      <c r="AP388" s="60">
        <v>23823.09</v>
      </c>
      <c r="AQ388" s="60">
        <v>23966.94</v>
      </c>
      <c r="AR388" s="61">
        <v>23997.38</v>
      </c>
    </row>
    <row r="389" spans="1:44" x14ac:dyDescent="0.35">
      <c r="A389" s="49" t="str">
        <f t="shared" si="29"/>
        <v>07</v>
      </c>
      <c r="B389" s="27">
        <v>61754</v>
      </c>
      <c r="C389" s="25" t="str">
        <f t="shared" si="28"/>
        <v>0000000</v>
      </c>
      <c r="D389" s="26" t="s">
        <v>3663</v>
      </c>
      <c r="E389" s="25" t="s">
        <v>305</v>
      </c>
      <c r="F389" s="25" t="s">
        <v>306</v>
      </c>
      <c r="G389" s="59" t="s">
        <v>306</v>
      </c>
      <c r="H389" s="60">
        <v>27108.560000000001</v>
      </c>
      <c r="I389" s="60">
        <v>26513.29</v>
      </c>
      <c r="J389" s="60">
        <v>26487.58</v>
      </c>
      <c r="K389" s="60">
        <v>0</v>
      </c>
      <c r="L389" s="60">
        <v>0</v>
      </c>
      <c r="M389" s="60">
        <v>0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0">
        <v>0</v>
      </c>
      <c r="U389" s="60">
        <v>0</v>
      </c>
      <c r="V389" s="60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282.01</v>
      </c>
      <c r="AD389" s="60">
        <v>281.74</v>
      </c>
      <c r="AE389" s="60">
        <v>288.83</v>
      </c>
      <c r="AF389" s="60">
        <v>0</v>
      </c>
      <c r="AG389" s="60">
        <v>0</v>
      </c>
      <c r="AH389" s="60">
        <v>0</v>
      </c>
      <c r="AI389" s="60">
        <v>27390.57</v>
      </c>
      <c r="AJ389" s="60">
        <v>26795.03</v>
      </c>
      <c r="AK389" s="60">
        <v>26776.41</v>
      </c>
      <c r="AL389" s="60">
        <v>0</v>
      </c>
      <c r="AM389" s="60">
        <v>0</v>
      </c>
      <c r="AN389" s="60">
        <v>0</v>
      </c>
      <c r="AO389" s="60">
        <v>27390.57</v>
      </c>
      <c r="AP389" s="60">
        <v>26795.03</v>
      </c>
      <c r="AQ389" s="60">
        <v>26776.41</v>
      </c>
      <c r="AR389" s="61">
        <v>27390.57</v>
      </c>
    </row>
    <row r="390" spans="1:44" x14ac:dyDescent="0.35">
      <c r="A390" s="49" t="str">
        <f>TEXT(15,"00")</f>
        <v>15</v>
      </c>
      <c r="B390" s="27">
        <v>63321</v>
      </c>
      <c r="C390" s="25" t="str">
        <f t="shared" si="28"/>
        <v>0000000</v>
      </c>
      <c r="D390" s="26" t="s">
        <v>3663</v>
      </c>
      <c r="E390" s="25" t="s">
        <v>651</v>
      </c>
      <c r="F390" s="25" t="s">
        <v>652</v>
      </c>
      <c r="G390" s="59" t="s">
        <v>652</v>
      </c>
      <c r="H390" s="60">
        <v>26849.22</v>
      </c>
      <c r="I390" s="60">
        <v>26388.720000000001</v>
      </c>
      <c r="J390" s="60">
        <v>24997.88</v>
      </c>
      <c r="K390" s="60">
        <v>0</v>
      </c>
      <c r="L390" s="60">
        <v>0</v>
      </c>
      <c r="M390" s="60">
        <v>0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0</v>
      </c>
      <c r="U390" s="60">
        <v>0</v>
      </c>
      <c r="V390" s="60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v>0</v>
      </c>
      <c r="AD390" s="60">
        <v>0</v>
      </c>
      <c r="AE390" s="60">
        <v>0</v>
      </c>
      <c r="AF390" s="60">
        <v>0</v>
      </c>
      <c r="AG390" s="60">
        <v>0</v>
      </c>
      <c r="AH390" s="60">
        <v>0</v>
      </c>
      <c r="AI390" s="60">
        <v>26849.22</v>
      </c>
      <c r="AJ390" s="60">
        <v>26388.720000000001</v>
      </c>
      <c r="AK390" s="60">
        <v>24997.88</v>
      </c>
      <c r="AL390" s="60">
        <v>0</v>
      </c>
      <c r="AM390" s="60">
        <v>0</v>
      </c>
      <c r="AN390" s="60">
        <v>0</v>
      </c>
      <c r="AO390" s="60">
        <v>26849.22</v>
      </c>
      <c r="AP390" s="60">
        <v>26388.720000000001</v>
      </c>
      <c r="AQ390" s="60">
        <v>24997.88</v>
      </c>
      <c r="AR390" s="61">
        <v>26849.22</v>
      </c>
    </row>
    <row r="391" spans="1:44" x14ac:dyDescent="0.35">
      <c r="A391" s="49" t="str">
        <f t="shared" ref="A391:A396" si="30">TEXT(58,"00")</f>
        <v>58</v>
      </c>
      <c r="B391" s="27">
        <v>10587</v>
      </c>
      <c r="C391" s="25" t="str">
        <f t="shared" si="28"/>
        <v>0000000</v>
      </c>
      <c r="D391" s="26" t="s">
        <v>3663</v>
      </c>
      <c r="E391" s="25" t="s">
        <v>350</v>
      </c>
      <c r="F391" s="25" t="s">
        <v>351</v>
      </c>
      <c r="G391" s="59" t="s">
        <v>351</v>
      </c>
      <c r="H391" s="60">
        <v>0</v>
      </c>
      <c r="I391" s="60">
        <v>0</v>
      </c>
      <c r="J391" s="60">
        <v>0</v>
      </c>
      <c r="K391" s="60">
        <v>0</v>
      </c>
      <c r="L391" s="60">
        <v>0</v>
      </c>
      <c r="M391" s="60">
        <v>0</v>
      </c>
      <c r="N391" s="60">
        <v>0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53.56</v>
      </c>
      <c r="U391" s="60">
        <v>51.66</v>
      </c>
      <c r="V391" s="60">
        <v>58.6</v>
      </c>
      <c r="W391" s="60">
        <v>194.17</v>
      </c>
      <c r="X391" s="60">
        <v>166.38</v>
      </c>
      <c r="Y391" s="60">
        <v>134.22999999999999</v>
      </c>
      <c r="Z391" s="60">
        <v>217.52</v>
      </c>
      <c r="AA391" s="60">
        <v>195.76</v>
      </c>
      <c r="AB391" s="60">
        <v>174.63</v>
      </c>
      <c r="AC391" s="60">
        <v>0</v>
      </c>
      <c r="AD391" s="60">
        <v>157.76</v>
      </c>
      <c r="AE391" s="60">
        <v>123.13</v>
      </c>
      <c r="AF391" s="60">
        <v>0</v>
      </c>
      <c r="AG391" s="60">
        <v>0</v>
      </c>
      <c r="AH391" s="60">
        <v>0</v>
      </c>
      <c r="AI391" s="60">
        <v>465.25</v>
      </c>
      <c r="AJ391" s="60">
        <v>571.55999999999995</v>
      </c>
      <c r="AK391" s="60">
        <v>490.59</v>
      </c>
      <c r="AL391" s="60">
        <v>0</v>
      </c>
      <c r="AM391" s="60">
        <v>-157.76</v>
      </c>
      <c r="AN391" s="60">
        <v>-123.13</v>
      </c>
      <c r="AO391" s="60">
        <v>465.25</v>
      </c>
      <c r="AP391" s="60">
        <v>413.8</v>
      </c>
      <c r="AQ391" s="60">
        <v>367.46</v>
      </c>
      <c r="AR391" s="61">
        <v>465.25</v>
      </c>
    </row>
    <row r="392" spans="1:44" x14ac:dyDescent="0.35">
      <c r="A392" s="49" t="str">
        <f t="shared" si="30"/>
        <v>58</v>
      </c>
      <c r="B392" s="27">
        <v>72751</v>
      </c>
      <c r="C392" s="25" t="str">
        <f t="shared" si="28"/>
        <v>0000000</v>
      </c>
      <c r="D392" s="26" t="s">
        <v>3663</v>
      </c>
      <c r="E392" s="25" t="s">
        <v>3503</v>
      </c>
      <c r="F392" s="25" t="s">
        <v>351</v>
      </c>
      <c r="G392" s="59" t="s">
        <v>3504</v>
      </c>
      <c r="H392" s="60">
        <v>1174.26</v>
      </c>
      <c r="I392" s="60">
        <v>1180.0899999999999</v>
      </c>
      <c r="J392" s="60">
        <v>1166.69</v>
      </c>
      <c r="K392" s="60">
        <v>0</v>
      </c>
      <c r="L392" s="60">
        <v>0</v>
      </c>
      <c r="M392" s="60">
        <v>0</v>
      </c>
      <c r="N392" s="60">
        <v>0</v>
      </c>
      <c r="O392" s="60">
        <v>0</v>
      </c>
      <c r="P392" s="60">
        <v>0</v>
      </c>
      <c r="Q392" s="60">
        <v>0</v>
      </c>
      <c r="R392" s="60">
        <v>0</v>
      </c>
      <c r="S392" s="60">
        <v>0</v>
      </c>
      <c r="T392" s="60">
        <v>0</v>
      </c>
      <c r="U392" s="60">
        <v>0</v>
      </c>
      <c r="V392" s="60">
        <v>0</v>
      </c>
      <c r="W392" s="60">
        <v>0</v>
      </c>
      <c r="X392" s="60">
        <v>0</v>
      </c>
      <c r="Y392" s="60">
        <v>0</v>
      </c>
      <c r="Z392" s="60">
        <v>0</v>
      </c>
      <c r="AA392" s="60">
        <v>0</v>
      </c>
      <c r="AB392" s="60">
        <v>0</v>
      </c>
      <c r="AC392" s="60">
        <v>79.19</v>
      </c>
      <c r="AD392" s="60">
        <v>81.12</v>
      </c>
      <c r="AE392" s="60">
        <v>82.81</v>
      </c>
      <c r="AF392" s="60">
        <v>0</v>
      </c>
      <c r="AG392" s="60">
        <v>0</v>
      </c>
      <c r="AH392" s="60">
        <v>0</v>
      </c>
      <c r="AI392" s="60">
        <v>1253.45</v>
      </c>
      <c r="AJ392" s="60">
        <v>1261.21</v>
      </c>
      <c r="AK392" s="60">
        <v>1249.5</v>
      </c>
      <c r="AL392" s="60">
        <v>0</v>
      </c>
      <c r="AM392" s="60">
        <v>0</v>
      </c>
      <c r="AN392" s="60">
        <v>0</v>
      </c>
      <c r="AO392" s="60">
        <v>1253.45</v>
      </c>
      <c r="AP392" s="60">
        <v>1261.21</v>
      </c>
      <c r="AQ392" s="60">
        <v>1249.5</v>
      </c>
      <c r="AR392" s="61">
        <v>1261.21</v>
      </c>
    </row>
    <row r="393" spans="1:44" x14ac:dyDescent="0.35">
      <c r="A393" s="49" t="str">
        <f t="shared" si="30"/>
        <v>58</v>
      </c>
      <c r="B393" s="27">
        <v>72769</v>
      </c>
      <c r="C393" s="25" t="str">
        <f t="shared" si="28"/>
        <v>0000000</v>
      </c>
      <c r="D393" s="26" t="s">
        <v>3663</v>
      </c>
      <c r="E393" s="25" t="s">
        <v>3505</v>
      </c>
      <c r="F393" s="25" t="s">
        <v>351</v>
      </c>
      <c r="G393" s="59" t="s">
        <v>3506</v>
      </c>
      <c r="H393" s="60">
        <v>1030.76</v>
      </c>
      <c r="I393" s="60">
        <v>1032.6500000000001</v>
      </c>
      <c r="J393" s="60">
        <v>991.49</v>
      </c>
      <c r="K393" s="60">
        <v>0</v>
      </c>
      <c r="L393" s="60">
        <v>0</v>
      </c>
      <c r="M393" s="60">
        <v>0</v>
      </c>
      <c r="N393" s="60">
        <v>0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0">
        <v>0</v>
      </c>
      <c r="U393" s="60">
        <v>0</v>
      </c>
      <c r="V393" s="60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0</v>
      </c>
      <c r="AD393" s="60">
        <v>0</v>
      </c>
      <c r="AE393" s="60">
        <v>0</v>
      </c>
      <c r="AF393" s="60">
        <v>0</v>
      </c>
      <c r="AG393" s="60">
        <v>0</v>
      </c>
      <c r="AH393" s="60">
        <v>0</v>
      </c>
      <c r="AI393" s="60">
        <v>1030.76</v>
      </c>
      <c r="AJ393" s="60">
        <v>1032.6500000000001</v>
      </c>
      <c r="AK393" s="60">
        <v>991.49</v>
      </c>
      <c r="AL393" s="60">
        <v>0</v>
      </c>
      <c r="AM393" s="60">
        <v>0</v>
      </c>
      <c r="AN393" s="60">
        <v>0</v>
      </c>
      <c r="AO393" s="60">
        <v>1030.76</v>
      </c>
      <c r="AP393" s="60">
        <v>1032.6500000000001</v>
      </c>
      <c r="AQ393" s="60">
        <v>991.49</v>
      </c>
      <c r="AR393" s="61">
        <v>1032.6500000000001</v>
      </c>
    </row>
    <row r="394" spans="1:44" x14ac:dyDescent="0.35">
      <c r="A394" s="49" t="str">
        <f t="shared" si="30"/>
        <v>58</v>
      </c>
      <c r="B394" s="27">
        <v>72736</v>
      </c>
      <c r="C394" s="25" t="str">
        <f t="shared" si="28"/>
        <v>0000000</v>
      </c>
      <c r="D394" s="26" t="s">
        <v>3663</v>
      </c>
      <c r="E394" s="25" t="s">
        <v>3497</v>
      </c>
      <c r="F394" s="25" t="s">
        <v>351</v>
      </c>
      <c r="G394" s="59" t="s">
        <v>3498</v>
      </c>
      <c r="H394" s="60">
        <v>9229.48</v>
      </c>
      <c r="I394" s="60">
        <v>8930.42</v>
      </c>
      <c r="J394" s="60">
        <v>8575.48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354.73</v>
      </c>
      <c r="AD394" s="60">
        <v>342.35</v>
      </c>
      <c r="AE394" s="60">
        <v>321.5</v>
      </c>
      <c r="AF394" s="60">
        <v>0</v>
      </c>
      <c r="AG394" s="60">
        <v>0</v>
      </c>
      <c r="AH394" s="60">
        <v>0</v>
      </c>
      <c r="AI394" s="60">
        <v>9584.2099999999991</v>
      </c>
      <c r="AJ394" s="60">
        <v>9272.77</v>
      </c>
      <c r="AK394" s="60">
        <v>8896.98</v>
      </c>
      <c r="AL394" s="60">
        <v>0</v>
      </c>
      <c r="AM394" s="60">
        <v>0</v>
      </c>
      <c r="AN394" s="60">
        <v>0</v>
      </c>
      <c r="AO394" s="60">
        <v>9584.2099999999991</v>
      </c>
      <c r="AP394" s="60">
        <v>9272.77</v>
      </c>
      <c r="AQ394" s="60">
        <v>8896.98</v>
      </c>
      <c r="AR394" s="61">
        <v>9584.2099999999991</v>
      </c>
    </row>
    <row r="395" spans="1:44" x14ac:dyDescent="0.35">
      <c r="A395" s="49" t="str">
        <f t="shared" si="30"/>
        <v>58</v>
      </c>
      <c r="B395" s="27">
        <v>72728</v>
      </c>
      <c r="C395" s="25" t="str">
        <f t="shared" si="28"/>
        <v>0000000</v>
      </c>
      <c r="D395" s="26" t="s">
        <v>3663</v>
      </c>
      <c r="E395" s="25" t="s">
        <v>3495</v>
      </c>
      <c r="F395" s="25" t="s">
        <v>351</v>
      </c>
      <c r="G395" s="59" t="s">
        <v>3496</v>
      </c>
      <c r="H395" s="60">
        <v>46.29</v>
      </c>
      <c r="I395" s="60">
        <v>45.74</v>
      </c>
      <c r="J395" s="60">
        <v>41.38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457.26</v>
      </c>
      <c r="AE395" s="60">
        <v>453.11</v>
      </c>
      <c r="AF395" s="60">
        <v>0</v>
      </c>
      <c r="AG395" s="60">
        <v>0</v>
      </c>
      <c r="AH395" s="60">
        <v>0</v>
      </c>
      <c r="AI395" s="60">
        <v>46.29</v>
      </c>
      <c r="AJ395" s="60">
        <v>503</v>
      </c>
      <c r="AK395" s="60">
        <v>494.49</v>
      </c>
      <c r="AL395" s="60">
        <v>0</v>
      </c>
      <c r="AM395" s="60">
        <v>-457.26</v>
      </c>
      <c r="AN395" s="60">
        <v>-453.11</v>
      </c>
      <c r="AO395" s="60">
        <v>46.29</v>
      </c>
      <c r="AP395" s="60">
        <v>45.74</v>
      </c>
      <c r="AQ395" s="60">
        <v>41.38</v>
      </c>
      <c r="AR395" s="61">
        <v>46.29</v>
      </c>
    </row>
    <row r="396" spans="1:44" x14ac:dyDescent="0.35">
      <c r="A396" s="49" t="str">
        <f t="shared" si="30"/>
        <v>58</v>
      </c>
      <c r="B396" s="27">
        <v>72744</v>
      </c>
      <c r="C396" s="25" t="str">
        <f t="shared" si="28"/>
        <v>0000000</v>
      </c>
      <c r="D396" s="26" t="s">
        <v>3663</v>
      </c>
      <c r="E396" s="25" t="s">
        <v>3501</v>
      </c>
      <c r="F396" s="25" t="s">
        <v>351</v>
      </c>
      <c r="G396" s="59" t="s">
        <v>3502</v>
      </c>
      <c r="H396" s="60">
        <v>1560.21</v>
      </c>
      <c r="I396" s="60">
        <v>1458.98</v>
      </c>
      <c r="J396" s="60">
        <v>1340.98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0</v>
      </c>
      <c r="U396" s="60">
        <v>0</v>
      </c>
      <c r="V396" s="60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0</v>
      </c>
      <c r="AH396" s="60">
        <v>0</v>
      </c>
      <c r="AI396" s="60">
        <v>1560.21</v>
      </c>
      <c r="AJ396" s="60">
        <v>1458.98</v>
      </c>
      <c r="AK396" s="60">
        <v>1340.98</v>
      </c>
      <c r="AL396" s="60">
        <v>0</v>
      </c>
      <c r="AM396" s="60">
        <v>0</v>
      </c>
      <c r="AN396" s="60">
        <v>0</v>
      </c>
      <c r="AO396" s="60">
        <v>1560.21</v>
      </c>
      <c r="AP396" s="60">
        <v>1458.98</v>
      </c>
      <c r="AQ396" s="60">
        <v>1340.98</v>
      </c>
      <c r="AR396" s="61">
        <v>1560.21</v>
      </c>
    </row>
    <row r="397" spans="1:44" x14ac:dyDescent="0.35">
      <c r="A397" s="49" t="str">
        <f>TEXT(34,"00")</f>
        <v>34</v>
      </c>
      <c r="B397" s="27">
        <v>67439</v>
      </c>
      <c r="C397" s="25" t="str">
        <f>TEXT(111757,"0000000")</f>
        <v>0111757</v>
      </c>
      <c r="D397" s="26" t="s">
        <v>1835</v>
      </c>
      <c r="E397" s="25" t="s">
        <v>1833</v>
      </c>
      <c r="F397" s="25" t="s">
        <v>351</v>
      </c>
      <c r="G397" s="59" t="s">
        <v>1834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339.28</v>
      </c>
      <c r="AD397" s="60">
        <v>326.22000000000003</v>
      </c>
      <c r="AE397" s="60">
        <v>320.8</v>
      </c>
      <c r="AF397" s="60">
        <v>0</v>
      </c>
      <c r="AG397" s="60">
        <v>0</v>
      </c>
      <c r="AH397" s="60">
        <v>0</v>
      </c>
      <c r="AI397" s="60">
        <v>339.28</v>
      </c>
      <c r="AJ397" s="60">
        <v>326.22000000000003</v>
      </c>
      <c r="AK397" s="60">
        <v>320.8</v>
      </c>
      <c r="AL397" s="60">
        <v>0</v>
      </c>
      <c r="AM397" s="60">
        <v>0</v>
      </c>
      <c r="AN397" s="60">
        <v>0</v>
      </c>
      <c r="AO397" s="60">
        <v>339.28</v>
      </c>
      <c r="AP397" s="60">
        <v>326.22000000000003</v>
      </c>
      <c r="AQ397" s="60">
        <v>320.8</v>
      </c>
      <c r="AR397" s="61">
        <v>339.28</v>
      </c>
    </row>
    <row r="398" spans="1:44" ht="31" x14ac:dyDescent="0.35">
      <c r="A398" s="49" t="str">
        <f>TEXT(34,"00")</f>
        <v>34</v>
      </c>
      <c r="B398" s="27">
        <v>67314</v>
      </c>
      <c r="C398" s="25" t="str">
        <f>TEXT(111732,"0000000")</f>
        <v>0111732</v>
      </c>
      <c r="D398" s="26" t="s">
        <v>1797</v>
      </c>
      <c r="E398" s="25" t="s">
        <v>1795</v>
      </c>
      <c r="F398" s="25" t="s">
        <v>351</v>
      </c>
      <c r="G398" s="59" t="s">
        <v>1796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506.8</v>
      </c>
      <c r="AD398" s="60">
        <v>493.32</v>
      </c>
      <c r="AE398" s="60">
        <v>493.92</v>
      </c>
      <c r="AF398" s="60">
        <v>0</v>
      </c>
      <c r="AG398" s="60">
        <v>0</v>
      </c>
      <c r="AH398" s="60">
        <v>0</v>
      </c>
      <c r="AI398" s="60">
        <v>506.8</v>
      </c>
      <c r="AJ398" s="60">
        <v>493.32</v>
      </c>
      <c r="AK398" s="60">
        <v>493.92</v>
      </c>
      <c r="AL398" s="60">
        <v>0</v>
      </c>
      <c r="AM398" s="60">
        <v>0</v>
      </c>
      <c r="AN398" s="60">
        <v>0</v>
      </c>
      <c r="AO398" s="60">
        <v>506.8</v>
      </c>
      <c r="AP398" s="60">
        <v>493.32</v>
      </c>
      <c r="AQ398" s="60">
        <v>493.92</v>
      </c>
      <c r="AR398" s="61">
        <v>506.8</v>
      </c>
    </row>
    <row r="399" spans="1:44" ht="31" x14ac:dyDescent="0.35">
      <c r="A399" s="49" t="str">
        <f>TEXT(34,"00")</f>
        <v>34</v>
      </c>
      <c r="B399" s="27">
        <v>67447</v>
      </c>
      <c r="C399" s="25" t="str">
        <f>TEXT(112169,"0000000")</f>
        <v>0112169</v>
      </c>
      <c r="D399" s="26" t="s">
        <v>1848</v>
      </c>
      <c r="E399" s="25" t="s">
        <v>1846</v>
      </c>
      <c r="F399" s="25" t="s">
        <v>351</v>
      </c>
      <c r="G399" s="59" t="s">
        <v>1847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1381.78</v>
      </c>
      <c r="AD399" s="60">
        <v>1311.99</v>
      </c>
      <c r="AE399" s="60">
        <v>1270.8499999999999</v>
      </c>
      <c r="AF399" s="60">
        <v>0</v>
      </c>
      <c r="AG399" s="60">
        <v>0</v>
      </c>
      <c r="AH399" s="60">
        <v>0</v>
      </c>
      <c r="AI399" s="60">
        <v>1381.78</v>
      </c>
      <c r="AJ399" s="60">
        <v>1311.99</v>
      </c>
      <c r="AK399" s="60">
        <v>1270.8499999999999</v>
      </c>
      <c r="AL399" s="60">
        <v>0</v>
      </c>
      <c r="AM399" s="60">
        <v>0</v>
      </c>
      <c r="AN399" s="60">
        <v>0</v>
      </c>
      <c r="AO399" s="60">
        <v>1381.78</v>
      </c>
      <c r="AP399" s="60">
        <v>1311.99</v>
      </c>
      <c r="AQ399" s="60">
        <v>1270.8499999999999</v>
      </c>
      <c r="AR399" s="61">
        <v>1381.78</v>
      </c>
    </row>
    <row r="400" spans="1:44" ht="31" x14ac:dyDescent="0.35">
      <c r="A400" s="49" t="str">
        <f>TEXT(9,"00")</f>
        <v>09</v>
      </c>
      <c r="B400" s="27">
        <v>61838</v>
      </c>
      <c r="C400" s="25" t="str">
        <f>TEXT(111724,"0000000")</f>
        <v>0111724</v>
      </c>
      <c r="D400" s="26" t="s">
        <v>354</v>
      </c>
      <c r="E400" s="25" t="s">
        <v>352</v>
      </c>
      <c r="F400" s="25" t="s">
        <v>351</v>
      </c>
      <c r="G400" s="59" t="s">
        <v>353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503.17</v>
      </c>
      <c r="AD400" s="60">
        <v>475.23</v>
      </c>
      <c r="AE400" s="60">
        <v>452.96</v>
      </c>
      <c r="AF400" s="60">
        <v>0</v>
      </c>
      <c r="AG400" s="60">
        <v>0</v>
      </c>
      <c r="AH400" s="60">
        <v>0</v>
      </c>
      <c r="AI400" s="60">
        <v>503.17</v>
      </c>
      <c r="AJ400" s="60">
        <v>475.23</v>
      </c>
      <c r="AK400" s="60">
        <v>452.96</v>
      </c>
      <c r="AL400" s="60">
        <v>0</v>
      </c>
      <c r="AM400" s="60">
        <v>0</v>
      </c>
      <c r="AN400" s="60">
        <v>0</v>
      </c>
      <c r="AO400" s="60">
        <v>503.17</v>
      </c>
      <c r="AP400" s="60">
        <v>475.23</v>
      </c>
      <c r="AQ400" s="60">
        <v>452.96</v>
      </c>
      <c r="AR400" s="61">
        <v>503.17</v>
      </c>
    </row>
    <row r="401" spans="1:44" x14ac:dyDescent="0.35">
      <c r="A401" s="49" t="str">
        <f>TEXT(58,"00")</f>
        <v>58</v>
      </c>
      <c r="B401" s="27">
        <v>72728</v>
      </c>
      <c r="C401" s="25" t="str">
        <f>TEXT(6115935,"0000000")</f>
        <v>6115935</v>
      </c>
      <c r="D401" s="26" t="s">
        <v>3555</v>
      </c>
      <c r="E401" s="25" t="s">
        <v>3553</v>
      </c>
      <c r="F401" s="25" t="s">
        <v>351</v>
      </c>
      <c r="G401" s="59" t="s">
        <v>3554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520.39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520.39</v>
      </c>
      <c r="AJ401" s="60">
        <v>0</v>
      </c>
      <c r="AK401" s="60">
        <v>0</v>
      </c>
      <c r="AL401" s="60">
        <v>0</v>
      </c>
      <c r="AM401" s="60">
        <v>457.26</v>
      </c>
      <c r="AN401" s="60">
        <v>453.11</v>
      </c>
      <c r="AO401" s="60">
        <v>520.39</v>
      </c>
      <c r="AP401" s="60">
        <v>457.26</v>
      </c>
      <c r="AQ401" s="60">
        <v>453.11</v>
      </c>
      <c r="AR401" s="61">
        <v>520.39</v>
      </c>
    </row>
    <row r="402" spans="1:44" x14ac:dyDescent="0.35">
      <c r="A402" s="49" t="str">
        <f>TEXT(58,"00")</f>
        <v>58</v>
      </c>
      <c r="B402" s="27">
        <v>10587</v>
      </c>
      <c r="C402" s="25" t="str">
        <f>TEXT(117242,"0000000")</f>
        <v>0117242</v>
      </c>
      <c r="D402" s="26" t="s">
        <v>3552</v>
      </c>
      <c r="E402" s="25" t="s">
        <v>3550</v>
      </c>
      <c r="F402" s="25" t="s">
        <v>351</v>
      </c>
      <c r="G402" s="59" t="s">
        <v>3551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162.91</v>
      </c>
      <c r="AD402" s="60">
        <v>0</v>
      </c>
      <c r="AE402" s="60">
        <v>0</v>
      </c>
      <c r="AF402" s="60">
        <v>0</v>
      </c>
      <c r="AG402" s="60">
        <v>0</v>
      </c>
      <c r="AH402" s="60">
        <v>0</v>
      </c>
      <c r="AI402" s="60">
        <v>162.91</v>
      </c>
      <c r="AJ402" s="60">
        <v>0</v>
      </c>
      <c r="AK402" s="60">
        <v>0</v>
      </c>
      <c r="AL402" s="60">
        <v>0</v>
      </c>
      <c r="AM402" s="60">
        <v>157.76</v>
      </c>
      <c r="AN402" s="60">
        <v>123.13</v>
      </c>
      <c r="AO402" s="60">
        <v>162.91</v>
      </c>
      <c r="AP402" s="60">
        <v>157.76</v>
      </c>
      <c r="AQ402" s="60">
        <v>123.13</v>
      </c>
      <c r="AR402" s="61">
        <v>162.91</v>
      </c>
    </row>
    <row r="403" spans="1:44" x14ac:dyDescent="0.35">
      <c r="A403" s="49" t="str">
        <f t="shared" ref="A403:A413" si="31">TEXT(39,"00")</f>
        <v>39</v>
      </c>
      <c r="B403" s="27">
        <v>10397</v>
      </c>
      <c r="C403" s="25" t="str">
        <f t="shared" ref="C403:C434" si="32">TEXT(,"0000000")</f>
        <v>0000000</v>
      </c>
      <c r="D403" s="26" t="s">
        <v>3663</v>
      </c>
      <c r="E403" s="25" t="s">
        <v>2408</v>
      </c>
      <c r="F403" s="25" t="s">
        <v>2409</v>
      </c>
      <c r="G403" s="59" t="s">
        <v>2409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1341.74</v>
      </c>
      <c r="U403" s="60">
        <v>1201.3399999999999</v>
      </c>
      <c r="V403" s="60">
        <v>892.18</v>
      </c>
      <c r="W403" s="60">
        <v>3689.44</v>
      </c>
      <c r="X403" s="60">
        <v>3557.7</v>
      </c>
      <c r="Y403" s="60">
        <v>3265.47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>
        <v>0</v>
      </c>
      <c r="AF403" s="60">
        <v>0</v>
      </c>
      <c r="AG403" s="60">
        <v>0</v>
      </c>
      <c r="AH403" s="60">
        <v>0</v>
      </c>
      <c r="AI403" s="60">
        <v>5031.18</v>
      </c>
      <c r="AJ403" s="60">
        <v>4759.04</v>
      </c>
      <c r="AK403" s="60">
        <v>4157.6499999999996</v>
      </c>
      <c r="AL403" s="60">
        <v>0</v>
      </c>
      <c r="AM403" s="60">
        <v>0</v>
      </c>
      <c r="AN403" s="60">
        <v>0</v>
      </c>
      <c r="AO403" s="60">
        <v>5031.18</v>
      </c>
      <c r="AP403" s="60">
        <v>4759.04</v>
      </c>
      <c r="AQ403" s="60">
        <v>4157.6499999999996</v>
      </c>
      <c r="AR403" s="61">
        <v>5031.18</v>
      </c>
    </row>
    <row r="404" spans="1:44" x14ac:dyDescent="0.35">
      <c r="A404" s="49" t="str">
        <f t="shared" si="31"/>
        <v>39</v>
      </c>
      <c r="B404" s="27">
        <v>77388</v>
      </c>
      <c r="C404" s="25" t="str">
        <f t="shared" si="32"/>
        <v>0000000</v>
      </c>
      <c r="D404" s="26" t="s">
        <v>3663</v>
      </c>
      <c r="E404" s="25" t="s">
        <v>2509</v>
      </c>
      <c r="F404" s="25" t="s">
        <v>2409</v>
      </c>
      <c r="G404" s="59" t="s">
        <v>2510</v>
      </c>
      <c r="H404" s="60">
        <v>168.17</v>
      </c>
      <c r="I404" s="60">
        <v>181.91</v>
      </c>
      <c r="J404" s="60">
        <v>203.41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2740.97</v>
      </c>
      <c r="AD404" s="60">
        <v>2243.7199999999998</v>
      </c>
      <c r="AE404" s="60">
        <v>1739.66</v>
      </c>
      <c r="AF404" s="60">
        <v>0</v>
      </c>
      <c r="AG404" s="60">
        <v>0</v>
      </c>
      <c r="AH404" s="60">
        <v>0</v>
      </c>
      <c r="AI404" s="60">
        <v>2909.14</v>
      </c>
      <c r="AJ404" s="60">
        <v>2425.63</v>
      </c>
      <c r="AK404" s="60">
        <v>1943.07</v>
      </c>
      <c r="AL404" s="60">
        <v>0</v>
      </c>
      <c r="AM404" s="60">
        <v>0</v>
      </c>
      <c r="AN404" s="60">
        <v>0</v>
      </c>
      <c r="AO404" s="60">
        <v>2909.14</v>
      </c>
      <c r="AP404" s="60">
        <v>2425.63</v>
      </c>
      <c r="AQ404" s="60">
        <v>1943.07</v>
      </c>
      <c r="AR404" s="61">
        <v>2909.14</v>
      </c>
    </row>
    <row r="405" spans="1:44" x14ac:dyDescent="0.35">
      <c r="A405" s="49" t="str">
        <f t="shared" si="31"/>
        <v>39</v>
      </c>
      <c r="B405" s="27">
        <v>68627</v>
      </c>
      <c r="C405" s="25" t="str">
        <f t="shared" si="32"/>
        <v>0000000</v>
      </c>
      <c r="D405" s="26" t="s">
        <v>3663</v>
      </c>
      <c r="E405" s="25" t="s">
        <v>2438</v>
      </c>
      <c r="F405" s="25" t="s">
        <v>2409</v>
      </c>
      <c r="G405" s="59" t="s">
        <v>2439</v>
      </c>
      <c r="H405" s="60">
        <v>13.5</v>
      </c>
      <c r="I405" s="60">
        <v>21.08</v>
      </c>
      <c r="J405" s="60">
        <v>21.36</v>
      </c>
      <c r="K405" s="60">
        <v>0</v>
      </c>
      <c r="L405" s="60">
        <v>0</v>
      </c>
      <c r="M405" s="60">
        <v>0</v>
      </c>
      <c r="N405" s="60">
        <v>0</v>
      </c>
      <c r="O405" s="60">
        <v>0</v>
      </c>
      <c r="P405" s="60">
        <v>0</v>
      </c>
      <c r="Q405" s="60">
        <v>0</v>
      </c>
      <c r="R405" s="60">
        <v>0</v>
      </c>
      <c r="S405" s="60">
        <v>0</v>
      </c>
      <c r="T405" s="60">
        <v>0</v>
      </c>
      <c r="U405" s="60">
        <v>0</v>
      </c>
      <c r="V405" s="60">
        <v>0</v>
      </c>
      <c r="W405" s="60">
        <v>0</v>
      </c>
      <c r="X405" s="60">
        <v>0</v>
      </c>
      <c r="Y405" s="60">
        <v>0</v>
      </c>
      <c r="Z405" s="60">
        <v>0</v>
      </c>
      <c r="AA405" s="60">
        <v>0</v>
      </c>
      <c r="AB405" s="60">
        <v>0</v>
      </c>
      <c r="AC405" s="60">
        <v>0</v>
      </c>
      <c r="AD405" s="60">
        <v>0</v>
      </c>
      <c r="AE405" s="60">
        <v>0</v>
      </c>
      <c r="AF405" s="60">
        <v>0</v>
      </c>
      <c r="AG405" s="60">
        <v>0</v>
      </c>
      <c r="AH405" s="60">
        <v>0</v>
      </c>
      <c r="AI405" s="60">
        <v>13.5</v>
      </c>
      <c r="AJ405" s="60">
        <v>21.08</v>
      </c>
      <c r="AK405" s="60">
        <v>21.36</v>
      </c>
      <c r="AL405" s="60">
        <v>0</v>
      </c>
      <c r="AM405" s="60">
        <v>0</v>
      </c>
      <c r="AN405" s="60">
        <v>0</v>
      </c>
      <c r="AO405" s="60">
        <v>13.5</v>
      </c>
      <c r="AP405" s="60">
        <v>21.08</v>
      </c>
      <c r="AQ405" s="60">
        <v>21.36</v>
      </c>
      <c r="AR405" s="61">
        <v>21.36</v>
      </c>
    </row>
    <row r="406" spans="1:44" x14ac:dyDescent="0.35">
      <c r="A406" s="49" t="str">
        <f t="shared" si="31"/>
        <v>39</v>
      </c>
      <c r="B406" s="27">
        <v>68502</v>
      </c>
      <c r="C406" s="25" t="str">
        <f t="shared" si="32"/>
        <v>0000000</v>
      </c>
      <c r="D406" s="26" t="s">
        <v>3663</v>
      </c>
      <c r="E406" s="25" t="s">
        <v>2412</v>
      </c>
      <c r="F406" s="25" t="s">
        <v>2409</v>
      </c>
      <c r="G406" s="59" t="s">
        <v>2413</v>
      </c>
      <c r="H406" s="60">
        <v>2585.33</v>
      </c>
      <c r="I406" s="60">
        <v>2510.1799999999998</v>
      </c>
      <c r="J406" s="60">
        <v>2420.96</v>
      </c>
      <c r="K406" s="60">
        <v>0</v>
      </c>
      <c r="L406" s="60">
        <v>0</v>
      </c>
      <c r="M406" s="60">
        <v>0</v>
      </c>
      <c r="N406" s="60">
        <v>0</v>
      </c>
      <c r="O406" s="60">
        <v>0</v>
      </c>
      <c r="P406" s="60">
        <v>0</v>
      </c>
      <c r="Q406" s="60">
        <v>0</v>
      </c>
      <c r="R406" s="60">
        <v>0</v>
      </c>
      <c r="S406" s="60">
        <v>0</v>
      </c>
      <c r="T406" s="60">
        <v>0</v>
      </c>
      <c r="U406" s="60">
        <v>0</v>
      </c>
      <c r="V406" s="60">
        <v>0</v>
      </c>
      <c r="W406" s="60">
        <v>0</v>
      </c>
      <c r="X406" s="60">
        <v>0</v>
      </c>
      <c r="Y406" s="60">
        <v>0</v>
      </c>
      <c r="Z406" s="60">
        <v>0</v>
      </c>
      <c r="AA406" s="60">
        <v>0</v>
      </c>
      <c r="AB406" s="60">
        <v>0</v>
      </c>
      <c r="AC406" s="60">
        <v>328.48</v>
      </c>
      <c r="AD406" s="60">
        <v>304.45</v>
      </c>
      <c r="AE406" s="60">
        <v>311.44</v>
      </c>
      <c r="AF406" s="60">
        <v>0</v>
      </c>
      <c r="AG406" s="60">
        <v>0</v>
      </c>
      <c r="AH406" s="60">
        <v>0</v>
      </c>
      <c r="AI406" s="60">
        <v>2913.81</v>
      </c>
      <c r="AJ406" s="60">
        <v>2814.63</v>
      </c>
      <c r="AK406" s="60">
        <v>2732.4</v>
      </c>
      <c r="AL406" s="60">
        <v>0</v>
      </c>
      <c r="AM406" s="60">
        <v>0</v>
      </c>
      <c r="AN406" s="60">
        <v>0</v>
      </c>
      <c r="AO406" s="60">
        <v>2913.81</v>
      </c>
      <c r="AP406" s="60">
        <v>2814.63</v>
      </c>
      <c r="AQ406" s="60">
        <v>2732.4</v>
      </c>
      <c r="AR406" s="61">
        <v>2913.81</v>
      </c>
    </row>
    <row r="407" spans="1:44" x14ac:dyDescent="0.35">
      <c r="A407" s="49" t="str">
        <f t="shared" si="31"/>
        <v>39</v>
      </c>
      <c r="B407" s="27">
        <v>68569</v>
      </c>
      <c r="C407" s="25" t="str">
        <f t="shared" si="32"/>
        <v>0000000</v>
      </c>
      <c r="D407" s="26" t="s">
        <v>3663</v>
      </c>
      <c r="E407" s="25" t="s">
        <v>2415</v>
      </c>
      <c r="F407" s="25" t="s">
        <v>2409</v>
      </c>
      <c r="G407" s="59" t="s">
        <v>2416</v>
      </c>
      <c r="H407" s="60">
        <v>7738.14</v>
      </c>
      <c r="I407" s="60">
        <v>7631.31</v>
      </c>
      <c r="J407" s="60">
        <v>7699.04</v>
      </c>
      <c r="K407" s="60">
        <v>0</v>
      </c>
      <c r="L407" s="60">
        <v>0</v>
      </c>
      <c r="M407" s="60">
        <v>0</v>
      </c>
      <c r="N407" s="60">
        <v>0</v>
      </c>
      <c r="O407" s="60">
        <v>0</v>
      </c>
      <c r="P407" s="60">
        <v>0</v>
      </c>
      <c r="Q407" s="60">
        <v>0</v>
      </c>
      <c r="R407" s="60">
        <v>0</v>
      </c>
      <c r="S407" s="60">
        <v>0</v>
      </c>
      <c r="T407" s="60">
        <v>0</v>
      </c>
      <c r="U407" s="60">
        <v>0</v>
      </c>
      <c r="V407" s="60">
        <v>0</v>
      </c>
      <c r="W407" s="60">
        <v>0</v>
      </c>
      <c r="X407" s="60">
        <v>0</v>
      </c>
      <c r="Y407" s="60">
        <v>0</v>
      </c>
      <c r="Z407" s="60">
        <v>0</v>
      </c>
      <c r="AA407" s="60">
        <v>0</v>
      </c>
      <c r="AB407" s="60">
        <v>0</v>
      </c>
      <c r="AC407" s="60">
        <v>424.3</v>
      </c>
      <c r="AD407" s="60">
        <v>428.63</v>
      </c>
      <c r="AE407" s="60">
        <v>406.85</v>
      </c>
      <c r="AF407" s="60">
        <v>0</v>
      </c>
      <c r="AG407" s="60">
        <v>0</v>
      </c>
      <c r="AH407" s="60">
        <v>0</v>
      </c>
      <c r="AI407" s="60">
        <v>8162.44</v>
      </c>
      <c r="AJ407" s="60">
        <v>8059.94</v>
      </c>
      <c r="AK407" s="60">
        <v>8105.89</v>
      </c>
      <c r="AL407" s="60">
        <v>0</v>
      </c>
      <c r="AM407" s="60">
        <v>0</v>
      </c>
      <c r="AN407" s="60">
        <v>0</v>
      </c>
      <c r="AO407" s="60">
        <v>8162.44</v>
      </c>
      <c r="AP407" s="60">
        <v>8059.94</v>
      </c>
      <c r="AQ407" s="60">
        <v>8105.89</v>
      </c>
      <c r="AR407" s="61">
        <v>8162.44</v>
      </c>
    </row>
    <row r="408" spans="1:44" x14ac:dyDescent="0.35">
      <c r="A408" s="49" t="str">
        <f t="shared" si="31"/>
        <v>39</v>
      </c>
      <c r="B408" s="27">
        <v>68577</v>
      </c>
      <c r="C408" s="25" t="str">
        <f t="shared" si="32"/>
        <v>0000000</v>
      </c>
      <c r="D408" s="26" t="s">
        <v>3663</v>
      </c>
      <c r="E408" s="25" t="s">
        <v>2417</v>
      </c>
      <c r="F408" s="25" t="s">
        <v>2409</v>
      </c>
      <c r="G408" s="59" t="s">
        <v>2418</v>
      </c>
      <c r="H408" s="60">
        <v>2147.06</v>
      </c>
      <c r="I408" s="60">
        <v>2107.17</v>
      </c>
      <c r="J408" s="60">
        <v>2189.6799999999998</v>
      </c>
      <c r="K408" s="60">
        <v>0</v>
      </c>
      <c r="L408" s="60">
        <v>0</v>
      </c>
      <c r="M408" s="60">
        <v>0</v>
      </c>
      <c r="N408" s="60">
        <v>0</v>
      </c>
      <c r="O408" s="60">
        <v>0</v>
      </c>
      <c r="P408" s="60">
        <v>0</v>
      </c>
      <c r="Q408" s="60">
        <v>0</v>
      </c>
      <c r="R408" s="60">
        <v>0</v>
      </c>
      <c r="S408" s="60">
        <v>0</v>
      </c>
      <c r="T408" s="60">
        <v>0</v>
      </c>
      <c r="U408" s="60">
        <v>0</v>
      </c>
      <c r="V408" s="60">
        <v>0</v>
      </c>
      <c r="W408" s="60">
        <v>0</v>
      </c>
      <c r="X408" s="60">
        <v>0</v>
      </c>
      <c r="Y408" s="60">
        <v>0</v>
      </c>
      <c r="Z408" s="60">
        <v>0</v>
      </c>
      <c r="AA408" s="60">
        <v>0</v>
      </c>
      <c r="AB408" s="60">
        <v>0</v>
      </c>
      <c r="AC408" s="60">
        <v>0</v>
      </c>
      <c r="AD408" s="60">
        <v>0</v>
      </c>
      <c r="AE408" s="60">
        <v>0</v>
      </c>
      <c r="AF408" s="60">
        <v>0</v>
      </c>
      <c r="AG408" s="60">
        <v>0</v>
      </c>
      <c r="AH408" s="60">
        <v>0</v>
      </c>
      <c r="AI408" s="60">
        <v>2147.06</v>
      </c>
      <c r="AJ408" s="60">
        <v>2107.17</v>
      </c>
      <c r="AK408" s="60">
        <v>2189.6799999999998</v>
      </c>
      <c r="AL408" s="60">
        <v>0</v>
      </c>
      <c r="AM408" s="60">
        <v>0</v>
      </c>
      <c r="AN408" s="60">
        <v>0</v>
      </c>
      <c r="AO408" s="60">
        <v>2147.06</v>
      </c>
      <c r="AP408" s="60">
        <v>2107.17</v>
      </c>
      <c r="AQ408" s="60">
        <v>2189.6799999999998</v>
      </c>
      <c r="AR408" s="61">
        <v>2189.6799999999998</v>
      </c>
    </row>
    <row r="409" spans="1:44" x14ac:dyDescent="0.35">
      <c r="A409" s="49" t="str">
        <f t="shared" si="31"/>
        <v>39</v>
      </c>
      <c r="B409" s="27">
        <v>68593</v>
      </c>
      <c r="C409" s="25" t="str">
        <f t="shared" si="32"/>
        <v>0000000</v>
      </c>
      <c r="D409" s="26" t="s">
        <v>3663</v>
      </c>
      <c r="E409" s="25" t="s">
        <v>2434</v>
      </c>
      <c r="F409" s="25" t="s">
        <v>2409</v>
      </c>
      <c r="G409" s="59" t="s">
        <v>2435</v>
      </c>
      <c r="H409" s="60">
        <v>23327.42</v>
      </c>
      <c r="I409" s="60">
        <v>23369.61</v>
      </c>
      <c r="J409" s="60">
        <v>21396.33</v>
      </c>
      <c r="K409" s="60">
        <v>0</v>
      </c>
      <c r="L409" s="60">
        <v>0</v>
      </c>
      <c r="M409" s="60">
        <v>0</v>
      </c>
      <c r="N409" s="60">
        <v>0</v>
      </c>
      <c r="O409" s="60">
        <v>0</v>
      </c>
      <c r="P409" s="60">
        <v>0</v>
      </c>
      <c r="Q409" s="60">
        <v>0</v>
      </c>
      <c r="R409" s="60">
        <v>0</v>
      </c>
      <c r="S409" s="60">
        <v>0</v>
      </c>
      <c r="T409" s="60">
        <v>0</v>
      </c>
      <c r="U409" s="60">
        <v>0</v>
      </c>
      <c r="V409" s="60">
        <v>0</v>
      </c>
      <c r="W409" s="60">
        <v>0</v>
      </c>
      <c r="X409" s="60">
        <v>0</v>
      </c>
      <c r="Y409" s="60">
        <v>0</v>
      </c>
      <c r="Z409" s="60">
        <v>0</v>
      </c>
      <c r="AA409" s="60">
        <v>0</v>
      </c>
      <c r="AB409" s="60">
        <v>0</v>
      </c>
      <c r="AC409" s="60">
        <v>0</v>
      </c>
      <c r="AD409" s="60">
        <v>0</v>
      </c>
      <c r="AE409" s="60">
        <v>0</v>
      </c>
      <c r="AF409" s="60">
        <v>0</v>
      </c>
      <c r="AG409" s="60">
        <v>0</v>
      </c>
      <c r="AH409" s="60">
        <v>0</v>
      </c>
      <c r="AI409" s="60">
        <v>23327.42</v>
      </c>
      <c r="AJ409" s="60">
        <v>23369.61</v>
      </c>
      <c r="AK409" s="60">
        <v>21396.33</v>
      </c>
      <c r="AL409" s="60">
        <v>0</v>
      </c>
      <c r="AM409" s="60">
        <v>0</v>
      </c>
      <c r="AN409" s="60">
        <v>0</v>
      </c>
      <c r="AO409" s="60">
        <v>23327.42</v>
      </c>
      <c r="AP409" s="60">
        <v>23369.61</v>
      </c>
      <c r="AQ409" s="60">
        <v>21396.33</v>
      </c>
      <c r="AR409" s="61">
        <v>23369.61</v>
      </c>
    </row>
    <row r="410" spans="1:44" x14ac:dyDescent="0.35">
      <c r="A410" s="49" t="str">
        <f t="shared" si="31"/>
        <v>39</v>
      </c>
      <c r="B410" s="27">
        <v>68650</v>
      </c>
      <c r="C410" s="25" t="str">
        <f t="shared" si="32"/>
        <v>0000000</v>
      </c>
      <c r="D410" s="26" t="s">
        <v>3663</v>
      </c>
      <c r="E410" s="25" t="s">
        <v>2463</v>
      </c>
      <c r="F410" s="25" t="s">
        <v>2409</v>
      </c>
      <c r="G410" s="59" t="s">
        <v>2464</v>
      </c>
      <c r="H410" s="60">
        <v>3212.98</v>
      </c>
      <c r="I410" s="60">
        <v>3121.04</v>
      </c>
      <c r="J410" s="60">
        <v>3152.76</v>
      </c>
      <c r="K410" s="60">
        <v>0</v>
      </c>
      <c r="L410" s="60">
        <v>0</v>
      </c>
      <c r="M410" s="60">
        <v>0</v>
      </c>
      <c r="N410" s="60">
        <v>0</v>
      </c>
      <c r="O410" s="60">
        <v>0</v>
      </c>
      <c r="P410" s="60">
        <v>0</v>
      </c>
      <c r="Q410" s="60">
        <v>0</v>
      </c>
      <c r="R410" s="60">
        <v>0</v>
      </c>
      <c r="S410" s="60">
        <v>0</v>
      </c>
      <c r="T410" s="60">
        <v>0</v>
      </c>
      <c r="U410" s="60">
        <v>0</v>
      </c>
      <c r="V410" s="60">
        <v>0</v>
      </c>
      <c r="W410" s="60">
        <v>0</v>
      </c>
      <c r="X410" s="60">
        <v>0</v>
      </c>
      <c r="Y410" s="60">
        <v>0</v>
      </c>
      <c r="Z410" s="60">
        <v>0</v>
      </c>
      <c r="AA410" s="60">
        <v>0</v>
      </c>
      <c r="AB410" s="60">
        <v>0</v>
      </c>
      <c r="AC410" s="60">
        <v>0</v>
      </c>
      <c r="AD410" s="60">
        <v>0</v>
      </c>
      <c r="AE410" s="60">
        <v>0</v>
      </c>
      <c r="AF410" s="60">
        <v>0</v>
      </c>
      <c r="AG410" s="60">
        <v>0</v>
      </c>
      <c r="AH410" s="60">
        <v>0</v>
      </c>
      <c r="AI410" s="60">
        <v>3212.98</v>
      </c>
      <c r="AJ410" s="60">
        <v>3121.04</v>
      </c>
      <c r="AK410" s="60">
        <v>3152.76</v>
      </c>
      <c r="AL410" s="60">
        <v>0</v>
      </c>
      <c r="AM410" s="60">
        <v>0</v>
      </c>
      <c r="AN410" s="60">
        <v>0</v>
      </c>
      <c r="AO410" s="60">
        <v>3212.98</v>
      </c>
      <c r="AP410" s="60">
        <v>3121.04</v>
      </c>
      <c r="AQ410" s="60">
        <v>3152.76</v>
      </c>
      <c r="AR410" s="61">
        <v>3212.98</v>
      </c>
    </row>
    <row r="411" spans="1:44" x14ac:dyDescent="0.35">
      <c r="A411" s="49" t="str">
        <f t="shared" si="31"/>
        <v>39</v>
      </c>
      <c r="B411" s="27">
        <v>68544</v>
      </c>
      <c r="C411" s="25" t="str">
        <f t="shared" si="32"/>
        <v>0000000</v>
      </c>
      <c r="D411" s="26" t="s">
        <v>3663</v>
      </c>
      <c r="E411" s="25" t="s">
        <v>2414</v>
      </c>
      <c r="F411" s="25" t="s">
        <v>2409</v>
      </c>
      <c r="G411" s="59" t="s">
        <v>1893</v>
      </c>
      <c r="H411" s="60">
        <v>2790.4</v>
      </c>
      <c r="I411" s="60">
        <v>2502.33</v>
      </c>
      <c r="J411" s="60">
        <v>2211.19</v>
      </c>
      <c r="K411" s="60">
        <v>0</v>
      </c>
      <c r="L411" s="60">
        <v>0</v>
      </c>
      <c r="M411" s="60">
        <v>0</v>
      </c>
      <c r="N411" s="60">
        <v>0</v>
      </c>
      <c r="O411" s="60">
        <v>0</v>
      </c>
      <c r="P411" s="60">
        <v>0</v>
      </c>
      <c r="Q411" s="60">
        <v>0</v>
      </c>
      <c r="R411" s="60">
        <v>0</v>
      </c>
      <c r="S411" s="60">
        <v>0</v>
      </c>
      <c r="T411" s="60">
        <v>0</v>
      </c>
      <c r="U411" s="60">
        <v>0</v>
      </c>
      <c r="V411" s="60">
        <v>0</v>
      </c>
      <c r="W411" s="60">
        <v>0</v>
      </c>
      <c r="X411" s="60">
        <v>0</v>
      </c>
      <c r="Y411" s="60">
        <v>0</v>
      </c>
      <c r="Z411" s="60">
        <v>0</v>
      </c>
      <c r="AA411" s="60">
        <v>0</v>
      </c>
      <c r="AB411" s="60">
        <v>0</v>
      </c>
      <c r="AC411" s="60">
        <v>0</v>
      </c>
      <c r="AD411" s="60">
        <v>0</v>
      </c>
      <c r="AE411" s="60">
        <v>0</v>
      </c>
      <c r="AF411" s="60">
        <v>0</v>
      </c>
      <c r="AG411" s="60">
        <v>0</v>
      </c>
      <c r="AH411" s="60">
        <v>0</v>
      </c>
      <c r="AI411" s="60">
        <v>2790.4</v>
      </c>
      <c r="AJ411" s="60">
        <v>2502.33</v>
      </c>
      <c r="AK411" s="60">
        <v>2211.19</v>
      </c>
      <c r="AL411" s="60">
        <v>0</v>
      </c>
      <c r="AM411" s="60">
        <v>0</v>
      </c>
      <c r="AN411" s="60">
        <v>0</v>
      </c>
      <c r="AO411" s="60">
        <v>2790.4</v>
      </c>
      <c r="AP411" s="60">
        <v>2502.33</v>
      </c>
      <c r="AQ411" s="60">
        <v>2211.19</v>
      </c>
      <c r="AR411" s="61">
        <v>2790.4</v>
      </c>
    </row>
    <row r="412" spans="1:44" x14ac:dyDescent="0.35">
      <c r="A412" s="49" t="str">
        <f t="shared" si="31"/>
        <v>39</v>
      </c>
      <c r="B412" s="27">
        <v>75499</v>
      </c>
      <c r="C412" s="25" t="str">
        <f t="shared" si="32"/>
        <v>0000000</v>
      </c>
      <c r="D412" s="26" t="s">
        <v>3663</v>
      </c>
      <c r="E412" s="25" t="s">
        <v>2496</v>
      </c>
      <c r="F412" s="25" t="s">
        <v>2409</v>
      </c>
      <c r="G412" s="59" t="s">
        <v>2497</v>
      </c>
      <c r="H412" s="60">
        <v>12566.95</v>
      </c>
      <c r="I412" s="60">
        <v>12591.74</v>
      </c>
      <c r="J412" s="60">
        <v>12663.99</v>
      </c>
      <c r="K412" s="60">
        <v>0</v>
      </c>
      <c r="L412" s="60">
        <v>0</v>
      </c>
      <c r="M412" s="60">
        <v>0</v>
      </c>
      <c r="N412" s="60">
        <v>0</v>
      </c>
      <c r="O412" s="60">
        <v>0</v>
      </c>
      <c r="P412" s="60">
        <v>0</v>
      </c>
      <c r="Q412" s="60">
        <v>0</v>
      </c>
      <c r="R412" s="60">
        <v>0</v>
      </c>
      <c r="S412" s="60">
        <v>0</v>
      </c>
      <c r="T412" s="60">
        <v>0</v>
      </c>
      <c r="U412" s="60">
        <v>0</v>
      </c>
      <c r="V412" s="60">
        <v>0</v>
      </c>
      <c r="W412" s="60">
        <v>0</v>
      </c>
      <c r="X412" s="60">
        <v>0</v>
      </c>
      <c r="Y412" s="60">
        <v>0</v>
      </c>
      <c r="Z412" s="60">
        <v>0</v>
      </c>
      <c r="AA412" s="60">
        <v>0</v>
      </c>
      <c r="AB412" s="60">
        <v>0</v>
      </c>
      <c r="AC412" s="60">
        <v>301.99</v>
      </c>
      <c r="AD412" s="60">
        <v>273.60000000000002</v>
      </c>
      <c r="AE412" s="60">
        <v>263.41000000000003</v>
      </c>
      <c r="AF412" s="60">
        <v>0</v>
      </c>
      <c r="AG412" s="60">
        <v>0</v>
      </c>
      <c r="AH412" s="60">
        <v>0</v>
      </c>
      <c r="AI412" s="60">
        <v>12868.94</v>
      </c>
      <c r="AJ412" s="60">
        <v>12865.34</v>
      </c>
      <c r="AK412" s="60">
        <v>12927.4</v>
      </c>
      <c r="AL412" s="60">
        <v>0</v>
      </c>
      <c r="AM412" s="60">
        <v>0</v>
      </c>
      <c r="AN412" s="60">
        <v>0</v>
      </c>
      <c r="AO412" s="60">
        <v>12868.94</v>
      </c>
      <c r="AP412" s="60">
        <v>12865.34</v>
      </c>
      <c r="AQ412" s="60">
        <v>12927.4</v>
      </c>
      <c r="AR412" s="61">
        <v>12927.4</v>
      </c>
    </row>
    <row r="413" spans="1:44" x14ac:dyDescent="0.35">
      <c r="A413" s="49" t="str">
        <f t="shared" si="31"/>
        <v>39</v>
      </c>
      <c r="B413" s="27">
        <v>76760</v>
      </c>
      <c r="C413" s="25" t="str">
        <f t="shared" si="32"/>
        <v>0000000</v>
      </c>
      <c r="D413" s="26" t="s">
        <v>3663</v>
      </c>
      <c r="E413" s="25" t="s">
        <v>2507</v>
      </c>
      <c r="F413" s="25" t="s">
        <v>2409</v>
      </c>
      <c r="G413" s="59" t="s">
        <v>2508</v>
      </c>
      <c r="H413" s="60">
        <v>7497.57</v>
      </c>
      <c r="I413" s="60">
        <v>7187.16</v>
      </c>
      <c r="J413" s="60">
        <v>6716.49</v>
      </c>
      <c r="K413" s="60">
        <v>0</v>
      </c>
      <c r="L413" s="60">
        <v>0</v>
      </c>
      <c r="M413" s="60">
        <v>0</v>
      </c>
      <c r="N413" s="60">
        <v>0</v>
      </c>
      <c r="O413" s="60">
        <v>0</v>
      </c>
      <c r="P413" s="60">
        <v>0</v>
      </c>
      <c r="Q413" s="60">
        <v>0</v>
      </c>
      <c r="R413" s="60">
        <v>0</v>
      </c>
      <c r="S413" s="60">
        <v>0</v>
      </c>
      <c r="T413" s="60">
        <v>0</v>
      </c>
      <c r="U413" s="60">
        <v>0</v>
      </c>
      <c r="V413" s="60">
        <v>0</v>
      </c>
      <c r="W413" s="60">
        <v>0</v>
      </c>
      <c r="X413" s="60">
        <v>0</v>
      </c>
      <c r="Y413" s="60">
        <v>0</v>
      </c>
      <c r="Z413" s="60">
        <v>0</v>
      </c>
      <c r="AA413" s="60">
        <v>0</v>
      </c>
      <c r="AB413" s="60">
        <v>0</v>
      </c>
      <c r="AC413" s="60">
        <v>0</v>
      </c>
      <c r="AD413" s="60">
        <v>0</v>
      </c>
      <c r="AE413" s="60">
        <v>0</v>
      </c>
      <c r="AF413" s="60">
        <v>0</v>
      </c>
      <c r="AG413" s="60">
        <v>0</v>
      </c>
      <c r="AH413" s="60">
        <v>0</v>
      </c>
      <c r="AI413" s="60">
        <v>7497.57</v>
      </c>
      <c r="AJ413" s="60">
        <v>7187.16</v>
      </c>
      <c r="AK413" s="60">
        <v>6716.49</v>
      </c>
      <c r="AL413" s="60">
        <v>0</v>
      </c>
      <c r="AM413" s="60">
        <v>0</v>
      </c>
      <c r="AN413" s="60">
        <v>0</v>
      </c>
      <c r="AO413" s="60">
        <v>7497.57</v>
      </c>
      <c r="AP413" s="60">
        <v>7187.16</v>
      </c>
      <c r="AQ413" s="60">
        <v>6716.49</v>
      </c>
      <c r="AR413" s="61">
        <v>7497.57</v>
      </c>
    </row>
    <row r="414" spans="1:44" x14ac:dyDescent="0.35">
      <c r="A414" s="49" t="str">
        <f t="shared" ref="A414:A444" si="33">TEXT(10,"00")</f>
        <v>10</v>
      </c>
      <c r="B414" s="27">
        <v>10108</v>
      </c>
      <c r="C414" s="25" t="str">
        <f t="shared" si="32"/>
        <v>0000000</v>
      </c>
      <c r="D414" s="26" t="s">
        <v>3663</v>
      </c>
      <c r="E414" s="25" t="s">
        <v>386</v>
      </c>
      <c r="F414" s="25" t="s">
        <v>387</v>
      </c>
      <c r="G414" s="59" t="s">
        <v>387</v>
      </c>
      <c r="H414" s="60">
        <v>0</v>
      </c>
      <c r="I414" s="60">
        <v>0</v>
      </c>
      <c r="J414" s="60">
        <v>0</v>
      </c>
      <c r="K414" s="60">
        <v>0</v>
      </c>
      <c r="L414" s="60">
        <v>0</v>
      </c>
      <c r="M414" s="60">
        <v>0</v>
      </c>
      <c r="N414" s="60">
        <v>0</v>
      </c>
      <c r="O414" s="60">
        <v>0</v>
      </c>
      <c r="P414" s="60">
        <v>0</v>
      </c>
      <c r="Q414" s="60">
        <v>0</v>
      </c>
      <c r="R414" s="60">
        <v>0</v>
      </c>
      <c r="S414" s="60">
        <v>0</v>
      </c>
      <c r="T414" s="60">
        <v>117.16</v>
      </c>
      <c r="U414" s="60">
        <v>151.22</v>
      </c>
      <c r="V414" s="60">
        <v>171.26</v>
      </c>
      <c r="W414" s="60">
        <v>525.29999999999995</v>
      </c>
      <c r="X414" s="60">
        <v>514.79999999999995</v>
      </c>
      <c r="Y414" s="60">
        <v>498.17</v>
      </c>
      <c r="Z414" s="60">
        <v>0</v>
      </c>
      <c r="AA414" s="60">
        <v>0</v>
      </c>
      <c r="AB414" s="60">
        <v>0</v>
      </c>
      <c r="AC414" s="60">
        <v>0</v>
      </c>
      <c r="AD414" s="60">
        <v>0</v>
      </c>
      <c r="AE414" s="60">
        <v>0</v>
      </c>
      <c r="AF414" s="60">
        <v>0</v>
      </c>
      <c r="AG414" s="60">
        <v>0</v>
      </c>
      <c r="AH414" s="60">
        <v>0</v>
      </c>
      <c r="AI414" s="60">
        <v>642.46</v>
      </c>
      <c r="AJ414" s="60">
        <v>666.02</v>
      </c>
      <c r="AK414" s="60">
        <v>669.43</v>
      </c>
      <c r="AL414" s="60">
        <v>0</v>
      </c>
      <c r="AM414" s="60">
        <v>0</v>
      </c>
      <c r="AN414" s="60">
        <v>0</v>
      </c>
      <c r="AO414" s="60">
        <v>642.46</v>
      </c>
      <c r="AP414" s="60">
        <v>666.02</v>
      </c>
      <c r="AQ414" s="60">
        <v>669.43</v>
      </c>
      <c r="AR414" s="61">
        <v>669.43</v>
      </c>
    </row>
    <row r="415" spans="1:44" x14ac:dyDescent="0.35">
      <c r="A415" s="49" t="str">
        <f t="shared" si="33"/>
        <v>10</v>
      </c>
      <c r="B415" s="27">
        <v>62240</v>
      </c>
      <c r="C415" s="25" t="str">
        <f t="shared" si="32"/>
        <v>0000000</v>
      </c>
      <c r="D415" s="26" t="s">
        <v>3663</v>
      </c>
      <c r="E415" s="25" t="s">
        <v>440</v>
      </c>
      <c r="F415" s="25" t="s">
        <v>387</v>
      </c>
      <c r="G415" s="59" t="s">
        <v>441</v>
      </c>
      <c r="H415" s="60">
        <v>0</v>
      </c>
      <c r="I415" s="60">
        <v>0</v>
      </c>
      <c r="J415" s="60">
        <v>0</v>
      </c>
      <c r="K415" s="60">
        <v>0</v>
      </c>
      <c r="L415" s="60">
        <v>0</v>
      </c>
      <c r="M415" s="60">
        <v>0</v>
      </c>
      <c r="N415" s="60">
        <v>0</v>
      </c>
      <c r="O415" s="60">
        <v>0</v>
      </c>
      <c r="P415" s="60">
        <v>0</v>
      </c>
      <c r="Q415" s="60">
        <v>0</v>
      </c>
      <c r="R415" s="60">
        <v>0</v>
      </c>
      <c r="S415" s="60">
        <v>0</v>
      </c>
      <c r="T415" s="60">
        <v>0</v>
      </c>
      <c r="U415" s="60">
        <v>0</v>
      </c>
      <c r="V415" s="60">
        <v>0</v>
      </c>
      <c r="W415" s="60">
        <v>0</v>
      </c>
      <c r="X415" s="60">
        <v>0</v>
      </c>
      <c r="Y415" s="60">
        <v>0</v>
      </c>
      <c r="Z415" s="60">
        <v>0</v>
      </c>
      <c r="AA415" s="60">
        <v>0</v>
      </c>
      <c r="AB415" s="60">
        <v>0</v>
      </c>
      <c r="AC415" s="60">
        <v>2147.9699999999998</v>
      </c>
      <c r="AD415" s="60">
        <v>2127.62</v>
      </c>
      <c r="AE415" s="60">
        <v>2161.4899999999998</v>
      </c>
      <c r="AF415" s="60">
        <v>0</v>
      </c>
      <c r="AG415" s="60">
        <v>0</v>
      </c>
      <c r="AH415" s="60">
        <v>0</v>
      </c>
      <c r="AI415" s="60">
        <v>2147.9699999999998</v>
      </c>
      <c r="AJ415" s="60">
        <v>2127.62</v>
      </c>
      <c r="AK415" s="60">
        <v>2161.4899999999998</v>
      </c>
      <c r="AL415" s="60">
        <v>0</v>
      </c>
      <c r="AM415" s="60">
        <v>0</v>
      </c>
      <c r="AN415" s="60">
        <v>0</v>
      </c>
      <c r="AO415" s="60">
        <v>2147.9699999999998</v>
      </c>
      <c r="AP415" s="60">
        <v>2127.62</v>
      </c>
      <c r="AQ415" s="60">
        <v>2161.4899999999998</v>
      </c>
      <c r="AR415" s="61">
        <v>2161.4899999999998</v>
      </c>
    </row>
    <row r="416" spans="1:44" x14ac:dyDescent="0.35">
      <c r="A416" s="49" t="str">
        <f t="shared" si="33"/>
        <v>10</v>
      </c>
      <c r="B416" s="27">
        <v>75127</v>
      </c>
      <c r="C416" s="25" t="str">
        <f t="shared" si="32"/>
        <v>0000000</v>
      </c>
      <c r="D416" s="26" t="s">
        <v>3663</v>
      </c>
      <c r="E416" s="25" t="s">
        <v>484</v>
      </c>
      <c r="F416" s="25" t="s">
        <v>387</v>
      </c>
      <c r="G416" s="59" t="s">
        <v>485</v>
      </c>
      <c r="H416" s="60">
        <v>3625.46</v>
      </c>
      <c r="I416" s="60">
        <v>3536.22</v>
      </c>
      <c r="J416" s="60">
        <v>3225.33</v>
      </c>
      <c r="K416" s="60">
        <v>0</v>
      </c>
      <c r="L416" s="60">
        <v>0</v>
      </c>
      <c r="M416" s="60">
        <v>0</v>
      </c>
      <c r="N416" s="60">
        <v>0</v>
      </c>
      <c r="O416" s="60">
        <v>0</v>
      </c>
      <c r="P416" s="60">
        <v>0</v>
      </c>
      <c r="Q416" s="60">
        <v>0</v>
      </c>
      <c r="R416" s="60">
        <v>0</v>
      </c>
      <c r="S416" s="60">
        <v>0</v>
      </c>
      <c r="T416" s="60">
        <v>0</v>
      </c>
      <c r="U416" s="60">
        <v>0</v>
      </c>
      <c r="V416" s="60">
        <v>0</v>
      </c>
      <c r="W416" s="60">
        <v>0</v>
      </c>
      <c r="X416" s="60">
        <v>0</v>
      </c>
      <c r="Y416" s="60">
        <v>0</v>
      </c>
      <c r="Z416" s="60">
        <v>0</v>
      </c>
      <c r="AA416" s="60">
        <v>0</v>
      </c>
      <c r="AB416" s="60">
        <v>0</v>
      </c>
      <c r="AC416" s="60">
        <v>0</v>
      </c>
      <c r="AD416" s="60">
        <v>0</v>
      </c>
      <c r="AE416" s="60">
        <v>0</v>
      </c>
      <c r="AF416" s="60">
        <v>0</v>
      </c>
      <c r="AG416" s="60">
        <v>0</v>
      </c>
      <c r="AH416" s="60">
        <v>0</v>
      </c>
      <c r="AI416" s="60">
        <v>3625.46</v>
      </c>
      <c r="AJ416" s="60">
        <v>3536.22</v>
      </c>
      <c r="AK416" s="60">
        <v>3225.33</v>
      </c>
      <c r="AL416" s="60">
        <v>0</v>
      </c>
      <c r="AM416" s="60">
        <v>0</v>
      </c>
      <c r="AN416" s="60">
        <v>0</v>
      </c>
      <c r="AO416" s="60">
        <v>3625.46</v>
      </c>
      <c r="AP416" s="60">
        <v>3536.22</v>
      </c>
      <c r="AQ416" s="60">
        <v>3225.33</v>
      </c>
      <c r="AR416" s="61">
        <v>3625.46</v>
      </c>
    </row>
    <row r="417" spans="1:44" x14ac:dyDescent="0.35">
      <c r="A417" s="49" t="str">
        <f t="shared" si="33"/>
        <v>10</v>
      </c>
      <c r="B417" s="27">
        <v>62331</v>
      </c>
      <c r="C417" s="25" t="str">
        <f t="shared" si="32"/>
        <v>0000000</v>
      </c>
      <c r="D417" s="26" t="s">
        <v>3663</v>
      </c>
      <c r="E417" s="25" t="s">
        <v>450</v>
      </c>
      <c r="F417" s="25" t="s">
        <v>387</v>
      </c>
      <c r="G417" s="59" t="s">
        <v>451</v>
      </c>
      <c r="H417" s="60">
        <v>234.1</v>
      </c>
      <c r="I417" s="60">
        <v>230.15</v>
      </c>
      <c r="J417" s="60">
        <v>242.68</v>
      </c>
      <c r="K417" s="60">
        <v>0</v>
      </c>
      <c r="L417" s="60">
        <v>0</v>
      </c>
      <c r="M417" s="60">
        <v>0</v>
      </c>
      <c r="N417" s="60">
        <v>0</v>
      </c>
      <c r="O417" s="60">
        <v>0</v>
      </c>
      <c r="P417" s="60">
        <v>0</v>
      </c>
      <c r="Q417" s="60">
        <v>0</v>
      </c>
      <c r="R417" s="60">
        <v>0</v>
      </c>
      <c r="S417" s="60">
        <v>0</v>
      </c>
      <c r="T417" s="60">
        <v>0</v>
      </c>
      <c r="U417" s="60">
        <v>0</v>
      </c>
      <c r="V417" s="60">
        <v>0</v>
      </c>
      <c r="W417" s="60">
        <v>0</v>
      </c>
      <c r="X417" s="60">
        <v>0</v>
      </c>
      <c r="Y417" s="60">
        <v>0</v>
      </c>
      <c r="Z417" s="60">
        <v>0</v>
      </c>
      <c r="AA417" s="60">
        <v>0</v>
      </c>
      <c r="AB417" s="60">
        <v>0</v>
      </c>
      <c r="AC417" s="60">
        <v>0</v>
      </c>
      <c r="AD417" s="60">
        <v>0</v>
      </c>
      <c r="AE417" s="60">
        <v>0</v>
      </c>
      <c r="AF417" s="60">
        <v>0</v>
      </c>
      <c r="AG417" s="60">
        <v>0</v>
      </c>
      <c r="AH417" s="60">
        <v>0</v>
      </c>
      <c r="AI417" s="60">
        <v>234.1</v>
      </c>
      <c r="AJ417" s="60">
        <v>230.15</v>
      </c>
      <c r="AK417" s="60">
        <v>242.68</v>
      </c>
      <c r="AL417" s="60">
        <v>0</v>
      </c>
      <c r="AM417" s="60">
        <v>0</v>
      </c>
      <c r="AN417" s="60">
        <v>0</v>
      </c>
      <c r="AO417" s="60">
        <v>234.1</v>
      </c>
      <c r="AP417" s="60">
        <v>230.15</v>
      </c>
      <c r="AQ417" s="60">
        <v>242.68</v>
      </c>
      <c r="AR417" s="61">
        <v>242.68</v>
      </c>
    </row>
    <row r="418" spans="1:44" x14ac:dyDescent="0.35">
      <c r="A418" s="49" t="str">
        <f t="shared" si="33"/>
        <v>10</v>
      </c>
      <c r="B418" s="27">
        <v>62356</v>
      </c>
      <c r="C418" s="25" t="str">
        <f t="shared" si="32"/>
        <v>0000000</v>
      </c>
      <c r="D418" s="26" t="s">
        <v>3663</v>
      </c>
      <c r="E418" s="25" t="s">
        <v>454</v>
      </c>
      <c r="F418" s="25" t="s">
        <v>387</v>
      </c>
      <c r="G418" s="59" t="s">
        <v>455</v>
      </c>
      <c r="H418" s="60">
        <v>332.91</v>
      </c>
      <c r="I418" s="60">
        <v>323.63</v>
      </c>
      <c r="J418" s="60">
        <v>313.87</v>
      </c>
      <c r="K418" s="60">
        <v>0</v>
      </c>
      <c r="L418" s="60">
        <v>0</v>
      </c>
      <c r="M418" s="60">
        <v>0</v>
      </c>
      <c r="N418" s="60">
        <v>0</v>
      </c>
      <c r="O418" s="60">
        <v>0</v>
      </c>
      <c r="P418" s="60">
        <v>0</v>
      </c>
      <c r="Q418" s="60">
        <v>0</v>
      </c>
      <c r="R418" s="60">
        <v>0</v>
      </c>
      <c r="S418" s="60">
        <v>0</v>
      </c>
      <c r="T418" s="60">
        <v>0</v>
      </c>
      <c r="U418" s="60">
        <v>0</v>
      </c>
      <c r="V418" s="60">
        <v>0</v>
      </c>
      <c r="W418" s="60">
        <v>0</v>
      </c>
      <c r="X418" s="60">
        <v>0</v>
      </c>
      <c r="Y418" s="60">
        <v>0</v>
      </c>
      <c r="Z418" s="60">
        <v>0</v>
      </c>
      <c r="AA418" s="60">
        <v>0</v>
      </c>
      <c r="AB418" s="60">
        <v>0</v>
      </c>
      <c r="AC418" s="60">
        <v>0</v>
      </c>
      <c r="AD418" s="60">
        <v>0</v>
      </c>
      <c r="AE418" s="60">
        <v>0</v>
      </c>
      <c r="AF418" s="60">
        <v>0</v>
      </c>
      <c r="AG418" s="60">
        <v>0</v>
      </c>
      <c r="AH418" s="60">
        <v>0</v>
      </c>
      <c r="AI418" s="60">
        <v>332.91</v>
      </c>
      <c r="AJ418" s="60">
        <v>323.63</v>
      </c>
      <c r="AK418" s="60">
        <v>313.87</v>
      </c>
      <c r="AL418" s="60">
        <v>0</v>
      </c>
      <c r="AM418" s="60">
        <v>0</v>
      </c>
      <c r="AN418" s="60">
        <v>0</v>
      </c>
      <c r="AO418" s="60">
        <v>332.91</v>
      </c>
      <c r="AP418" s="60">
        <v>323.63</v>
      </c>
      <c r="AQ418" s="60">
        <v>313.87</v>
      </c>
      <c r="AR418" s="61">
        <v>332.91</v>
      </c>
    </row>
    <row r="419" spans="1:44" x14ac:dyDescent="0.35">
      <c r="A419" s="49" t="str">
        <f t="shared" si="33"/>
        <v>10</v>
      </c>
      <c r="B419" s="27">
        <v>62380</v>
      </c>
      <c r="C419" s="25" t="str">
        <f t="shared" si="32"/>
        <v>0000000</v>
      </c>
      <c r="D419" s="26" t="s">
        <v>3663</v>
      </c>
      <c r="E419" s="25" t="s">
        <v>460</v>
      </c>
      <c r="F419" s="25" t="s">
        <v>387</v>
      </c>
      <c r="G419" s="59" t="s">
        <v>461</v>
      </c>
      <c r="H419" s="60">
        <v>241.62</v>
      </c>
      <c r="I419" s="60">
        <v>243.51</v>
      </c>
      <c r="J419" s="60">
        <v>240.64</v>
      </c>
      <c r="K419" s="60">
        <v>0</v>
      </c>
      <c r="L419" s="60">
        <v>0</v>
      </c>
      <c r="M419" s="60">
        <v>0</v>
      </c>
      <c r="N419" s="60">
        <v>0</v>
      </c>
      <c r="O419" s="60">
        <v>0</v>
      </c>
      <c r="P419" s="60">
        <v>0</v>
      </c>
      <c r="Q419" s="60">
        <v>0</v>
      </c>
      <c r="R419" s="60">
        <v>0</v>
      </c>
      <c r="S419" s="60">
        <v>0</v>
      </c>
      <c r="T419" s="60">
        <v>0</v>
      </c>
      <c r="U419" s="60">
        <v>0</v>
      </c>
      <c r="V419" s="60">
        <v>0</v>
      </c>
      <c r="W419" s="60">
        <v>0</v>
      </c>
      <c r="X419" s="60">
        <v>0</v>
      </c>
      <c r="Y419" s="60">
        <v>0</v>
      </c>
      <c r="Z419" s="60">
        <v>0</v>
      </c>
      <c r="AA419" s="60">
        <v>0</v>
      </c>
      <c r="AB419" s="60">
        <v>0</v>
      </c>
      <c r="AC419" s="60">
        <v>0</v>
      </c>
      <c r="AD419" s="60">
        <v>0</v>
      </c>
      <c r="AE419" s="60">
        <v>0</v>
      </c>
      <c r="AF419" s="60">
        <v>0</v>
      </c>
      <c r="AG419" s="60">
        <v>0</v>
      </c>
      <c r="AH419" s="60">
        <v>0</v>
      </c>
      <c r="AI419" s="60">
        <v>241.62</v>
      </c>
      <c r="AJ419" s="60">
        <v>243.51</v>
      </c>
      <c r="AK419" s="60">
        <v>240.64</v>
      </c>
      <c r="AL419" s="60">
        <v>0</v>
      </c>
      <c r="AM419" s="60">
        <v>0</v>
      </c>
      <c r="AN419" s="60">
        <v>0</v>
      </c>
      <c r="AO419" s="60">
        <v>241.62</v>
      </c>
      <c r="AP419" s="60">
        <v>243.51</v>
      </c>
      <c r="AQ419" s="60">
        <v>240.64</v>
      </c>
      <c r="AR419" s="61">
        <v>243.51</v>
      </c>
    </row>
    <row r="420" spans="1:44" x14ac:dyDescent="0.35">
      <c r="A420" s="49" t="str">
        <f t="shared" si="33"/>
        <v>10</v>
      </c>
      <c r="B420" s="27">
        <v>62539</v>
      </c>
      <c r="C420" s="25" t="str">
        <f t="shared" si="32"/>
        <v>0000000</v>
      </c>
      <c r="D420" s="26" t="s">
        <v>3663</v>
      </c>
      <c r="E420" s="25" t="s">
        <v>470</v>
      </c>
      <c r="F420" s="25" t="s">
        <v>387</v>
      </c>
      <c r="G420" s="59" t="s">
        <v>471</v>
      </c>
      <c r="H420" s="60">
        <v>276.20999999999998</v>
      </c>
      <c r="I420" s="60">
        <v>277.64</v>
      </c>
      <c r="J420" s="60">
        <v>269.29000000000002</v>
      </c>
      <c r="K420" s="60">
        <v>0</v>
      </c>
      <c r="L420" s="60">
        <v>0</v>
      </c>
      <c r="M420" s="60">
        <v>0</v>
      </c>
      <c r="N420" s="60">
        <v>0</v>
      </c>
      <c r="O420" s="60">
        <v>0</v>
      </c>
      <c r="P420" s="60">
        <v>0</v>
      </c>
      <c r="Q420" s="60">
        <v>0</v>
      </c>
      <c r="R420" s="60">
        <v>0</v>
      </c>
      <c r="S420" s="60">
        <v>0</v>
      </c>
      <c r="T420" s="60">
        <v>0</v>
      </c>
      <c r="U420" s="60">
        <v>0</v>
      </c>
      <c r="V420" s="60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0">
        <v>172.61</v>
      </c>
      <c r="AD420" s="60">
        <v>218.54</v>
      </c>
      <c r="AE420" s="60">
        <v>250.53</v>
      </c>
      <c r="AF420" s="60">
        <v>0</v>
      </c>
      <c r="AG420" s="60">
        <v>0</v>
      </c>
      <c r="AH420" s="60">
        <v>0</v>
      </c>
      <c r="AI420" s="60">
        <v>448.82</v>
      </c>
      <c r="AJ420" s="60">
        <v>496.18</v>
      </c>
      <c r="AK420" s="60">
        <v>519.82000000000005</v>
      </c>
      <c r="AL420" s="60">
        <v>0</v>
      </c>
      <c r="AM420" s="60">
        <v>0</v>
      </c>
      <c r="AN420" s="60">
        <v>0</v>
      </c>
      <c r="AO420" s="60">
        <v>448.82</v>
      </c>
      <c r="AP420" s="60">
        <v>496.18</v>
      </c>
      <c r="AQ420" s="60">
        <v>519.82000000000005</v>
      </c>
      <c r="AR420" s="61">
        <v>519.82000000000005</v>
      </c>
    </row>
    <row r="421" spans="1:44" x14ac:dyDescent="0.35">
      <c r="A421" s="49" t="str">
        <f t="shared" si="33"/>
        <v>10</v>
      </c>
      <c r="B421" s="27">
        <v>62257</v>
      </c>
      <c r="C421" s="25" t="str">
        <f t="shared" si="32"/>
        <v>0000000</v>
      </c>
      <c r="D421" s="26" t="s">
        <v>3663</v>
      </c>
      <c r="E421" s="25" t="s">
        <v>442</v>
      </c>
      <c r="F421" s="25" t="s">
        <v>387</v>
      </c>
      <c r="G421" s="59" t="s">
        <v>443</v>
      </c>
      <c r="H421" s="60">
        <v>1151.71</v>
      </c>
      <c r="I421" s="60">
        <v>1150.3499999999999</v>
      </c>
      <c r="J421" s="60">
        <v>1133.07</v>
      </c>
      <c r="K421" s="60">
        <v>0</v>
      </c>
      <c r="L421" s="60">
        <v>0</v>
      </c>
      <c r="M421" s="60">
        <v>0</v>
      </c>
      <c r="N421" s="60">
        <v>0</v>
      </c>
      <c r="O421" s="60">
        <v>0</v>
      </c>
      <c r="P421" s="60">
        <v>0</v>
      </c>
      <c r="Q421" s="60">
        <v>0</v>
      </c>
      <c r="R421" s="60">
        <v>0</v>
      </c>
      <c r="S421" s="60">
        <v>0</v>
      </c>
      <c r="T421" s="60">
        <v>0</v>
      </c>
      <c r="U421" s="60">
        <v>0</v>
      </c>
      <c r="V421" s="60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0">
        <v>0</v>
      </c>
      <c r="AD421" s="60">
        <v>0</v>
      </c>
      <c r="AE421" s="60">
        <v>0</v>
      </c>
      <c r="AF421" s="60">
        <v>0</v>
      </c>
      <c r="AG421" s="60">
        <v>0</v>
      </c>
      <c r="AH421" s="60">
        <v>0</v>
      </c>
      <c r="AI421" s="60">
        <v>1151.71</v>
      </c>
      <c r="AJ421" s="60">
        <v>1150.3499999999999</v>
      </c>
      <c r="AK421" s="60">
        <v>1133.07</v>
      </c>
      <c r="AL421" s="60">
        <v>0</v>
      </c>
      <c r="AM421" s="60">
        <v>0</v>
      </c>
      <c r="AN421" s="60">
        <v>0</v>
      </c>
      <c r="AO421" s="60">
        <v>1151.71</v>
      </c>
      <c r="AP421" s="60">
        <v>1150.3499999999999</v>
      </c>
      <c r="AQ421" s="60">
        <v>1133.07</v>
      </c>
      <c r="AR421" s="61">
        <v>1151.71</v>
      </c>
    </row>
    <row r="422" spans="1:44" x14ac:dyDescent="0.35">
      <c r="A422" s="49" t="str">
        <f t="shared" si="33"/>
        <v>10</v>
      </c>
      <c r="B422" s="27">
        <v>62125</v>
      </c>
      <c r="C422" s="25" t="str">
        <f t="shared" si="32"/>
        <v>0000000</v>
      </c>
      <c r="D422" s="26" t="s">
        <v>3663</v>
      </c>
      <c r="E422" s="25" t="s">
        <v>417</v>
      </c>
      <c r="F422" s="25" t="s">
        <v>387</v>
      </c>
      <c r="G422" s="59" t="s">
        <v>418</v>
      </c>
      <c r="H422" s="60">
        <v>3996.02</v>
      </c>
      <c r="I422" s="60">
        <v>4053.18</v>
      </c>
      <c r="J422" s="60">
        <v>3878.58</v>
      </c>
      <c r="K422" s="60">
        <v>0</v>
      </c>
      <c r="L422" s="60">
        <v>0</v>
      </c>
      <c r="M422" s="60">
        <v>0</v>
      </c>
      <c r="N422" s="60">
        <v>0</v>
      </c>
      <c r="O422" s="60">
        <v>0</v>
      </c>
      <c r="P422" s="60">
        <v>0</v>
      </c>
      <c r="Q422" s="60">
        <v>0</v>
      </c>
      <c r="R422" s="60">
        <v>0</v>
      </c>
      <c r="S422" s="60">
        <v>0</v>
      </c>
      <c r="T422" s="60">
        <v>0</v>
      </c>
      <c r="U422" s="60">
        <v>0</v>
      </c>
      <c r="V422" s="60">
        <v>0</v>
      </c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0">
        <v>0</v>
      </c>
      <c r="AE422" s="60">
        <v>0</v>
      </c>
      <c r="AF422" s="60">
        <v>0</v>
      </c>
      <c r="AG422" s="60">
        <v>0</v>
      </c>
      <c r="AH422" s="60">
        <v>0</v>
      </c>
      <c r="AI422" s="60">
        <v>3996.02</v>
      </c>
      <c r="AJ422" s="60">
        <v>4053.18</v>
      </c>
      <c r="AK422" s="60">
        <v>3878.58</v>
      </c>
      <c r="AL422" s="60">
        <v>0</v>
      </c>
      <c r="AM422" s="60">
        <v>0</v>
      </c>
      <c r="AN422" s="60">
        <v>0</v>
      </c>
      <c r="AO422" s="60">
        <v>3996.02</v>
      </c>
      <c r="AP422" s="60">
        <v>4053.18</v>
      </c>
      <c r="AQ422" s="60">
        <v>3878.58</v>
      </c>
      <c r="AR422" s="61">
        <v>4053.18</v>
      </c>
    </row>
    <row r="423" spans="1:44" x14ac:dyDescent="0.35">
      <c r="A423" s="49" t="str">
        <f t="shared" si="33"/>
        <v>10</v>
      </c>
      <c r="B423" s="27">
        <v>62265</v>
      </c>
      <c r="C423" s="25" t="str">
        <f t="shared" si="32"/>
        <v>0000000</v>
      </c>
      <c r="D423" s="26" t="s">
        <v>3663</v>
      </c>
      <c r="E423" s="25" t="s">
        <v>444</v>
      </c>
      <c r="F423" s="25" t="s">
        <v>387</v>
      </c>
      <c r="G423" s="59" t="s">
        <v>445</v>
      </c>
      <c r="H423" s="60">
        <v>8839.1299999999992</v>
      </c>
      <c r="I423" s="60">
        <v>8736.8799999999992</v>
      </c>
      <c r="J423" s="60">
        <v>8707.84</v>
      </c>
      <c r="K423" s="60">
        <v>0</v>
      </c>
      <c r="L423" s="60">
        <v>0</v>
      </c>
      <c r="M423" s="60">
        <v>0</v>
      </c>
      <c r="N423" s="60">
        <v>0</v>
      </c>
      <c r="O423" s="60">
        <v>0</v>
      </c>
      <c r="P423" s="60">
        <v>0</v>
      </c>
      <c r="Q423" s="60">
        <v>0</v>
      </c>
      <c r="R423" s="60">
        <v>0</v>
      </c>
      <c r="S423" s="60">
        <v>0</v>
      </c>
      <c r="T423" s="60">
        <v>0</v>
      </c>
      <c r="U423" s="60">
        <v>0</v>
      </c>
      <c r="V423" s="60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345.7</v>
      </c>
      <c r="AD423" s="60">
        <v>367.02</v>
      </c>
      <c r="AE423" s="60">
        <v>424.41</v>
      </c>
      <c r="AF423" s="60">
        <v>0</v>
      </c>
      <c r="AG423" s="60">
        <v>0</v>
      </c>
      <c r="AH423" s="60">
        <v>0</v>
      </c>
      <c r="AI423" s="60">
        <v>9184.83</v>
      </c>
      <c r="AJ423" s="60">
        <v>9103.9</v>
      </c>
      <c r="AK423" s="60">
        <v>9132.25</v>
      </c>
      <c r="AL423" s="60">
        <v>0</v>
      </c>
      <c r="AM423" s="60">
        <v>0</v>
      </c>
      <c r="AN423" s="60">
        <v>0</v>
      </c>
      <c r="AO423" s="60">
        <v>9184.83</v>
      </c>
      <c r="AP423" s="60">
        <v>9103.9</v>
      </c>
      <c r="AQ423" s="60">
        <v>9132.25</v>
      </c>
      <c r="AR423" s="61">
        <v>9184.83</v>
      </c>
    </row>
    <row r="424" spans="1:44" x14ac:dyDescent="0.35">
      <c r="A424" s="49" t="str">
        <f t="shared" si="33"/>
        <v>10</v>
      </c>
      <c r="B424" s="27">
        <v>62281</v>
      </c>
      <c r="C424" s="25" t="str">
        <f t="shared" si="32"/>
        <v>0000000</v>
      </c>
      <c r="D424" s="26" t="s">
        <v>3663</v>
      </c>
      <c r="E424" s="25" t="s">
        <v>446</v>
      </c>
      <c r="F424" s="25" t="s">
        <v>387</v>
      </c>
      <c r="G424" s="59" t="s">
        <v>447</v>
      </c>
      <c r="H424" s="60">
        <v>564.80999999999995</v>
      </c>
      <c r="I424" s="60">
        <v>578.29999999999995</v>
      </c>
      <c r="J424" s="60">
        <v>525.04</v>
      </c>
      <c r="K424" s="60">
        <v>0</v>
      </c>
      <c r="L424" s="60">
        <v>0</v>
      </c>
      <c r="M424" s="60">
        <v>0</v>
      </c>
      <c r="N424" s="60">
        <v>0</v>
      </c>
      <c r="O424" s="60">
        <v>0</v>
      </c>
      <c r="P424" s="60">
        <v>0</v>
      </c>
      <c r="Q424" s="60">
        <v>0</v>
      </c>
      <c r="R424" s="60">
        <v>0</v>
      </c>
      <c r="S424" s="60">
        <v>0</v>
      </c>
      <c r="T424" s="60">
        <v>0</v>
      </c>
      <c r="U424" s="60">
        <v>0</v>
      </c>
      <c r="V424" s="60">
        <v>0</v>
      </c>
      <c r="W424" s="60">
        <v>0</v>
      </c>
      <c r="X424" s="60">
        <v>0</v>
      </c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0">
        <v>0</v>
      </c>
      <c r="AE424" s="60">
        <v>0</v>
      </c>
      <c r="AF424" s="60">
        <v>0</v>
      </c>
      <c r="AG424" s="60">
        <v>0</v>
      </c>
      <c r="AH424" s="60">
        <v>0</v>
      </c>
      <c r="AI424" s="60">
        <v>564.80999999999995</v>
      </c>
      <c r="AJ424" s="60">
        <v>578.29999999999995</v>
      </c>
      <c r="AK424" s="60">
        <v>525.04</v>
      </c>
      <c r="AL424" s="60">
        <v>0</v>
      </c>
      <c r="AM424" s="60">
        <v>0</v>
      </c>
      <c r="AN424" s="60">
        <v>0</v>
      </c>
      <c r="AO424" s="60">
        <v>564.80999999999995</v>
      </c>
      <c r="AP424" s="60">
        <v>578.29999999999995</v>
      </c>
      <c r="AQ424" s="60">
        <v>525.04</v>
      </c>
      <c r="AR424" s="61">
        <v>578.29999999999995</v>
      </c>
    </row>
    <row r="425" spans="1:44" x14ac:dyDescent="0.35">
      <c r="A425" s="49" t="str">
        <f t="shared" si="33"/>
        <v>10</v>
      </c>
      <c r="B425" s="27">
        <v>62364</v>
      </c>
      <c r="C425" s="25" t="str">
        <f t="shared" si="32"/>
        <v>0000000</v>
      </c>
      <c r="D425" s="26" t="s">
        <v>3663</v>
      </c>
      <c r="E425" s="25" t="s">
        <v>456</v>
      </c>
      <c r="F425" s="25" t="s">
        <v>387</v>
      </c>
      <c r="G425" s="59" t="s">
        <v>457</v>
      </c>
      <c r="H425" s="60">
        <v>3004.45</v>
      </c>
      <c r="I425" s="60">
        <v>3057.27</v>
      </c>
      <c r="J425" s="60">
        <v>2917.09</v>
      </c>
      <c r="K425" s="60">
        <v>0</v>
      </c>
      <c r="L425" s="60">
        <v>0</v>
      </c>
      <c r="M425" s="60">
        <v>0</v>
      </c>
      <c r="N425" s="60">
        <v>0</v>
      </c>
      <c r="O425" s="60">
        <v>0</v>
      </c>
      <c r="P425" s="60">
        <v>0</v>
      </c>
      <c r="Q425" s="60">
        <v>0</v>
      </c>
      <c r="R425" s="60">
        <v>0</v>
      </c>
      <c r="S425" s="60">
        <v>0</v>
      </c>
      <c r="T425" s="60">
        <v>0</v>
      </c>
      <c r="U425" s="60">
        <v>0</v>
      </c>
      <c r="V425" s="60">
        <v>0</v>
      </c>
      <c r="W425" s="60">
        <v>0</v>
      </c>
      <c r="X425" s="60">
        <v>0</v>
      </c>
      <c r="Y425" s="60">
        <v>0</v>
      </c>
      <c r="Z425" s="60">
        <v>0</v>
      </c>
      <c r="AA425" s="60">
        <v>0</v>
      </c>
      <c r="AB425" s="60">
        <v>0</v>
      </c>
      <c r="AC425" s="60">
        <v>0</v>
      </c>
      <c r="AD425" s="60">
        <v>0</v>
      </c>
      <c r="AE425" s="60">
        <v>0</v>
      </c>
      <c r="AF425" s="60">
        <v>0</v>
      </c>
      <c r="AG425" s="60">
        <v>0</v>
      </c>
      <c r="AH425" s="60">
        <v>0</v>
      </c>
      <c r="AI425" s="60">
        <v>3004.45</v>
      </c>
      <c r="AJ425" s="60">
        <v>3057.27</v>
      </c>
      <c r="AK425" s="60">
        <v>2917.09</v>
      </c>
      <c r="AL425" s="60">
        <v>0</v>
      </c>
      <c r="AM425" s="60">
        <v>0</v>
      </c>
      <c r="AN425" s="60">
        <v>0</v>
      </c>
      <c r="AO425" s="60">
        <v>3004.45</v>
      </c>
      <c r="AP425" s="60">
        <v>3057.27</v>
      </c>
      <c r="AQ425" s="60">
        <v>2917.09</v>
      </c>
      <c r="AR425" s="61">
        <v>3057.27</v>
      </c>
    </row>
    <row r="426" spans="1:44" x14ac:dyDescent="0.35">
      <c r="A426" s="49" t="str">
        <f t="shared" si="33"/>
        <v>10</v>
      </c>
      <c r="B426" s="27">
        <v>62414</v>
      </c>
      <c r="C426" s="25" t="str">
        <f t="shared" si="32"/>
        <v>0000000</v>
      </c>
      <c r="D426" s="26" t="s">
        <v>3663</v>
      </c>
      <c r="E426" s="25" t="s">
        <v>464</v>
      </c>
      <c r="F426" s="25" t="s">
        <v>387</v>
      </c>
      <c r="G426" s="59" t="s">
        <v>465</v>
      </c>
      <c r="H426" s="60">
        <v>11390.6</v>
      </c>
      <c r="I426" s="60">
        <v>11212.64</v>
      </c>
      <c r="J426" s="60">
        <v>10666.26</v>
      </c>
      <c r="K426" s="60">
        <v>0</v>
      </c>
      <c r="L426" s="60">
        <v>0</v>
      </c>
      <c r="M426" s="60">
        <v>0</v>
      </c>
      <c r="N426" s="60">
        <v>0</v>
      </c>
      <c r="O426" s="60">
        <v>0</v>
      </c>
      <c r="P426" s="60">
        <v>0</v>
      </c>
      <c r="Q426" s="60">
        <v>0</v>
      </c>
      <c r="R426" s="60">
        <v>0</v>
      </c>
      <c r="S426" s="60">
        <v>0</v>
      </c>
      <c r="T426" s="60">
        <v>0</v>
      </c>
      <c r="U426" s="60">
        <v>0</v>
      </c>
      <c r="V426" s="60">
        <v>0</v>
      </c>
      <c r="W426" s="60">
        <v>0</v>
      </c>
      <c r="X426" s="60">
        <v>0</v>
      </c>
      <c r="Y426" s="60">
        <v>0</v>
      </c>
      <c r="Z426" s="60">
        <v>0</v>
      </c>
      <c r="AA426" s="60">
        <v>0</v>
      </c>
      <c r="AB426" s="60">
        <v>0</v>
      </c>
      <c r="AC426" s="60">
        <v>1162.17</v>
      </c>
      <c r="AD426" s="60">
        <v>1174.31</v>
      </c>
      <c r="AE426" s="60">
        <v>1367.56</v>
      </c>
      <c r="AF426" s="60">
        <v>0</v>
      </c>
      <c r="AG426" s="60">
        <v>0</v>
      </c>
      <c r="AH426" s="60">
        <v>0</v>
      </c>
      <c r="AI426" s="60">
        <v>12552.77</v>
      </c>
      <c r="AJ426" s="60">
        <v>12386.95</v>
      </c>
      <c r="AK426" s="60">
        <v>12033.82</v>
      </c>
      <c r="AL426" s="60">
        <v>0</v>
      </c>
      <c r="AM426" s="60">
        <v>0</v>
      </c>
      <c r="AN426" s="60">
        <v>0</v>
      </c>
      <c r="AO426" s="60">
        <v>12552.77</v>
      </c>
      <c r="AP426" s="60">
        <v>12386.95</v>
      </c>
      <c r="AQ426" s="60">
        <v>12033.82</v>
      </c>
      <c r="AR426" s="61">
        <v>12552.77</v>
      </c>
    </row>
    <row r="427" spans="1:44" x14ac:dyDescent="0.35">
      <c r="A427" s="49" t="str">
        <f t="shared" si="33"/>
        <v>10</v>
      </c>
      <c r="B427" s="27">
        <v>62430</v>
      </c>
      <c r="C427" s="25" t="str">
        <f t="shared" si="32"/>
        <v>0000000</v>
      </c>
      <c r="D427" s="26" t="s">
        <v>3663</v>
      </c>
      <c r="E427" s="25" t="s">
        <v>466</v>
      </c>
      <c r="F427" s="25" t="s">
        <v>387</v>
      </c>
      <c r="G427" s="59" t="s">
        <v>467</v>
      </c>
      <c r="H427" s="60">
        <v>5582.75</v>
      </c>
      <c r="I427" s="60">
        <v>5553.36</v>
      </c>
      <c r="J427" s="60">
        <v>5322.07</v>
      </c>
      <c r="K427" s="60">
        <v>0</v>
      </c>
      <c r="L427" s="60">
        <v>0</v>
      </c>
      <c r="M427" s="60">
        <v>0</v>
      </c>
      <c r="N427" s="60">
        <v>0</v>
      </c>
      <c r="O427" s="60">
        <v>0</v>
      </c>
      <c r="P427" s="60">
        <v>0</v>
      </c>
      <c r="Q427" s="60">
        <v>0</v>
      </c>
      <c r="R427" s="60">
        <v>0</v>
      </c>
      <c r="S427" s="60">
        <v>0</v>
      </c>
      <c r="T427" s="60">
        <v>0</v>
      </c>
      <c r="U427" s="60">
        <v>0</v>
      </c>
      <c r="V427" s="60">
        <v>0</v>
      </c>
      <c r="W427" s="60">
        <v>0</v>
      </c>
      <c r="X427" s="60">
        <v>0</v>
      </c>
      <c r="Y427" s="60">
        <v>0</v>
      </c>
      <c r="Z427" s="60">
        <v>0</v>
      </c>
      <c r="AA427" s="60">
        <v>0</v>
      </c>
      <c r="AB427" s="60">
        <v>0</v>
      </c>
      <c r="AC427" s="60">
        <v>0</v>
      </c>
      <c r="AD427" s="60">
        <v>0</v>
      </c>
      <c r="AE427" s="60">
        <v>0</v>
      </c>
      <c r="AF427" s="60">
        <v>0</v>
      </c>
      <c r="AG427" s="60">
        <v>0</v>
      </c>
      <c r="AH427" s="60">
        <v>0</v>
      </c>
      <c r="AI427" s="60">
        <v>5582.75</v>
      </c>
      <c r="AJ427" s="60">
        <v>5553.36</v>
      </c>
      <c r="AK427" s="60">
        <v>5322.07</v>
      </c>
      <c r="AL427" s="60">
        <v>0</v>
      </c>
      <c r="AM427" s="60">
        <v>0</v>
      </c>
      <c r="AN427" s="60">
        <v>0</v>
      </c>
      <c r="AO427" s="60">
        <v>5582.75</v>
      </c>
      <c r="AP427" s="60">
        <v>5553.36</v>
      </c>
      <c r="AQ427" s="60">
        <v>5322.07</v>
      </c>
      <c r="AR427" s="61">
        <v>5582.75</v>
      </c>
    </row>
    <row r="428" spans="1:44" x14ac:dyDescent="0.35">
      <c r="A428" s="49" t="str">
        <f t="shared" si="33"/>
        <v>10</v>
      </c>
      <c r="B428" s="27">
        <v>73809</v>
      </c>
      <c r="C428" s="25" t="str">
        <f t="shared" si="32"/>
        <v>0000000</v>
      </c>
      <c r="D428" s="26" t="s">
        <v>3663</v>
      </c>
      <c r="E428" s="25" t="s">
        <v>478</v>
      </c>
      <c r="F428" s="25" t="s">
        <v>387</v>
      </c>
      <c r="G428" s="59" t="s">
        <v>479</v>
      </c>
      <c r="H428" s="60">
        <v>2062.27</v>
      </c>
      <c r="I428" s="60">
        <v>2034.41</v>
      </c>
      <c r="J428" s="60">
        <v>1994.52</v>
      </c>
      <c r="K428" s="60">
        <v>0</v>
      </c>
      <c r="L428" s="60">
        <v>0</v>
      </c>
      <c r="M428" s="60">
        <v>0</v>
      </c>
      <c r="N428" s="60">
        <v>0</v>
      </c>
      <c r="O428" s="60">
        <v>0</v>
      </c>
      <c r="P428" s="60">
        <v>0</v>
      </c>
      <c r="Q428" s="60">
        <v>0</v>
      </c>
      <c r="R428" s="60">
        <v>0</v>
      </c>
      <c r="S428" s="60">
        <v>0</v>
      </c>
      <c r="T428" s="60">
        <v>0</v>
      </c>
      <c r="U428" s="60">
        <v>0</v>
      </c>
      <c r="V428" s="60">
        <v>0</v>
      </c>
      <c r="W428" s="60">
        <v>0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0">
        <v>0</v>
      </c>
      <c r="AE428" s="60">
        <v>0</v>
      </c>
      <c r="AF428" s="60">
        <v>0</v>
      </c>
      <c r="AG428" s="60">
        <v>0</v>
      </c>
      <c r="AH428" s="60">
        <v>0</v>
      </c>
      <c r="AI428" s="60">
        <v>2062.27</v>
      </c>
      <c r="AJ428" s="60">
        <v>2034.41</v>
      </c>
      <c r="AK428" s="60">
        <v>1994.52</v>
      </c>
      <c r="AL428" s="60">
        <v>0</v>
      </c>
      <c r="AM428" s="60">
        <v>0</v>
      </c>
      <c r="AN428" s="60">
        <v>0</v>
      </c>
      <c r="AO428" s="60">
        <v>2062.27</v>
      </c>
      <c r="AP428" s="60">
        <v>2034.41</v>
      </c>
      <c r="AQ428" s="60">
        <v>1994.52</v>
      </c>
      <c r="AR428" s="61">
        <v>2062.27</v>
      </c>
    </row>
    <row r="429" spans="1:44" x14ac:dyDescent="0.35">
      <c r="A429" s="49" t="str">
        <f t="shared" si="33"/>
        <v>10</v>
      </c>
      <c r="B429" s="27">
        <v>62547</v>
      </c>
      <c r="C429" s="25" t="str">
        <f t="shared" si="32"/>
        <v>0000000</v>
      </c>
      <c r="D429" s="26" t="s">
        <v>3663</v>
      </c>
      <c r="E429" s="25" t="s">
        <v>472</v>
      </c>
      <c r="F429" s="25" t="s">
        <v>387</v>
      </c>
      <c r="G429" s="59" t="s">
        <v>473</v>
      </c>
      <c r="H429" s="60">
        <v>116.5</v>
      </c>
      <c r="I429" s="60">
        <v>123.95</v>
      </c>
      <c r="J429" s="60">
        <v>137.19</v>
      </c>
      <c r="K429" s="60">
        <v>0</v>
      </c>
      <c r="L429" s="60">
        <v>0</v>
      </c>
      <c r="M429" s="60">
        <v>0</v>
      </c>
      <c r="N429" s="60">
        <v>0</v>
      </c>
      <c r="O429" s="60">
        <v>0</v>
      </c>
      <c r="P429" s="60">
        <v>0</v>
      </c>
      <c r="Q429" s="60">
        <v>0</v>
      </c>
      <c r="R429" s="60">
        <v>0</v>
      </c>
      <c r="S429" s="60">
        <v>0</v>
      </c>
      <c r="T429" s="60">
        <v>0</v>
      </c>
      <c r="U429" s="60">
        <v>0</v>
      </c>
      <c r="V429" s="60">
        <v>0</v>
      </c>
      <c r="W429" s="60">
        <v>0</v>
      </c>
      <c r="X429" s="60">
        <v>0</v>
      </c>
      <c r="Y429" s="60">
        <v>0</v>
      </c>
      <c r="Z429" s="60">
        <v>0</v>
      </c>
      <c r="AA429" s="60">
        <v>0</v>
      </c>
      <c r="AB429" s="60">
        <v>0</v>
      </c>
      <c r="AC429" s="60">
        <v>0</v>
      </c>
      <c r="AD429" s="60">
        <v>0</v>
      </c>
      <c r="AE429" s="60">
        <v>0</v>
      </c>
      <c r="AF429" s="60">
        <v>0</v>
      </c>
      <c r="AG429" s="60">
        <v>0</v>
      </c>
      <c r="AH429" s="60">
        <v>0</v>
      </c>
      <c r="AI429" s="60">
        <v>116.5</v>
      </c>
      <c r="AJ429" s="60">
        <v>123.95</v>
      </c>
      <c r="AK429" s="60">
        <v>137.19</v>
      </c>
      <c r="AL429" s="60">
        <v>0</v>
      </c>
      <c r="AM429" s="60">
        <v>0</v>
      </c>
      <c r="AN429" s="60">
        <v>0</v>
      </c>
      <c r="AO429" s="60">
        <v>116.5</v>
      </c>
      <c r="AP429" s="60">
        <v>123.95</v>
      </c>
      <c r="AQ429" s="60">
        <v>137.19</v>
      </c>
      <c r="AR429" s="61">
        <v>137.19</v>
      </c>
    </row>
    <row r="430" spans="1:44" x14ac:dyDescent="0.35">
      <c r="A430" s="49" t="str">
        <f t="shared" si="33"/>
        <v>10</v>
      </c>
      <c r="B430" s="27">
        <v>62158</v>
      </c>
      <c r="C430" s="25" t="str">
        <f t="shared" si="32"/>
        <v>0000000</v>
      </c>
      <c r="D430" s="26" t="s">
        <v>3663</v>
      </c>
      <c r="E430" s="25" t="s">
        <v>419</v>
      </c>
      <c r="F430" s="25" t="s">
        <v>387</v>
      </c>
      <c r="G430" s="59" t="s">
        <v>420</v>
      </c>
      <c r="H430" s="60">
        <v>2377.6999999999998</v>
      </c>
      <c r="I430" s="60">
        <v>2372.5700000000002</v>
      </c>
      <c r="J430" s="60">
        <v>2326.3000000000002</v>
      </c>
      <c r="K430" s="60">
        <v>0</v>
      </c>
      <c r="L430" s="60">
        <v>0</v>
      </c>
      <c r="M430" s="60">
        <v>0</v>
      </c>
      <c r="N430" s="60">
        <v>0</v>
      </c>
      <c r="O430" s="60">
        <v>0</v>
      </c>
      <c r="P430" s="60">
        <v>0</v>
      </c>
      <c r="Q430" s="60">
        <v>0</v>
      </c>
      <c r="R430" s="60">
        <v>0</v>
      </c>
      <c r="S430" s="60">
        <v>0</v>
      </c>
      <c r="T430" s="60">
        <v>0</v>
      </c>
      <c r="U430" s="60">
        <v>0</v>
      </c>
      <c r="V430" s="60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0</v>
      </c>
      <c r="AD430" s="60">
        <v>0</v>
      </c>
      <c r="AE430" s="60">
        <v>0</v>
      </c>
      <c r="AF430" s="60">
        <v>0</v>
      </c>
      <c r="AG430" s="60">
        <v>0</v>
      </c>
      <c r="AH430" s="60">
        <v>0</v>
      </c>
      <c r="AI430" s="60">
        <v>2377.6999999999998</v>
      </c>
      <c r="AJ430" s="60">
        <v>2372.5700000000002</v>
      </c>
      <c r="AK430" s="60">
        <v>2326.3000000000002</v>
      </c>
      <c r="AL430" s="60">
        <v>0</v>
      </c>
      <c r="AM430" s="60">
        <v>0</v>
      </c>
      <c r="AN430" s="60">
        <v>0</v>
      </c>
      <c r="AO430" s="60">
        <v>2377.6999999999998</v>
      </c>
      <c r="AP430" s="60">
        <v>2372.5700000000002</v>
      </c>
      <c r="AQ430" s="60">
        <v>2326.3000000000002</v>
      </c>
      <c r="AR430" s="61">
        <v>2377.6999999999998</v>
      </c>
    </row>
    <row r="431" spans="1:44" x14ac:dyDescent="0.35">
      <c r="A431" s="49" t="str">
        <f t="shared" si="33"/>
        <v>10</v>
      </c>
      <c r="B431" s="27">
        <v>73965</v>
      </c>
      <c r="C431" s="25" t="str">
        <f t="shared" si="32"/>
        <v>0000000</v>
      </c>
      <c r="D431" s="26" t="s">
        <v>3663</v>
      </c>
      <c r="E431" s="25" t="s">
        <v>480</v>
      </c>
      <c r="F431" s="25" t="s">
        <v>387</v>
      </c>
      <c r="G431" s="59" t="s">
        <v>481</v>
      </c>
      <c r="H431" s="60">
        <v>14712.49</v>
      </c>
      <c r="I431" s="60">
        <v>14265.38</v>
      </c>
      <c r="J431" s="60">
        <v>14191.88</v>
      </c>
      <c r="K431" s="60">
        <v>0</v>
      </c>
      <c r="L431" s="60">
        <v>0</v>
      </c>
      <c r="M431" s="60">
        <v>0</v>
      </c>
      <c r="N431" s="60">
        <v>0</v>
      </c>
      <c r="O431" s="60">
        <v>0</v>
      </c>
      <c r="P431" s="60">
        <v>0</v>
      </c>
      <c r="Q431" s="60">
        <v>0</v>
      </c>
      <c r="R431" s="60">
        <v>0</v>
      </c>
      <c r="S431" s="60">
        <v>0</v>
      </c>
      <c r="T431" s="60">
        <v>0</v>
      </c>
      <c r="U431" s="60">
        <v>0</v>
      </c>
      <c r="V431" s="60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0">
        <v>0</v>
      </c>
      <c r="AE431" s="60">
        <v>0</v>
      </c>
      <c r="AF431" s="60">
        <v>0</v>
      </c>
      <c r="AG431" s="60">
        <v>0</v>
      </c>
      <c r="AH431" s="60">
        <v>0</v>
      </c>
      <c r="AI431" s="60">
        <v>14712.49</v>
      </c>
      <c r="AJ431" s="60">
        <v>14265.38</v>
      </c>
      <c r="AK431" s="60">
        <v>14191.88</v>
      </c>
      <c r="AL431" s="60">
        <v>0</v>
      </c>
      <c r="AM431" s="60">
        <v>0</v>
      </c>
      <c r="AN431" s="60">
        <v>0</v>
      </c>
      <c r="AO431" s="60">
        <v>14712.49</v>
      </c>
      <c r="AP431" s="60">
        <v>14265.38</v>
      </c>
      <c r="AQ431" s="60">
        <v>14191.88</v>
      </c>
      <c r="AR431" s="61">
        <v>14712.49</v>
      </c>
    </row>
    <row r="432" spans="1:44" x14ac:dyDescent="0.35">
      <c r="A432" s="49" t="str">
        <f t="shared" si="33"/>
        <v>10</v>
      </c>
      <c r="B432" s="27">
        <v>73999</v>
      </c>
      <c r="C432" s="25" t="str">
        <f t="shared" si="32"/>
        <v>0000000</v>
      </c>
      <c r="D432" s="26" t="s">
        <v>3663</v>
      </c>
      <c r="E432" s="25" t="s">
        <v>482</v>
      </c>
      <c r="F432" s="25" t="s">
        <v>387</v>
      </c>
      <c r="G432" s="59" t="s">
        <v>483</v>
      </c>
      <c r="H432" s="60">
        <v>4906.3500000000004</v>
      </c>
      <c r="I432" s="60">
        <v>4884.88</v>
      </c>
      <c r="J432" s="60">
        <v>4476.8900000000003</v>
      </c>
      <c r="K432" s="60">
        <v>0</v>
      </c>
      <c r="L432" s="60">
        <v>0</v>
      </c>
      <c r="M432" s="60">
        <v>0</v>
      </c>
      <c r="N432" s="60">
        <v>0</v>
      </c>
      <c r="O432" s="60">
        <v>0</v>
      </c>
      <c r="P432" s="60">
        <v>0</v>
      </c>
      <c r="Q432" s="60">
        <v>0</v>
      </c>
      <c r="R432" s="60">
        <v>0</v>
      </c>
      <c r="S432" s="60">
        <v>0</v>
      </c>
      <c r="T432" s="60">
        <v>0</v>
      </c>
      <c r="U432" s="60">
        <v>0</v>
      </c>
      <c r="V432" s="60">
        <v>0</v>
      </c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60">
        <v>0</v>
      </c>
      <c r="AE432" s="60">
        <v>0</v>
      </c>
      <c r="AF432" s="60">
        <v>0</v>
      </c>
      <c r="AG432" s="60">
        <v>0</v>
      </c>
      <c r="AH432" s="60">
        <v>0</v>
      </c>
      <c r="AI432" s="60">
        <v>4906.3500000000004</v>
      </c>
      <c r="AJ432" s="60">
        <v>4884.88</v>
      </c>
      <c r="AK432" s="60">
        <v>4476.8900000000003</v>
      </c>
      <c r="AL432" s="60">
        <v>0</v>
      </c>
      <c r="AM432" s="60">
        <v>0</v>
      </c>
      <c r="AN432" s="60">
        <v>0</v>
      </c>
      <c r="AO432" s="60">
        <v>4906.3500000000004</v>
      </c>
      <c r="AP432" s="60">
        <v>4884.88</v>
      </c>
      <c r="AQ432" s="60">
        <v>4476.8900000000003</v>
      </c>
      <c r="AR432" s="61">
        <v>4906.3500000000004</v>
      </c>
    </row>
    <row r="433" spans="1:44" x14ac:dyDescent="0.35">
      <c r="A433" s="49" t="str">
        <f t="shared" si="33"/>
        <v>10</v>
      </c>
      <c r="B433" s="27">
        <v>75234</v>
      </c>
      <c r="C433" s="25" t="str">
        <f t="shared" si="32"/>
        <v>0000000</v>
      </c>
      <c r="D433" s="26" t="s">
        <v>3663</v>
      </c>
      <c r="E433" s="25" t="s">
        <v>486</v>
      </c>
      <c r="F433" s="25" t="s">
        <v>387</v>
      </c>
      <c r="G433" s="59" t="s">
        <v>487</v>
      </c>
      <c r="H433" s="60">
        <v>1271.21</v>
      </c>
      <c r="I433" s="60">
        <v>1253.5899999999999</v>
      </c>
      <c r="J433" s="60">
        <v>1198.25</v>
      </c>
      <c r="K433" s="60">
        <v>0</v>
      </c>
      <c r="L433" s="60">
        <v>0</v>
      </c>
      <c r="M433" s="60">
        <v>0</v>
      </c>
      <c r="N433" s="60">
        <v>0</v>
      </c>
      <c r="O433" s="60">
        <v>0</v>
      </c>
      <c r="P433" s="60">
        <v>0</v>
      </c>
      <c r="Q433" s="60">
        <v>0</v>
      </c>
      <c r="R433" s="60">
        <v>0</v>
      </c>
      <c r="S433" s="60">
        <v>0</v>
      </c>
      <c r="T433" s="60">
        <v>0</v>
      </c>
      <c r="U433" s="60">
        <v>0</v>
      </c>
      <c r="V433" s="60">
        <v>0</v>
      </c>
      <c r="W433" s="60">
        <v>0</v>
      </c>
      <c r="X433" s="60">
        <v>0</v>
      </c>
      <c r="Y433" s="60">
        <v>0</v>
      </c>
      <c r="Z433" s="60">
        <v>0</v>
      </c>
      <c r="AA433" s="60">
        <v>0</v>
      </c>
      <c r="AB433" s="60">
        <v>0</v>
      </c>
      <c r="AC433" s="60">
        <v>0</v>
      </c>
      <c r="AD433" s="60">
        <v>0</v>
      </c>
      <c r="AE433" s="60">
        <v>0</v>
      </c>
      <c r="AF433" s="60">
        <v>0</v>
      </c>
      <c r="AG433" s="60">
        <v>0</v>
      </c>
      <c r="AH433" s="60">
        <v>0</v>
      </c>
      <c r="AI433" s="60">
        <v>1271.21</v>
      </c>
      <c r="AJ433" s="60">
        <v>1253.5899999999999</v>
      </c>
      <c r="AK433" s="60">
        <v>1198.25</v>
      </c>
      <c r="AL433" s="60">
        <v>0</v>
      </c>
      <c r="AM433" s="60">
        <v>0</v>
      </c>
      <c r="AN433" s="60">
        <v>0</v>
      </c>
      <c r="AO433" s="60">
        <v>1271.21</v>
      </c>
      <c r="AP433" s="60">
        <v>1253.5899999999999</v>
      </c>
      <c r="AQ433" s="60">
        <v>1198.25</v>
      </c>
      <c r="AR433" s="61">
        <v>1271.21</v>
      </c>
    </row>
    <row r="434" spans="1:44" x14ac:dyDescent="0.35">
      <c r="A434" s="49" t="str">
        <f t="shared" si="33"/>
        <v>10</v>
      </c>
      <c r="B434" s="27">
        <v>62026</v>
      </c>
      <c r="C434" s="25" t="str">
        <f t="shared" si="32"/>
        <v>0000000</v>
      </c>
      <c r="D434" s="26" t="s">
        <v>3663</v>
      </c>
      <c r="E434" s="25" t="s">
        <v>409</v>
      </c>
      <c r="F434" s="25" t="s">
        <v>387</v>
      </c>
      <c r="G434" s="59" t="s">
        <v>410</v>
      </c>
      <c r="H434" s="60">
        <v>23.62</v>
      </c>
      <c r="I434" s="60">
        <v>24.61</v>
      </c>
      <c r="J434" s="60">
        <v>27.48</v>
      </c>
      <c r="K434" s="60">
        <v>0</v>
      </c>
      <c r="L434" s="60">
        <v>0</v>
      </c>
      <c r="M434" s="60">
        <v>0</v>
      </c>
      <c r="N434" s="60">
        <v>2.67</v>
      </c>
      <c r="O434" s="60">
        <v>2.35</v>
      </c>
      <c r="P434" s="60">
        <v>3.67</v>
      </c>
      <c r="Q434" s="60">
        <v>0</v>
      </c>
      <c r="R434" s="60">
        <v>0</v>
      </c>
      <c r="S434" s="60">
        <v>0</v>
      </c>
      <c r="T434" s="60">
        <v>0</v>
      </c>
      <c r="U434" s="60">
        <v>0</v>
      </c>
      <c r="V434" s="60">
        <v>0</v>
      </c>
      <c r="W434" s="60">
        <v>0</v>
      </c>
      <c r="X434" s="60">
        <v>0</v>
      </c>
      <c r="Y434" s="60">
        <v>0</v>
      </c>
      <c r="Z434" s="60">
        <v>0</v>
      </c>
      <c r="AA434" s="60">
        <v>0</v>
      </c>
      <c r="AB434" s="60">
        <v>0</v>
      </c>
      <c r="AC434" s="60">
        <v>0</v>
      </c>
      <c r="AD434" s="60">
        <v>0</v>
      </c>
      <c r="AE434" s="60">
        <v>0</v>
      </c>
      <c r="AF434" s="60">
        <v>0</v>
      </c>
      <c r="AG434" s="60">
        <v>0</v>
      </c>
      <c r="AH434" s="60">
        <v>0</v>
      </c>
      <c r="AI434" s="60">
        <v>26.29</v>
      </c>
      <c r="AJ434" s="60">
        <v>26.96</v>
      </c>
      <c r="AK434" s="60">
        <v>31.15</v>
      </c>
      <c r="AL434" s="60">
        <v>0</v>
      </c>
      <c r="AM434" s="60">
        <v>0</v>
      </c>
      <c r="AN434" s="60">
        <v>0</v>
      </c>
      <c r="AO434" s="60">
        <v>26.29</v>
      </c>
      <c r="AP434" s="60">
        <v>26.96</v>
      </c>
      <c r="AQ434" s="60">
        <v>31.15</v>
      </c>
      <c r="AR434" s="61">
        <v>31.15</v>
      </c>
    </row>
    <row r="435" spans="1:44" x14ac:dyDescent="0.35">
      <c r="A435" s="49" t="str">
        <f t="shared" si="33"/>
        <v>10</v>
      </c>
      <c r="B435" s="27">
        <v>75275</v>
      </c>
      <c r="C435" s="25" t="str">
        <f t="shared" ref="C435:C467" si="34">TEXT(,"0000000")</f>
        <v>0000000</v>
      </c>
      <c r="D435" s="26" t="s">
        <v>3663</v>
      </c>
      <c r="E435" s="25" t="s">
        <v>488</v>
      </c>
      <c r="F435" s="25" t="s">
        <v>387</v>
      </c>
      <c r="G435" s="59" t="s">
        <v>489</v>
      </c>
      <c r="H435" s="60">
        <v>1177.69</v>
      </c>
      <c r="I435" s="60">
        <v>1205.76</v>
      </c>
      <c r="J435" s="60">
        <v>1110.78</v>
      </c>
      <c r="K435" s="60">
        <v>0</v>
      </c>
      <c r="L435" s="60">
        <v>0</v>
      </c>
      <c r="M435" s="60">
        <v>0</v>
      </c>
      <c r="N435" s="60">
        <v>0</v>
      </c>
      <c r="O435" s="60">
        <v>0</v>
      </c>
      <c r="P435" s="60">
        <v>0</v>
      </c>
      <c r="Q435" s="60">
        <v>0</v>
      </c>
      <c r="R435" s="60">
        <v>0</v>
      </c>
      <c r="S435" s="60">
        <v>0</v>
      </c>
      <c r="T435" s="60">
        <v>0</v>
      </c>
      <c r="U435" s="60">
        <v>0</v>
      </c>
      <c r="V435" s="60">
        <v>0</v>
      </c>
      <c r="W435" s="60">
        <v>0</v>
      </c>
      <c r="X435" s="60">
        <v>0</v>
      </c>
      <c r="Y435" s="60">
        <v>0</v>
      </c>
      <c r="Z435" s="60">
        <v>0</v>
      </c>
      <c r="AA435" s="60">
        <v>0</v>
      </c>
      <c r="AB435" s="60">
        <v>0</v>
      </c>
      <c r="AC435" s="60">
        <v>0</v>
      </c>
      <c r="AD435" s="60">
        <v>0</v>
      </c>
      <c r="AE435" s="60">
        <v>0</v>
      </c>
      <c r="AF435" s="60">
        <v>0</v>
      </c>
      <c r="AG435" s="60">
        <v>0</v>
      </c>
      <c r="AH435" s="60">
        <v>0</v>
      </c>
      <c r="AI435" s="60">
        <v>1177.69</v>
      </c>
      <c r="AJ435" s="60">
        <v>1205.76</v>
      </c>
      <c r="AK435" s="60">
        <v>1110.78</v>
      </c>
      <c r="AL435" s="60">
        <v>0</v>
      </c>
      <c r="AM435" s="60">
        <v>0</v>
      </c>
      <c r="AN435" s="60">
        <v>0</v>
      </c>
      <c r="AO435" s="60">
        <v>1177.69</v>
      </c>
      <c r="AP435" s="60">
        <v>1205.76</v>
      </c>
      <c r="AQ435" s="60">
        <v>1110.78</v>
      </c>
      <c r="AR435" s="61">
        <v>1205.76</v>
      </c>
    </row>
    <row r="436" spans="1:44" x14ac:dyDescent="0.35">
      <c r="A436" s="49" t="str">
        <f t="shared" si="33"/>
        <v>10</v>
      </c>
      <c r="B436" s="27">
        <v>75408</v>
      </c>
      <c r="C436" s="25" t="str">
        <f t="shared" si="34"/>
        <v>0000000</v>
      </c>
      <c r="D436" s="26" t="s">
        <v>3663</v>
      </c>
      <c r="E436" s="25" t="s">
        <v>490</v>
      </c>
      <c r="F436" s="25" t="s">
        <v>387</v>
      </c>
      <c r="G436" s="59" t="s">
        <v>491</v>
      </c>
      <c r="H436" s="60">
        <v>1371.42</v>
      </c>
      <c r="I436" s="60">
        <v>1374.38</v>
      </c>
      <c r="J436" s="60">
        <v>1345.52</v>
      </c>
      <c r="K436" s="60">
        <v>0</v>
      </c>
      <c r="L436" s="60">
        <v>0</v>
      </c>
      <c r="M436" s="60">
        <v>0</v>
      </c>
      <c r="N436" s="60">
        <v>0</v>
      </c>
      <c r="O436" s="60">
        <v>0</v>
      </c>
      <c r="P436" s="60">
        <v>0</v>
      </c>
      <c r="Q436" s="60">
        <v>0</v>
      </c>
      <c r="R436" s="60">
        <v>0</v>
      </c>
      <c r="S436" s="60">
        <v>0</v>
      </c>
      <c r="T436" s="60">
        <v>0</v>
      </c>
      <c r="U436" s="60">
        <v>0</v>
      </c>
      <c r="V436" s="60">
        <v>0</v>
      </c>
      <c r="W436" s="60">
        <v>0</v>
      </c>
      <c r="X436" s="60">
        <v>0</v>
      </c>
      <c r="Y436" s="60">
        <v>0</v>
      </c>
      <c r="Z436" s="60">
        <v>0</v>
      </c>
      <c r="AA436" s="60">
        <v>0</v>
      </c>
      <c r="AB436" s="60">
        <v>0</v>
      </c>
      <c r="AC436" s="60">
        <v>0</v>
      </c>
      <c r="AD436" s="60">
        <v>0</v>
      </c>
      <c r="AE436" s="60">
        <v>0</v>
      </c>
      <c r="AF436" s="60">
        <v>0</v>
      </c>
      <c r="AG436" s="60">
        <v>0</v>
      </c>
      <c r="AH436" s="60">
        <v>0</v>
      </c>
      <c r="AI436" s="60">
        <v>1371.42</v>
      </c>
      <c r="AJ436" s="60">
        <v>1374.38</v>
      </c>
      <c r="AK436" s="60">
        <v>1345.52</v>
      </c>
      <c r="AL436" s="60">
        <v>0</v>
      </c>
      <c r="AM436" s="60">
        <v>0</v>
      </c>
      <c r="AN436" s="60">
        <v>0</v>
      </c>
      <c r="AO436" s="60">
        <v>1371.42</v>
      </c>
      <c r="AP436" s="60">
        <v>1374.38</v>
      </c>
      <c r="AQ436" s="60">
        <v>1345.52</v>
      </c>
      <c r="AR436" s="61">
        <v>1374.38</v>
      </c>
    </row>
    <row r="437" spans="1:44" x14ac:dyDescent="0.35">
      <c r="A437" s="49" t="str">
        <f t="shared" si="33"/>
        <v>10</v>
      </c>
      <c r="B437" s="27">
        <v>75598</v>
      </c>
      <c r="C437" s="25" t="str">
        <f t="shared" si="34"/>
        <v>0000000</v>
      </c>
      <c r="D437" s="26" t="s">
        <v>3663</v>
      </c>
      <c r="E437" s="25" t="s">
        <v>492</v>
      </c>
      <c r="F437" s="25" t="s">
        <v>387</v>
      </c>
      <c r="G437" s="59" t="s">
        <v>493</v>
      </c>
      <c r="H437" s="60">
        <v>1458.75</v>
      </c>
      <c r="I437" s="60">
        <v>1466.42</v>
      </c>
      <c r="J437" s="60">
        <v>1451.48</v>
      </c>
      <c r="K437" s="60">
        <v>0</v>
      </c>
      <c r="L437" s="60">
        <v>0</v>
      </c>
      <c r="M437" s="60">
        <v>0</v>
      </c>
      <c r="N437" s="60">
        <v>0</v>
      </c>
      <c r="O437" s="60">
        <v>0</v>
      </c>
      <c r="P437" s="60">
        <v>0</v>
      </c>
      <c r="Q437" s="60">
        <v>0</v>
      </c>
      <c r="R437" s="60">
        <v>0</v>
      </c>
      <c r="S437" s="60">
        <v>0</v>
      </c>
      <c r="T437" s="60">
        <v>0</v>
      </c>
      <c r="U437" s="60">
        <v>0</v>
      </c>
      <c r="V437" s="60">
        <v>0</v>
      </c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0">
        <v>0</v>
      </c>
      <c r="AD437" s="60">
        <v>0</v>
      </c>
      <c r="AE437" s="60">
        <v>0</v>
      </c>
      <c r="AF437" s="60">
        <v>0</v>
      </c>
      <c r="AG437" s="60">
        <v>0</v>
      </c>
      <c r="AH437" s="60">
        <v>0</v>
      </c>
      <c r="AI437" s="60">
        <v>1458.75</v>
      </c>
      <c r="AJ437" s="60">
        <v>1466.42</v>
      </c>
      <c r="AK437" s="60">
        <v>1451.48</v>
      </c>
      <c r="AL437" s="60">
        <v>0</v>
      </c>
      <c r="AM437" s="60">
        <v>0</v>
      </c>
      <c r="AN437" s="60">
        <v>0</v>
      </c>
      <c r="AO437" s="60">
        <v>1458.75</v>
      </c>
      <c r="AP437" s="60">
        <v>1466.42</v>
      </c>
      <c r="AQ437" s="60">
        <v>1451.48</v>
      </c>
      <c r="AR437" s="61">
        <v>1466.42</v>
      </c>
    </row>
    <row r="438" spans="1:44" x14ac:dyDescent="0.35">
      <c r="A438" s="49" t="str">
        <f t="shared" si="33"/>
        <v>10</v>
      </c>
      <c r="B438" s="27">
        <v>61994</v>
      </c>
      <c r="C438" s="25" t="str">
        <f t="shared" si="34"/>
        <v>0000000</v>
      </c>
      <c r="D438" s="26" t="s">
        <v>3663</v>
      </c>
      <c r="E438" s="25" t="s">
        <v>407</v>
      </c>
      <c r="F438" s="25" t="s">
        <v>387</v>
      </c>
      <c r="G438" s="59" t="s">
        <v>408</v>
      </c>
      <c r="H438" s="60">
        <v>0</v>
      </c>
      <c r="I438" s="60">
        <v>0</v>
      </c>
      <c r="J438" s="60">
        <v>0</v>
      </c>
      <c r="K438" s="60">
        <v>0</v>
      </c>
      <c r="L438" s="60">
        <v>0</v>
      </c>
      <c r="M438" s="60">
        <v>0</v>
      </c>
      <c r="N438" s="60">
        <v>0</v>
      </c>
      <c r="O438" s="60">
        <v>0</v>
      </c>
      <c r="P438" s="60">
        <v>0</v>
      </c>
      <c r="Q438" s="60">
        <v>0</v>
      </c>
      <c r="R438" s="60">
        <v>0</v>
      </c>
      <c r="S438" s="60">
        <v>0</v>
      </c>
      <c r="T438" s="60">
        <v>0</v>
      </c>
      <c r="U438" s="60">
        <v>0</v>
      </c>
      <c r="V438" s="60">
        <v>0</v>
      </c>
      <c r="W438" s="60">
        <v>0</v>
      </c>
      <c r="X438" s="60">
        <v>0</v>
      </c>
      <c r="Y438" s="60">
        <v>0</v>
      </c>
      <c r="Z438" s="60">
        <v>0</v>
      </c>
      <c r="AA438" s="60">
        <v>0</v>
      </c>
      <c r="AB438" s="60">
        <v>0</v>
      </c>
      <c r="AC438" s="60">
        <v>169.47</v>
      </c>
      <c r="AD438" s="60">
        <v>168.95</v>
      </c>
      <c r="AE438" s="60">
        <v>167.05</v>
      </c>
      <c r="AF438" s="60">
        <v>0</v>
      </c>
      <c r="AG438" s="60">
        <v>0</v>
      </c>
      <c r="AH438" s="60">
        <v>0</v>
      </c>
      <c r="AI438" s="60">
        <v>169.47</v>
      </c>
      <c r="AJ438" s="60">
        <v>168.95</v>
      </c>
      <c r="AK438" s="60">
        <v>167.05</v>
      </c>
      <c r="AL438" s="60">
        <v>0</v>
      </c>
      <c r="AM438" s="60">
        <v>0</v>
      </c>
      <c r="AN438" s="60">
        <v>0</v>
      </c>
      <c r="AO438" s="60">
        <v>169.47</v>
      </c>
      <c r="AP438" s="60">
        <v>168.95</v>
      </c>
      <c r="AQ438" s="60">
        <v>167.05</v>
      </c>
      <c r="AR438" s="61">
        <v>169.47</v>
      </c>
    </row>
    <row r="439" spans="1:44" x14ac:dyDescent="0.35">
      <c r="A439" s="49" t="str">
        <f t="shared" si="33"/>
        <v>10</v>
      </c>
      <c r="B439" s="27">
        <v>62042</v>
      </c>
      <c r="C439" s="25" t="str">
        <f t="shared" si="34"/>
        <v>0000000</v>
      </c>
      <c r="D439" s="26" t="s">
        <v>3663</v>
      </c>
      <c r="E439" s="25" t="s">
        <v>411</v>
      </c>
      <c r="F439" s="25" t="s">
        <v>387</v>
      </c>
      <c r="G439" s="59" t="s">
        <v>412</v>
      </c>
      <c r="H439" s="60">
        <v>94.87</v>
      </c>
      <c r="I439" s="60">
        <v>116.91</v>
      </c>
      <c r="J439" s="60">
        <v>117.95</v>
      </c>
      <c r="K439" s="60">
        <v>0</v>
      </c>
      <c r="L439" s="60">
        <v>0</v>
      </c>
      <c r="M439" s="60">
        <v>0</v>
      </c>
      <c r="N439" s="60">
        <v>0</v>
      </c>
      <c r="O439" s="60">
        <v>0</v>
      </c>
      <c r="P439" s="60">
        <v>0</v>
      </c>
      <c r="Q439" s="60">
        <v>0</v>
      </c>
      <c r="R439" s="60">
        <v>0</v>
      </c>
      <c r="S439" s="60">
        <v>0</v>
      </c>
      <c r="T439" s="60">
        <v>0</v>
      </c>
      <c r="U439" s="60">
        <v>0</v>
      </c>
      <c r="V439" s="60">
        <v>0</v>
      </c>
      <c r="W439" s="60">
        <v>0</v>
      </c>
      <c r="X439" s="60">
        <v>0</v>
      </c>
      <c r="Y439" s="60">
        <v>0</v>
      </c>
      <c r="Z439" s="60">
        <v>0</v>
      </c>
      <c r="AA439" s="60">
        <v>0</v>
      </c>
      <c r="AB439" s="60">
        <v>0</v>
      </c>
      <c r="AC439" s="60">
        <v>0</v>
      </c>
      <c r="AD439" s="60">
        <v>0</v>
      </c>
      <c r="AE439" s="60">
        <v>0</v>
      </c>
      <c r="AF439" s="60">
        <v>0</v>
      </c>
      <c r="AG439" s="60">
        <v>0</v>
      </c>
      <c r="AH439" s="60">
        <v>0</v>
      </c>
      <c r="AI439" s="60">
        <v>94.87</v>
      </c>
      <c r="AJ439" s="60">
        <v>116.91</v>
      </c>
      <c r="AK439" s="60">
        <v>117.95</v>
      </c>
      <c r="AL439" s="60">
        <v>0</v>
      </c>
      <c r="AM439" s="60">
        <v>0</v>
      </c>
      <c r="AN439" s="60">
        <v>0</v>
      </c>
      <c r="AO439" s="60">
        <v>94.87</v>
      </c>
      <c r="AP439" s="60">
        <v>116.91</v>
      </c>
      <c r="AQ439" s="60">
        <v>117.95</v>
      </c>
      <c r="AR439" s="61">
        <v>117.95</v>
      </c>
    </row>
    <row r="440" spans="1:44" x14ac:dyDescent="0.35">
      <c r="A440" s="49" t="str">
        <f t="shared" si="33"/>
        <v>10</v>
      </c>
      <c r="B440" s="27">
        <v>62109</v>
      </c>
      <c r="C440" s="25" t="str">
        <f t="shared" si="34"/>
        <v>0000000</v>
      </c>
      <c r="D440" s="26" t="s">
        <v>3663</v>
      </c>
      <c r="E440" s="25" t="s">
        <v>413</v>
      </c>
      <c r="F440" s="25" t="s">
        <v>387</v>
      </c>
      <c r="G440" s="59" t="s">
        <v>414</v>
      </c>
      <c r="H440" s="60">
        <v>234.59</v>
      </c>
      <c r="I440" s="60">
        <v>234.05</v>
      </c>
      <c r="J440" s="60">
        <v>239.73</v>
      </c>
      <c r="K440" s="60">
        <v>0</v>
      </c>
      <c r="L440" s="60">
        <v>0</v>
      </c>
      <c r="M440" s="60">
        <v>0</v>
      </c>
      <c r="N440" s="60">
        <v>0</v>
      </c>
      <c r="O440" s="60">
        <v>0</v>
      </c>
      <c r="P440" s="60">
        <v>0</v>
      </c>
      <c r="Q440" s="60">
        <v>0</v>
      </c>
      <c r="R440" s="60">
        <v>0</v>
      </c>
      <c r="S440" s="60">
        <v>0</v>
      </c>
      <c r="T440" s="60">
        <v>0</v>
      </c>
      <c r="U440" s="60">
        <v>0</v>
      </c>
      <c r="V440" s="60">
        <v>0</v>
      </c>
      <c r="W440" s="60">
        <v>0</v>
      </c>
      <c r="X440" s="60">
        <v>0</v>
      </c>
      <c r="Y440" s="60">
        <v>0</v>
      </c>
      <c r="Z440" s="60">
        <v>0</v>
      </c>
      <c r="AA440" s="60">
        <v>0</v>
      </c>
      <c r="AB440" s="60">
        <v>0</v>
      </c>
      <c r="AC440" s="60">
        <v>0</v>
      </c>
      <c r="AD440" s="60">
        <v>0</v>
      </c>
      <c r="AE440" s="60">
        <v>0</v>
      </c>
      <c r="AF440" s="60">
        <v>0</v>
      </c>
      <c r="AG440" s="60">
        <v>0</v>
      </c>
      <c r="AH440" s="60">
        <v>0</v>
      </c>
      <c r="AI440" s="60">
        <v>234.59</v>
      </c>
      <c r="AJ440" s="60">
        <v>234.05</v>
      </c>
      <c r="AK440" s="60">
        <v>239.73</v>
      </c>
      <c r="AL440" s="60">
        <v>0</v>
      </c>
      <c r="AM440" s="60">
        <v>0</v>
      </c>
      <c r="AN440" s="60">
        <v>0</v>
      </c>
      <c r="AO440" s="60">
        <v>234.59</v>
      </c>
      <c r="AP440" s="60">
        <v>234.05</v>
      </c>
      <c r="AQ440" s="60">
        <v>239.73</v>
      </c>
      <c r="AR440" s="61">
        <v>239.73</v>
      </c>
    </row>
    <row r="441" spans="1:44" x14ac:dyDescent="0.35">
      <c r="A441" s="49" t="str">
        <f t="shared" si="33"/>
        <v>10</v>
      </c>
      <c r="B441" s="27">
        <v>62323</v>
      </c>
      <c r="C441" s="25" t="str">
        <f t="shared" si="34"/>
        <v>0000000</v>
      </c>
      <c r="D441" s="26" t="s">
        <v>3663</v>
      </c>
      <c r="E441" s="25" t="s">
        <v>448</v>
      </c>
      <c r="F441" s="25" t="s">
        <v>387</v>
      </c>
      <c r="G441" s="59" t="s">
        <v>449</v>
      </c>
      <c r="H441" s="60">
        <v>140.81</v>
      </c>
      <c r="I441" s="60">
        <v>148.24</v>
      </c>
      <c r="J441" s="60">
        <v>129.82</v>
      </c>
      <c r="K441" s="60">
        <v>0</v>
      </c>
      <c r="L441" s="60">
        <v>0</v>
      </c>
      <c r="M441" s="60">
        <v>0</v>
      </c>
      <c r="N441" s="60">
        <v>0</v>
      </c>
      <c r="O441" s="60">
        <v>0</v>
      </c>
      <c r="P441" s="60">
        <v>0</v>
      </c>
      <c r="Q441" s="60">
        <v>0</v>
      </c>
      <c r="R441" s="60">
        <v>0</v>
      </c>
      <c r="S441" s="60">
        <v>0</v>
      </c>
      <c r="T441" s="60">
        <v>0</v>
      </c>
      <c r="U441" s="60">
        <v>0</v>
      </c>
      <c r="V441" s="60">
        <v>0</v>
      </c>
      <c r="W441" s="60">
        <v>0</v>
      </c>
      <c r="X441" s="60">
        <v>0</v>
      </c>
      <c r="Y441" s="60">
        <v>0</v>
      </c>
      <c r="Z441" s="60">
        <v>0</v>
      </c>
      <c r="AA441" s="60">
        <v>0</v>
      </c>
      <c r="AB441" s="60">
        <v>0</v>
      </c>
      <c r="AC441" s="60">
        <v>0</v>
      </c>
      <c r="AD441" s="60">
        <v>0</v>
      </c>
      <c r="AE441" s="60">
        <v>0</v>
      </c>
      <c r="AF441" s="60">
        <v>0</v>
      </c>
      <c r="AG441" s="60">
        <v>0</v>
      </c>
      <c r="AH441" s="60">
        <v>0</v>
      </c>
      <c r="AI441" s="60">
        <v>140.81</v>
      </c>
      <c r="AJ441" s="60">
        <v>148.24</v>
      </c>
      <c r="AK441" s="60">
        <v>129.82</v>
      </c>
      <c r="AL441" s="60">
        <v>0</v>
      </c>
      <c r="AM441" s="60">
        <v>0</v>
      </c>
      <c r="AN441" s="60">
        <v>0</v>
      </c>
      <c r="AO441" s="60">
        <v>140.81</v>
      </c>
      <c r="AP441" s="60">
        <v>148.24</v>
      </c>
      <c r="AQ441" s="60">
        <v>129.82</v>
      </c>
      <c r="AR441" s="61">
        <v>148.24</v>
      </c>
    </row>
    <row r="442" spans="1:44" x14ac:dyDescent="0.35">
      <c r="A442" s="49" t="str">
        <f t="shared" si="33"/>
        <v>10</v>
      </c>
      <c r="B442" s="27">
        <v>62372</v>
      </c>
      <c r="C442" s="25" t="str">
        <f t="shared" si="34"/>
        <v>0000000</v>
      </c>
      <c r="D442" s="26" t="s">
        <v>3663</v>
      </c>
      <c r="E442" s="25" t="s">
        <v>458</v>
      </c>
      <c r="F442" s="25" t="s">
        <v>387</v>
      </c>
      <c r="G442" s="59" t="s">
        <v>459</v>
      </c>
      <c r="H442" s="60">
        <v>38.380000000000003</v>
      </c>
      <c r="I442" s="60">
        <v>40.53</v>
      </c>
      <c r="J442" s="60">
        <v>50.35</v>
      </c>
      <c r="K442" s="60">
        <v>0</v>
      </c>
      <c r="L442" s="60">
        <v>0</v>
      </c>
      <c r="M442" s="60">
        <v>0</v>
      </c>
      <c r="N442" s="60">
        <v>25.62</v>
      </c>
      <c r="O442" s="60">
        <v>22.02</v>
      </c>
      <c r="P442" s="60">
        <v>27.11</v>
      </c>
      <c r="Q442" s="60">
        <v>0</v>
      </c>
      <c r="R442" s="60">
        <v>0</v>
      </c>
      <c r="S442" s="60">
        <v>0</v>
      </c>
      <c r="T442" s="60">
        <v>0</v>
      </c>
      <c r="U442" s="60">
        <v>0</v>
      </c>
      <c r="V442" s="60">
        <v>0</v>
      </c>
      <c r="W442" s="60">
        <v>0</v>
      </c>
      <c r="X442" s="60">
        <v>0</v>
      </c>
      <c r="Y442" s="60">
        <v>0</v>
      </c>
      <c r="Z442" s="60">
        <v>0</v>
      </c>
      <c r="AA442" s="60">
        <v>0</v>
      </c>
      <c r="AB442" s="60">
        <v>0</v>
      </c>
      <c r="AC442" s="60">
        <v>0</v>
      </c>
      <c r="AD442" s="60">
        <v>0</v>
      </c>
      <c r="AE442" s="60">
        <v>0</v>
      </c>
      <c r="AF442" s="60">
        <v>0</v>
      </c>
      <c r="AG442" s="60">
        <v>0</v>
      </c>
      <c r="AH442" s="60">
        <v>0</v>
      </c>
      <c r="AI442" s="60">
        <v>64</v>
      </c>
      <c r="AJ442" s="60">
        <v>62.55</v>
      </c>
      <c r="AK442" s="60">
        <v>77.459999999999994</v>
      </c>
      <c r="AL442" s="60">
        <v>0</v>
      </c>
      <c r="AM442" s="60">
        <v>0</v>
      </c>
      <c r="AN442" s="60">
        <v>0</v>
      </c>
      <c r="AO442" s="60">
        <v>64</v>
      </c>
      <c r="AP442" s="60">
        <v>62.55</v>
      </c>
      <c r="AQ442" s="60">
        <v>77.459999999999994</v>
      </c>
      <c r="AR442" s="61">
        <v>77.459999999999994</v>
      </c>
    </row>
    <row r="443" spans="1:44" x14ac:dyDescent="0.35">
      <c r="A443" s="49" t="str">
        <f t="shared" si="33"/>
        <v>10</v>
      </c>
      <c r="B443" s="27">
        <v>62513</v>
      </c>
      <c r="C443" s="25" t="str">
        <f t="shared" si="34"/>
        <v>0000000</v>
      </c>
      <c r="D443" s="26" t="s">
        <v>3663</v>
      </c>
      <c r="E443" s="25" t="s">
        <v>468</v>
      </c>
      <c r="F443" s="25" t="s">
        <v>387</v>
      </c>
      <c r="G443" s="59" t="s">
        <v>469</v>
      </c>
      <c r="H443" s="60">
        <v>403.3</v>
      </c>
      <c r="I443" s="60">
        <v>418.45</v>
      </c>
      <c r="J443" s="60">
        <v>415.58</v>
      </c>
      <c r="K443" s="60">
        <v>0</v>
      </c>
      <c r="L443" s="60">
        <v>0</v>
      </c>
      <c r="M443" s="60">
        <v>0</v>
      </c>
      <c r="N443" s="60">
        <v>0</v>
      </c>
      <c r="O443" s="60">
        <v>0</v>
      </c>
      <c r="P443" s="60">
        <v>0</v>
      </c>
      <c r="Q443" s="60">
        <v>0</v>
      </c>
      <c r="R443" s="60">
        <v>0</v>
      </c>
      <c r="S443" s="60">
        <v>0</v>
      </c>
      <c r="T443" s="60">
        <v>0</v>
      </c>
      <c r="U443" s="60">
        <v>0</v>
      </c>
      <c r="V443" s="60">
        <v>0</v>
      </c>
      <c r="W443" s="60">
        <v>0</v>
      </c>
      <c r="X443" s="60">
        <v>0</v>
      </c>
      <c r="Y443" s="60">
        <v>0</v>
      </c>
      <c r="Z443" s="60">
        <v>0</v>
      </c>
      <c r="AA443" s="60">
        <v>0</v>
      </c>
      <c r="AB443" s="60">
        <v>0</v>
      </c>
      <c r="AC443" s="60">
        <v>0</v>
      </c>
      <c r="AD443" s="60">
        <v>0</v>
      </c>
      <c r="AE443" s="60">
        <v>0</v>
      </c>
      <c r="AF443" s="60">
        <v>0</v>
      </c>
      <c r="AG443" s="60">
        <v>0</v>
      </c>
      <c r="AH443" s="60">
        <v>0</v>
      </c>
      <c r="AI443" s="60">
        <v>403.3</v>
      </c>
      <c r="AJ443" s="60">
        <v>418.45</v>
      </c>
      <c r="AK443" s="60">
        <v>415.58</v>
      </c>
      <c r="AL443" s="60">
        <v>0</v>
      </c>
      <c r="AM443" s="60">
        <v>0</v>
      </c>
      <c r="AN443" s="60">
        <v>0</v>
      </c>
      <c r="AO443" s="60">
        <v>403.3</v>
      </c>
      <c r="AP443" s="60">
        <v>418.45</v>
      </c>
      <c r="AQ443" s="60">
        <v>415.58</v>
      </c>
      <c r="AR443" s="61">
        <v>418.45</v>
      </c>
    </row>
    <row r="444" spans="1:44" x14ac:dyDescent="0.35">
      <c r="A444" s="49" t="str">
        <f t="shared" si="33"/>
        <v>10</v>
      </c>
      <c r="B444" s="27">
        <v>76778</v>
      </c>
      <c r="C444" s="25" t="str">
        <f t="shared" si="34"/>
        <v>0000000</v>
      </c>
      <c r="D444" s="26" t="s">
        <v>3663</v>
      </c>
      <c r="E444" s="25" t="s">
        <v>494</v>
      </c>
      <c r="F444" s="25" t="s">
        <v>387</v>
      </c>
      <c r="G444" s="59" t="s">
        <v>495</v>
      </c>
      <c r="H444" s="60">
        <v>2238.52</v>
      </c>
      <c r="I444" s="60">
        <v>2333.9699999999998</v>
      </c>
      <c r="J444" s="60">
        <v>2245.4</v>
      </c>
      <c r="K444" s="60">
        <v>0</v>
      </c>
      <c r="L444" s="60">
        <v>0</v>
      </c>
      <c r="M444" s="60">
        <v>0</v>
      </c>
      <c r="N444" s="60">
        <v>0</v>
      </c>
      <c r="O444" s="60">
        <v>0</v>
      </c>
      <c r="P444" s="60">
        <v>0</v>
      </c>
      <c r="Q444" s="60">
        <v>0</v>
      </c>
      <c r="R444" s="60">
        <v>0</v>
      </c>
      <c r="S444" s="60">
        <v>0</v>
      </c>
      <c r="T444" s="60">
        <v>0</v>
      </c>
      <c r="U444" s="60">
        <v>0</v>
      </c>
      <c r="V444" s="60">
        <v>0</v>
      </c>
      <c r="W444" s="60">
        <v>0</v>
      </c>
      <c r="X444" s="60">
        <v>0</v>
      </c>
      <c r="Y444" s="60">
        <v>0</v>
      </c>
      <c r="Z444" s="60">
        <v>0</v>
      </c>
      <c r="AA444" s="60">
        <v>0</v>
      </c>
      <c r="AB444" s="60">
        <v>0</v>
      </c>
      <c r="AC444" s="60">
        <v>286.92</v>
      </c>
      <c r="AD444" s="60">
        <v>302.06</v>
      </c>
      <c r="AE444" s="60">
        <v>325.62</v>
      </c>
      <c r="AF444" s="60">
        <v>0</v>
      </c>
      <c r="AG444" s="60">
        <v>0</v>
      </c>
      <c r="AH444" s="60">
        <v>0</v>
      </c>
      <c r="AI444" s="60">
        <v>2525.44</v>
      </c>
      <c r="AJ444" s="60">
        <v>2636.03</v>
      </c>
      <c r="AK444" s="60">
        <v>2571.02</v>
      </c>
      <c r="AL444" s="60">
        <v>0</v>
      </c>
      <c r="AM444" s="60">
        <v>0</v>
      </c>
      <c r="AN444" s="60">
        <v>0</v>
      </c>
      <c r="AO444" s="60">
        <v>2525.44</v>
      </c>
      <c r="AP444" s="60">
        <v>2636.03</v>
      </c>
      <c r="AQ444" s="60">
        <v>2571.02</v>
      </c>
      <c r="AR444" s="61">
        <v>2636.03</v>
      </c>
    </row>
    <row r="445" spans="1:44" x14ac:dyDescent="0.35">
      <c r="A445" s="49" t="str">
        <f t="shared" ref="A445:A451" si="35">TEXT(14,"00")</f>
        <v>14</v>
      </c>
      <c r="B445" s="27">
        <v>10140</v>
      </c>
      <c r="C445" s="25" t="str">
        <f t="shared" si="34"/>
        <v>0000000</v>
      </c>
      <c r="D445" s="26" t="s">
        <v>3663</v>
      </c>
      <c r="E445" s="25" t="s">
        <v>625</v>
      </c>
      <c r="F445" s="25" t="s">
        <v>626</v>
      </c>
      <c r="G445" s="59" t="s">
        <v>626</v>
      </c>
      <c r="H445" s="60">
        <v>0</v>
      </c>
      <c r="I445" s="60">
        <v>0</v>
      </c>
      <c r="J445" s="60">
        <v>0</v>
      </c>
      <c r="K445" s="60">
        <v>0</v>
      </c>
      <c r="L445" s="60">
        <v>0</v>
      </c>
      <c r="M445" s="60">
        <v>0</v>
      </c>
      <c r="N445" s="60">
        <v>0</v>
      </c>
      <c r="O445" s="60">
        <v>0</v>
      </c>
      <c r="P445" s="60">
        <v>0</v>
      </c>
      <c r="Q445" s="60">
        <v>0</v>
      </c>
      <c r="R445" s="60">
        <v>0</v>
      </c>
      <c r="S445" s="60">
        <v>0</v>
      </c>
      <c r="T445" s="60">
        <v>3.65</v>
      </c>
      <c r="U445" s="60">
        <v>3.55</v>
      </c>
      <c r="V445" s="60">
        <v>4.76</v>
      </c>
      <c r="W445" s="60">
        <v>1.03</v>
      </c>
      <c r="X445" s="60">
        <v>0.14000000000000001</v>
      </c>
      <c r="Y445" s="60">
        <v>0.4</v>
      </c>
      <c r="Z445" s="60">
        <v>1039.79</v>
      </c>
      <c r="AA445" s="60">
        <v>831.78</v>
      </c>
      <c r="AB445" s="60">
        <v>679.43</v>
      </c>
      <c r="AC445" s="60">
        <v>0</v>
      </c>
      <c r="AD445" s="60">
        <v>0</v>
      </c>
      <c r="AE445" s="60">
        <v>0</v>
      </c>
      <c r="AF445" s="60">
        <v>0</v>
      </c>
      <c r="AG445" s="60">
        <v>0</v>
      </c>
      <c r="AH445" s="60">
        <v>0</v>
      </c>
      <c r="AI445" s="60">
        <v>1044.47</v>
      </c>
      <c r="AJ445" s="60">
        <v>835.47</v>
      </c>
      <c r="AK445" s="60">
        <v>684.59</v>
      </c>
      <c r="AL445" s="60">
        <v>0</v>
      </c>
      <c r="AM445" s="60">
        <v>0</v>
      </c>
      <c r="AN445" s="60">
        <v>0</v>
      </c>
      <c r="AO445" s="60">
        <v>1044.47</v>
      </c>
      <c r="AP445" s="60">
        <v>835.47</v>
      </c>
      <c r="AQ445" s="60">
        <v>684.59</v>
      </c>
      <c r="AR445" s="61">
        <v>1044.47</v>
      </c>
    </row>
    <row r="446" spans="1:44" x14ac:dyDescent="0.35">
      <c r="A446" s="49" t="str">
        <f t="shared" si="35"/>
        <v>14</v>
      </c>
      <c r="B446" s="27">
        <v>63271</v>
      </c>
      <c r="C446" s="25" t="str">
        <f t="shared" si="34"/>
        <v>0000000</v>
      </c>
      <c r="D446" s="26" t="s">
        <v>3663</v>
      </c>
      <c r="E446" s="25" t="s">
        <v>629</v>
      </c>
      <c r="F446" s="25" t="s">
        <v>626</v>
      </c>
      <c r="G446" s="59" t="s">
        <v>630</v>
      </c>
      <c r="H446" s="60">
        <v>15.61</v>
      </c>
      <c r="I446" s="60">
        <v>19.14</v>
      </c>
      <c r="J446" s="60">
        <v>23.66</v>
      </c>
      <c r="K446" s="60">
        <v>0</v>
      </c>
      <c r="L446" s="60">
        <v>0</v>
      </c>
      <c r="M446" s="60">
        <v>0</v>
      </c>
      <c r="N446" s="60">
        <v>0</v>
      </c>
      <c r="O446" s="60">
        <v>0</v>
      </c>
      <c r="P446" s="60">
        <v>0</v>
      </c>
      <c r="Q446" s="60">
        <v>0</v>
      </c>
      <c r="R446" s="60">
        <v>0</v>
      </c>
      <c r="S446" s="60">
        <v>0</v>
      </c>
      <c r="T446" s="60">
        <v>0</v>
      </c>
      <c r="U446" s="60">
        <v>0</v>
      </c>
      <c r="V446" s="60">
        <v>0</v>
      </c>
      <c r="W446" s="60">
        <v>0</v>
      </c>
      <c r="X446" s="60">
        <v>0</v>
      </c>
      <c r="Y446" s="60">
        <v>0</v>
      </c>
      <c r="Z446" s="60">
        <v>0</v>
      </c>
      <c r="AA446" s="60">
        <v>0</v>
      </c>
      <c r="AB446" s="60">
        <v>0</v>
      </c>
      <c r="AC446" s="60">
        <v>0</v>
      </c>
      <c r="AD446" s="60">
        <v>0</v>
      </c>
      <c r="AE446" s="60">
        <v>0</v>
      </c>
      <c r="AF446" s="60">
        <v>0</v>
      </c>
      <c r="AG446" s="60">
        <v>0</v>
      </c>
      <c r="AH446" s="60">
        <v>0</v>
      </c>
      <c r="AI446" s="60">
        <v>15.61</v>
      </c>
      <c r="AJ446" s="60">
        <v>19.14</v>
      </c>
      <c r="AK446" s="60">
        <v>23.66</v>
      </c>
      <c r="AL446" s="60">
        <v>0</v>
      </c>
      <c r="AM446" s="60">
        <v>0</v>
      </c>
      <c r="AN446" s="60">
        <v>0</v>
      </c>
      <c r="AO446" s="60">
        <v>15.61</v>
      </c>
      <c r="AP446" s="60">
        <v>19.14</v>
      </c>
      <c r="AQ446" s="60">
        <v>23.66</v>
      </c>
      <c r="AR446" s="61">
        <v>23.66</v>
      </c>
    </row>
    <row r="447" spans="1:44" x14ac:dyDescent="0.35">
      <c r="A447" s="49" t="str">
        <f t="shared" si="35"/>
        <v>14</v>
      </c>
      <c r="B447" s="27">
        <v>63289</v>
      </c>
      <c r="C447" s="25" t="str">
        <f t="shared" si="34"/>
        <v>0000000</v>
      </c>
      <c r="D447" s="26" t="s">
        <v>3663</v>
      </c>
      <c r="E447" s="25" t="s">
        <v>631</v>
      </c>
      <c r="F447" s="25" t="s">
        <v>626</v>
      </c>
      <c r="G447" s="59" t="s">
        <v>632</v>
      </c>
      <c r="H447" s="60">
        <v>271.7</v>
      </c>
      <c r="I447" s="60">
        <v>292.82</v>
      </c>
      <c r="J447" s="60">
        <v>302.19</v>
      </c>
      <c r="K447" s="60">
        <v>0</v>
      </c>
      <c r="L447" s="60">
        <v>0</v>
      </c>
      <c r="M447" s="60">
        <v>0</v>
      </c>
      <c r="N447" s="60">
        <v>0</v>
      </c>
      <c r="O447" s="60">
        <v>0</v>
      </c>
      <c r="P447" s="60">
        <v>0</v>
      </c>
      <c r="Q447" s="60">
        <v>0</v>
      </c>
      <c r="R447" s="60">
        <v>0</v>
      </c>
      <c r="S447" s="60">
        <v>0</v>
      </c>
      <c r="T447" s="60">
        <v>0</v>
      </c>
      <c r="U447" s="60">
        <v>0</v>
      </c>
      <c r="V447" s="60">
        <v>0</v>
      </c>
      <c r="W447" s="60">
        <v>0</v>
      </c>
      <c r="X447" s="60">
        <v>0</v>
      </c>
      <c r="Y447" s="60">
        <v>0</v>
      </c>
      <c r="Z447" s="60">
        <v>0</v>
      </c>
      <c r="AA447" s="60">
        <v>0</v>
      </c>
      <c r="AB447" s="60">
        <v>0</v>
      </c>
      <c r="AC447" s="60">
        <v>0</v>
      </c>
      <c r="AD447" s="60">
        <v>0</v>
      </c>
      <c r="AE447" s="60">
        <v>0</v>
      </c>
      <c r="AF447" s="60">
        <v>0</v>
      </c>
      <c r="AG447" s="60">
        <v>0</v>
      </c>
      <c r="AH447" s="60">
        <v>0</v>
      </c>
      <c r="AI447" s="60">
        <v>271.7</v>
      </c>
      <c r="AJ447" s="60">
        <v>292.82</v>
      </c>
      <c r="AK447" s="60">
        <v>302.19</v>
      </c>
      <c r="AL447" s="60">
        <v>0</v>
      </c>
      <c r="AM447" s="60">
        <v>0</v>
      </c>
      <c r="AN447" s="60">
        <v>0</v>
      </c>
      <c r="AO447" s="60">
        <v>271.7</v>
      </c>
      <c r="AP447" s="60">
        <v>292.82</v>
      </c>
      <c r="AQ447" s="60">
        <v>302.19</v>
      </c>
      <c r="AR447" s="61">
        <v>302.19</v>
      </c>
    </row>
    <row r="448" spans="1:44" x14ac:dyDescent="0.35">
      <c r="A448" s="49" t="str">
        <f t="shared" si="35"/>
        <v>14</v>
      </c>
      <c r="B448" s="27">
        <v>63297</v>
      </c>
      <c r="C448" s="25" t="str">
        <f t="shared" si="34"/>
        <v>0000000</v>
      </c>
      <c r="D448" s="26" t="s">
        <v>3663</v>
      </c>
      <c r="E448" s="25" t="s">
        <v>633</v>
      </c>
      <c r="F448" s="25" t="s">
        <v>626</v>
      </c>
      <c r="G448" s="59" t="s">
        <v>634</v>
      </c>
      <c r="H448" s="60">
        <v>96.29</v>
      </c>
      <c r="I448" s="60">
        <v>83.93</v>
      </c>
      <c r="J448" s="60">
        <v>68.900000000000006</v>
      </c>
      <c r="K448" s="60">
        <v>0</v>
      </c>
      <c r="L448" s="60">
        <v>0</v>
      </c>
      <c r="M448" s="60">
        <v>0</v>
      </c>
      <c r="N448" s="60">
        <v>0</v>
      </c>
      <c r="O448" s="60">
        <v>0</v>
      </c>
      <c r="P448" s="60">
        <v>0</v>
      </c>
      <c r="Q448" s="60">
        <v>0</v>
      </c>
      <c r="R448" s="60">
        <v>0</v>
      </c>
      <c r="S448" s="60">
        <v>0</v>
      </c>
      <c r="T448" s="60">
        <v>0</v>
      </c>
      <c r="U448" s="60">
        <v>0</v>
      </c>
      <c r="V448" s="60">
        <v>0</v>
      </c>
      <c r="W448" s="60">
        <v>0</v>
      </c>
      <c r="X448" s="60">
        <v>0</v>
      </c>
      <c r="Y448" s="60">
        <v>0</v>
      </c>
      <c r="Z448" s="60">
        <v>0</v>
      </c>
      <c r="AA448" s="60">
        <v>0</v>
      </c>
      <c r="AB448" s="60">
        <v>0</v>
      </c>
      <c r="AC448" s="60">
        <v>0</v>
      </c>
      <c r="AD448" s="60">
        <v>0</v>
      </c>
      <c r="AE448" s="60">
        <v>0</v>
      </c>
      <c r="AF448" s="60">
        <v>0</v>
      </c>
      <c r="AG448" s="60">
        <v>0</v>
      </c>
      <c r="AH448" s="60">
        <v>0</v>
      </c>
      <c r="AI448" s="60">
        <v>96.29</v>
      </c>
      <c r="AJ448" s="60">
        <v>83.93</v>
      </c>
      <c r="AK448" s="60">
        <v>68.900000000000006</v>
      </c>
      <c r="AL448" s="60">
        <v>0</v>
      </c>
      <c r="AM448" s="60">
        <v>0</v>
      </c>
      <c r="AN448" s="60">
        <v>0</v>
      </c>
      <c r="AO448" s="60">
        <v>96.29</v>
      </c>
      <c r="AP448" s="60">
        <v>83.93</v>
      </c>
      <c r="AQ448" s="60">
        <v>68.900000000000006</v>
      </c>
      <c r="AR448" s="61">
        <v>96.29</v>
      </c>
    </row>
    <row r="449" spans="1:44" x14ac:dyDescent="0.35">
      <c r="A449" s="49" t="str">
        <f t="shared" si="35"/>
        <v>14</v>
      </c>
      <c r="B449" s="27">
        <v>63248</v>
      </c>
      <c r="C449" s="25" t="str">
        <f t="shared" si="34"/>
        <v>0000000</v>
      </c>
      <c r="D449" s="26" t="s">
        <v>3663</v>
      </c>
      <c r="E449" s="25" t="s">
        <v>627</v>
      </c>
      <c r="F449" s="25" t="s">
        <v>626</v>
      </c>
      <c r="G449" s="59" t="s">
        <v>628</v>
      </c>
      <c r="H449" s="60">
        <v>131.63999999999999</v>
      </c>
      <c r="I449" s="60">
        <v>139.01</v>
      </c>
      <c r="J449" s="60">
        <v>135.88</v>
      </c>
      <c r="K449" s="60">
        <v>0</v>
      </c>
      <c r="L449" s="60">
        <v>0</v>
      </c>
      <c r="M449" s="60">
        <v>0</v>
      </c>
      <c r="N449" s="60">
        <v>0</v>
      </c>
      <c r="O449" s="60">
        <v>0</v>
      </c>
      <c r="P449" s="60">
        <v>0</v>
      </c>
      <c r="Q449" s="60">
        <v>0</v>
      </c>
      <c r="R449" s="60">
        <v>0</v>
      </c>
      <c r="S449" s="60">
        <v>0</v>
      </c>
      <c r="T449" s="60">
        <v>0</v>
      </c>
      <c r="U449" s="60">
        <v>0</v>
      </c>
      <c r="V449" s="60">
        <v>0</v>
      </c>
      <c r="W449" s="60">
        <v>0</v>
      </c>
      <c r="X449" s="60">
        <v>0</v>
      </c>
      <c r="Y449" s="60">
        <v>0</v>
      </c>
      <c r="Z449" s="60">
        <v>0</v>
      </c>
      <c r="AA449" s="60">
        <v>0</v>
      </c>
      <c r="AB449" s="60">
        <v>0</v>
      </c>
      <c r="AC449" s="60">
        <v>0</v>
      </c>
      <c r="AD449" s="60">
        <v>0</v>
      </c>
      <c r="AE449" s="60">
        <v>0</v>
      </c>
      <c r="AF449" s="60">
        <v>0</v>
      </c>
      <c r="AG449" s="60">
        <v>0</v>
      </c>
      <c r="AH449" s="60">
        <v>0</v>
      </c>
      <c r="AI449" s="60">
        <v>131.63999999999999</v>
      </c>
      <c r="AJ449" s="60">
        <v>139.01</v>
      </c>
      <c r="AK449" s="60">
        <v>135.88</v>
      </c>
      <c r="AL449" s="60">
        <v>0</v>
      </c>
      <c r="AM449" s="60">
        <v>0</v>
      </c>
      <c r="AN449" s="60">
        <v>0</v>
      </c>
      <c r="AO449" s="60">
        <v>131.63999999999999</v>
      </c>
      <c r="AP449" s="60">
        <v>139.01</v>
      </c>
      <c r="AQ449" s="60">
        <v>135.88</v>
      </c>
      <c r="AR449" s="61">
        <v>139.01</v>
      </c>
    </row>
    <row r="450" spans="1:44" x14ac:dyDescent="0.35">
      <c r="A450" s="49" t="str">
        <f t="shared" si="35"/>
        <v>14</v>
      </c>
      <c r="B450" s="27">
        <v>63305</v>
      </c>
      <c r="C450" s="25" t="str">
        <f t="shared" si="34"/>
        <v>0000000</v>
      </c>
      <c r="D450" s="26" t="s">
        <v>3663</v>
      </c>
      <c r="E450" s="25" t="s">
        <v>635</v>
      </c>
      <c r="F450" s="25" t="s">
        <v>626</v>
      </c>
      <c r="G450" s="59" t="s">
        <v>636</v>
      </c>
      <c r="H450" s="60">
        <v>38.630000000000003</v>
      </c>
      <c r="I450" s="60">
        <v>37.71</v>
      </c>
      <c r="J450" s="60">
        <v>38.24</v>
      </c>
      <c r="K450" s="60">
        <v>0</v>
      </c>
      <c r="L450" s="60">
        <v>0</v>
      </c>
      <c r="M450" s="60">
        <v>0</v>
      </c>
      <c r="N450" s="60">
        <v>23.38</v>
      </c>
      <c r="O450" s="60">
        <v>20.7</v>
      </c>
      <c r="P450" s="60">
        <v>15.69</v>
      </c>
      <c r="Q450" s="60">
        <v>0</v>
      </c>
      <c r="R450" s="60">
        <v>0</v>
      </c>
      <c r="S450" s="60">
        <v>0</v>
      </c>
      <c r="T450" s="60">
        <v>0</v>
      </c>
      <c r="U450" s="60">
        <v>0</v>
      </c>
      <c r="V450" s="60">
        <v>0</v>
      </c>
      <c r="W450" s="60">
        <v>0</v>
      </c>
      <c r="X450" s="60">
        <v>0</v>
      </c>
      <c r="Y450" s="60">
        <v>0</v>
      </c>
      <c r="Z450" s="60">
        <v>0</v>
      </c>
      <c r="AA450" s="60">
        <v>0</v>
      </c>
      <c r="AB450" s="60">
        <v>0</v>
      </c>
      <c r="AC450" s="60">
        <v>0</v>
      </c>
      <c r="AD450" s="60">
        <v>0</v>
      </c>
      <c r="AE450" s="60">
        <v>0</v>
      </c>
      <c r="AF450" s="60">
        <v>0</v>
      </c>
      <c r="AG450" s="60">
        <v>0</v>
      </c>
      <c r="AH450" s="60">
        <v>0</v>
      </c>
      <c r="AI450" s="60">
        <v>62.01</v>
      </c>
      <c r="AJ450" s="60">
        <v>58.41</v>
      </c>
      <c r="AK450" s="60">
        <v>53.93</v>
      </c>
      <c r="AL450" s="60">
        <v>0</v>
      </c>
      <c r="AM450" s="60">
        <v>0</v>
      </c>
      <c r="AN450" s="60">
        <v>0</v>
      </c>
      <c r="AO450" s="60">
        <v>62.01</v>
      </c>
      <c r="AP450" s="60">
        <v>58.41</v>
      </c>
      <c r="AQ450" s="60">
        <v>53.93</v>
      </c>
      <c r="AR450" s="61">
        <v>62.01</v>
      </c>
    </row>
    <row r="451" spans="1:44" x14ac:dyDescent="0.35">
      <c r="A451" s="49" t="str">
        <f t="shared" si="35"/>
        <v>14</v>
      </c>
      <c r="B451" s="27">
        <v>76687</v>
      </c>
      <c r="C451" s="25" t="str">
        <f t="shared" si="34"/>
        <v>0000000</v>
      </c>
      <c r="D451" s="26" t="s">
        <v>3663</v>
      </c>
      <c r="E451" s="25" t="s">
        <v>637</v>
      </c>
      <c r="F451" s="25" t="s">
        <v>626</v>
      </c>
      <c r="G451" s="59" t="s">
        <v>638</v>
      </c>
      <c r="H451" s="60">
        <v>1787.53</v>
      </c>
      <c r="I451" s="60">
        <v>1766.41</v>
      </c>
      <c r="J451" s="60">
        <v>1751.52</v>
      </c>
      <c r="K451" s="60">
        <v>0</v>
      </c>
      <c r="L451" s="60">
        <v>0</v>
      </c>
      <c r="M451" s="60">
        <v>0</v>
      </c>
      <c r="N451" s="60">
        <v>0</v>
      </c>
      <c r="O451" s="60">
        <v>0</v>
      </c>
      <c r="P451" s="60">
        <v>0</v>
      </c>
      <c r="Q451" s="60">
        <v>0</v>
      </c>
      <c r="R451" s="60">
        <v>0</v>
      </c>
      <c r="S451" s="60">
        <v>0</v>
      </c>
      <c r="T451" s="60">
        <v>0</v>
      </c>
      <c r="U451" s="60">
        <v>0</v>
      </c>
      <c r="V451" s="60">
        <v>0</v>
      </c>
      <c r="W451" s="60">
        <v>0</v>
      </c>
      <c r="X451" s="60">
        <v>0</v>
      </c>
      <c r="Y451" s="60">
        <v>0</v>
      </c>
      <c r="Z451" s="60">
        <v>0</v>
      </c>
      <c r="AA451" s="60">
        <v>0</v>
      </c>
      <c r="AB451" s="60">
        <v>0</v>
      </c>
      <c r="AC451" s="60">
        <v>0</v>
      </c>
      <c r="AD451" s="60">
        <v>0</v>
      </c>
      <c r="AE451" s="60">
        <v>0</v>
      </c>
      <c r="AF451" s="60">
        <v>0</v>
      </c>
      <c r="AG451" s="60">
        <v>0</v>
      </c>
      <c r="AH451" s="60">
        <v>0</v>
      </c>
      <c r="AI451" s="60">
        <v>1787.53</v>
      </c>
      <c r="AJ451" s="60">
        <v>1766.41</v>
      </c>
      <c r="AK451" s="60">
        <v>1751.52</v>
      </c>
      <c r="AL451" s="60">
        <v>0</v>
      </c>
      <c r="AM451" s="60">
        <v>0</v>
      </c>
      <c r="AN451" s="60">
        <v>0</v>
      </c>
      <c r="AO451" s="60">
        <v>1787.53</v>
      </c>
      <c r="AP451" s="60">
        <v>1766.41</v>
      </c>
      <c r="AQ451" s="60">
        <v>1751.52</v>
      </c>
      <c r="AR451" s="61">
        <v>1787.53</v>
      </c>
    </row>
    <row r="452" spans="1:44" x14ac:dyDescent="0.35">
      <c r="A452" s="49" t="str">
        <f t="shared" ref="A452:A457" si="36">TEXT(57,"00")</f>
        <v>57</v>
      </c>
      <c r="B452" s="27">
        <v>10579</v>
      </c>
      <c r="C452" s="25" t="str">
        <f t="shared" si="34"/>
        <v>0000000</v>
      </c>
      <c r="D452" s="26" t="s">
        <v>3663</v>
      </c>
      <c r="E452" s="25" t="s">
        <v>3476</v>
      </c>
      <c r="F452" s="25" t="s">
        <v>3477</v>
      </c>
      <c r="G452" s="59" t="s">
        <v>3477</v>
      </c>
      <c r="H452" s="60">
        <v>0</v>
      </c>
      <c r="I452" s="60">
        <v>0</v>
      </c>
      <c r="J452" s="60">
        <v>0</v>
      </c>
      <c r="K452" s="60">
        <v>0</v>
      </c>
      <c r="L452" s="60">
        <v>0</v>
      </c>
      <c r="M452" s="60">
        <v>0</v>
      </c>
      <c r="N452" s="60">
        <v>0</v>
      </c>
      <c r="O452" s="60">
        <v>0</v>
      </c>
      <c r="P452" s="60">
        <v>0</v>
      </c>
      <c r="Q452" s="60">
        <v>0</v>
      </c>
      <c r="R452" s="60">
        <v>0</v>
      </c>
      <c r="S452" s="60">
        <v>0</v>
      </c>
      <c r="T452" s="60">
        <v>48.05</v>
      </c>
      <c r="U452" s="60">
        <v>32.14</v>
      </c>
      <c r="V452" s="60">
        <v>22.02</v>
      </c>
      <c r="W452" s="60">
        <v>135.04</v>
      </c>
      <c r="X452" s="60">
        <v>135.41</v>
      </c>
      <c r="Y452" s="60">
        <v>121.04</v>
      </c>
      <c r="Z452" s="60">
        <v>0</v>
      </c>
      <c r="AA452" s="60">
        <v>0</v>
      </c>
      <c r="AB452" s="60">
        <v>0</v>
      </c>
      <c r="AC452" s="60">
        <v>0</v>
      </c>
      <c r="AD452" s="60">
        <v>0</v>
      </c>
      <c r="AE452" s="60">
        <v>0</v>
      </c>
      <c r="AF452" s="60">
        <v>0</v>
      </c>
      <c r="AG452" s="60">
        <v>0</v>
      </c>
      <c r="AH452" s="60">
        <v>0</v>
      </c>
      <c r="AI452" s="60">
        <v>183.09</v>
      </c>
      <c r="AJ452" s="60">
        <v>167.55</v>
      </c>
      <c r="AK452" s="60">
        <v>143.06</v>
      </c>
      <c r="AL452" s="60">
        <v>0</v>
      </c>
      <c r="AM452" s="60">
        <v>0</v>
      </c>
      <c r="AN452" s="60">
        <v>0</v>
      </c>
      <c r="AO452" s="60">
        <v>183.09</v>
      </c>
      <c r="AP452" s="60">
        <v>167.55</v>
      </c>
      <c r="AQ452" s="60">
        <v>143.06</v>
      </c>
      <c r="AR452" s="61">
        <v>183.09</v>
      </c>
    </row>
    <row r="453" spans="1:44" x14ac:dyDescent="0.35">
      <c r="A453" s="49" t="str">
        <f t="shared" si="36"/>
        <v>57</v>
      </c>
      <c r="B453" s="27">
        <v>72678</v>
      </c>
      <c r="C453" s="25" t="str">
        <f t="shared" si="34"/>
        <v>0000000</v>
      </c>
      <c r="D453" s="26" t="s">
        <v>3663</v>
      </c>
      <c r="E453" s="25" t="s">
        <v>3480</v>
      </c>
      <c r="F453" s="25" t="s">
        <v>3477</v>
      </c>
      <c r="G453" s="59" t="s">
        <v>3481</v>
      </c>
      <c r="H453" s="60">
        <v>7296.87</v>
      </c>
      <c r="I453" s="60">
        <v>7210.91</v>
      </c>
      <c r="J453" s="60">
        <v>7206.62</v>
      </c>
      <c r="K453" s="60">
        <v>0</v>
      </c>
      <c r="L453" s="60">
        <v>0</v>
      </c>
      <c r="M453" s="60">
        <v>0</v>
      </c>
      <c r="N453" s="60">
        <v>0</v>
      </c>
      <c r="O453" s="60">
        <v>0</v>
      </c>
      <c r="P453" s="60">
        <v>0</v>
      </c>
      <c r="Q453" s="60">
        <v>0</v>
      </c>
      <c r="R453" s="60">
        <v>0</v>
      </c>
      <c r="S453" s="60">
        <v>0</v>
      </c>
      <c r="T453" s="60">
        <v>0</v>
      </c>
      <c r="U453" s="60">
        <v>0</v>
      </c>
      <c r="V453" s="60">
        <v>0</v>
      </c>
      <c r="W453" s="60">
        <v>0</v>
      </c>
      <c r="X453" s="60">
        <v>0</v>
      </c>
      <c r="Y453" s="60">
        <v>0</v>
      </c>
      <c r="Z453" s="60">
        <v>0</v>
      </c>
      <c r="AA453" s="60">
        <v>0</v>
      </c>
      <c r="AB453" s="60">
        <v>0</v>
      </c>
      <c r="AC453" s="60">
        <v>540.99</v>
      </c>
      <c r="AD453" s="60">
        <v>561.30999999999995</v>
      </c>
      <c r="AE453" s="60">
        <v>530.62</v>
      </c>
      <c r="AF453" s="60">
        <v>0</v>
      </c>
      <c r="AG453" s="60">
        <v>0</v>
      </c>
      <c r="AH453" s="60">
        <v>0</v>
      </c>
      <c r="AI453" s="60">
        <v>7837.86</v>
      </c>
      <c r="AJ453" s="60">
        <v>7772.22</v>
      </c>
      <c r="AK453" s="60">
        <v>7737.24</v>
      </c>
      <c r="AL453" s="60">
        <v>0</v>
      </c>
      <c r="AM453" s="60">
        <v>0</v>
      </c>
      <c r="AN453" s="60">
        <v>0</v>
      </c>
      <c r="AO453" s="60">
        <v>7837.86</v>
      </c>
      <c r="AP453" s="60">
        <v>7772.22</v>
      </c>
      <c r="AQ453" s="60">
        <v>7737.24</v>
      </c>
      <c r="AR453" s="61">
        <v>7837.86</v>
      </c>
    </row>
    <row r="454" spans="1:44" x14ac:dyDescent="0.35">
      <c r="A454" s="49" t="str">
        <f t="shared" si="36"/>
        <v>57</v>
      </c>
      <c r="B454" s="27">
        <v>72686</v>
      </c>
      <c r="C454" s="25" t="str">
        <f t="shared" si="34"/>
        <v>0000000</v>
      </c>
      <c r="D454" s="26" t="s">
        <v>3663</v>
      </c>
      <c r="E454" s="25" t="s">
        <v>3482</v>
      </c>
      <c r="F454" s="25" t="s">
        <v>3477</v>
      </c>
      <c r="G454" s="59" t="s">
        <v>3483</v>
      </c>
      <c r="H454" s="60">
        <v>890.04</v>
      </c>
      <c r="I454" s="60">
        <v>836.82</v>
      </c>
      <c r="J454" s="60">
        <v>818.83</v>
      </c>
      <c r="K454" s="60">
        <v>0</v>
      </c>
      <c r="L454" s="60">
        <v>0</v>
      </c>
      <c r="M454" s="60">
        <v>0</v>
      </c>
      <c r="N454" s="60">
        <v>0</v>
      </c>
      <c r="O454" s="60">
        <v>0</v>
      </c>
      <c r="P454" s="60">
        <v>0</v>
      </c>
      <c r="Q454" s="60">
        <v>0</v>
      </c>
      <c r="R454" s="60">
        <v>0</v>
      </c>
      <c r="S454" s="60">
        <v>0</v>
      </c>
      <c r="T454" s="60">
        <v>0</v>
      </c>
      <c r="U454" s="60">
        <v>0</v>
      </c>
      <c r="V454" s="60">
        <v>0</v>
      </c>
      <c r="W454" s="60">
        <v>0</v>
      </c>
      <c r="X454" s="60">
        <v>0</v>
      </c>
      <c r="Y454" s="60">
        <v>0</v>
      </c>
      <c r="Z454" s="60">
        <v>0</v>
      </c>
      <c r="AA454" s="60">
        <v>0</v>
      </c>
      <c r="AB454" s="60">
        <v>0</v>
      </c>
      <c r="AC454" s="60">
        <v>0</v>
      </c>
      <c r="AD454" s="60">
        <v>0</v>
      </c>
      <c r="AE454" s="60">
        <v>0</v>
      </c>
      <c r="AF454" s="60">
        <v>0</v>
      </c>
      <c r="AG454" s="60">
        <v>0</v>
      </c>
      <c r="AH454" s="60">
        <v>0</v>
      </c>
      <c r="AI454" s="60">
        <v>890.04</v>
      </c>
      <c r="AJ454" s="60">
        <v>836.82</v>
      </c>
      <c r="AK454" s="60">
        <v>818.83</v>
      </c>
      <c r="AL454" s="60">
        <v>0</v>
      </c>
      <c r="AM454" s="60">
        <v>0</v>
      </c>
      <c r="AN454" s="60">
        <v>0</v>
      </c>
      <c r="AO454" s="60">
        <v>890.04</v>
      </c>
      <c r="AP454" s="60">
        <v>836.82</v>
      </c>
      <c r="AQ454" s="60">
        <v>818.83</v>
      </c>
      <c r="AR454" s="61">
        <v>890.04</v>
      </c>
    </row>
    <row r="455" spans="1:44" x14ac:dyDescent="0.35">
      <c r="A455" s="49" t="str">
        <f t="shared" si="36"/>
        <v>57</v>
      </c>
      <c r="B455" s="27">
        <v>72694</v>
      </c>
      <c r="C455" s="25" t="str">
        <f t="shared" si="34"/>
        <v>0000000</v>
      </c>
      <c r="D455" s="26" t="s">
        <v>3663</v>
      </c>
      <c r="E455" s="25" t="s">
        <v>3484</v>
      </c>
      <c r="F455" s="25" t="s">
        <v>3477</v>
      </c>
      <c r="G455" s="59" t="s">
        <v>495</v>
      </c>
      <c r="H455" s="60">
        <v>6871.16</v>
      </c>
      <c r="I455" s="60">
        <v>6710</v>
      </c>
      <c r="J455" s="60">
        <v>6637.21</v>
      </c>
      <c r="K455" s="60">
        <v>0</v>
      </c>
      <c r="L455" s="60">
        <v>0</v>
      </c>
      <c r="M455" s="60">
        <v>0</v>
      </c>
      <c r="N455" s="60">
        <v>0</v>
      </c>
      <c r="O455" s="60">
        <v>0</v>
      </c>
      <c r="P455" s="60">
        <v>0</v>
      </c>
      <c r="Q455" s="60">
        <v>0</v>
      </c>
      <c r="R455" s="60">
        <v>0</v>
      </c>
      <c r="S455" s="60">
        <v>0</v>
      </c>
      <c r="T455" s="60">
        <v>0</v>
      </c>
      <c r="U455" s="60">
        <v>0</v>
      </c>
      <c r="V455" s="60">
        <v>0</v>
      </c>
      <c r="W455" s="60">
        <v>0</v>
      </c>
      <c r="X455" s="60">
        <v>0</v>
      </c>
      <c r="Y455" s="60">
        <v>0</v>
      </c>
      <c r="Z455" s="60">
        <v>0</v>
      </c>
      <c r="AA455" s="60">
        <v>0</v>
      </c>
      <c r="AB455" s="60">
        <v>0</v>
      </c>
      <c r="AC455" s="60">
        <v>141.91</v>
      </c>
      <c r="AD455" s="60">
        <v>130.26</v>
      </c>
      <c r="AE455" s="60">
        <v>142.80000000000001</v>
      </c>
      <c r="AF455" s="60">
        <v>0</v>
      </c>
      <c r="AG455" s="60">
        <v>0</v>
      </c>
      <c r="AH455" s="60">
        <v>0</v>
      </c>
      <c r="AI455" s="60">
        <v>7013.07</v>
      </c>
      <c r="AJ455" s="60">
        <v>6840.26</v>
      </c>
      <c r="AK455" s="60">
        <v>6780.01</v>
      </c>
      <c r="AL455" s="60">
        <v>0</v>
      </c>
      <c r="AM455" s="60">
        <v>0</v>
      </c>
      <c r="AN455" s="60">
        <v>0</v>
      </c>
      <c r="AO455" s="60">
        <v>7013.07</v>
      </c>
      <c r="AP455" s="60">
        <v>6840.26</v>
      </c>
      <c r="AQ455" s="60">
        <v>6780.01</v>
      </c>
      <c r="AR455" s="61">
        <v>7013.07</v>
      </c>
    </row>
    <row r="456" spans="1:44" x14ac:dyDescent="0.35">
      <c r="A456" s="49" t="str">
        <f t="shared" si="36"/>
        <v>57</v>
      </c>
      <c r="B456" s="27">
        <v>72702</v>
      </c>
      <c r="C456" s="25" t="str">
        <f t="shared" si="34"/>
        <v>0000000</v>
      </c>
      <c r="D456" s="26" t="s">
        <v>3663</v>
      </c>
      <c r="E456" s="25" t="s">
        <v>3489</v>
      </c>
      <c r="F456" s="25" t="s">
        <v>3477</v>
      </c>
      <c r="G456" s="59" t="s">
        <v>3490</v>
      </c>
      <c r="H456" s="60">
        <v>1466.83</v>
      </c>
      <c r="I456" s="60">
        <v>1445.56</v>
      </c>
      <c r="J456" s="60">
        <v>1410.77</v>
      </c>
      <c r="K456" s="60">
        <v>0</v>
      </c>
      <c r="L456" s="60">
        <v>0</v>
      </c>
      <c r="M456" s="60">
        <v>0</v>
      </c>
      <c r="N456" s="60">
        <v>0</v>
      </c>
      <c r="O456" s="60">
        <v>0</v>
      </c>
      <c r="P456" s="60">
        <v>0</v>
      </c>
      <c r="Q456" s="60">
        <v>0</v>
      </c>
      <c r="R456" s="60">
        <v>0</v>
      </c>
      <c r="S456" s="60">
        <v>0</v>
      </c>
      <c r="T456" s="60">
        <v>0</v>
      </c>
      <c r="U456" s="60">
        <v>0</v>
      </c>
      <c r="V456" s="60">
        <v>0</v>
      </c>
      <c r="W456" s="60">
        <v>0</v>
      </c>
      <c r="X456" s="60">
        <v>0</v>
      </c>
      <c r="Y456" s="60">
        <v>0</v>
      </c>
      <c r="Z456" s="60">
        <v>0</v>
      </c>
      <c r="AA456" s="60">
        <v>0</v>
      </c>
      <c r="AB456" s="60">
        <v>0</v>
      </c>
      <c r="AC456" s="60">
        <v>0</v>
      </c>
      <c r="AD456" s="60">
        <v>0</v>
      </c>
      <c r="AE456" s="60">
        <v>0</v>
      </c>
      <c r="AF456" s="60">
        <v>0</v>
      </c>
      <c r="AG456" s="60">
        <v>0</v>
      </c>
      <c r="AH456" s="60">
        <v>0</v>
      </c>
      <c r="AI456" s="60">
        <v>1466.83</v>
      </c>
      <c r="AJ456" s="60">
        <v>1445.56</v>
      </c>
      <c r="AK456" s="60">
        <v>1410.77</v>
      </c>
      <c r="AL456" s="60">
        <v>0</v>
      </c>
      <c r="AM456" s="60">
        <v>0</v>
      </c>
      <c r="AN456" s="60">
        <v>0</v>
      </c>
      <c r="AO456" s="60">
        <v>1466.83</v>
      </c>
      <c r="AP456" s="60">
        <v>1445.56</v>
      </c>
      <c r="AQ456" s="60">
        <v>1410.77</v>
      </c>
      <c r="AR456" s="61">
        <v>1466.83</v>
      </c>
    </row>
    <row r="457" spans="1:44" x14ac:dyDescent="0.35">
      <c r="A457" s="49" t="str">
        <f t="shared" si="36"/>
        <v>57</v>
      </c>
      <c r="B457" s="27">
        <v>72710</v>
      </c>
      <c r="C457" s="25" t="str">
        <f t="shared" si="34"/>
        <v>0000000</v>
      </c>
      <c r="D457" s="26" t="s">
        <v>3663</v>
      </c>
      <c r="E457" s="25" t="s">
        <v>3493</v>
      </c>
      <c r="F457" s="25" t="s">
        <v>3477</v>
      </c>
      <c r="G457" s="59" t="s">
        <v>3494</v>
      </c>
      <c r="H457" s="60">
        <v>8183.23</v>
      </c>
      <c r="I457" s="60">
        <v>8453.73</v>
      </c>
      <c r="J457" s="60">
        <v>8204.2800000000007</v>
      </c>
      <c r="K457" s="60">
        <v>0</v>
      </c>
      <c r="L457" s="60">
        <v>0</v>
      </c>
      <c r="M457" s="60">
        <v>0</v>
      </c>
      <c r="N457" s="60">
        <v>0</v>
      </c>
      <c r="O457" s="60">
        <v>0</v>
      </c>
      <c r="P457" s="60">
        <v>0</v>
      </c>
      <c r="Q457" s="60">
        <v>0</v>
      </c>
      <c r="R457" s="60">
        <v>0</v>
      </c>
      <c r="S457" s="60">
        <v>0</v>
      </c>
      <c r="T457" s="60">
        <v>0</v>
      </c>
      <c r="U457" s="60">
        <v>0</v>
      </c>
      <c r="V457" s="60">
        <v>0</v>
      </c>
      <c r="W457" s="60">
        <v>0</v>
      </c>
      <c r="X457" s="60">
        <v>0</v>
      </c>
      <c r="Y457" s="60">
        <v>0</v>
      </c>
      <c r="Z457" s="60">
        <v>0</v>
      </c>
      <c r="AA457" s="60">
        <v>0</v>
      </c>
      <c r="AB457" s="60">
        <v>0</v>
      </c>
      <c r="AC457" s="60">
        <v>208.82</v>
      </c>
      <c r="AD457" s="60">
        <v>191.45</v>
      </c>
      <c r="AE457" s="60">
        <v>197.88</v>
      </c>
      <c r="AF457" s="60">
        <v>0</v>
      </c>
      <c r="AG457" s="60">
        <v>0</v>
      </c>
      <c r="AH457" s="60">
        <v>0</v>
      </c>
      <c r="AI457" s="60">
        <v>8392.0499999999993</v>
      </c>
      <c r="AJ457" s="60">
        <v>8645.18</v>
      </c>
      <c r="AK457" s="60">
        <v>8402.16</v>
      </c>
      <c r="AL457" s="60">
        <v>0</v>
      </c>
      <c r="AM457" s="60">
        <v>0</v>
      </c>
      <c r="AN457" s="60">
        <v>0</v>
      </c>
      <c r="AO457" s="60">
        <v>8392.0499999999993</v>
      </c>
      <c r="AP457" s="60">
        <v>8645.18</v>
      </c>
      <c r="AQ457" s="60">
        <v>8402.16</v>
      </c>
      <c r="AR457" s="61">
        <v>8645.18</v>
      </c>
    </row>
    <row r="458" spans="1:44" x14ac:dyDescent="0.35">
      <c r="A458" s="49" t="str">
        <f>TEXT(30,"00")</f>
        <v>30</v>
      </c>
      <c r="B458" s="27">
        <v>66647</v>
      </c>
      <c r="C458" s="25" t="str">
        <f t="shared" si="34"/>
        <v>0000000</v>
      </c>
      <c r="D458" s="26" t="s">
        <v>3663</v>
      </c>
      <c r="E458" s="25" t="s">
        <v>1541</v>
      </c>
      <c r="F458" s="25" t="s">
        <v>1542</v>
      </c>
      <c r="G458" s="59" t="s">
        <v>1542</v>
      </c>
      <c r="H458" s="60">
        <v>21542.48</v>
      </c>
      <c r="I458" s="60">
        <v>21539.35</v>
      </c>
      <c r="J458" s="60">
        <v>22006.959999999999</v>
      </c>
      <c r="K458" s="60">
        <v>0</v>
      </c>
      <c r="L458" s="60">
        <v>0</v>
      </c>
      <c r="M458" s="60">
        <v>0</v>
      </c>
      <c r="N458" s="60">
        <v>0</v>
      </c>
      <c r="O458" s="60">
        <v>0</v>
      </c>
      <c r="P458" s="60">
        <v>0</v>
      </c>
      <c r="Q458" s="60">
        <v>0</v>
      </c>
      <c r="R458" s="60">
        <v>0</v>
      </c>
      <c r="S458" s="60">
        <v>0</v>
      </c>
      <c r="T458" s="60">
        <v>0</v>
      </c>
      <c r="U458" s="60">
        <v>0</v>
      </c>
      <c r="V458" s="60">
        <v>0</v>
      </c>
      <c r="W458" s="60">
        <v>0</v>
      </c>
      <c r="X458" s="60">
        <v>0</v>
      </c>
      <c r="Y458" s="60">
        <v>0</v>
      </c>
      <c r="Z458" s="60">
        <v>0</v>
      </c>
      <c r="AA458" s="60">
        <v>0</v>
      </c>
      <c r="AB458" s="60">
        <v>0</v>
      </c>
      <c r="AC458" s="60">
        <v>0</v>
      </c>
      <c r="AD458" s="60">
        <v>0</v>
      </c>
      <c r="AE458" s="60">
        <v>0</v>
      </c>
      <c r="AF458" s="60">
        <v>0</v>
      </c>
      <c r="AG458" s="60">
        <v>0</v>
      </c>
      <c r="AH458" s="60">
        <v>0</v>
      </c>
      <c r="AI458" s="60">
        <v>21542.48</v>
      </c>
      <c r="AJ458" s="60">
        <v>21539.35</v>
      </c>
      <c r="AK458" s="60">
        <v>22006.959999999999</v>
      </c>
      <c r="AL458" s="60">
        <v>0</v>
      </c>
      <c r="AM458" s="60">
        <v>0</v>
      </c>
      <c r="AN458" s="60">
        <v>0</v>
      </c>
      <c r="AO458" s="60">
        <v>21542.48</v>
      </c>
      <c r="AP458" s="60">
        <v>21539.35</v>
      </c>
      <c r="AQ458" s="60">
        <v>22006.959999999999</v>
      </c>
      <c r="AR458" s="61">
        <v>22006.959999999999</v>
      </c>
    </row>
    <row r="459" spans="1:44" x14ac:dyDescent="0.35">
      <c r="A459" s="49" t="str">
        <f>TEXT(30,"00")</f>
        <v>30</v>
      </c>
      <c r="B459" s="27">
        <v>66449</v>
      </c>
      <c r="C459" s="25" t="str">
        <f t="shared" si="34"/>
        <v>0000000</v>
      </c>
      <c r="D459" s="26" t="s">
        <v>3663</v>
      </c>
      <c r="E459" s="25" t="s">
        <v>1543</v>
      </c>
      <c r="F459" s="25" t="s">
        <v>1542</v>
      </c>
      <c r="G459" s="59" t="s">
        <v>1544</v>
      </c>
      <c r="H459" s="60">
        <v>5740.31</v>
      </c>
      <c r="I459" s="60">
        <v>5560.81</v>
      </c>
      <c r="J459" s="60">
        <v>5587.35</v>
      </c>
      <c r="K459" s="60">
        <v>0</v>
      </c>
      <c r="L459" s="60">
        <v>0</v>
      </c>
      <c r="M459" s="60">
        <v>0</v>
      </c>
      <c r="N459" s="60">
        <v>0</v>
      </c>
      <c r="O459" s="60">
        <v>0</v>
      </c>
      <c r="P459" s="60">
        <v>0</v>
      </c>
      <c r="Q459" s="60">
        <v>0</v>
      </c>
      <c r="R459" s="60">
        <v>0</v>
      </c>
      <c r="S459" s="60">
        <v>0</v>
      </c>
      <c r="T459" s="60">
        <v>0</v>
      </c>
      <c r="U459" s="60">
        <v>0</v>
      </c>
      <c r="V459" s="60">
        <v>0</v>
      </c>
      <c r="W459" s="60">
        <v>0</v>
      </c>
      <c r="X459" s="60">
        <v>0</v>
      </c>
      <c r="Y459" s="60">
        <v>0</v>
      </c>
      <c r="Z459" s="60">
        <v>0</v>
      </c>
      <c r="AA459" s="60">
        <v>0</v>
      </c>
      <c r="AB459" s="60">
        <v>0</v>
      </c>
      <c r="AC459" s="60">
        <v>0</v>
      </c>
      <c r="AD459" s="60">
        <v>0</v>
      </c>
      <c r="AE459" s="60">
        <v>0</v>
      </c>
      <c r="AF459" s="60">
        <v>0</v>
      </c>
      <c r="AG459" s="60">
        <v>0</v>
      </c>
      <c r="AH459" s="60">
        <v>0</v>
      </c>
      <c r="AI459" s="60">
        <v>5740.31</v>
      </c>
      <c r="AJ459" s="60">
        <v>5560.81</v>
      </c>
      <c r="AK459" s="60">
        <v>5587.35</v>
      </c>
      <c r="AL459" s="60">
        <v>0</v>
      </c>
      <c r="AM459" s="60">
        <v>0</v>
      </c>
      <c r="AN459" s="60">
        <v>0</v>
      </c>
      <c r="AO459" s="60">
        <v>5740.31</v>
      </c>
      <c r="AP459" s="60">
        <v>5560.81</v>
      </c>
      <c r="AQ459" s="60">
        <v>5587.35</v>
      </c>
      <c r="AR459" s="61">
        <v>5740.31</v>
      </c>
    </row>
    <row r="460" spans="1:44" x14ac:dyDescent="0.35">
      <c r="A460" s="49" t="str">
        <f t="shared" ref="A460:A468" si="37">TEXT(34,"00")</f>
        <v>34</v>
      </c>
      <c r="B460" s="27">
        <v>10348</v>
      </c>
      <c r="C460" s="25" t="str">
        <f t="shared" si="34"/>
        <v>0000000</v>
      </c>
      <c r="D460" s="26" t="s">
        <v>3663</v>
      </c>
      <c r="E460" s="25" t="s">
        <v>1785</v>
      </c>
      <c r="F460" s="25" t="s">
        <v>1786</v>
      </c>
      <c r="G460" s="59" t="s">
        <v>1786</v>
      </c>
      <c r="H460" s="60">
        <v>0</v>
      </c>
      <c r="I460" s="60">
        <v>0</v>
      </c>
      <c r="J460" s="60">
        <v>0</v>
      </c>
      <c r="K460" s="60">
        <v>0</v>
      </c>
      <c r="L460" s="60">
        <v>0</v>
      </c>
      <c r="M460" s="60">
        <v>0</v>
      </c>
      <c r="N460" s="60">
        <v>0</v>
      </c>
      <c r="O460" s="60">
        <v>0</v>
      </c>
      <c r="P460" s="60">
        <v>0</v>
      </c>
      <c r="Q460" s="60">
        <v>0</v>
      </c>
      <c r="R460" s="60">
        <v>0</v>
      </c>
      <c r="S460" s="60">
        <v>0</v>
      </c>
      <c r="T460" s="60">
        <v>146.21</v>
      </c>
      <c r="U460" s="60">
        <v>147.47999999999999</v>
      </c>
      <c r="V460" s="60">
        <v>113.08</v>
      </c>
      <c r="W460" s="60">
        <v>689.57</v>
      </c>
      <c r="X460" s="60">
        <v>703.02</v>
      </c>
      <c r="Y460" s="60">
        <v>662.55</v>
      </c>
      <c r="Z460" s="60">
        <v>0</v>
      </c>
      <c r="AA460" s="60">
        <v>0</v>
      </c>
      <c r="AB460" s="60">
        <v>0</v>
      </c>
      <c r="AC460" s="60">
        <v>0</v>
      </c>
      <c r="AD460" s="60">
        <v>0</v>
      </c>
      <c r="AE460" s="60">
        <v>0</v>
      </c>
      <c r="AF460" s="60">
        <v>0</v>
      </c>
      <c r="AG460" s="60">
        <v>0</v>
      </c>
      <c r="AH460" s="60">
        <v>0</v>
      </c>
      <c r="AI460" s="60">
        <v>835.78</v>
      </c>
      <c r="AJ460" s="60">
        <v>850.5</v>
      </c>
      <c r="AK460" s="60">
        <v>775.63</v>
      </c>
      <c r="AL460" s="60">
        <v>0</v>
      </c>
      <c r="AM460" s="60">
        <v>0</v>
      </c>
      <c r="AN460" s="60">
        <v>0</v>
      </c>
      <c r="AO460" s="60">
        <v>835.78</v>
      </c>
      <c r="AP460" s="60">
        <v>850.5</v>
      </c>
      <c r="AQ460" s="60">
        <v>775.63</v>
      </c>
      <c r="AR460" s="61">
        <v>850.5</v>
      </c>
    </row>
    <row r="461" spans="1:44" x14ac:dyDescent="0.35">
      <c r="A461" s="49" t="str">
        <f t="shared" si="37"/>
        <v>34</v>
      </c>
      <c r="B461" s="27">
        <v>67355</v>
      </c>
      <c r="C461" s="25" t="str">
        <f t="shared" si="34"/>
        <v>0000000</v>
      </c>
      <c r="D461" s="26" t="s">
        <v>3663</v>
      </c>
      <c r="E461" s="25" t="s">
        <v>1806</v>
      </c>
      <c r="F461" s="25" t="s">
        <v>1786</v>
      </c>
      <c r="G461" s="59" t="s">
        <v>1807</v>
      </c>
      <c r="H461" s="60">
        <v>1827.4</v>
      </c>
      <c r="I461" s="60">
        <v>1893.8</v>
      </c>
      <c r="J461" s="60">
        <v>1967.46</v>
      </c>
      <c r="K461" s="60">
        <v>0</v>
      </c>
      <c r="L461" s="60">
        <v>0</v>
      </c>
      <c r="M461" s="60">
        <v>0</v>
      </c>
      <c r="N461" s="60">
        <v>0</v>
      </c>
      <c r="O461" s="60">
        <v>0</v>
      </c>
      <c r="P461" s="60">
        <v>0</v>
      </c>
      <c r="Q461" s="60">
        <v>0</v>
      </c>
      <c r="R461" s="60">
        <v>0</v>
      </c>
      <c r="S461" s="60">
        <v>0</v>
      </c>
      <c r="T461" s="60">
        <v>0</v>
      </c>
      <c r="U461" s="60">
        <v>0</v>
      </c>
      <c r="V461" s="60">
        <v>0</v>
      </c>
      <c r="W461" s="60">
        <v>0</v>
      </c>
      <c r="X461" s="60">
        <v>0</v>
      </c>
      <c r="Y461" s="60">
        <v>0</v>
      </c>
      <c r="Z461" s="60">
        <v>0</v>
      </c>
      <c r="AA461" s="60">
        <v>0</v>
      </c>
      <c r="AB461" s="60">
        <v>0</v>
      </c>
      <c r="AC461" s="60">
        <v>0</v>
      </c>
      <c r="AD461" s="60">
        <v>0</v>
      </c>
      <c r="AE461" s="60">
        <v>0</v>
      </c>
      <c r="AF461" s="60">
        <v>0</v>
      </c>
      <c r="AG461" s="60">
        <v>0</v>
      </c>
      <c r="AH461" s="60">
        <v>0</v>
      </c>
      <c r="AI461" s="60">
        <v>1827.4</v>
      </c>
      <c r="AJ461" s="60">
        <v>1893.8</v>
      </c>
      <c r="AK461" s="60">
        <v>1967.46</v>
      </c>
      <c r="AL461" s="60">
        <v>0</v>
      </c>
      <c r="AM461" s="60">
        <v>0</v>
      </c>
      <c r="AN461" s="60">
        <v>0</v>
      </c>
      <c r="AO461" s="60">
        <v>1827.4</v>
      </c>
      <c r="AP461" s="60">
        <v>1893.8</v>
      </c>
      <c r="AQ461" s="60">
        <v>1967.46</v>
      </c>
      <c r="AR461" s="61">
        <v>1967.46</v>
      </c>
    </row>
    <row r="462" spans="1:44" x14ac:dyDescent="0.35">
      <c r="A462" s="49" t="str">
        <f t="shared" si="37"/>
        <v>34</v>
      </c>
      <c r="B462" s="27">
        <v>67413</v>
      </c>
      <c r="C462" s="25" t="str">
        <f t="shared" si="34"/>
        <v>0000000</v>
      </c>
      <c r="D462" s="26" t="s">
        <v>3663</v>
      </c>
      <c r="E462" s="25" t="s">
        <v>1808</v>
      </c>
      <c r="F462" s="25" t="s">
        <v>1786</v>
      </c>
      <c r="G462" s="59" t="s">
        <v>1809</v>
      </c>
      <c r="H462" s="60">
        <v>1593.46</v>
      </c>
      <c r="I462" s="60">
        <v>1607.67</v>
      </c>
      <c r="J462" s="60">
        <v>1649.18</v>
      </c>
      <c r="K462" s="60">
        <v>0</v>
      </c>
      <c r="L462" s="60">
        <v>0</v>
      </c>
      <c r="M462" s="60">
        <v>0</v>
      </c>
      <c r="N462" s="60">
        <v>0</v>
      </c>
      <c r="O462" s="60">
        <v>0</v>
      </c>
      <c r="P462" s="60">
        <v>0</v>
      </c>
      <c r="Q462" s="60">
        <v>0</v>
      </c>
      <c r="R462" s="60">
        <v>0</v>
      </c>
      <c r="S462" s="60">
        <v>0</v>
      </c>
      <c r="T462" s="60">
        <v>0</v>
      </c>
      <c r="U462" s="60">
        <v>0</v>
      </c>
      <c r="V462" s="60">
        <v>0</v>
      </c>
      <c r="W462" s="60">
        <v>0</v>
      </c>
      <c r="X462" s="60">
        <v>0</v>
      </c>
      <c r="Y462" s="60">
        <v>0</v>
      </c>
      <c r="Z462" s="60">
        <v>0</v>
      </c>
      <c r="AA462" s="60">
        <v>0</v>
      </c>
      <c r="AB462" s="60">
        <v>0</v>
      </c>
      <c r="AC462" s="60">
        <v>0</v>
      </c>
      <c r="AD462" s="60">
        <v>0</v>
      </c>
      <c r="AE462" s="60">
        <v>0</v>
      </c>
      <c r="AF462" s="60">
        <v>0</v>
      </c>
      <c r="AG462" s="60">
        <v>0</v>
      </c>
      <c r="AH462" s="60">
        <v>0</v>
      </c>
      <c r="AI462" s="60">
        <v>1593.46</v>
      </c>
      <c r="AJ462" s="60">
        <v>1607.67</v>
      </c>
      <c r="AK462" s="60">
        <v>1649.18</v>
      </c>
      <c r="AL462" s="60">
        <v>0</v>
      </c>
      <c r="AM462" s="60">
        <v>0</v>
      </c>
      <c r="AN462" s="60">
        <v>0</v>
      </c>
      <c r="AO462" s="60">
        <v>1593.46</v>
      </c>
      <c r="AP462" s="60">
        <v>1607.67</v>
      </c>
      <c r="AQ462" s="60">
        <v>1649.18</v>
      </c>
      <c r="AR462" s="61">
        <v>1649.18</v>
      </c>
    </row>
    <row r="463" spans="1:44" x14ac:dyDescent="0.35">
      <c r="A463" s="49" t="str">
        <f t="shared" si="37"/>
        <v>34</v>
      </c>
      <c r="B463" s="27">
        <v>73973</v>
      </c>
      <c r="C463" s="25" t="str">
        <f t="shared" si="34"/>
        <v>0000000</v>
      </c>
      <c r="D463" s="26" t="s">
        <v>3663</v>
      </c>
      <c r="E463" s="25" t="s">
        <v>1855</v>
      </c>
      <c r="F463" s="25" t="s">
        <v>1786</v>
      </c>
      <c r="G463" s="59" t="s">
        <v>1856</v>
      </c>
      <c r="H463" s="60">
        <v>4146.25</v>
      </c>
      <c r="I463" s="60">
        <v>3832.86</v>
      </c>
      <c r="J463" s="60">
        <v>3608.33</v>
      </c>
      <c r="K463" s="60">
        <v>0</v>
      </c>
      <c r="L463" s="60">
        <v>0</v>
      </c>
      <c r="M463" s="60">
        <v>0</v>
      </c>
      <c r="N463" s="60">
        <v>0</v>
      </c>
      <c r="O463" s="60">
        <v>0</v>
      </c>
      <c r="P463" s="60">
        <v>0</v>
      </c>
      <c r="Q463" s="60">
        <v>0</v>
      </c>
      <c r="R463" s="60">
        <v>0</v>
      </c>
      <c r="S463" s="60">
        <v>0</v>
      </c>
      <c r="T463" s="60">
        <v>0</v>
      </c>
      <c r="U463" s="60">
        <v>0</v>
      </c>
      <c r="V463" s="60">
        <v>0</v>
      </c>
      <c r="W463" s="60">
        <v>0</v>
      </c>
      <c r="X463" s="60">
        <v>0</v>
      </c>
      <c r="Y463" s="60">
        <v>0</v>
      </c>
      <c r="Z463" s="60">
        <v>0</v>
      </c>
      <c r="AA463" s="60">
        <v>0</v>
      </c>
      <c r="AB463" s="60">
        <v>0</v>
      </c>
      <c r="AC463" s="60">
        <v>0</v>
      </c>
      <c r="AD463" s="60">
        <v>0</v>
      </c>
      <c r="AE463" s="60">
        <v>0</v>
      </c>
      <c r="AF463" s="60">
        <v>0</v>
      </c>
      <c r="AG463" s="60">
        <v>0</v>
      </c>
      <c r="AH463" s="60">
        <v>0</v>
      </c>
      <c r="AI463" s="60">
        <v>4146.25</v>
      </c>
      <c r="AJ463" s="60">
        <v>3832.86</v>
      </c>
      <c r="AK463" s="60">
        <v>3608.33</v>
      </c>
      <c r="AL463" s="60">
        <v>0</v>
      </c>
      <c r="AM463" s="60">
        <v>0</v>
      </c>
      <c r="AN463" s="60">
        <v>0</v>
      </c>
      <c r="AO463" s="60">
        <v>4146.25</v>
      </c>
      <c r="AP463" s="60">
        <v>3832.86</v>
      </c>
      <c r="AQ463" s="60">
        <v>3608.33</v>
      </c>
      <c r="AR463" s="61">
        <v>4146.25</v>
      </c>
    </row>
    <row r="464" spans="1:44" x14ac:dyDescent="0.35">
      <c r="A464" s="49" t="str">
        <f t="shared" si="37"/>
        <v>34</v>
      </c>
      <c r="B464" s="27">
        <v>67421</v>
      </c>
      <c r="C464" s="25" t="str">
        <f t="shared" si="34"/>
        <v>0000000</v>
      </c>
      <c r="D464" s="26" t="s">
        <v>3663</v>
      </c>
      <c r="E464" s="25" t="s">
        <v>1813</v>
      </c>
      <c r="F464" s="25" t="s">
        <v>1786</v>
      </c>
      <c r="G464" s="59" t="s">
        <v>1814</v>
      </c>
      <c r="H464" s="60">
        <v>1801.89</v>
      </c>
      <c r="I464" s="60">
        <v>1746.88</v>
      </c>
      <c r="J464" s="60">
        <v>1745.8</v>
      </c>
      <c r="K464" s="60">
        <v>0</v>
      </c>
      <c r="L464" s="60">
        <v>0</v>
      </c>
      <c r="M464" s="60">
        <v>0</v>
      </c>
      <c r="N464" s="60">
        <v>0</v>
      </c>
      <c r="O464" s="60">
        <v>0</v>
      </c>
      <c r="P464" s="60">
        <v>0</v>
      </c>
      <c r="Q464" s="60">
        <v>0</v>
      </c>
      <c r="R464" s="60">
        <v>0</v>
      </c>
      <c r="S464" s="60">
        <v>0</v>
      </c>
      <c r="T464" s="60">
        <v>0</v>
      </c>
      <c r="U464" s="60">
        <v>0</v>
      </c>
      <c r="V464" s="60">
        <v>0</v>
      </c>
      <c r="W464" s="60">
        <v>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160.05000000000001</v>
      </c>
      <c r="AD464" s="60">
        <v>197.6</v>
      </c>
      <c r="AE464" s="60">
        <v>129</v>
      </c>
      <c r="AF464" s="60">
        <v>0</v>
      </c>
      <c r="AG464" s="60">
        <v>0</v>
      </c>
      <c r="AH464" s="60">
        <v>0</v>
      </c>
      <c r="AI464" s="60">
        <v>1961.94</v>
      </c>
      <c r="AJ464" s="60">
        <v>1944.48</v>
      </c>
      <c r="AK464" s="60">
        <v>1874.8</v>
      </c>
      <c r="AL464" s="60">
        <v>0</v>
      </c>
      <c r="AM464" s="60">
        <v>0</v>
      </c>
      <c r="AN464" s="60">
        <v>0</v>
      </c>
      <c r="AO464" s="60">
        <v>1961.94</v>
      </c>
      <c r="AP464" s="60">
        <v>1944.48</v>
      </c>
      <c r="AQ464" s="60">
        <v>1874.8</v>
      </c>
      <c r="AR464" s="61">
        <v>1961.94</v>
      </c>
    </row>
    <row r="465" spans="1:44" x14ac:dyDescent="0.35">
      <c r="A465" s="49" t="str">
        <f t="shared" si="37"/>
        <v>34</v>
      </c>
      <c r="B465" s="27">
        <v>67348</v>
      </c>
      <c r="C465" s="25" t="str">
        <f t="shared" si="34"/>
        <v>0000000</v>
      </c>
      <c r="D465" s="26" t="s">
        <v>3663</v>
      </c>
      <c r="E465" s="25" t="s">
        <v>1804</v>
      </c>
      <c r="F465" s="25" t="s">
        <v>1786</v>
      </c>
      <c r="G465" s="59" t="s">
        <v>1805</v>
      </c>
      <c r="H465" s="60">
        <v>3202.06</v>
      </c>
      <c r="I465" s="60">
        <v>3088.02</v>
      </c>
      <c r="J465" s="60">
        <v>2994.72</v>
      </c>
      <c r="K465" s="60">
        <v>0</v>
      </c>
      <c r="L465" s="60">
        <v>0</v>
      </c>
      <c r="M465" s="60">
        <v>0</v>
      </c>
      <c r="N465" s="60">
        <v>0</v>
      </c>
      <c r="O465" s="60">
        <v>0</v>
      </c>
      <c r="P465" s="60">
        <v>0</v>
      </c>
      <c r="Q465" s="60">
        <v>0</v>
      </c>
      <c r="R465" s="60">
        <v>0</v>
      </c>
      <c r="S465" s="60">
        <v>0</v>
      </c>
      <c r="T465" s="60">
        <v>0</v>
      </c>
      <c r="U465" s="60">
        <v>0</v>
      </c>
      <c r="V465" s="60">
        <v>0</v>
      </c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0">
        <v>0</v>
      </c>
      <c r="AE465" s="60">
        <v>0</v>
      </c>
      <c r="AF465" s="60">
        <v>0</v>
      </c>
      <c r="AG465" s="60">
        <v>0</v>
      </c>
      <c r="AH465" s="60">
        <v>0</v>
      </c>
      <c r="AI465" s="60">
        <v>3202.06</v>
      </c>
      <c r="AJ465" s="60">
        <v>3088.02</v>
      </c>
      <c r="AK465" s="60">
        <v>2994.72</v>
      </c>
      <c r="AL465" s="60">
        <v>0</v>
      </c>
      <c r="AM465" s="60">
        <v>0</v>
      </c>
      <c r="AN465" s="60">
        <v>0</v>
      </c>
      <c r="AO465" s="60">
        <v>3202.06</v>
      </c>
      <c r="AP465" s="60">
        <v>3088.02</v>
      </c>
      <c r="AQ465" s="60">
        <v>2994.72</v>
      </c>
      <c r="AR465" s="61">
        <v>3202.06</v>
      </c>
    </row>
    <row r="466" spans="1:44" x14ac:dyDescent="0.35">
      <c r="A466" s="49" t="str">
        <f t="shared" si="37"/>
        <v>34</v>
      </c>
      <c r="B466" s="27">
        <v>67280</v>
      </c>
      <c r="C466" s="25" t="str">
        <f t="shared" si="34"/>
        <v>0000000</v>
      </c>
      <c r="D466" s="26" t="s">
        <v>3663</v>
      </c>
      <c r="E466" s="25" t="s">
        <v>1791</v>
      </c>
      <c r="F466" s="25" t="s">
        <v>1786</v>
      </c>
      <c r="G466" s="59" t="s">
        <v>1792</v>
      </c>
      <c r="H466" s="60">
        <v>501.1</v>
      </c>
      <c r="I466" s="60">
        <v>451.65</v>
      </c>
      <c r="J466" s="60">
        <v>424.11</v>
      </c>
      <c r="K466" s="60">
        <v>0</v>
      </c>
      <c r="L466" s="60">
        <v>0</v>
      </c>
      <c r="M466" s="60">
        <v>0</v>
      </c>
      <c r="N466" s="60">
        <v>0</v>
      </c>
      <c r="O466" s="60">
        <v>0</v>
      </c>
      <c r="P466" s="60">
        <v>0</v>
      </c>
      <c r="Q466" s="60">
        <v>0</v>
      </c>
      <c r="R466" s="60">
        <v>0</v>
      </c>
      <c r="S466" s="60">
        <v>0</v>
      </c>
      <c r="T466" s="60">
        <v>0</v>
      </c>
      <c r="U466" s="60">
        <v>0</v>
      </c>
      <c r="V466" s="60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60">
        <v>0</v>
      </c>
      <c r="AE466" s="60">
        <v>0</v>
      </c>
      <c r="AF466" s="60">
        <v>0</v>
      </c>
      <c r="AG466" s="60">
        <v>0</v>
      </c>
      <c r="AH466" s="60">
        <v>0</v>
      </c>
      <c r="AI466" s="60">
        <v>501.1</v>
      </c>
      <c r="AJ466" s="60">
        <v>451.65</v>
      </c>
      <c r="AK466" s="60">
        <v>424.11</v>
      </c>
      <c r="AL466" s="60">
        <v>0</v>
      </c>
      <c r="AM466" s="60">
        <v>0</v>
      </c>
      <c r="AN466" s="60">
        <v>0</v>
      </c>
      <c r="AO466" s="60">
        <v>501.1</v>
      </c>
      <c r="AP466" s="60">
        <v>451.65</v>
      </c>
      <c r="AQ466" s="60">
        <v>424.11</v>
      </c>
      <c r="AR466" s="61">
        <v>501.1</v>
      </c>
    </row>
    <row r="467" spans="1:44" x14ac:dyDescent="0.35">
      <c r="A467" s="49" t="str">
        <f t="shared" si="37"/>
        <v>34</v>
      </c>
      <c r="B467" s="27">
        <v>67322</v>
      </c>
      <c r="C467" s="25" t="str">
        <f t="shared" si="34"/>
        <v>0000000</v>
      </c>
      <c r="D467" s="26" t="s">
        <v>3663</v>
      </c>
      <c r="E467" s="25" t="s">
        <v>1800</v>
      </c>
      <c r="F467" s="25" t="s">
        <v>1786</v>
      </c>
      <c r="G467" s="59" t="s">
        <v>1801</v>
      </c>
      <c r="H467" s="60">
        <v>206.08</v>
      </c>
      <c r="I467" s="60">
        <v>196.21</v>
      </c>
      <c r="J467" s="60">
        <v>191.6</v>
      </c>
      <c r="K467" s="60">
        <v>0</v>
      </c>
      <c r="L467" s="60">
        <v>0</v>
      </c>
      <c r="M467" s="60">
        <v>0</v>
      </c>
      <c r="N467" s="60">
        <v>0</v>
      </c>
      <c r="O467" s="60">
        <v>0</v>
      </c>
      <c r="P467" s="60">
        <v>0</v>
      </c>
      <c r="Q467" s="60">
        <v>0</v>
      </c>
      <c r="R467" s="60">
        <v>0</v>
      </c>
      <c r="S467" s="60">
        <v>0</v>
      </c>
      <c r="T467" s="60">
        <v>0</v>
      </c>
      <c r="U467" s="60">
        <v>0</v>
      </c>
      <c r="V467" s="60">
        <v>0</v>
      </c>
      <c r="W467" s="60">
        <v>0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60">
        <v>0</v>
      </c>
      <c r="AE467" s="60">
        <v>35.86</v>
      </c>
      <c r="AF467" s="60">
        <v>0</v>
      </c>
      <c r="AG467" s="60">
        <v>0</v>
      </c>
      <c r="AH467" s="60">
        <v>0</v>
      </c>
      <c r="AI467" s="60">
        <v>206.08</v>
      </c>
      <c r="AJ467" s="60">
        <v>196.21</v>
      </c>
      <c r="AK467" s="60">
        <v>227.46</v>
      </c>
      <c r="AL467" s="60">
        <v>0</v>
      </c>
      <c r="AM467" s="60">
        <v>0</v>
      </c>
      <c r="AN467" s="60">
        <v>0</v>
      </c>
      <c r="AO467" s="60">
        <v>206.08</v>
      </c>
      <c r="AP467" s="60">
        <v>196.21</v>
      </c>
      <c r="AQ467" s="60">
        <v>227.46</v>
      </c>
      <c r="AR467" s="61">
        <v>227.46</v>
      </c>
    </row>
    <row r="468" spans="1:44" x14ac:dyDescent="0.35">
      <c r="A468" s="49" t="str">
        <f t="shared" si="37"/>
        <v>34</v>
      </c>
      <c r="B468" s="27">
        <v>75283</v>
      </c>
      <c r="C468" s="25" t="str">
        <f>TEXT(3430659,"0000000")</f>
        <v>3430659</v>
      </c>
      <c r="D468" s="26" t="s">
        <v>1864</v>
      </c>
      <c r="E468" s="25" t="s">
        <v>1862</v>
      </c>
      <c r="F468" s="25" t="s">
        <v>1786</v>
      </c>
      <c r="G468" s="59" t="s">
        <v>1863</v>
      </c>
      <c r="H468" s="60">
        <v>0</v>
      </c>
      <c r="I468" s="60">
        <v>0</v>
      </c>
      <c r="J468" s="60">
        <v>0</v>
      </c>
      <c r="K468" s="60">
        <v>0</v>
      </c>
      <c r="L468" s="60">
        <v>0</v>
      </c>
      <c r="M468" s="60">
        <v>0</v>
      </c>
      <c r="N468" s="60">
        <v>0</v>
      </c>
      <c r="O468" s="60">
        <v>0</v>
      </c>
      <c r="P468" s="60">
        <v>0</v>
      </c>
      <c r="Q468" s="60">
        <v>0</v>
      </c>
      <c r="R468" s="60">
        <v>0</v>
      </c>
      <c r="S468" s="60">
        <v>0</v>
      </c>
      <c r="T468" s="60">
        <v>0</v>
      </c>
      <c r="U468" s="60">
        <v>0</v>
      </c>
      <c r="V468" s="60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1799.29</v>
      </c>
      <c r="AD468" s="60">
        <v>1787.17</v>
      </c>
      <c r="AE468" s="60">
        <v>1816.59</v>
      </c>
      <c r="AF468" s="60">
        <v>0</v>
      </c>
      <c r="AG468" s="60">
        <v>0</v>
      </c>
      <c r="AH468" s="60">
        <v>0</v>
      </c>
      <c r="AI468" s="60">
        <v>1799.29</v>
      </c>
      <c r="AJ468" s="60">
        <v>1787.17</v>
      </c>
      <c r="AK468" s="60">
        <v>1816.59</v>
      </c>
      <c r="AL468" s="60">
        <v>0</v>
      </c>
      <c r="AM468" s="60">
        <v>0</v>
      </c>
      <c r="AN468" s="60">
        <v>0</v>
      </c>
      <c r="AO468" s="60">
        <v>1799.29</v>
      </c>
      <c r="AP468" s="60">
        <v>1787.17</v>
      </c>
      <c r="AQ468" s="60">
        <v>1816.59</v>
      </c>
      <c r="AR468" s="61">
        <v>1816.59</v>
      </c>
    </row>
    <row r="469" spans="1:44" x14ac:dyDescent="0.35">
      <c r="A469" s="49" t="str">
        <f t="shared" ref="A469:A478" si="38">TEXT(30,"00")</f>
        <v>30</v>
      </c>
      <c r="B469" s="27">
        <v>66548</v>
      </c>
      <c r="C469" s="25" t="str">
        <f t="shared" ref="C469:C515" si="39">TEXT(,"0000000")</f>
        <v>0000000</v>
      </c>
      <c r="D469" s="26" t="s">
        <v>3663</v>
      </c>
      <c r="E469" s="25" t="s">
        <v>1565</v>
      </c>
      <c r="F469" s="25" t="s">
        <v>1566</v>
      </c>
      <c r="G469" s="59" t="s">
        <v>1566</v>
      </c>
      <c r="H469" s="60">
        <v>13275.47</v>
      </c>
      <c r="I469" s="60">
        <v>13562.28</v>
      </c>
      <c r="J469" s="60">
        <v>14002.12</v>
      </c>
      <c r="K469" s="60">
        <v>0</v>
      </c>
      <c r="L469" s="60">
        <v>0</v>
      </c>
      <c r="M469" s="60">
        <v>0</v>
      </c>
      <c r="N469" s="60">
        <v>0</v>
      </c>
      <c r="O469" s="60">
        <v>0</v>
      </c>
      <c r="P469" s="60">
        <v>0</v>
      </c>
      <c r="Q469" s="60">
        <v>0</v>
      </c>
      <c r="R469" s="60">
        <v>0</v>
      </c>
      <c r="S469" s="60">
        <v>0</v>
      </c>
      <c r="T469" s="60">
        <v>0</v>
      </c>
      <c r="U469" s="60">
        <v>0</v>
      </c>
      <c r="V469" s="60">
        <v>0</v>
      </c>
      <c r="W469" s="60">
        <v>0</v>
      </c>
      <c r="X469" s="60">
        <v>0</v>
      </c>
      <c r="Y469" s="60">
        <v>0</v>
      </c>
      <c r="Z469" s="60">
        <v>0</v>
      </c>
      <c r="AA469" s="60">
        <v>0</v>
      </c>
      <c r="AB469" s="60">
        <v>0</v>
      </c>
      <c r="AC469" s="60">
        <v>0</v>
      </c>
      <c r="AD469" s="60">
        <v>0</v>
      </c>
      <c r="AE469" s="60">
        <v>0</v>
      </c>
      <c r="AF469" s="60">
        <v>0</v>
      </c>
      <c r="AG469" s="60">
        <v>0</v>
      </c>
      <c r="AH469" s="60">
        <v>0</v>
      </c>
      <c r="AI469" s="60">
        <v>13275.47</v>
      </c>
      <c r="AJ469" s="60">
        <v>13562.28</v>
      </c>
      <c r="AK469" s="60">
        <v>14002.12</v>
      </c>
      <c r="AL469" s="60">
        <v>0</v>
      </c>
      <c r="AM469" s="60">
        <v>0</v>
      </c>
      <c r="AN469" s="60">
        <v>0</v>
      </c>
      <c r="AO469" s="60">
        <v>13275.47</v>
      </c>
      <c r="AP469" s="60">
        <v>13562.28</v>
      </c>
      <c r="AQ469" s="60">
        <v>14002.12</v>
      </c>
      <c r="AR469" s="61">
        <v>14002.12</v>
      </c>
    </row>
    <row r="470" spans="1:44" x14ac:dyDescent="0.35">
      <c r="A470" s="49" t="str">
        <f t="shared" si="38"/>
        <v>30</v>
      </c>
      <c r="B470" s="27">
        <v>66498</v>
      </c>
      <c r="C470" s="25" t="str">
        <f t="shared" si="39"/>
        <v>0000000</v>
      </c>
      <c r="D470" s="26" t="s">
        <v>3663</v>
      </c>
      <c r="E470" s="25" t="s">
        <v>1567</v>
      </c>
      <c r="F470" s="25" t="s">
        <v>1566</v>
      </c>
      <c r="G470" s="59" t="s">
        <v>1568</v>
      </c>
      <c r="H470" s="60">
        <v>5774.8</v>
      </c>
      <c r="I470" s="60">
        <v>5654.16</v>
      </c>
      <c r="J470" s="60">
        <v>5670.24</v>
      </c>
      <c r="K470" s="60">
        <v>0</v>
      </c>
      <c r="L470" s="60">
        <v>0</v>
      </c>
      <c r="M470" s="60">
        <v>0</v>
      </c>
      <c r="N470" s="60">
        <v>0</v>
      </c>
      <c r="O470" s="60">
        <v>0</v>
      </c>
      <c r="P470" s="60">
        <v>0</v>
      </c>
      <c r="Q470" s="60">
        <v>0</v>
      </c>
      <c r="R470" s="60">
        <v>0</v>
      </c>
      <c r="S470" s="60">
        <v>0</v>
      </c>
      <c r="T470" s="60">
        <v>0</v>
      </c>
      <c r="U470" s="60">
        <v>0</v>
      </c>
      <c r="V470" s="60">
        <v>0</v>
      </c>
      <c r="W470" s="60">
        <v>0</v>
      </c>
      <c r="X470" s="60">
        <v>0</v>
      </c>
      <c r="Y470" s="60">
        <v>0</v>
      </c>
      <c r="Z470" s="60">
        <v>0</v>
      </c>
      <c r="AA470" s="60">
        <v>0</v>
      </c>
      <c r="AB470" s="60">
        <v>0</v>
      </c>
      <c r="AC470" s="60">
        <v>0</v>
      </c>
      <c r="AD470" s="60">
        <v>0</v>
      </c>
      <c r="AE470" s="60">
        <v>0</v>
      </c>
      <c r="AF470" s="60">
        <v>0</v>
      </c>
      <c r="AG470" s="60">
        <v>0</v>
      </c>
      <c r="AH470" s="60">
        <v>0</v>
      </c>
      <c r="AI470" s="60">
        <v>5774.8</v>
      </c>
      <c r="AJ470" s="60">
        <v>5654.16</v>
      </c>
      <c r="AK470" s="60">
        <v>5670.24</v>
      </c>
      <c r="AL470" s="60">
        <v>0</v>
      </c>
      <c r="AM470" s="60">
        <v>0</v>
      </c>
      <c r="AN470" s="60">
        <v>0</v>
      </c>
      <c r="AO470" s="60">
        <v>5774.8</v>
      </c>
      <c r="AP470" s="60">
        <v>5654.16</v>
      </c>
      <c r="AQ470" s="60">
        <v>5670.24</v>
      </c>
      <c r="AR470" s="61">
        <v>5774.8</v>
      </c>
    </row>
    <row r="471" spans="1:44" x14ac:dyDescent="0.35">
      <c r="A471" s="49" t="str">
        <f t="shared" si="38"/>
        <v>30</v>
      </c>
      <c r="B471" s="27">
        <v>66530</v>
      </c>
      <c r="C471" s="25" t="str">
        <f t="shared" si="39"/>
        <v>0000000</v>
      </c>
      <c r="D471" s="26" t="s">
        <v>3663</v>
      </c>
      <c r="E471" s="25" t="s">
        <v>1575</v>
      </c>
      <c r="F471" s="25" t="s">
        <v>1566</v>
      </c>
      <c r="G471" s="59" t="s">
        <v>1576</v>
      </c>
      <c r="H471" s="60">
        <v>4416.4399999999996</v>
      </c>
      <c r="I471" s="60">
        <v>4420.3999999999996</v>
      </c>
      <c r="J471" s="60">
        <v>4643.45</v>
      </c>
      <c r="K471" s="60">
        <v>0</v>
      </c>
      <c r="L471" s="60">
        <v>0</v>
      </c>
      <c r="M471" s="60">
        <v>0</v>
      </c>
      <c r="N471" s="60">
        <v>0</v>
      </c>
      <c r="O471" s="60">
        <v>0</v>
      </c>
      <c r="P471" s="60">
        <v>0</v>
      </c>
      <c r="Q471" s="60">
        <v>0</v>
      </c>
      <c r="R471" s="60">
        <v>0</v>
      </c>
      <c r="S471" s="60">
        <v>0</v>
      </c>
      <c r="T471" s="60">
        <v>0</v>
      </c>
      <c r="U471" s="60">
        <v>0</v>
      </c>
      <c r="V471" s="60">
        <v>0</v>
      </c>
      <c r="W471" s="60">
        <v>0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0">
        <v>0</v>
      </c>
      <c r="AD471" s="60">
        <v>0</v>
      </c>
      <c r="AE471" s="60">
        <v>0</v>
      </c>
      <c r="AF471" s="60">
        <v>0</v>
      </c>
      <c r="AG471" s="60">
        <v>0</v>
      </c>
      <c r="AH471" s="60">
        <v>0</v>
      </c>
      <c r="AI471" s="60">
        <v>4416.4399999999996</v>
      </c>
      <c r="AJ471" s="60">
        <v>4420.3999999999996</v>
      </c>
      <c r="AK471" s="60">
        <v>4643.45</v>
      </c>
      <c r="AL471" s="60">
        <v>0</v>
      </c>
      <c r="AM471" s="60">
        <v>0</v>
      </c>
      <c r="AN471" s="60">
        <v>0</v>
      </c>
      <c r="AO471" s="60">
        <v>4416.4399999999996</v>
      </c>
      <c r="AP471" s="60">
        <v>4420.3999999999996</v>
      </c>
      <c r="AQ471" s="60">
        <v>4643.45</v>
      </c>
      <c r="AR471" s="61">
        <v>4643.45</v>
      </c>
    </row>
    <row r="472" spans="1:44" x14ac:dyDescent="0.35">
      <c r="A472" s="49" t="str">
        <f t="shared" si="38"/>
        <v>30</v>
      </c>
      <c r="B472" s="27">
        <v>66613</v>
      </c>
      <c r="C472" s="25" t="str">
        <f t="shared" si="39"/>
        <v>0000000</v>
      </c>
      <c r="D472" s="26" t="s">
        <v>3663</v>
      </c>
      <c r="E472" s="25" t="s">
        <v>1589</v>
      </c>
      <c r="F472" s="25" t="s">
        <v>1566</v>
      </c>
      <c r="G472" s="59" t="s">
        <v>1590</v>
      </c>
      <c r="H472" s="60">
        <v>6319.72</v>
      </c>
      <c r="I472" s="60">
        <v>6387.05</v>
      </c>
      <c r="J472" s="60">
        <v>6456.29</v>
      </c>
      <c r="K472" s="60">
        <v>0</v>
      </c>
      <c r="L472" s="60">
        <v>0</v>
      </c>
      <c r="M472" s="60">
        <v>0</v>
      </c>
      <c r="N472" s="60">
        <v>0</v>
      </c>
      <c r="O472" s="60">
        <v>0</v>
      </c>
      <c r="P472" s="60">
        <v>0</v>
      </c>
      <c r="Q472" s="60">
        <v>0</v>
      </c>
      <c r="R472" s="60">
        <v>0</v>
      </c>
      <c r="S472" s="60">
        <v>0</v>
      </c>
      <c r="T472" s="60">
        <v>0</v>
      </c>
      <c r="U472" s="60">
        <v>0</v>
      </c>
      <c r="V472" s="60">
        <v>0</v>
      </c>
      <c r="W472" s="60">
        <v>0</v>
      </c>
      <c r="X472" s="60">
        <v>0</v>
      </c>
      <c r="Y472" s="60">
        <v>0</v>
      </c>
      <c r="Z472" s="60">
        <v>0</v>
      </c>
      <c r="AA472" s="60">
        <v>0</v>
      </c>
      <c r="AB472" s="60">
        <v>0</v>
      </c>
      <c r="AC472" s="60">
        <v>0</v>
      </c>
      <c r="AD472" s="60">
        <v>0</v>
      </c>
      <c r="AE472" s="60">
        <v>0</v>
      </c>
      <c r="AF472" s="60">
        <v>0</v>
      </c>
      <c r="AG472" s="60">
        <v>0</v>
      </c>
      <c r="AH472" s="60">
        <v>0</v>
      </c>
      <c r="AI472" s="60">
        <v>6319.72</v>
      </c>
      <c r="AJ472" s="60">
        <v>6387.05</v>
      </c>
      <c r="AK472" s="60">
        <v>6456.29</v>
      </c>
      <c r="AL472" s="60">
        <v>0</v>
      </c>
      <c r="AM472" s="60">
        <v>0</v>
      </c>
      <c r="AN472" s="60">
        <v>0</v>
      </c>
      <c r="AO472" s="60">
        <v>6319.72</v>
      </c>
      <c r="AP472" s="60">
        <v>6387.05</v>
      </c>
      <c r="AQ472" s="60">
        <v>6456.29</v>
      </c>
      <c r="AR472" s="61">
        <v>6456.29</v>
      </c>
    </row>
    <row r="473" spans="1:44" x14ac:dyDescent="0.35">
      <c r="A473" s="49" t="str">
        <f t="shared" si="38"/>
        <v>30</v>
      </c>
      <c r="B473" s="27">
        <v>66746</v>
      </c>
      <c r="C473" s="25" t="str">
        <f t="shared" si="39"/>
        <v>0000000</v>
      </c>
      <c r="D473" s="26" t="s">
        <v>3663</v>
      </c>
      <c r="E473" s="25" t="s">
        <v>1615</v>
      </c>
      <c r="F473" s="25" t="s">
        <v>1566</v>
      </c>
      <c r="G473" s="59" t="s">
        <v>1616</v>
      </c>
      <c r="H473" s="60">
        <v>7487.38</v>
      </c>
      <c r="I473" s="60">
        <v>7521.37</v>
      </c>
      <c r="J473" s="60">
        <v>7412.98</v>
      </c>
      <c r="K473" s="60">
        <v>0</v>
      </c>
      <c r="L473" s="60">
        <v>0</v>
      </c>
      <c r="M473" s="60">
        <v>0</v>
      </c>
      <c r="N473" s="60">
        <v>0</v>
      </c>
      <c r="O473" s="60">
        <v>0</v>
      </c>
      <c r="P473" s="60">
        <v>0</v>
      </c>
      <c r="Q473" s="60">
        <v>0</v>
      </c>
      <c r="R473" s="60">
        <v>0</v>
      </c>
      <c r="S473" s="60">
        <v>0</v>
      </c>
      <c r="T473" s="60">
        <v>0</v>
      </c>
      <c r="U473" s="60">
        <v>0</v>
      </c>
      <c r="V473" s="60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0</v>
      </c>
      <c r="AD473" s="60">
        <v>0</v>
      </c>
      <c r="AE473" s="60">
        <v>0</v>
      </c>
      <c r="AF473" s="60">
        <v>0</v>
      </c>
      <c r="AG473" s="60">
        <v>0</v>
      </c>
      <c r="AH473" s="60">
        <v>0</v>
      </c>
      <c r="AI473" s="60">
        <v>7487.38</v>
      </c>
      <c r="AJ473" s="60">
        <v>7521.37</v>
      </c>
      <c r="AK473" s="60">
        <v>7412.98</v>
      </c>
      <c r="AL473" s="60">
        <v>0</v>
      </c>
      <c r="AM473" s="60">
        <v>0</v>
      </c>
      <c r="AN473" s="60">
        <v>0</v>
      </c>
      <c r="AO473" s="60">
        <v>7487.38</v>
      </c>
      <c r="AP473" s="60">
        <v>7521.37</v>
      </c>
      <c r="AQ473" s="60">
        <v>7412.98</v>
      </c>
      <c r="AR473" s="61">
        <v>7521.37</v>
      </c>
    </row>
    <row r="474" spans="1:44" x14ac:dyDescent="0.35">
      <c r="A474" s="49" t="str">
        <f t="shared" si="38"/>
        <v>30</v>
      </c>
      <c r="B474" s="27">
        <v>66597</v>
      </c>
      <c r="C474" s="25" t="str">
        <f t="shared" si="39"/>
        <v>0000000</v>
      </c>
      <c r="D474" s="26" t="s">
        <v>3663</v>
      </c>
      <c r="E474" s="25" t="s">
        <v>1587</v>
      </c>
      <c r="F474" s="25" t="s">
        <v>1588</v>
      </c>
      <c r="G474" s="59" t="s">
        <v>1588</v>
      </c>
      <c r="H474" s="60">
        <v>16625.53</v>
      </c>
      <c r="I474" s="60">
        <v>16531.939999999999</v>
      </c>
      <c r="J474" s="60">
        <v>16501.12</v>
      </c>
      <c r="K474" s="60">
        <v>0</v>
      </c>
      <c r="L474" s="60">
        <v>0</v>
      </c>
      <c r="M474" s="60">
        <v>0</v>
      </c>
      <c r="N474" s="60">
        <v>0</v>
      </c>
      <c r="O474" s="60">
        <v>0</v>
      </c>
      <c r="P474" s="60">
        <v>0</v>
      </c>
      <c r="Q474" s="60">
        <v>0</v>
      </c>
      <c r="R474" s="60">
        <v>0</v>
      </c>
      <c r="S474" s="60">
        <v>0</v>
      </c>
      <c r="T474" s="60">
        <v>0</v>
      </c>
      <c r="U474" s="60">
        <v>0</v>
      </c>
      <c r="V474" s="60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0">
        <v>0</v>
      </c>
      <c r="AD474" s="60">
        <v>0</v>
      </c>
      <c r="AE474" s="60">
        <v>0</v>
      </c>
      <c r="AF474" s="60">
        <v>0</v>
      </c>
      <c r="AG474" s="60">
        <v>0</v>
      </c>
      <c r="AH474" s="60">
        <v>0</v>
      </c>
      <c r="AI474" s="60">
        <v>16625.53</v>
      </c>
      <c r="AJ474" s="60">
        <v>16531.939999999999</v>
      </c>
      <c r="AK474" s="60">
        <v>16501.12</v>
      </c>
      <c r="AL474" s="60">
        <v>0</v>
      </c>
      <c r="AM474" s="60">
        <v>0</v>
      </c>
      <c r="AN474" s="60">
        <v>0</v>
      </c>
      <c r="AO474" s="60">
        <v>16625.53</v>
      </c>
      <c r="AP474" s="60">
        <v>16531.939999999999</v>
      </c>
      <c r="AQ474" s="60">
        <v>16501.12</v>
      </c>
      <c r="AR474" s="61">
        <v>16625.53</v>
      </c>
    </row>
    <row r="475" spans="1:44" x14ac:dyDescent="0.35">
      <c r="A475" s="49" t="str">
        <f t="shared" si="38"/>
        <v>30</v>
      </c>
      <c r="B475" s="27">
        <v>66621</v>
      </c>
      <c r="C475" s="25" t="str">
        <f t="shared" si="39"/>
        <v>0000000</v>
      </c>
      <c r="D475" s="26" t="s">
        <v>3663</v>
      </c>
      <c r="E475" s="25" t="s">
        <v>1591</v>
      </c>
      <c r="F475" s="25" t="s">
        <v>1592</v>
      </c>
      <c r="G475" s="59" t="s">
        <v>1592</v>
      </c>
      <c r="H475" s="60">
        <v>21832.5</v>
      </c>
      <c r="I475" s="60">
        <v>21942.240000000002</v>
      </c>
      <c r="J475" s="60">
        <v>22205.439999999999</v>
      </c>
      <c r="K475" s="60">
        <v>0</v>
      </c>
      <c r="L475" s="60">
        <v>0</v>
      </c>
      <c r="M475" s="60">
        <v>0</v>
      </c>
      <c r="N475" s="60">
        <v>0</v>
      </c>
      <c r="O475" s="60">
        <v>0</v>
      </c>
      <c r="P475" s="60">
        <v>0</v>
      </c>
      <c r="Q475" s="60">
        <v>0</v>
      </c>
      <c r="R475" s="60">
        <v>0</v>
      </c>
      <c r="S475" s="60">
        <v>0</v>
      </c>
      <c r="T475" s="60">
        <v>0</v>
      </c>
      <c r="U475" s="60">
        <v>0</v>
      </c>
      <c r="V475" s="60">
        <v>0</v>
      </c>
      <c r="W475" s="60">
        <v>0</v>
      </c>
      <c r="X475" s="60">
        <v>0</v>
      </c>
      <c r="Y475" s="60">
        <v>0</v>
      </c>
      <c r="Z475" s="60">
        <v>0</v>
      </c>
      <c r="AA475" s="60">
        <v>0</v>
      </c>
      <c r="AB475" s="60">
        <v>0</v>
      </c>
      <c r="AC475" s="60">
        <v>0</v>
      </c>
      <c r="AD475" s="60">
        <v>0</v>
      </c>
      <c r="AE475" s="60">
        <v>0</v>
      </c>
      <c r="AF475" s="60">
        <v>0</v>
      </c>
      <c r="AG475" s="60">
        <v>0</v>
      </c>
      <c r="AH475" s="60">
        <v>0</v>
      </c>
      <c r="AI475" s="60">
        <v>21832.5</v>
      </c>
      <c r="AJ475" s="60">
        <v>21942.240000000002</v>
      </c>
      <c r="AK475" s="60">
        <v>22205.439999999999</v>
      </c>
      <c r="AL475" s="60">
        <v>0</v>
      </c>
      <c r="AM475" s="60">
        <v>0</v>
      </c>
      <c r="AN475" s="60">
        <v>0</v>
      </c>
      <c r="AO475" s="60">
        <v>21832.5</v>
      </c>
      <c r="AP475" s="60">
        <v>21942.240000000002</v>
      </c>
      <c r="AQ475" s="60">
        <v>22205.439999999999</v>
      </c>
      <c r="AR475" s="61">
        <v>22205.439999999999</v>
      </c>
    </row>
    <row r="476" spans="1:44" x14ac:dyDescent="0.35">
      <c r="A476" s="49" t="str">
        <f t="shared" si="38"/>
        <v>30</v>
      </c>
      <c r="B476" s="27">
        <v>66670</v>
      </c>
      <c r="C476" s="25" t="str">
        <f t="shared" si="39"/>
        <v>0000000</v>
      </c>
      <c r="D476" s="26" t="s">
        <v>3663</v>
      </c>
      <c r="E476" s="25" t="s">
        <v>1599</v>
      </c>
      <c r="F476" s="25" t="s">
        <v>1600</v>
      </c>
      <c r="G476" s="59" t="s">
        <v>1600</v>
      </c>
      <c r="H476" s="60">
        <v>35291.51</v>
      </c>
      <c r="I476" s="60">
        <v>36639.519999999997</v>
      </c>
      <c r="J476" s="60">
        <v>36391.18</v>
      </c>
      <c r="K476" s="60">
        <v>0</v>
      </c>
      <c r="L476" s="60">
        <v>0</v>
      </c>
      <c r="M476" s="60">
        <v>0</v>
      </c>
      <c r="N476" s="60">
        <v>0</v>
      </c>
      <c r="O476" s="60">
        <v>0</v>
      </c>
      <c r="P476" s="60">
        <v>0</v>
      </c>
      <c r="Q476" s="60">
        <v>0</v>
      </c>
      <c r="R476" s="60">
        <v>0</v>
      </c>
      <c r="S476" s="60">
        <v>0</v>
      </c>
      <c r="T476" s="60">
        <v>0</v>
      </c>
      <c r="U476" s="60">
        <v>0</v>
      </c>
      <c r="V476" s="60">
        <v>0</v>
      </c>
      <c r="W476" s="60">
        <v>0</v>
      </c>
      <c r="X476" s="60">
        <v>0</v>
      </c>
      <c r="Y476" s="60">
        <v>0</v>
      </c>
      <c r="Z476" s="60">
        <v>0</v>
      </c>
      <c r="AA476" s="60">
        <v>0</v>
      </c>
      <c r="AB476" s="60">
        <v>0</v>
      </c>
      <c r="AC476" s="60">
        <v>332.1</v>
      </c>
      <c r="AD476" s="60">
        <v>302.55</v>
      </c>
      <c r="AE476" s="60">
        <v>284.33</v>
      </c>
      <c r="AF476" s="60">
        <v>0</v>
      </c>
      <c r="AG476" s="60">
        <v>0</v>
      </c>
      <c r="AH476" s="60">
        <v>0</v>
      </c>
      <c r="AI476" s="60">
        <v>35623.61</v>
      </c>
      <c r="AJ476" s="60">
        <v>36942.07</v>
      </c>
      <c r="AK476" s="60">
        <v>36675.51</v>
      </c>
      <c r="AL476" s="60">
        <v>0</v>
      </c>
      <c r="AM476" s="60">
        <v>0</v>
      </c>
      <c r="AN476" s="60">
        <v>0</v>
      </c>
      <c r="AO476" s="60">
        <v>35623.61</v>
      </c>
      <c r="AP476" s="60">
        <v>36942.07</v>
      </c>
      <c r="AQ476" s="60">
        <v>36675.51</v>
      </c>
      <c r="AR476" s="61">
        <v>36942.07</v>
      </c>
    </row>
    <row r="477" spans="1:44" x14ac:dyDescent="0.35">
      <c r="A477" s="49" t="str">
        <f t="shared" si="38"/>
        <v>30</v>
      </c>
      <c r="B477" s="27">
        <v>66522</v>
      </c>
      <c r="C477" s="25" t="str">
        <f t="shared" si="39"/>
        <v>0000000</v>
      </c>
      <c r="D477" s="26" t="s">
        <v>3663</v>
      </c>
      <c r="E477" s="25" t="s">
        <v>1573</v>
      </c>
      <c r="F477" s="25" t="s">
        <v>1574</v>
      </c>
      <c r="G477" s="59" t="s">
        <v>1574</v>
      </c>
      <c r="H477" s="60">
        <v>35304.39</v>
      </c>
      <c r="I477" s="60">
        <v>35500.82</v>
      </c>
      <c r="J477" s="60">
        <v>35958.67</v>
      </c>
      <c r="K477" s="60">
        <v>0</v>
      </c>
      <c r="L477" s="60">
        <v>0</v>
      </c>
      <c r="M477" s="60">
        <v>0</v>
      </c>
      <c r="N477" s="60">
        <v>0</v>
      </c>
      <c r="O477" s="60">
        <v>0</v>
      </c>
      <c r="P477" s="60">
        <v>0</v>
      </c>
      <c r="Q477" s="60">
        <v>0</v>
      </c>
      <c r="R477" s="60">
        <v>0</v>
      </c>
      <c r="S477" s="60">
        <v>0</v>
      </c>
      <c r="T477" s="60">
        <v>0</v>
      </c>
      <c r="U477" s="60">
        <v>0</v>
      </c>
      <c r="V477" s="60">
        <v>0</v>
      </c>
      <c r="W477" s="60">
        <v>0</v>
      </c>
      <c r="X477" s="60">
        <v>0</v>
      </c>
      <c r="Y477" s="60">
        <v>0</v>
      </c>
      <c r="Z477" s="60">
        <v>0</v>
      </c>
      <c r="AA477" s="60">
        <v>0</v>
      </c>
      <c r="AB477" s="60">
        <v>0</v>
      </c>
      <c r="AC477" s="60">
        <v>0</v>
      </c>
      <c r="AD477" s="60">
        <v>0</v>
      </c>
      <c r="AE477" s="60">
        <v>0</v>
      </c>
      <c r="AF477" s="60">
        <v>0</v>
      </c>
      <c r="AG477" s="60">
        <v>0</v>
      </c>
      <c r="AH477" s="60">
        <v>0</v>
      </c>
      <c r="AI477" s="60">
        <v>35304.39</v>
      </c>
      <c r="AJ477" s="60">
        <v>35500.82</v>
      </c>
      <c r="AK477" s="60">
        <v>35958.67</v>
      </c>
      <c r="AL477" s="60">
        <v>0</v>
      </c>
      <c r="AM477" s="60">
        <v>0</v>
      </c>
      <c r="AN477" s="60">
        <v>0</v>
      </c>
      <c r="AO477" s="60">
        <v>35304.39</v>
      </c>
      <c r="AP477" s="60">
        <v>35500.82</v>
      </c>
      <c r="AQ477" s="60">
        <v>35958.67</v>
      </c>
      <c r="AR477" s="61">
        <v>35958.67</v>
      </c>
    </row>
    <row r="478" spans="1:44" x14ac:dyDescent="0.35">
      <c r="A478" s="49" t="str">
        <f t="shared" si="38"/>
        <v>30</v>
      </c>
      <c r="B478" s="27">
        <v>73650</v>
      </c>
      <c r="C478" s="25" t="str">
        <f t="shared" si="39"/>
        <v>0000000</v>
      </c>
      <c r="D478" s="26" t="s">
        <v>3663</v>
      </c>
      <c r="E478" s="25" t="s">
        <v>1619</v>
      </c>
      <c r="F478" s="25" t="s">
        <v>1620</v>
      </c>
      <c r="G478" s="59" t="s">
        <v>1620</v>
      </c>
      <c r="H478" s="60">
        <v>36245.75</v>
      </c>
      <c r="I478" s="60">
        <v>34960.5</v>
      </c>
      <c r="J478" s="60">
        <v>34505.1</v>
      </c>
      <c r="K478" s="60">
        <v>0</v>
      </c>
      <c r="L478" s="60">
        <v>0</v>
      </c>
      <c r="M478" s="60">
        <v>0</v>
      </c>
      <c r="N478" s="60">
        <v>0</v>
      </c>
      <c r="O478" s="60">
        <v>0</v>
      </c>
      <c r="P478" s="60">
        <v>0</v>
      </c>
      <c r="Q478" s="60">
        <v>0</v>
      </c>
      <c r="R478" s="60">
        <v>0</v>
      </c>
      <c r="S478" s="60">
        <v>0</v>
      </c>
      <c r="T478" s="60">
        <v>0</v>
      </c>
      <c r="U478" s="60">
        <v>0</v>
      </c>
      <c r="V478" s="60">
        <v>0</v>
      </c>
      <c r="W478" s="60">
        <v>0</v>
      </c>
      <c r="X478" s="60">
        <v>0</v>
      </c>
      <c r="Y478" s="60">
        <v>0</v>
      </c>
      <c r="Z478" s="60">
        <v>0</v>
      </c>
      <c r="AA478" s="60">
        <v>0</v>
      </c>
      <c r="AB478" s="60">
        <v>0</v>
      </c>
      <c r="AC478" s="60">
        <v>219.64</v>
      </c>
      <c r="AD478" s="60">
        <v>0</v>
      </c>
      <c r="AE478" s="60">
        <v>0</v>
      </c>
      <c r="AF478" s="60">
        <v>0</v>
      </c>
      <c r="AG478" s="60">
        <v>0</v>
      </c>
      <c r="AH478" s="60">
        <v>0</v>
      </c>
      <c r="AI478" s="60">
        <v>36465.39</v>
      </c>
      <c r="AJ478" s="60">
        <v>34960.5</v>
      </c>
      <c r="AK478" s="60">
        <v>34505.1</v>
      </c>
      <c r="AL478" s="60">
        <v>0</v>
      </c>
      <c r="AM478" s="60">
        <v>0</v>
      </c>
      <c r="AN478" s="60">
        <v>0</v>
      </c>
      <c r="AO478" s="60">
        <v>36465.39</v>
      </c>
      <c r="AP478" s="60">
        <v>34960.5</v>
      </c>
      <c r="AQ478" s="60">
        <v>34505.1</v>
      </c>
      <c r="AR478" s="61">
        <v>36465.39</v>
      </c>
    </row>
    <row r="479" spans="1:44" x14ac:dyDescent="0.35">
      <c r="A479" s="49" t="str">
        <f>TEXT(10,"00")</f>
        <v>10</v>
      </c>
      <c r="B479" s="27">
        <v>62166</v>
      </c>
      <c r="C479" s="25" t="str">
        <f t="shared" si="39"/>
        <v>0000000</v>
      </c>
      <c r="D479" s="26" t="s">
        <v>3663</v>
      </c>
      <c r="E479" s="25" t="s">
        <v>421</v>
      </c>
      <c r="F479" s="25" t="s">
        <v>422</v>
      </c>
      <c r="G479" s="59" t="s">
        <v>422</v>
      </c>
      <c r="H479" s="60">
        <v>62221.03</v>
      </c>
      <c r="I479" s="60">
        <v>62403.72</v>
      </c>
      <c r="J479" s="60">
        <v>59018.07</v>
      </c>
      <c r="K479" s="60">
        <v>0</v>
      </c>
      <c r="L479" s="60">
        <v>0</v>
      </c>
      <c r="M479" s="60">
        <v>0</v>
      </c>
      <c r="N479" s="60">
        <v>0</v>
      </c>
      <c r="O479" s="60">
        <v>0</v>
      </c>
      <c r="P479" s="60">
        <v>0</v>
      </c>
      <c r="Q479" s="60">
        <v>0</v>
      </c>
      <c r="R479" s="60">
        <v>0</v>
      </c>
      <c r="S479" s="60">
        <v>0</v>
      </c>
      <c r="T479" s="60">
        <v>0</v>
      </c>
      <c r="U479" s="60">
        <v>0</v>
      </c>
      <c r="V479" s="60">
        <v>0</v>
      </c>
      <c r="W479" s="60">
        <v>0</v>
      </c>
      <c r="X479" s="60">
        <v>0</v>
      </c>
      <c r="Y479" s="60">
        <v>0</v>
      </c>
      <c r="Z479" s="60">
        <v>0</v>
      </c>
      <c r="AA479" s="60">
        <v>0</v>
      </c>
      <c r="AB479" s="60">
        <v>0</v>
      </c>
      <c r="AC479" s="60">
        <v>828.7</v>
      </c>
      <c r="AD479" s="60">
        <v>807.65</v>
      </c>
      <c r="AE479" s="60">
        <v>956.84</v>
      </c>
      <c r="AF479" s="60">
        <v>0</v>
      </c>
      <c r="AG479" s="60">
        <v>0</v>
      </c>
      <c r="AH479" s="60">
        <v>0</v>
      </c>
      <c r="AI479" s="60">
        <v>63049.73</v>
      </c>
      <c r="AJ479" s="60">
        <v>63211.37</v>
      </c>
      <c r="AK479" s="60">
        <v>59974.91</v>
      </c>
      <c r="AL479" s="60">
        <v>0</v>
      </c>
      <c r="AM479" s="60">
        <v>0</v>
      </c>
      <c r="AN479" s="60">
        <v>-170.34</v>
      </c>
      <c r="AO479" s="60">
        <v>63049.73</v>
      </c>
      <c r="AP479" s="60">
        <v>63211.37</v>
      </c>
      <c r="AQ479" s="60">
        <v>59804.57</v>
      </c>
      <c r="AR479" s="61">
        <v>63211.37</v>
      </c>
    </row>
    <row r="480" spans="1:44" x14ac:dyDescent="0.35">
      <c r="A480" s="49" t="str">
        <f>TEXT(39,"00")</f>
        <v>39</v>
      </c>
      <c r="B480" s="27">
        <v>68676</v>
      </c>
      <c r="C480" s="25" t="str">
        <f t="shared" si="39"/>
        <v>0000000</v>
      </c>
      <c r="D480" s="26" t="s">
        <v>3663</v>
      </c>
      <c r="E480" s="25" t="s">
        <v>2467</v>
      </c>
      <c r="F480" s="25" t="s">
        <v>3544</v>
      </c>
      <c r="G480" s="59" t="s">
        <v>3544</v>
      </c>
      <c r="H480" s="60">
        <v>29097.99</v>
      </c>
      <c r="I480" s="60">
        <v>29701.72</v>
      </c>
      <c r="J480" s="60">
        <v>28935.86</v>
      </c>
      <c r="K480" s="60">
        <v>0</v>
      </c>
      <c r="L480" s="60">
        <v>0</v>
      </c>
      <c r="M480" s="60">
        <v>0</v>
      </c>
      <c r="N480" s="60">
        <v>0</v>
      </c>
      <c r="O480" s="60">
        <v>0</v>
      </c>
      <c r="P480" s="60">
        <v>0</v>
      </c>
      <c r="Q480" s="60">
        <v>0</v>
      </c>
      <c r="R480" s="60">
        <v>0</v>
      </c>
      <c r="S480" s="60">
        <v>0</v>
      </c>
      <c r="T480" s="60">
        <v>0</v>
      </c>
      <c r="U480" s="60">
        <v>0</v>
      </c>
      <c r="V480" s="60">
        <v>0</v>
      </c>
      <c r="W480" s="60">
        <v>0</v>
      </c>
      <c r="X480" s="60">
        <v>0</v>
      </c>
      <c r="Y480" s="60">
        <v>0</v>
      </c>
      <c r="Z480" s="60">
        <v>0</v>
      </c>
      <c r="AA480" s="60">
        <v>0</v>
      </c>
      <c r="AB480" s="60">
        <v>0</v>
      </c>
      <c r="AC480" s="60">
        <v>1965.54</v>
      </c>
      <c r="AD480" s="60">
        <v>1961.09</v>
      </c>
      <c r="AE480" s="60">
        <v>2647.4</v>
      </c>
      <c r="AF480" s="60">
        <v>0</v>
      </c>
      <c r="AG480" s="60">
        <v>0</v>
      </c>
      <c r="AH480" s="60">
        <v>0</v>
      </c>
      <c r="AI480" s="60">
        <v>31063.53</v>
      </c>
      <c r="AJ480" s="60">
        <v>31662.81</v>
      </c>
      <c r="AK480" s="60">
        <v>31583.26</v>
      </c>
      <c r="AL480" s="60">
        <v>0</v>
      </c>
      <c r="AM480" s="60">
        <v>0</v>
      </c>
      <c r="AN480" s="60">
        <v>-684.97</v>
      </c>
      <c r="AO480" s="60">
        <v>31063.53</v>
      </c>
      <c r="AP480" s="60">
        <v>31662.81</v>
      </c>
      <c r="AQ480" s="60">
        <v>30898.29</v>
      </c>
      <c r="AR480" s="61">
        <v>31662.81</v>
      </c>
    </row>
    <row r="481" spans="1:44" x14ac:dyDescent="0.35">
      <c r="A481" s="49" t="str">
        <f>TEXT(34,"00")</f>
        <v>34</v>
      </c>
      <c r="B481" s="27">
        <v>67439</v>
      </c>
      <c r="C481" s="25" t="str">
        <f t="shared" si="39"/>
        <v>0000000</v>
      </c>
      <c r="D481" s="26" t="s">
        <v>3663</v>
      </c>
      <c r="E481" s="25" t="s">
        <v>1819</v>
      </c>
      <c r="F481" s="25" t="s">
        <v>1820</v>
      </c>
      <c r="G481" s="59" t="s">
        <v>1820</v>
      </c>
      <c r="H481" s="60">
        <v>33679.14</v>
      </c>
      <c r="I481" s="60">
        <v>33726.9</v>
      </c>
      <c r="J481" s="60">
        <v>33551.379999999997</v>
      </c>
      <c r="K481" s="60">
        <v>0</v>
      </c>
      <c r="L481" s="60">
        <v>0</v>
      </c>
      <c r="M481" s="60">
        <v>0</v>
      </c>
      <c r="N481" s="60">
        <v>0</v>
      </c>
      <c r="O481" s="60">
        <v>0</v>
      </c>
      <c r="P481" s="60">
        <v>0</v>
      </c>
      <c r="Q481" s="60">
        <v>0</v>
      </c>
      <c r="R481" s="60">
        <v>0</v>
      </c>
      <c r="S481" s="60">
        <v>0</v>
      </c>
      <c r="T481" s="60">
        <v>0</v>
      </c>
      <c r="U481" s="60">
        <v>0</v>
      </c>
      <c r="V481" s="60">
        <v>0</v>
      </c>
      <c r="W481" s="60">
        <v>0</v>
      </c>
      <c r="X481" s="60">
        <v>0</v>
      </c>
      <c r="Y481" s="60">
        <v>0</v>
      </c>
      <c r="Z481" s="60">
        <v>0</v>
      </c>
      <c r="AA481" s="60">
        <v>0</v>
      </c>
      <c r="AB481" s="60">
        <v>0</v>
      </c>
      <c r="AC481" s="60">
        <v>1684.74</v>
      </c>
      <c r="AD481" s="60">
        <v>1737.72</v>
      </c>
      <c r="AE481" s="60">
        <v>1787.74</v>
      </c>
      <c r="AF481" s="60">
        <v>0</v>
      </c>
      <c r="AG481" s="60">
        <v>0</v>
      </c>
      <c r="AH481" s="60">
        <v>0</v>
      </c>
      <c r="AI481" s="60">
        <v>35363.879999999997</v>
      </c>
      <c r="AJ481" s="60">
        <v>35464.620000000003</v>
      </c>
      <c r="AK481" s="60">
        <v>35339.120000000003</v>
      </c>
      <c r="AL481" s="60">
        <v>0</v>
      </c>
      <c r="AM481" s="60">
        <v>0</v>
      </c>
      <c r="AN481" s="60">
        <v>0</v>
      </c>
      <c r="AO481" s="60">
        <v>35363.879999999997</v>
      </c>
      <c r="AP481" s="60">
        <v>35464.620000000003</v>
      </c>
      <c r="AQ481" s="60">
        <v>35339.120000000003</v>
      </c>
      <c r="AR481" s="61">
        <v>35464.620000000003</v>
      </c>
    </row>
    <row r="482" spans="1:44" x14ac:dyDescent="0.35">
      <c r="A482" s="49" t="str">
        <f t="shared" ref="A482:A487" si="40">TEXT(48,"00")</f>
        <v>48</v>
      </c>
      <c r="B482" s="27">
        <v>10488</v>
      </c>
      <c r="C482" s="25" t="str">
        <f t="shared" si="39"/>
        <v>0000000</v>
      </c>
      <c r="D482" s="26" t="s">
        <v>3663</v>
      </c>
      <c r="E482" s="25" t="s">
        <v>3019</v>
      </c>
      <c r="F482" s="25" t="s">
        <v>3020</v>
      </c>
      <c r="G482" s="59" t="s">
        <v>3020</v>
      </c>
      <c r="H482" s="60">
        <v>0</v>
      </c>
      <c r="I482" s="60">
        <v>0</v>
      </c>
      <c r="J482" s="60">
        <v>0</v>
      </c>
      <c r="K482" s="60">
        <v>0</v>
      </c>
      <c r="L482" s="60">
        <v>0</v>
      </c>
      <c r="M482" s="60">
        <v>0</v>
      </c>
      <c r="N482" s="60">
        <v>0</v>
      </c>
      <c r="O482" s="60">
        <v>0</v>
      </c>
      <c r="P482" s="60">
        <v>0</v>
      </c>
      <c r="Q482" s="60">
        <v>0</v>
      </c>
      <c r="R482" s="60">
        <v>0</v>
      </c>
      <c r="S482" s="60">
        <v>0</v>
      </c>
      <c r="T482" s="60">
        <v>70.430000000000007</v>
      </c>
      <c r="U482" s="60">
        <v>55.8</v>
      </c>
      <c r="V482" s="60">
        <v>48.07</v>
      </c>
      <c r="W482" s="60">
        <v>318.97000000000003</v>
      </c>
      <c r="X482" s="60">
        <v>268.29000000000002</v>
      </c>
      <c r="Y482" s="60">
        <v>235.65</v>
      </c>
      <c r="Z482" s="60">
        <v>0</v>
      </c>
      <c r="AA482" s="60">
        <v>0</v>
      </c>
      <c r="AB482" s="60">
        <v>0</v>
      </c>
      <c r="AC482" s="60">
        <v>0</v>
      </c>
      <c r="AD482" s="60">
        <v>0</v>
      </c>
      <c r="AE482" s="60">
        <v>0</v>
      </c>
      <c r="AF482" s="60">
        <v>0</v>
      </c>
      <c r="AG482" s="60">
        <v>0</v>
      </c>
      <c r="AH482" s="60">
        <v>0</v>
      </c>
      <c r="AI482" s="60">
        <v>389.4</v>
      </c>
      <c r="AJ482" s="60">
        <v>324.08999999999997</v>
      </c>
      <c r="AK482" s="60">
        <v>283.72000000000003</v>
      </c>
      <c r="AL482" s="60">
        <v>0</v>
      </c>
      <c r="AM482" s="60">
        <v>0</v>
      </c>
      <c r="AN482" s="60">
        <v>0</v>
      </c>
      <c r="AO482" s="60">
        <v>389.4</v>
      </c>
      <c r="AP482" s="60">
        <v>324.08999999999997</v>
      </c>
      <c r="AQ482" s="60">
        <v>283.72000000000003</v>
      </c>
      <c r="AR482" s="61">
        <v>389.4</v>
      </c>
    </row>
    <row r="483" spans="1:44" x14ac:dyDescent="0.35">
      <c r="A483" s="49" t="str">
        <f t="shared" si="40"/>
        <v>48</v>
      </c>
      <c r="B483" s="27">
        <v>70524</v>
      </c>
      <c r="C483" s="25" t="str">
        <f t="shared" si="39"/>
        <v>0000000</v>
      </c>
      <c r="D483" s="26" t="s">
        <v>3663</v>
      </c>
      <c r="E483" s="25" t="s">
        <v>3023</v>
      </c>
      <c r="F483" s="25" t="s">
        <v>3020</v>
      </c>
      <c r="G483" s="59" t="s">
        <v>3024</v>
      </c>
      <c r="H483" s="60">
        <v>4111.1400000000003</v>
      </c>
      <c r="I483" s="60">
        <v>4041.44</v>
      </c>
      <c r="J483" s="60">
        <v>4036.66</v>
      </c>
      <c r="K483" s="60">
        <v>0</v>
      </c>
      <c r="L483" s="60">
        <v>0</v>
      </c>
      <c r="M483" s="60">
        <v>0</v>
      </c>
      <c r="N483" s="60">
        <v>0</v>
      </c>
      <c r="O483" s="60">
        <v>0</v>
      </c>
      <c r="P483" s="60">
        <v>0</v>
      </c>
      <c r="Q483" s="60">
        <v>0</v>
      </c>
      <c r="R483" s="60">
        <v>0</v>
      </c>
      <c r="S483" s="60">
        <v>0</v>
      </c>
      <c r="T483" s="60">
        <v>0</v>
      </c>
      <c r="U483" s="60">
        <v>0</v>
      </c>
      <c r="V483" s="60">
        <v>0</v>
      </c>
      <c r="W483" s="60">
        <v>0</v>
      </c>
      <c r="X483" s="60">
        <v>0</v>
      </c>
      <c r="Y483" s="60">
        <v>0</v>
      </c>
      <c r="Z483" s="60">
        <v>0</v>
      </c>
      <c r="AA483" s="60">
        <v>0</v>
      </c>
      <c r="AB483" s="60">
        <v>0</v>
      </c>
      <c r="AC483" s="60">
        <v>0</v>
      </c>
      <c r="AD483" s="60">
        <v>0</v>
      </c>
      <c r="AE483" s="60">
        <v>0</v>
      </c>
      <c r="AF483" s="60">
        <v>0</v>
      </c>
      <c r="AG483" s="60">
        <v>0</v>
      </c>
      <c r="AH483" s="60">
        <v>0</v>
      </c>
      <c r="AI483" s="60">
        <v>4111.1400000000003</v>
      </c>
      <c r="AJ483" s="60">
        <v>4041.44</v>
      </c>
      <c r="AK483" s="60">
        <v>4036.66</v>
      </c>
      <c r="AL483" s="60">
        <v>0</v>
      </c>
      <c r="AM483" s="60">
        <v>0</v>
      </c>
      <c r="AN483" s="60">
        <v>0</v>
      </c>
      <c r="AO483" s="60">
        <v>4111.1400000000003</v>
      </c>
      <c r="AP483" s="60">
        <v>4041.44</v>
      </c>
      <c r="AQ483" s="60">
        <v>4036.66</v>
      </c>
      <c r="AR483" s="61">
        <v>4111.1400000000003</v>
      </c>
    </row>
    <row r="484" spans="1:44" x14ac:dyDescent="0.35">
      <c r="A484" s="49" t="str">
        <f t="shared" si="40"/>
        <v>48</v>
      </c>
      <c r="B484" s="27">
        <v>70532</v>
      </c>
      <c r="C484" s="25" t="str">
        <f t="shared" si="39"/>
        <v>0000000</v>
      </c>
      <c r="D484" s="26" t="s">
        <v>3663</v>
      </c>
      <c r="E484" s="25" t="s">
        <v>3025</v>
      </c>
      <c r="F484" s="25" t="s">
        <v>3020</v>
      </c>
      <c r="G484" s="59" t="s">
        <v>3026</v>
      </c>
      <c r="H484" s="60">
        <v>2786.63</v>
      </c>
      <c r="I484" s="60">
        <v>2756.39</v>
      </c>
      <c r="J484" s="60">
        <v>2757.41</v>
      </c>
      <c r="K484" s="60">
        <v>0</v>
      </c>
      <c r="L484" s="60">
        <v>0</v>
      </c>
      <c r="M484" s="60">
        <v>0</v>
      </c>
      <c r="N484" s="60">
        <v>0</v>
      </c>
      <c r="O484" s="60">
        <v>0</v>
      </c>
      <c r="P484" s="60">
        <v>0</v>
      </c>
      <c r="Q484" s="60">
        <v>0</v>
      </c>
      <c r="R484" s="60">
        <v>0</v>
      </c>
      <c r="S484" s="60">
        <v>0</v>
      </c>
      <c r="T484" s="60">
        <v>0</v>
      </c>
      <c r="U484" s="60">
        <v>0</v>
      </c>
      <c r="V484" s="60">
        <v>0</v>
      </c>
      <c r="W484" s="60">
        <v>0</v>
      </c>
      <c r="X484" s="60">
        <v>0</v>
      </c>
      <c r="Y484" s="60">
        <v>0</v>
      </c>
      <c r="Z484" s="60">
        <v>0</v>
      </c>
      <c r="AA484" s="60">
        <v>0</v>
      </c>
      <c r="AB484" s="60">
        <v>0</v>
      </c>
      <c r="AC484" s="60">
        <v>0</v>
      </c>
      <c r="AD484" s="60">
        <v>0</v>
      </c>
      <c r="AE484" s="60">
        <v>0</v>
      </c>
      <c r="AF484" s="60">
        <v>0</v>
      </c>
      <c r="AG484" s="60">
        <v>0</v>
      </c>
      <c r="AH484" s="60">
        <v>0</v>
      </c>
      <c r="AI484" s="60">
        <v>2786.63</v>
      </c>
      <c r="AJ484" s="60">
        <v>2756.39</v>
      </c>
      <c r="AK484" s="60">
        <v>2757.41</v>
      </c>
      <c r="AL484" s="60">
        <v>0</v>
      </c>
      <c r="AM484" s="60">
        <v>0</v>
      </c>
      <c r="AN484" s="60">
        <v>0</v>
      </c>
      <c r="AO484" s="60">
        <v>2786.63</v>
      </c>
      <c r="AP484" s="60">
        <v>2756.39</v>
      </c>
      <c r="AQ484" s="60">
        <v>2757.41</v>
      </c>
      <c r="AR484" s="61">
        <v>2786.63</v>
      </c>
    </row>
    <row r="485" spans="1:44" x14ac:dyDescent="0.35">
      <c r="A485" s="49" t="str">
        <f t="shared" si="40"/>
        <v>48</v>
      </c>
      <c r="B485" s="27">
        <v>70540</v>
      </c>
      <c r="C485" s="25" t="str">
        <f t="shared" si="39"/>
        <v>0000000</v>
      </c>
      <c r="D485" s="26" t="s">
        <v>3663</v>
      </c>
      <c r="E485" s="25" t="s">
        <v>3029</v>
      </c>
      <c r="F485" s="25" t="s">
        <v>3020</v>
      </c>
      <c r="G485" s="59" t="s">
        <v>3030</v>
      </c>
      <c r="H485" s="60">
        <v>18843.55</v>
      </c>
      <c r="I485" s="60">
        <v>18725.55</v>
      </c>
      <c r="J485" s="60">
        <v>18766.55</v>
      </c>
      <c r="K485" s="60">
        <v>0</v>
      </c>
      <c r="L485" s="60">
        <v>0</v>
      </c>
      <c r="M485" s="60">
        <v>0</v>
      </c>
      <c r="N485" s="60">
        <v>0</v>
      </c>
      <c r="O485" s="60">
        <v>0</v>
      </c>
      <c r="P485" s="60">
        <v>0</v>
      </c>
      <c r="Q485" s="60">
        <v>0</v>
      </c>
      <c r="R485" s="60">
        <v>0</v>
      </c>
      <c r="S485" s="60">
        <v>0</v>
      </c>
      <c r="T485" s="60">
        <v>0</v>
      </c>
      <c r="U485" s="60">
        <v>0</v>
      </c>
      <c r="V485" s="60">
        <v>0</v>
      </c>
      <c r="W485" s="60">
        <v>0</v>
      </c>
      <c r="X485" s="60">
        <v>0</v>
      </c>
      <c r="Y485" s="60">
        <v>0</v>
      </c>
      <c r="Z485" s="60">
        <v>0</v>
      </c>
      <c r="AA485" s="60">
        <v>0</v>
      </c>
      <c r="AB485" s="60">
        <v>0</v>
      </c>
      <c r="AC485" s="60">
        <v>0</v>
      </c>
      <c r="AD485" s="60">
        <v>0</v>
      </c>
      <c r="AE485" s="60">
        <v>0</v>
      </c>
      <c r="AF485" s="60">
        <v>0</v>
      </c>
      <c r="AG485" s="60">
        <v>0</v>
      </c>
      <c r="AH485" s="60">
        <v>0</v>
      </c>
      <c r="AI485" s="60">
        <v>18843.55</v>
      </c>
      <c r="AJ485" s="60">
        <v>18725.55</v>
      </c>
      <c r="AK485" s="60">
        <v>18766.55</v>
      </c>
      <c r="AL485" s="60">
        <v>0</v>
      </c>
      <c r="AM485" s="60">
        <v>0</v>
      </c>
      <c r="AN485" s="60">
        <v>0</v>
      </c>
      <c r="AO485" s="60">
        <v>18843.55</v>
      </c>
      <c r="AP485" s="60">
        <v>18725.55</v>
      </c>
      <c r="AQ485" s="60">
        <v>18766.55</v>
      </c>
      <c r="AR485" s="61">
        <v>18843.55</v>
      </c>
    </row>
    <row r="486" spans="1:44" x14ac:dyDescent="0.35">
      <c r="A486" s="49" t="str">
        <f t="shared" si="40"/>
        <v>48</v>
      </c>
      <c r="B486" s="27">
        <v>70565</v>
      </c>
      <c r="C486" s="25" t="str">
        <f t="shared" si="39"/>
        <v>0000000</v>
      </c>
      <c r="D486" s="26" t="s">
        <v>3663</v>
      </c>
      <c r="E486" s="25" t="s">
        <v>3031</v>
      </c>
      <c r="F486" s="25" t="s">
        <v>3020</v>
      </c>
      <c r="G486" s="59" t="s">
        <v>3032</v>
      </c>
      <c r="H486" s="60">
        <v>5177.6400000000003</v>
      </c>
      <c r="I486" s="60">
        <v>5018.2299999999996</v>
      </c>
      <c r="J486" s="60">
        <v>4924.18</v>
      </c>
      <c r="K486" s="60">
        <v>0</v>
      </c>
      <c r="L486" s="60">
        <v>0</v>
      </c>
      <c r="M486" s="60">
        <v>0</v>
      </c>
      <c r="N486" s="60">
        <v>0</v>
      </c>
      <c r="O486" s="60">
        <v>0</v>
      </c>
      <c r="P486" s="60">
        <v>0</v>
      </c>
      <c r="Q486" s="60">
        <v>0</v>
      </c>
      <c r="R486" s="60">
        <v>0</v>
      </c>
      <c r="S486" s="60">
        <v>0</v>
      </c>
      <c r="T486" s="60">
        <v>0</v>
      </c>
      <c r="U486" s="60">
        <v>0</v>
      </c>
      <c r="V486" s="60">
        <v>0</v>
      </c>
      <c r="W486" s="60">
        <v>0</v>
      </c>
      <c r="X486" s="60">
        <v>0</v>
      </c>
      <c r="Y486" s="60">
        <v>0</v>
      </c>
      <c r="Z486" s="60">
        <v>0</v>
      </c>
      <c r="AA486" s="60">
        <v>0</v>
      </c>
      <c r="AB486" s="60">
        <v>0</v>
      </c>
      <c r="AC486" s="60">
        <v>0</v>
      </c>
      <c r="AD486" s="60">
        <v>0</v>
      </c>
      <c r="AE486" s="60">
        <v>0</v>
      </c>
      <c r="AF486" s="60">
        <v>0</v>
      </c>
      <c r="AG486" s="60">
        <v>0</v>
      </c>
      <c r="AH486" s="60">
        <v>0</v>
      </c>
      <c r="AI486" s="60">
        <v>5177.6400000000003</v>
      </c>
      <c r="AJ486" s="60">
        <v>5018.2299999999996</v>
      </c>
      <c r="AK486" s="60">
        <v>4924.18</v>
      </c>
      <c r="AL486" s="60">
        <v>0</v>
      </c>
      <c r="AM486" s="60">
        <v>0</v>
      </c>
      <c r="AN486" s="60">
        <v>0</v>
      </c>
      <c r="AO486" s="60">
        <v>5177.6400000000003</v>
      </c>
      <c r="AP486" s="60">
        <v>5018.2299999999996</v>
      </c>
      <c r="AQ486" s="60">
        <v>4924.18</v>
      </c>
      <c r="AR486" s="61">
        <v>5177.6400000000003</v>
      </c>
    </row>
    <row r="487" spans="1:44" x14ac:dyDescent="0.35">
      <c r="A487" s="49" t="str">
        <f t="shared" si="40"/>
        <v>48</v>
      </c>
      <c r="B487" s="27">
        <v>70573</v>
      </c>
      <c r="C487" s="25" t="str">
        <f t="shared" si="39"/>
        <v>0000000</v>
      </c>
      <c r="D487" s="26" t="s">
        <v>3663</v>
      </c>
      <c r="E487" s="25" t="s">
        <v>3033</v>
      </c>
      <c r="F487" s="25" t="s">
        <v>3020</v>
      </c>
      <c r="G487" s="59" t="s">
        <v>3034</v>
      </c>
      <c r="H487" s="60">
        <v>10625.52</v>
      </c>
      <c r="I487" s="60">
        <v>10447.16</v>
      </c>
      <c r="J487" s="60">
        <v>10139.530000000001</v>
      </c>
      <c r="K487" s="60">
        <v>0</v>
      </c>
      <c r="L487" s="60">
        <v>0</v>
      </c>
      <c r="M487" s="60">
        <v>0</v>
      </c>
      <c r="N487" s="60">
        <v>0</v>
      </c>
      <c r="O487" s="60">
        <v>0</v>
      </c>
      <c r="P487" s="60">
        <v>0</v>
      </c>
      <c r="Q487" s="60">
        <v>0</v>
      </c>
      <c r="R487" s="60">
        <v>0</v>
      </c>
      <c r="S487" s="60">
        <v>0</v>
      </c>
      <c r="T487" s="60">
        <v>0</v>
      </c>
      <c r="U487" s="60">
        <v>0</v>
      </c>
      <c r="V487" s="60">
        <v>0</v>
      </c>
      <c r="W487" s="60">
        <v>0</v>
      </c>
      <c r="X487" s="60">
        <v>0</v>
      </c>
      <c r="Y487" s="60">
        <v>0</v>
      </c>
      <c r="Z487" s="60">
        <v>0</v>
      </c>
      <c r="AA487" s="60">
        <v>0</v>
      </c>
      <c r="AB487" s="60">
        <v>0</v>
      </c>
      <c r="AC487" s="60">
        <v>1262.77</v>
      </c>
      <c r="AD487" s="60">
        <v>1266.19</v>
      </c>
      <c r="AE487" s="60">
        <v>1179.22</v>
      </c>
      <c r="AF487" s="60">
        <v>0</v>
      </c>
      <c r="AG487" s="60">
        <v>0</v>
      </c>
      <c r="AH487" s="60">
        <v>0</v>
      </c>
      <c r="AI487" s="60">
        <v>11888.29</v>
      </c>
      <c r="AJ487" s="60">
        <v>11713.35</v>
      </c>
      <c r="AK487" s="60">
        <v>11318.75</v>
      </c>
      <c r="AL487" s="60">
        <v>0</v>
      </c>
      <c r="AM487" s="60">
        <v>0</v>
      </c>
      <c r="AN487" s="60">
        <v>0</v>
      </c>
      <c r="AO487" s="60">
        <v>11888.29</v>
      </c>
      <c r="AP487" s="60">
        <v>11713.35</v>
      </c>
      <c r="AQ487" s="60">
        <v>11318.75</v>
      </c>
      <c r="AR487" s="61">
        <v>11888.29</v>
      </c>
    </row>
    <row r="488" spans="1:44" x14ac:dyDescent="0.35">
      <c r="A488" s="49" t="str">
        <f t="shared" ref="A488:A502" si="41">TEXT(9,"00")</f>
        <v>09</v>
      </c>
      <c r="B488" s="27">
        <v>10090</v>
      </c>
      <c r="C488" s="25" t="str">
        <f t="shared" si="39"/>
        <v>0000000</v>
      </c>
      <c r="D488" s="26" t="s">
        <v>3663</v>
      </c>
      <c r="E488" s="25" t="s">
        <v>344</v>
      </c>
      <c r="F488" s="25" t="s">
        <v>345</v>
      </c>
      <c r="G488" s="59" t="s">
        <v>345</v>
      </c>
      <c r="H488" s="60">
        <v>0</v>
      </c>
      <c r="I488" s="60">
        <v>0</v>
      </c>
      <c r="J488" s="60">
        <v>0</v>
      </c>
      <c r="K488" s="60">
        <v>0</v>
      </c>
      <c r="L488" s="60">
        <v>0</v>
      </c>
      <c r="M488" s="60">
        <v>0</v>
      </c>
      <c r="N488" s="60">
        <v>0</v>
      </c>
      <c r="O488" s="60">
        <v>0</v>
      </c>
      <c r="P488" s="60">
        <v>0</v>
      </c>
      <c r="Q488" s="60">
        <v>0</v>
      </c>
      <c r="R488" s="60">
        <v>0</v>
      </c>
      <c r="S488" s="60">
        <v>0</v>
      </c>
      <c r="T488" s="60">
        <v>352.48</v>
      </c>
      <c r="U488" s="60">
        <v>321.72000000000003</v>
      </c>
      <c r="V488" s="60">
        <v>273.57</v>
      </c>
      <c r="W488" s="60">
        <v>458.34</v>
      </c>
      <c r="X488" s="60">
        <v>471.96</v>
      </c>
      <c r="Y488" s="60">
        <v>493.19</v>
      </c>
      <c r="Z488" s="60">
        <v>0</v>
      </c>
      <c r="AA488" s="60">
        <v>0</v>
      </c>
      <c r="AB488" s="60">
        <v>0</v>
      </c>
      <c r="AC488" s="60">
        <v>0</v>
      </c>
      <c r="AD488" s="60">
        <v>0</v>
      </c>
      <c r="AE488" s="60">
        <v>0</v>
      </c>
      <c r="AF488" s="60">
        <v>0</v>
      </c>
      <c r="AG488" s="60">
        <v>0</v>
      </c>
      <c r="AH488" s="60">
        <v>0</v>
      </c>
      <c r="AI488" s="60">
        <v>810.82</v>
      </c>
      <c r="AJ488" s="60">
        <v>793.68</v>
      </c>
      <c r="AK488" s="60">
        <v>766.76</v>
      </c>
      <c r="AL488" s="60">
        <v>0</v>
      </c>
      <c r="AM488" s="60">
        <v>0</v>
      </c>
      <c r="AN488" s="60">
        <v>0</v>
      </c>
      <c r="AO488" s="60">
        <v>810.82</v>
      </c>
      <c r="AP488" s="60">
        <v>793.68</v>
      </c>
      <c r="AQ488" s="60">
        <v>766.76</v>
      </c>
      <c r="AR488" s="61">
        <v>810.82</v>
      </c>
    </row>
    <row r="489" spans="1:44" x14ac:dyDescent="0.35">
      <c r="A489" s="49" t="str">
        <f t="shared" si="41"/>
        <v>09</v>
      </c>
      <c r="B489" s="27">
        <v>61838</v>
      </c>
      <c r="C489" s="25" t="str">
        <f t="shared" si="39"/>
        <v>0000000</v>
      </c>
      <c r="D489" s="26" t="s">
        <v>3663</v>
      </c>
      <c r="E489" s="25" t="s">
        <v>348</v>
      </c>
      <c r="F489" s="25" t="s">
        <v>345</v>
      </c>
      <c r="G489" s="59" t="s">
        <v>349</v>
      </c>
      <c r="H489" s="60">
        <v>3276.06</v>
      </c>
      <c r="I489" s="60">
        <v>3353.92</v>
      </c>
      <c r="J489" s="60">
        <v>3375.65</v>
      </c>
      <c r="K489" s="60">
        <v>0</v>
      </c>
      <c r="L489" s="60">
        <v>0</v>
      </c>
      <c r="M489" s="60">
        <v>0</v>
      </c>
      <c r="N489" s="60">
        <v>0</v>
      </c>
      <c r="O489" s="60">
        <v>0</v>
      </c>
      <c r="P489" s="60">
        <v>0</v>
      </c>
      <c r="Q489" s="60">
        <v>0</v>
      </c>
      <c r="R489" s="60">
        <v>0</v>
      </c>
      <c r="S489" s="60">
        <v>0</v>
      </c>
      <c r="T489" s="60">
        <v>0</v>
      </c>
      <c r="U489" s="60">
        <v>0</v>
      </c>
      <c r="V489" s="60">
        <v>0</v>
      </c>
      <c r="W489" s="60">
        <v>0</v>
      </c>
      <c r="X489" s="60">
        <v>0</v>
      </c>
      <c r="Y489" s="60">
        <v>0</v>
      </c>
      <c r="Z489" s="60">
        <v>0</v>
      </c>
      <c r="AA489" s="60">
        <v>0</v>
      </c>
      <c r="AB489" s="60">
        <v>0</v>
      </c>
      <c r="AC489" s="60">
        <v>800.78</v>
      </c>
      <c r="AD489" s="60">
        <v>792.9</v>
      </c>
      <c r="AE489" s="60">
        <v>732.34</v>
      </c>
      <c r="AF489" s="60">
        <v>0</v>
      </c>
      <c r="AG489" s="60">
        <v>0</v>
      </c>
      <c r="AH489" s="60">
        <v>0</v>
      </c>
      <c r="AI489" s="60">
        <v>4076.84</v>
      </c>
      <c r="AJ489" s="60">
        <v>4146.82</v>
      </c>
      <c r="AK489" s="60">
        <v>4107.99</v>
      </c>
      <c r="AL489" s="60">
        <v>0</v>
      </c>
      <c r="AM489" s="60">
        <v>0</v>
      </c>
      <c r="AN489" s="60">
        <v>0</v>
      </c>
      <c r="AO489" s="60">
        <v>4076.84</v>
      </c>
      <c r="AP489" s="60">
        <v>4146.82</v>
      </c>
      <c r="AQ489" s="60">
        <v>4107.99</v>
      </c>
      <c r="AR489" s="61">
        <v>4146.82</v>
      </c>
    </row>
    <row r="490" spans="1:44" x14ac:dyDescent="0.35">
      <c r="A490" s="49" t="str">
        <f t="shared" si="41"/>
        <v>09</v>
      </c>
      <c r="B490" s="27">
        <v>61846</v>
      </c>
      <c r="C490" s="25" t="str">
        <f t="shared" si="39"/>
        <v>0000000</v>
      </c>
      <c r="D490" s="26" t="s">
        <v>3663</v>
      </c>
      <c r="E490" s="25" t="s">
        <v>361</v>
      </c>
      <c r="F490" s="25" t="s">
        <v>345</v>
      </c>
      <c r="G490" s="59" t="s">
        <v>362</v>
      </c>
      <c r="H490" s="60">
        <v>381.56</v>
      </c>
      <c r="I490" s="60">
        <v>373.02</v>
      </c>
      <c r="J490" s="60">
        <v>366.65</v>
      </c>
      <c r="K490" s="60">
        <v>0</v>
      </c>
      <c r="L490" s="60">
        <v>0</v>
      </c>
      <c r="M490" s="60">
        <v>0</v>
      </c>
      <c r="N490" s="60">
        <v>0</v>
      </c>
      <c r="O490" s="60">
        <v>0</v>
      </c>
      <c r="P490" s="60">
        <v>0</v>
      </c>
      <c r="Q490" s="60">
        <v>0</v>
      </c>
      <c r="R490" s="60">
        <v>0</v>
      </c>
      <c r="S490" s="60">
        <v>0</v>
      </c>
      <c r="T490" s="60">
        <v>0</v>
      </c>
      <c r="U490" s="60">
        <v>0</v>
      </c>
      <c r="V490" s="60">
        <v>0</v>
      </c>
      <c r="W490" s="60">
        <v>0</v>
      </c>
      <c r="X490" s="60">
        <v>0</v>
      </c>
      <c r="Y490" s="60">
        <v>0</v>
      </c>
      <c r="Z490" s="60">
        <v>0</v>
      </c>
      <c r="AA490" s="60">
        <v>0</v>
      </c>
      <c r="AB490" s="60">
        <v>0</v>
      </c>
      <c r="AC490" s="60">
        <v>25.53</v>
      </c>
      <c r="AD490" s="60">
        <v>17.86</v>
      </c>
      <c r="AE490" s="60">
        <v>30.4</v>
      </c>
      <c r="AF490" s="60">
        <v>0</v>
      </c>
      <c r="AG490" s="60">
        <v>0</v>
      </c>
      <c r="AH490" s="60">
        <v>0</v>
      </c>
      <c r="AI490" s="60">
        <v>407.09</v>
      </c>
      <c r="AJ490" s="60">
        <v>390.88</v>
      </c>
      <c r="AK490" s="60">
        <v>397.05</v>
      </c>
      <c r="AL490" s="60">
        <v>0</v>
      </c>
      <c r="AM490" s="60">
        <v>0</v>
      </c>
      <c r="AN490" s="60">
        <v>0</v>
      </c>
      <c r="AO490" s="60">
        <v>407.09</v>
      </c>
      <c r="AP490" s="60">
        <v>390.88</v>
      </c>
      <c r="AQ490" s="60">
        <v>397.05</v>
      </c>
      <c r="AR490" s="61">
        <v>407.09</v>
      </c>
    </row>
    <row r="491" spans="1:44" x14ac:dyDescent="0.35">
      <c r="A491" s="49" t="str">
        <f t="shared" si="41"/>
        <v>09</v>
      </c>
      <c r="B491" s="27">
        <v>61879</v>
      </c>
      <c r="C491" s="25" t="str">
        <f t="shared" si="39"/>
        <v>0000000</v>
      </c>
      <c r="D491" s="26" t="s">
        <v>3663</v>
      </c>
      <c r="E491" s="25" t="s">
        <v>365</v>
      </c>
      <c r="F491" s="25" t="s">
        <v>345</v>
      </c>
      <c r="G491" s="59" t="s">
        <v>366</v>
      </c>
      <c r="H491" s="60">
        <v>402.71</v>
      </c>
      <c r="I491" s="60">
        <v>414.5</v>
      </c>
      <c r="J491" s="60">
        <v>373.67</v>
      </c>
      <c r="K491" s="60">
        <v>0</v>
      </c>
      <c r="L491" s="60">
        <v>0</v>
      </c>
      <c r="M491" s="60">
        <v>0</v>
      </c>
      <c r="N491" s="60">
        <v>0</v>
      </c>
      <c r="O491" s="60">
        <v>0</v>
      </c>
      <c r="P491" s="60">
        <v>0</v>
      </c>
      <c r="Q491" s="60">
        <v>0</v>
      </c>
      <c r="R491" s="60">
        <v>0</v>
      </c>
      <c r="S491" s="60">
        <v>0</v>
      </c>
      <c r="T491" s="60">
        <v>0</v>
      </c>
      <c r="U491" s="60">
        <v>0</v>
      </c>
      <c r="V491" s="60">
        <v>0</v>
      </c>
      <c r="W491" s="60">
        <v>0</v>
      </c>
      <c r="X491" s="60">
        <v>0</v>
      </c>
      <c r="Y491" s="60">
        <v>0</v>
      </c>
      <c r="Z491" s="60">
        <v>0</v>
      </c>
      <c r="AA491" s="60">
        <v>0</v>
      </c>
      <c r="AB491" s="60">
        <v>0</v>
      </c>
      <c r="AC491" s="60">
        <v>0</v>
      </c>
      <c r="AD491" s="60">
        <v>0</v>
      </c>
      <c r="AE491" s="60">
        <v>0</v>
      </c>
      <c r="AF491" s="60">
        <v>0</v>
      </c>
      <c r="AG491" s="60">
        <v>0</v>
      </c>
      <c r="AH491" s="60">
        <v>0</v>
      </c>
      <c r="AI491" s="60">
        <v>402.71</v>
      </c>
      <c r="AJ491" s="60">
        <v>414.5</v>
      </c>
      <c r="AK491" s="60">
        <v>373.67</v>
      </c>
      <c r="AL491" s="60">
        <v>0</v>
      </c>
      <c r="AM491" s="60">
        <v>0</v>
      </c>
      <c r="AN491" s="60">
        <v>0</v>
      </c>
      <c r="AO491" s="60">
        <v>402.71</v>
      </c>
      <c r="AP491" s="60">
        <v>414.5</v>
      </c>
      <c r="AQ491" s="60">
        <v>373.67</v>
      </c>
      <c r="AR491" s="61">
        <v>414.5</v>
      </c>
    </row>
    <row r="492" spans="1:44" x14ac:dyDescent="0.35">
      <c r="A492" s="49" t="str">
        <f t="shared" si="41"/>
        <v>09</v>
      </c>
      <c r="B492" s="27">
        <v>61887</v>
      </c>
      <c r="C492" s="25" t="str">
        <f t="shared" si="39"/>
        <v>0000000</v>
      </c>
      <c r="D492" s="26" t="s">
        <v>3663</v>
      </c>
      <c r="E492" s="25" t="s">
        <v>367</v>
      </c>
      <c r="F492" s="25" t="s">
        <v>345</v>
      </c>
      <c r="G492" s="59" t="s">
        <v>368</v>
      </c>
      <c r="H492" s="60">
        <v>464.85</v>
      </c>
      <c r="I492" s="60">
        <v>477.8</v>
      </c>
      <c r="J492" s="60">
        <v>496.93</v>
      </c>
      <c r="K492" s="60">
        <v>0</v>
      </c>
      <c r="L492" s="60">
        <v>0</v>
      </c>
      <c r="M492" s="60">
        <v>0</v>
      </c>
      <c r="N492" s="60">
        <v>0</v>
      </c>
      <c r="O492" s="60">
        <v>0</v>
      </c>
      <c r="P492" s="60">
        <v>0</v>
      </c>
      <c r="Q492" s="60">
        <v>0</v>
      </c>
      <c r="R492" s="60">
        <v>0</v>
      </c>
      <c r="S492" s="60">
        <v>0</v>
      </c>
      <c r="T492" s="60">
        <v>0</v>
      </c>
      <c r="U492" s="60">
        <v>0</v>
      </c>
      <c r="V492" s="60">
        <v>0</v>
      </c>
      <c r="W492" s="60">
        <v>0</v>
      </c>
      <c r="X492" s="60">
        <v>0</v>
      </c>
      <c r="Y492" s="60">
        <v>0</v>
      </c>
      <c r="Z492" s="60">
        <v>0</v>
      </c>
      <c r="AA492" s="60">
        <v>0</v>
      </c>
      <c r="AB492" s="60">
        <v>0</v>
      </c>
      <c r="AC492" s="60">
        <v>0</v>
      </c>
      <c r="AD492" s="60">
        <v>0</v>
      </c>
      <c r="AE492" s="60">
        <v>0</v>
      </c>
      <c r="AF492" s="60">
        <v>0</v>
      </c>
      <c r="AG492" s="60">
        <v>0</v>
      </c>
      <c r="AH492" s="60">
        <v>0</v>
      </c>
      <c r="AI492" s="60">
        <v>464.85</v>
      </c>
      <c r="AJ492" s="60">
        <v>477.8</v>
      </c>
      <c r="AK492" s="60">
        <v>496.93</v>
      </c>
      <c r="AL492" s="60">
        <v>0</v>
      </c>
      <c r="AM492" s="60">
        <v>0</v>
      </c>
      <c r="AN492" s="60">
        <v>0</v>
      </c>
      <c r="AO492" s="60">
        <v>464.85</v>
      </c>
      <c r="AP492" s="60">
        <v>477.8</v>
      </c>
      <c r="AQ492" s="60">
        <v>496.93</v>
      </c>
      <c r="AR492" s="61">
        <v>496.93</v>
      </c>
    </row>
    <row r="493" spans="1:44" x14ac:dyDescent="0.35">
      <c r="A493" s="49" t="str">
        <f t="shared" si="41"/>
        <v>09</v>
      </c>
      <c r="B493" s="27">
        <v>61929</v>
      </c>
      <c r="C493" s="25" t="str">
        <f t="shared" si="39"/>
        <v>0000000</v>
      </c>
      <c r="D493" s="26" t="s">
        <v>3663</v>
      </c>
      <c r="E493" s="25" t="s">
        <v>373</v>
      </c>
      <c r="F493" s="25" t="s">
        <v>345</v>
      </c>
      <c r="G493" s="59" t="s">
        <v>374</v>
      </c>
      <c r="H493" s="60">
        <v>807.65</v>
      </c>
      <c r="I493" s="60">
        <v>788.8</v>
      </c>
      <c r="J493" s="60">
        <v>786.06</v>
      </c>
      <c r="K493" s="60">
        <v>0</v>
      </c>
      <c r="L493" s="60">
        <v>0</v>
      </c>
      <c r="M493" s="60">
        <v>0</v>
      </c>
      <c r="N493" s="60">
        <v>0</v>
      </c>
      <c r="O493" s="60">
        <v>0</v>
      </c>
      <c r="P493" s="60">
        <v>0</v>
      </c>
      <c r="Q493" s="60">
        <v>0</v>
      </c>
      <c r="R493" s="60">
        <v>0</v>
      </c>
      <c r="S493" s="60">
        <v>0</v>
      </c>
      <c r="T493" s="60">
        <v>0</v>
      </c>
      <c r="U493" s="60">
        <v>0</v>
      </c>
      <c r="V493" s="60">
        <v>0</v>
      </c>
      <c r="W493" s="60">
        <v>0</v>
      </c>
      <c r="X493" s="60">
        <v>0</v>
      </c>
      <c r="Y493" s="60">
        <v>0</v>
      </c>
      <c r="Z493" s="60">
        <v>0</v>
      </c>
      <c r="AA493" s="60">
        <v>0</v>
      </c>
      <c r="AB493" s="60">
        <v>0</v>
      </c>
      <c r="AC493" s="60">
        <v>0</v>
      </c>
      <c r="AD493" s="60">
        <v>0</v>
      </c>
      <c r="AE493" s="60">
        <v>0</v>
      </c>
      <c r="AF493" s="60">
        <v>0</v>
      </c>
      <c r="AG493" s="60">
        <v>0</v>
      </c>
      <c r="AH493" s="60">
        <v>0</v>
      </c>
      <c r="AI493" s="60">
        <v>807.65</v>
      </c>
      <c r="AJ493" s="60">
        <v>788.8</v>
      </c>
      <c r="AK493" s="60">
        <v>786.06</v>
      </c>
      <c r="AL493" s="60">
        <v>0</v>
      </c>
      <c r="AM493" s="60">
        <v>0</v>
      </c>
      <c r="AN493" s="60">
        <v>0</v>
      </c>
      <c r="AO493" s="60">
        <v>807.65</v>
      </c>
      <c r="AP493" s="60">
        <v>788.8</v>
      </c>
      <c r="AQ493" s="60">
        <v>786.06</v>
      </c>
      <c r="AR493" s="61">
        <v>807.65</v>
      </c>
    </row>
    <row r="494" spans="1:44" x14ac:dyDescent="0.35">
      <c r="A494" s="49" t="str">
        <f t="shared" si="41"/>
        <v>09</v>
      </c>
      <c r="B494" s="27">
        <v>61945</v>
      </c>
      <c r="C494" s="25" t="str">
        <f t="shared" si="39"/>
        <v>0000000</v>
      </c>
      <c r="D494" s="26" t="s">
        <v>3663</v>
      </c>
      <c r="E494" s="25" t="s">
        <v>375</v>
      </c>
      <c r="F494" s="25" t="s">
        <v>345</v>
      </c>
      <c r="G494" s="59" t="s">
        <v>229</v>
      </c>
      <c r="H494" s="60">
        <v>255.32</v>
      </c>
      <c r="I494" s="60">
        <v>243.35</v>
      </c>
      <c r="J494" s="60">
        <v>249.77</v>
      </c>
      <c r="K494" s="60">
        <v>0</v>
      </c>
      <c r="L494" s="60">
        <v>0</v>
      </c>
      <c r="M494" s="60">
        <v>0</v>
      </c>
      <c r="N494" s="60">
        <v>0</v>
      </c>
      <c r="O494" s="60">
        <v>0</v>
      </c>
      <c r="P494" s="60">
        <v>0</v>
      </c>
      <c r="Q494" s="60">
        <v>0</v>
      </c>
      <c r="R494" s="60">
        <v>0</v>
      </c>
      <c r="S494" s="60">
        <v>0</v>
      </c>
      <c r="T494" s="60">
        <v>0</v>
      </c>
      <c r="U494" s="60">
        <v>0</v>
      </c>
      <c r="V494" s="60">
        <v>0</v>
      </c>
      <c r="W494" s="60">
        <v>0</v>
      </c>
      <c r="X494" s="60">
        <v>0</v>
      </c>
      <c r="Y494" s="60">
        <v>0</v>
      </c>
      <c r="Z494" s="60">
        <v>0</v>
      </c>
      <c r="AA494" s="60">
        <v>0</v>
      </c>
      <c r="AB494" s="60">
        <v>0</v>
      </c>
      <c r="AC494" s="60">
        <v>0</v>
      </c>
      <c r="AD494" s="60">
        <v>0</v>
      </c>
      <c r="AE494" s="60">
        <v>0</v>
      </c>
      <c r="AF494" s="60">
        <v>0</v>
      </c>
      <c r="AG494" s="60">
        <v>0</v>
      </c>
      <c r="AH494" s="60">
        <v>0</v>
      </c>
      <c r="AI494" s="60">
        <v>255.32</v>
      </c>
      <c r="AJ494" s="60">
        <v>243.35</v>
      </c>
      <c r="AK494" s="60">
        <v>249.77</v>
      </c>
      <c r="AL494" s="60">
        <v>0</v>
      </c>
      <c r="AM494" s="60">
        <v>0</v>
      </c>
      <c r="AN494" s="60">
        <v>0</v>
      </c>
      <c r="AO494" s="60">
        <v>255.32</v>
      </c>
      <c r="AP494" s="60">
        <v>243.35</v>
      </c>
      <c r="AQ494" s="60">
        <v>249.77</v>
      </c>
      <c r="AR494" s="61">
        <v>255.32</v>
      </c>
    </row>
    <row r="495" spans="1:44" x14ac:dyDescent="0.35">
      <c r="A495" s="49" t="str">
        <f t="shared" si="41"/>
        <v>09</v>
      </c>
      <c r="B495" s="27">
        <v>61952</v>
      </c>
      <c r="C495" s="25" t="str">
        <f t="shared" si="39"/>
        <v>0000000</v>
      </c>
      <c r="D495" s="26" t="s">
        <v>3663</v>
      </c>
      <c r="E495" s="25" t="s">
        <v>376</v>
      </c>
      <c r="F495" s="25" t="s">
        <v>345</v>
      </c>
      <c r="G495" s="59" t="s">
        <v>377</v>
      </c>
      <c r="H495" s="60">
        <v>1136.1500000000001</v>
      </c>
      <c r="I495" s="60">
        <v>1080.3900000000001</v>
      </c>
      <c r="J495" s="60">
        <v>1076.47</v>
      </c>
      <c r="K495" s="60">
        <v>0</v>
      </c>
      <c r="L495" s="60">
        <v>0</v>
      </c>
      <c r="M495" s="60">
        <v>0</v>
      </c>
      <c r="N495" s="60">
        <v>0</v>
      </c>
      <c r="O495" s="60">
        <v>0</v>
      </c>
      <c r="P495" s="60">
        <v>0</v>
      </c>
      <c r="Q495" s="60">
        <v>0</v>
      </c>
      <c r="R495" s="60">
        <v>0</v>
      </c>
      <c r="S495" s="60">
        <v>0</v>
      </c>
      <c r="T495" s="60">
        <v>0</v>
      </c>
      <c r="U495" s="60">
        <v>0</v>
      </c>
      <c r="V495" s="60">
        <v>0</v>
      </c>
      <c r="W495" s="60">
        <v>0</v>
      </c>
      <c r="X495" s="60">
        <v>0</v>
      </c>
      <c r="Y495" s="60">
        <v>0</v>
      </c>
      <c r="Z495" s="60">
        <v>0</v>
      </c>
      <c r="AA495" s="60">
        <v>0</v>
      </c>
      <c r="AB495" s="60">
        <v>0</v>
      </c>
      <c r="AC495" s="60">
        <v>0</v>
      </c>
      <c r="AD495" s="60">
        <v>0</v>
      </c>
      <c r="AE495" s="60">
        <v>0</v>
      </c>
      <c r="AF495" s="60">
        <v>0</v>
      </c>
      <c r="AG495" s="60">
        <v>0</v>
      </c>
      <c r="AH495" s="60">
        <v>0</v>
      </c>
      <c r="AI495" s="60">
        <v>1136.1500000000001</v>
      </c>
      <c r="AJ495" s="60">
        <v>1080.3900000000001</v>
      </c>
      <c r="AK495" s="60">
        <v>1076.47</v>
      </c>
      <c r="AL495" s="60">
        <v>0</v>
      </c>
      <c r="AM495" s="60">
        <v>0</v>
      </c>
      <c r="AN495" s="60">
        <v>0</v>
      </c>
      <c r="AO495" s="60">
        <v>1136.1500000000001</v>
      </c>
      <c r="AP495" s="60">
        <v>1080.3900000000001</v>
      </c>
      <c r="AQ495" s="60">
        <v>1076.47</v>
      </c>
      <c r="AR495" s="61">
        <v>1136.1500000000001</v>
      </c>
    </row>
    <row r="496" spans="1:44" x14ac:dyDescent="0.35">
      <c r="A496" s="49" t="str">
        <f t="shared" si="41"/>
        <v>09</v>
      </c>
      <c r="B496" s="27">
        <v>61960</v>
      </c>
      <c r="C496" s="25" t="str">
        <f t="shared" si="39"/>
        <v>0000000</v>
      </c>
      <c r="D496" s="26" t="s">
        <v>3663</v>
      </c>
      <c r="E496" s="25" t="s">
        <v>378</v>
      </c>
      <c r="F496" s="25" t="s">
        <v>345</v>
      </c>
      <c r="G496" s="59" t="s">
        <v>379</v>
      </c>
      <c r="H496" s="60">
        <v>531.30999999999995</v>
      </c>
      <c r="I496" s="60">
        <v>536.4</v>
      </c>
      <c r="J496" s="60">
        <v>539.66999999999996</v>
      </c>
      <c r="K496" s="60">
        <v>0</v>
      </c>
      <c r="L496" s="60">
        <v>0</v>
      </c>
      <c r="M496" s="60">
        <v>0</v>
      </c>
      <c r="N496" s="60">
        <v>0</v>
      </c>
      <c r="O496" s="60">
        <v>0</v>
      </c>
      <c r="P496" s="60">
        <v>0</v>
      </c>
      <c r="Q496" s="60">
        <v>0</v>
      </c>
      <c r="R496" s="60">
        <v>0</v>
      </c>
      <c r="S496" s="60">
        <v>0</v>
      </c>
      <c r="T496" s="60">
        <v>0</v>
      </c>
      <c r="U496" s="60">
        <v>0</v>
      </c>
      <c r="V496" s="60">
        <v>0</v>
      </c>
      <c r="W496" s="60">
        <v>0</v>
      </c>
      <c r="X496" s="60">
        <v>0</v>
      </c>
      <c r="Y496" s="60">
        <v>0</v>
      </c>
      <c r="Z496" s="60">
        <v>0</v>
      </c>
      <c r="AA496" s="60">
        <v>0</v>
      </c>
      <c r="AB496" s="60">
        <v>0</v>
      </c>
      <c r="AC496" s="60">
        <v>0</v>
      </c>
      <c r="AD496" s="60">
        <v>0</v>
      </c>
      <c r="AE496" s="60">
        <v>0</v>
      </c>
      <c r="AF496" s="60">
        <v>0</v>
      </c>
      <c r="AG496" s="60">
        <v>0</v>
      </c>
      <c r="AH496" s="60">
        <v>0</v>
      </c>
      <c r="AI496" s="60">
        <v>531.30999999999995</v>
      </c>
      <c r="AJ496" s="60">
        <v>536.4</v>
      </c>
      <c r="AK496" s="60">
        <v>539.66999999999996</v>
      </c>
      <c r="AL496" s="60">
        <v>0</v>
      </c>
      <c r="AM496" s="60">
        <v>0</v>
      </c>
      <c r="AN496" s="60">
        <v>0</v>
      </c>
      <c r="AO496" s="60">
        <v>531.30999999999995</v>
      </c>
      <c r="AP496" s="60">
        <v>536.4</v>
      </c>
      <c r="AQ496" s="60">
        <v>539.66999999999996</v>
      </c>
      <c r="AR496" s="61">
        <v>539.66999999999996</v>
      </c>
    </row>
    <row r="497" spans="1:44" x14ac:dyDescent="0.35">
      <c r="A497" s="49" t="str">
        <f t="shared" si="41"/>
        <v>09</v>
      </c>
      <c r="B497" s="27">
        <v>61978</v>
      </c>
      <c r="C497" s="25" t="str">
        <f t="shared" si="39"/>
        <v>0000000</v>
      </c>
      <c r="D497" s="26" t="s">
        <v>3663</v>
      </c>
      <c r="E497" s="25" t="s">
        <v>380</v>
      </c>
      <c r="F497" s="25" t="s">
        <v>345</v>
      </c>
      <c r="G497" s="59" t="s">
        <v>381</v>
      </c>
      <c r="H497" s="60">
        <v>3357.69</v>
      </c>
      <c r="I497" s="60">
        <v>3338.84</v>
      </c>
      <c r="J497" s="60">
        <v>3343.52</v>
      </c>
      <c r="K497" s="60">
        <v>0</v>
      </c>
      <c r="L497" s="60">
        <v>0</v>
      </c>
      <c r="M497" s="60">
        <v>0</v>
      </c>
      <c r="N497" s="60">
        <v>0</v>
      </c>
      <c r="O497" s="60">
        <v>0</v>
      </c>
      <c r="P497" s="60">
        <v>0</v>
      </c>
      <c r="Q497" s="60">
        <v>0</v>
      </c>
      <c r="R497" s="60">
        <v>0</v>
      </c>
      <c r="S497" s="60">
        <v>0</v>
      </c>
      <c r="T497" s="60">
        <v>0</v>
      </c>
      <c r="U497" s="60">
        <v>0</v>
      </c>
      <c r="V497" s="60">
        <v>0</v>
      </c>
      <c r="W497" s="60">
        <v>0</v>
      </c>
      <c r="X497" s="60">
        <v>0</v>
      </c>
      <c r="Y497" s="60">
        <v>0</v>
      </c>
      <c r="Z497" s="60">
        <v>0</v>
      </c>
      <c r="AA497" s="60">
        <v>0</v>
      </c>
      <c r="AB497" s="60">
        <v>0</v>
      </c>
      <c r="AC497" s="60">
        <v>0</v>
      </c>
      <c r="AD497" s="60">
        <v>0</v>
      </c>
      <c r="AE497" s="60">
        <v>0</v>
      </c>
      <c r="AF497" s="60">
        <v>0</v>
      </c>
      <c r="AG497" s="60">
        <v>0</v>
      </c>
      <c r="AH497" s="60">
        <v>0</v>
      </c>
      <c r="AI497" s="60">
        <v>3357.69</v>
      </c>
      <c r="AJ497" s="60">
        <v>3338.84</v>
      </c>
      <c r="AK497" s="60">
        <v>3343.52</v>
      </c>
      <c r="AL497" s="60">
        <v>0</v>
      </c>
      <c r="AM497" s="60">
        <v>0</v>
      </c>
      <c r="AN497" s="60">
        <v>0</v>
      </c>
      <c r="AO497" s="60">
        <v>3357.69</v>
      </c>
      <c r="AP497" s="60">
        <v>3338.84</v>
      </c>
      <c r="AQ497" s="60">
        <v>3343.52</v>
      </c>
      <c r="AR497" s="61">
        <v>3357.69</v>
      </c>
    </row>
    <row r="498" spans="1:44" x14ac:dyDescent="0.35">
      <c r="A498" s="49" t="str">
        <f t="shared" si="41"/>
        <v>09</v>
      </c>
      <c r="B498" s="27">
        <v>61853</v>
      </c>
      <c r="C498" s="25" t="str">
        <f t="shared" si="39"/>
        <v>0000000</v>
      </c>
      <c r="D498" s="26" t="s">
        <v>3663</v>
      </c>
      <c r="E498" s="25" t="s">
        <v>363</v>
      </c>
      <c r="F498" s="25" t="s">
        <v>345</v>
      </c>
      <c r="G498" s="59" t="s">
        <v>364</v>
      </c>
      <c r="H498" s="60">
        <v>6038.63</v>
      </c>
      <c r="I498" s="60">
        <v>6168.59</v>
      </c>
      <c r="J498" s="60">
        <v>6234.61</v>
      </c>
      <c r="K498" s="60">
        <v>0</v>
      </c>
      <c r="L498" s="60">
        <v>0</v>
      </c>
      <c r="M498" s="60">
        <v>0</v>
      </c>
      <c r="N498" s="60">
        <v>0</v>
      </c>
      <c r="O498" s="60">
        <v>0</v>
      </c>
      <c r="P498" s="60">
        <v>0</v>
      </c>
      <c r="Q498" s="60">
        <v>0</v>
      </c>
      <c r="R498" s="60">
        <v>0</v>
      </c>
      <c r="S498" s="60">
        <v>0</v>
      </c>
      <c r="T498" s="60">
        <v>0</v>
      </c>
      <c r="U498" s="60">
        <v>0</v>
      </c>
      <c r="V498" s="60">
        <v>0</v>
      </c>
      <c r="W498" s="60">
        <v>0</v>
      </c>
      <c r="X498" s="60">
        <v>0</v>
      </c>
      <c r="Y498" s="60">
        <v>0</v>
      </c>
      <c r="Z498" s="60">
        <v>0</v>
      </c>
      <c r="AA498" s="60">
        <v>0</v>
      </c>
      <c r="AB498" s="60">
        <v>0</v>
      </c>
      <c r="AC498" s="60">
        <v>97.92</v>
      </c>
      <c r="AD498" s="60">
        <v>96.55</v>
      </c>
      <c r="AE498" s="60">
        <v>101.56</v>
      </c>
      <c r="AF498" s="60">
        <v>0</v>
      </c>
      <c r="AG498" s="60">
        <v>0</v>
      </c>
      <c r="AH498" s="60">
        <v>0</v>
      </c>
      <c r="AI498" s="60">
        <v>6136.55</v>
      </c>
      <c r="AJ498" s="60">
        <v>6265.14</v>
      </c>
      <c r="AK498" s="60">
        <v>6336.17</v>
      </c>
      <c r="AL498" s="60">
        <v>0</v>
      </c>
      <c r="AM498" s="60">
        <v>0</v>
      </c>
      <c r="AN498" s="60">
        <v>0</v>
      </c>
      <c r="AO498" s="60">
        <v>6136.55</v>
      </c>
      <c r="AP498" s="60">
        <v>6265.14</v>
      </c>
      <c r="AQ498" s="60">
        <v>6336.17</v>
      </c>
      <c r="AR498" s="61">
        <v>6336.17</v>
      </c>
    </row>
    <row r="499" spans="1:44" x14ac:dyDescent="0.35">
      <c r="A499" s="49" t="str">
        <f t="shared" si="41"/>
        <v>09</v>
      </c>
      <c r="B499" s="27">
        <v>73783</v>
      </c>
      <c r="C499" s="25" t="str">
        <f t="shared" si="39"/>
        <v>0000000</v>
      </c>
      <c r="D499" s="26" t="s">
        <v>3663</v>
      </c>
      <c r="E499" s="25" t="s">
        <v>384</v>
      </c>
      <c r="F499" s="25" t="s">
        <v>345</v>
      </c>
      <c r="G499" s="59" t="s">
        <v>385</v>
      </c>
      <c r="H499" s="60">
        <v>928.88</v>
      </c>
      <c r="I499" s="60">
        <v>928.07</v>
      </c>
      <c r="J499" s="60">
        <v>940.45</v>
      </c>
      <c r="K499" s="60">
        <v>0</v>
      </c>
      <c r="L499" s="60">
        <v>0</v>
      </c>
      <c r="M499" s="60">
        <v>0</v>
      </c>
      <c r="N499" s="60">
        <v>0</v>
      </c>
      <c r="O499" s="60">
        <v>0</v>
      </c>
      <c r="P499" s="60">
        <v>0</v>
      </c>
      <c r="Q499" s="60">
        <v>0</v>
      </c>
      <c r="R499" s="60">
        <v>0</v>
      </c>
      <c r="S499" s="60">
        <v>0</v>
      </c>
      <c r="T499" s="60">
        <v>0</v>
      </c>
      <c r="U499" s="60">
        <v>0</v>
      </c>
      <c r="V499" s="60">
        <v>0</v>
      </c>
      <c r="W499" s="60">
        <v>0</v>
      </c>
      <c r="X499" s="60">
        <v>0</v>
      </c>
      <c r="Y499" s="60">
        <v>0</v>
      </c>
      <c r="Z499" s="60">
        <v>0</v>
      </c>
      <c r="AA499" s="60">
        <v>0</v>
      </c>
      <c r="AB499" s="60">
        <v>0</v>
      </c>
      <c r="AC499" s="60">
        <v>240.2</v>
      </c>
      <c r="AD499" s="60">
        <v>228.56</v>
      </c>
      <c r="AE499" s="60">
        <v>249.54</v>
      </c>
      <c r="AF499" s="60">
        <v>0</v>
      </c>
      <c r="AG499" s="60">
        <v>0</v>
      </c>
      <c r="AH499" s="60">
        <v>0</v>
      </c>
      <c r="AI499" s="60">
        <v>1169.08</v>
      </c>
      <c r="AJ499" s="60">
        <v>1156.6300000000001</v>
      </c>
      <c r="AK499" s="60">
        <v>1189.99</v>
      </c>
      <c r="AL499" s="60">
        <v>0</v>
      </c>
      <c r="AM499" s="60">
        <v>0</v>
      </c>
      <c r="AN499" s="60">
        <v>0</v>
      </c>
      <c r="AO499" s="60">
        <v>1169.08</v>
      </c>
      <c r="AP499" s="60">
        <v>1156.6300000000001</v>
      </c>
      <c r="AQ499" s="60">
        <v>1189.99</v>
      </c>
      <c r="AR499" s="61">
        <v>1189.99</v>
      </c>
    </row>
    <row r="500" spans="1:44" x14ac:dyDescent="0.35">
      <c r="A500" s="49" t="str">
        <f t="shared" si="41"/>
        <v>09</v>
      </c>
      <c r="B500" s="27">
        <v>61895</v>
      </c>
      <c r="C500" s="25" t="str">
        <f t="shared" si="39"/>
        <v>0000000</v>
      </c>
      <c r="D500" s="26" t="s">
        <v>3663</v>
      </c>
      <c r="E500" s="25" t="s">
        <v>369</v>
      </c>
      <c r="F500" s="25" t="s">
        <v>345</v>
      </c>
      <c r="G500" s="59" t="s">
        <v>370</v>
      </c>
      <c r="H500" s="60">
        <v>8.42</v>
      </c>
      <c r="I500" s="60">
        <v>10.31</v>
      </c>
      <c r="J500" s="60">
        <v>14.48</v>
      </c>
      <c r="K500" s="60">
        <v>0</v>
      </c>
      <c r="L500" s="60">
        <v>0</v>
      </c>
      <c r="M500" s="60">
        <v>0</v>
      </c>
      <c r="N500" s="60">
        <v>0</v>
      </c>
      <c r="O500" s="60">
        <v>0</v>
      </c>
      <c r="P500" s="60">
        <v>0</v>
      </c>
      <c r="Q500" s="60">
        <v>0</v>
      </c>
      <c r="R500" s="60">
        <v>0</v>
      </c>
      <c r="S500" s="60">
        <v>0</v>
      </c>
      <c r="T500" s="60">
        <v>0</v>
      </c>
      <c r="U500" s="60">
        <v>0</v>
      </c>
      <c r="V500" s="60">
        <v>0</v>
      </c>
      <c r="W500" s="60">
        <v>0</v>
      </c>
      <c r="X500" s="60">
        <v>0</v>
      </c>
      <c r="Y500" s="60">
        <v>0</v>
      </c>
      <c r="Z500" s="60">
        <v>0</v>
      </c>
      <c r="AA500" s="60">
        <v>0</v>
      </c>
      <c r="AB500" s="60">
        <v>0</v>
      </c>
      <c r="AC500" s="60">
        <v>0</v>
      </c>
      <c r="AD500" s="60">
        <v>0</v>
      </c>
      <c r="AE500" s="60">
        <v>0</v>
      </c>
      <c r="AF500" s="60">
        <v>0</v>
      </c>
      <c r="AG500" s="60">
        <v>0</v>
      </c>
      <c r="AH500" s="60">
        <v>0</v>
      </c>
      <c r="AI500" s="60">
        <v>8.42</v>
      </c>
      <c r="AJ500" s="60">
        <v>10.31</v>
      </c>
      <c r="AK500" s="60">
        <v>14.48</v>
      </c>
      <c r="AL500" s="60">
        <v>0</v>
      </c>
      <c r="AM500" s="60">
        <v>0</v>
      </c>
      <c r="AN500" s="60">
        <v>0</v>
      </c>
      <c r="AO500" s="60">
        <v>8.42</v>
      </c>
      <c r="AP500" s="60">
        <v>10.31</v>
      </c>
      <c r="AQ500" s="60">
        <v>14.48</v>
      </c>
      <c r="AR500" s="61">
        <v>14.48</v>
      </c>
    </row>
    <row r="501" spans="1:44" x14ac:dyDescent="0.35">
      <c r="A501" s="49" t="str">
        <f t="shared" si="41"/>
        <v>09</v>
      </c>
      <c r="B501" s="27">
        <v>61911</v>
      </c>
      <c r="C501" s="25" t="str">
        <f t="shared" si="39"/>
        <v>0000000</v>
      </c>
      <c r="D501" s="26" t="s">
        <v>3663</v>
      </c>
      <c r="E501" s="25" t="s">
        <v>371</v>
      </c>
      <c r="F501" s="25" t="s">
        <v>345</v>
      </c>
      <c r="G501" s="59" t="s">
        <v>372</v>
      </c>
      <c r="H501" s="60">
        <v>160.97999999999999</v>
      </c>
      <c r="I501" s="60">
        <v>152.57</v>
      </c>
      <c r="J501" s="60">
        <v>145.77000000000001</v>
      </c>
      <c r="K501" s="60">
        <v>0</v>
      </c>
      <c r="L501" s="60">
        <v>0</v>
      </c>
      <c r="M501" s="60">
        <v>0</v>
      </c>
      <c r="N501" s="60">
        <v>0</v>
      </c>
      <c r="O501" s="60">
        <v>0</v>
      </c>
      <c r="P501" s="60">
        <v>0</v>
      </c>
      <c r="Q501" s="60">
        <v>0</v>
      </c>
      <c r="R501" s="60">
        <v>0</v>
      </c>
      <c r="S501" s="60">
        <v>0</v>
      </c>
      <c r="T501" s="60">
        <v>0</v>
      </c>
      <c r="U501" s="60">
        <v>0</v>
      </c>
      <c r="V501" s="60">
        <v>0</v>
      </c>
      <c r="W501" s="60">
        <v>0</v>
      </c>
      <c r="X501" s="60">
        <v>0</v>
      </c>
      <c r="Y501" s="60">
        <v>0</v>
      </c>
      <c r="Z501" s="60">
        <v>0</v>
      </c>
      <c r="AA501" s="60">
        <v>0</v>
      </c>
      <c r="AB501" s="60">
        <v>0</v>
      </c>
      <c r="AC501" s="60">
        <v>0</v>
      </c>
      <c r="AD501" s="60">
        <v>0</v>
      </c>
      <c r="AE501" s="60">
        <v>0</v>
      </c>
      <c r="AF501" s="60">
        <v>0</v>
      </c>
      <c r="AG501" s="60">
        <v>0</v>
      </c>
      <c r="AH501" s="60">
        <v>0</v>
      </c>
      <c r="AI501" s="60">
        <v>160.97999999999999</v>
      </c>
      <c r="AJ501" s="60">
        <v>152.57</v>
      </c>
      <c r="AK501" s="60">
        <v>145.77000000000001</v>
      </c>
      <c r="AL501" s="60">
        <v>0</v>
      </c>
      <c r="AM501" s="60">
        <v>0</v>
      </c>
      <c r="AN501" s="60">
        <v>0</v>
      </c>
      <c r="AO501" s="60">
        <v>160.97999999999999</v>
      </c>
      <c r="AP501" s="60">
        <v>152.57</v>
      </c>
      <c r="AQ501" s="60">
        <v>145.77000000000001</v>
      </c>
      <c r="AR501" s="61">
        <v>160.97999999999999</v>
      </c>
    </row>
    <row r="502" spans="1:44" x14ac:dyDescent="0.35">
      <c r="A502" s="49" t="str">
        <f t="shared" si="41"/>
        <v>09</v>
      </c>
      <c r="B502" s="27">
        <v>61986</v>
      </c>
      <c r="C502" s="25" t="str">
        <f t="shared" si="39"/>
        <v>0000000</v>
      </c>
      <c r="D502" s="26" t="s">
        <v>3663</v>
      </c>
      <c r="E502" s="25" t="s">
        <v>382</v>
      </c>
      <c r="F502" s="25" t="s">
        <v>345</v>
      </c>
      <c r="G502" s="59" t="s">
        <v>383</v>
      </c>
      <c r="H502" s="60">
        <v>14.34</v>
      </c>
      <c r="I502" s="60">
        <v>12.28</v>
      </c>
      <c r="J502" s="60">
        <v>13.81</v>
      </c>
      <c r="K502" s="60">
        <v>0</v>
      </c>
      <c r="L502" s="60">
        <v>0</v>
      </c>
      <c r="M502" s="60">
        <v>0</v>
      </c>
      <c r="N502" s="60">
        <v>0</v>
      </c>
      <c r="O502" s="60">
        <v>0</v>
      </c>
      <c r="P502" s="60">
        <v>0</v>
      </c>
      <c r="Q502" s="60">
        <v>0</v>
      </c>
      <c r="R502" s="60">
        <v>0</v>
      </c>
      <c r="S502" s="60">
        <v>0</v>
      </c>
      <c r="T502" s="60">
        <v>0</v>
      </c>
      <c r="U502" s="60">
        <v>0</v>
      </c>
      <c r="V502" s="60">
        <v>0</v>
      </c>
      <c r="W502" s="60">
        <v>0</v>
      </c>
      <c r="X502" s="60">
        <v>0</v>
      </c>
      <c r="Y502" s="60">
        <v>0</v>
      </c>
      <c r="Z502" s="60">
        <v>0</v>
      </c>
      <c r="AA502" s="60">
        <v>0</v>
      </c>
      <c r="AB502" s="60">
        <v>0</v>
      </c>
      <c r="AC502" s="60">
        <v>0</v>
      </c>
      <c r="AD502" s="60">
        <v>0</v>
      </c>
      <c r="AE502" s="60">
        <v>0</v>
      </c>
      <c r="AF502" s="60">
        <v>0</v>
      </c>
      <c r="AG502" s="60">
        <v>0</v>
      </c>
      <c r="AH502" s="60">
        <v>0</v>
      </c>
      <c r="AI502" s="60">
        <v>14.34</v>
      </c>
      <c r="AJ502" s="60">
        <v>12.28</v>
      </c>
      <c r="AK502" s="60">
        <v>13.81</v>
      </c>
      <c r="AL502" s="60">
        <v>0</v>
      </c>
      <c r="AM502" s="60">
        <v>0</v>
      </c>
      <c r="AN502" s="60">
        <v>0</v>
      </c>
      <c r="AO502" s="60">
        <v>14.34</v>
      </c>
      <c r="AP502" s="60">
        <v>12.28</v>
      </c>
      <c r="AQ502" s="60">
        <v>13.81</v>
      </c>
      <c r="AR502" s="61">
        <v>14.34</v>
      </c>
    </row>
    <row r="503" spans="1:44" x14ac:dyDescent="0.35">
      <c r="A503" s="49" t="str">
        <f t="shared" ref="A503:A517" si="42">TEXT(51,"00")</f>
        <v>51</v>
      </c>
      <c r="B503" s="27">
        <v>10512</v>
      </c>
      <c r="C503" s="25" t="str">
        <f t="shared" si="39"/>
        <v>0000000</v>
      </c>
      <c r="D503" s="26" t="s">
        <v>3663</v>
      </c>
      <c r="E503" s="25" t="s">
        <v>3221</v>
      </c>
      <c r="F503" s="25" t="s">
        <v>3222</v>
      </c>
      <c r="G503" s="59" t="s">
        <v>3222</v>
      </c>
      <c r="H503" s="60">
        <v>0</v>
      </c>
      <c r="I503" s="60">
        <v>0</v>
      </c>
      <c r="J503" s="60">
        <v>0</v>
      </c>
      <c r="K503" s="60">
        <v>0</v>
      </c>
      <c r="L503" s="60">
        <v>0</v>
      </c>
      <c r="M503" s="60">
        <v>0</v>
      </c>
      <c r="N503" s="60">
        <v>0</v>
      </c>
      <c r="O503" s="60">
        <v>0</v>
      </c>
      <c r="P503" s="60">
        <v>0</v>
      </c>
      <c r="Q503" s="60">
        <v>0</v>
      </c>
      <c r="R503" s="60">
        <v>0</v>
      </c>
      <c r="S503" s="60">
        <v>0</v>
      </c>
      <c r="T503" s="60">
        <v>18.22</v>
      </c>
      <c r="U503" s="60">
        <v>39.799999999999997</v>
      </c>
      <c r="V503" s="60">
        <v>32.03</v>
      </c>
      <c r="W503" s="60">
        <v>308.81</v>
      </c>
      <c r="X503" s="60">
        <v>290.17</v>
      </c>
      <c r="Y503" s="60">
        <v>255.24</v>
      </c>
      <c r="Z503" s="60">
        <v>0</v>
      </c>
      <c r="AA503" s="60">
        <v>0</v>
      </c>
      <c r="AB503" s="60">
        <v>0</v>
      </c>
      <c r="AC503" s="60">
        <v>0</v>
      </c>
      <c r="AD503" s="60">
        <v>0</v>
      </c>
      <c r="AE503" s="60">
        <v>0</v>
      </c>
      <c r="AF503" s="60">
        <v>0</v>
      </c>
      <c r="AG503" s="60">
        <v>0</v>
      </c>
      <c r="AH503" s="60">
        <v>0</v>
      </c>
      <c r="AI503" s="60">
        <v>327.02999999999997</v>
      </c>
      <c r="AJ503" s="60">
        <v>329.97</v>
      </c>
      <c r="AK503" s="60">
        <v>287.27</v>
      </c>
      <c r="AL503" s="60">
        <v>0</v>
      </c>
      <c r="AM503" s="60">
        <v>0</v>
      </c>
      <c r="AN503" s="60">
        <v>0</v>
      </c>
      <c r="AO503" s="60">
        <v>327.02999999999997</v>
      </c>
      <c r="AP503" s="60">
        <v>329.97</v>
      </c>
      <c r="AQ503" s="60">
        <v>287.27</v>
      </c>
      <c r="AR503" s="61">
        <v>329.97</v>
      </c>
    </row>
    <row r="504" spans="1:44" x14ac:dyDescent="0.35">
      <c r="A504" s="49" t="str">
        <f t="shared" si="42"/>
        <v>51</v>
      </c>
      <c r="B504" s="27">
        <v>71399</v>
      </c>
      <c r="C504" s="25" t="str">
        <f t="shared" si="39"/>
        <v>0000000</v>
      </c>
      <c r="D504" s="26" t="s">
        <v>3663</v>
      </c>
      <c r="E504" s="25" t="s">
        <v>3233</v>
      </c>
      <c r="F504" s="25" t="s">
        <v>3222</v>
      </c>
      <c r="G504" s="59" t="s">
        <v>3234</v>
      </c>
      <c r="H504" s="60">
        <v>1913.64</v>
      </c>
      <c r="I504" s="60">
        <v>1845.75</v>
      </c>
      <c r="J504" s="60">
        <v>1728.92</v>
      </c>
      <c r="K504" s="60">
        <v>0</v>
      </c>
      <c r="L504" s="60">
        <v>0</v>
      </c>
      <c r="M504" s="60">
        <v>0</v>
      </c>
      <c r="N504" s="60">
        <v>0</v>
      </c>
      <c r="O504" s="60">
        <v>0</v>
      </c>
      <c r="P504" s="60">
        <v>0</v>
      </c>
      <c r="Q504" s="60">
        <v>0</v>
      </c>
      <c r="R504" s="60">
        <v>0</v>
      </c>
      <c r="S504" s="60">
        <v>0</v>
      </c>
      <c r="T504" s="60">
        <v>0</v>
      </c>
      <c r="U504" s="60">
        <v>0</v>
      </c>
      <c r="V504" s="60">
        <v>0</v>
      </c>
      <c r="W504" s="60">
        <v>0</v>
      </c>
      <c r="X504" s="60">
        <v>0</v>
      </c>
      <c r="Y504" s="60">
        <v>0</v>
      </c>
      <c r="Z504" s="60">
        <v>0</v>
      </c>
      <c r="AA504" s="60">
        <v>0</v>
      </c>
      <c r="AB504" s="60">
        <v>0</v>
      </c>
      <c r="AC504" s="60">
        <v>0</v>
      </c>
      <c r="AD504" s="60">
        <v>0</v>
      </c>
      <c r="AE504" s="60">
        <v>0</v>
      </c>
      <c r="AF504" s="60">
        <v>0</v>
      </c>
      <c r="AG504" s="60">
        <v>0</v>
      </c>
      <c r="AH504" s="60">
        <v>0</v>
      </c>
      <c r="AI504" s="60">
        <v>1913.64</v>
      </c>
      <c r="AJ504" s="60">
        <v>1845.75</v>
      </c>
      <c r="AK504" s="60">
        <v>1728.92</v>
      </c>
      <c r="AL504" s="60">
        <v>0</v>
      </c>
      <c r="AM504" s="60">
        <v>0</v>
      </c>
      <c r="AN504" s="60">
        <v>0</v>
      </c>
      <c r="AO504" s="60">
        <v>1913.64</v>
      </c>
      <c r="AP504" s="60">
        <v>1845.75</v>
      </c>
      <c r="AQ504" s="60">
        <v>1728.92</v>
      </c>
      <c r="AR504" s="61">
        <v>1913.64</v>
      </c>
    </row>
    <row r="505" spans="1:44" x14ac:dyDescent="0.35">
      <c r="A505" s="49" t="str">
        <f t="shared" si="42"/>
        <v>51</v>
      </c>
      <c r="B505" s="27">
        <v>71449</v>
      </c>
      <c r="C505" s="25" t="str">
        <f t="shared" si="39"/>
        <v>0000000</v>
      </c>
      <c r="D505" s="26" t="s">
        <v>3663</v>
      </c>
      <c r="E505" s="25" t="s">
        <v>3248</v>
      </c>
      <c r="F505" s="25" t="s">
        <v>3222</v>
      </c>
      <c r="G505" s="59" t="s">
        <v>3249</v>
      </c>
      <c r="H505" s="60">
        <v>738.11</v>
      </c>
      <c r="I505" s="60">
        <v>745.78</v>
      </c>
      <c r="J505" s="60">
        <v>747.96</v>
      </c>
      <c r="K505" s="60">
        <v>0</v>
      </c>
      <c r="L505" s="60">
        <v>0</v>
      </c>
      <c r="M505" s="60">
        <v>0</v>
      </c>
      <c r="N505" s="60">
        <v>0</v>
      </c>
      <c r="O505" s="60">
        <v>0</v>
      </c>
      <c r="P505" s="60">
        <v>0</v>
      </c>
      <c r="Q505" s="60">
        <v>0</v>
      </c>
      <c r="R505" s="60">
        <v>0</v>
      </c>
      <c r="S505" s="60">
        <v>0</v>
      </c>
      <c r="T505" s="60">
        <v>0</v>
      </c>
      <c r="U505" s="60">
        <v>0</v>
      </c>
      <c r="V505" s="60">
        <v>0</v>
      </c>
      <c r="W505" s="60">
        <v>0</v>
      </c>
      <c r="X505" s="60">
        <v>0</v>
      </c>
      <c r="Y505" s="60">
        <v>0</v>
      </c>
      <c r="Z505" s="60">
        <v>0</v>
      </c>
      <c r="AA505" s="60">
        <v>0</v>
      </c>
      <c r="AB505" s="60">
        <v>0</v>
      </c>
      <c r="AC505" s="60">
        <v>0</v>
      </c>
      <c r="AD505" s="60">
        <v>0</v>
      </c>
      <c r="AE505" s="60">
        <v>0</v>
      </c>
      <c r="AF505" s="60">
        <v>0</v>
      </c>
      <c r="AG505" s="60">
        <v>0</v>
      </c>
      <c r="AH505" s="60">
        <v>0</v>
      </c>
      <c r="AI505" s="60">
        <v>738.11</v>
      </c>
      <c r="AJ505" s="60">
        <v>745.78</v>
      </c>
      <c r="AK505" s="60">
        <v>747.96</v>
      </c>
      <c r="AL505" s="60">
        <v>0</v>
      </c>
      <c r="AM505" s="60">
        <v>0</v>
      </c>
      <c r="AN505" s="60">
        <v>0</v>
      </c>
      <c r="AO505" s="60">
        <v>738.11</v>
      </c>
      <c r="AP505" s="60">
        <v>745.78</v>
      </c>
      <c r="AQ505" s="60">
        <v>747.96</v>
      </c>
      <c r="AR505" s="61">
        <v>747.96</v>
      </c>
    </row>
    <row r="506" spans="1:44" x14ac:dyDescent="0.35">
      <c r="A506" s="49" t="str">
        <f t="shared" si="42"/>
        <v>51</v>
      </c>
      <c r="B506" s="27">
        <v>71464</v>
      </c>
      <c r="C506" s="25" t="str">
        <f t="shared" si="39"/>
        <v>0000000</v>
      </c>
      <c r="D506" s="26" t="s">
        <v>3663</v>
      </c>
      <c r="E506" s="25" t="s">
        <v>3254</v>
      </c>
      <c r="F506" s="25" t="s">
        <v>3222</v>
      </c>
      <c r="G506" s="59" t="s">
        <v>3255</v>
      </c>
      <c r="H506" s="60">
        <v>10556.71</v>
      </c>
      <c r="I506" s="60">
        <v>10690.18</v>
      </c>
      <c r="J506" s="60">
        <v>10256.52</v>
      </c>
      <c r="K506" s="60">
        <v>0</v>
      </c>
      <c r="L506" s="60">
        <v>0</v>
      </c>
      <c r="M506" s="60">
        <v>0</v>
      </c>
      <c r="N506" s="60">
        <v>0</v>
      </c>
      <c r="O506" s="60">
        <v>0</v>
      </c>
      <c r="P506" s="60">
        <v>0</v>
      </c>
      <c r="Q506" s="60">
        <v>0</v>
      </c>
      <c r="R506" s="60">
        <v>0</v>
      </c>
      <c r="S506" s="60">
        <v>0</v>
      </c>
      <c r="T506" s="60">
        <v>0</v>
      </c>
      <c r="U506" s="60">
        <v>0</v>
      </c>
      <c r="V506" s="60">
        <v>0</v>
      </c>
      <c r="W506" s="60">
        <v>0</v>
      </c>
      <c r="X506" s="60">
        <v>0</v>
      </c>
      <c r="Y506" s="60">
        <v>0</v>
      </c>
      <c r="Z506" s="60">
        <v>0</v>
      </c>
      <c r="AA506" s="60">
        <v>0</v>
      </c>
      <c r="AB506" s="60">
        <v>0</v>
      </c>
      <c r="AC506" s="60">
        <v>0</v>
      </c>
      <c r="AD506" s="60">
        <v>0</v>
      </c>
      <c r="AE506" s="60">
        <v>0</v>
      </c>
      <c r="AF506" s="60">
        <v>0</v>
      </c>
      <c r="AG506" s="60">
        <v>0</v>
      </c>
      <c r="AH506" s="60">
        <v>0</v>
      </c>
      <c r="AI506" s="60">
        <v>10556.71</v>
      </c>
      <c r="AJ506" s="60">
        <v>10690.18</v>
      </c>
      <c r="AK506" s="60">
        <v>10256.52</v>
      </c>
      <c r="AL506" s="60">
        <v>0</v>
      </c>
      <c r="AM506" s="60">
        <v>0</v>
      </c>
      <c r="AN506" s="60">
        <v>0</v>
      </c>
      <c r="AO506" s="60">
        <v>10556.71</v>
      </c>
      <c r="AP506" s="60">
        <v>10690.18</v>
      </c>
      <c r="AQ506" s="60">
        <v>10256.52</v>
      </c>
      <c r="AR506" s="61">
        <v>10690.18</v>
      </c>
    </row>
    <row r="507" spans="1:44" x14ac:dyDescent="0.35">
      <c r="A507" s="49" t="str">
        <f t="shared" si="42"/>
        <v>51</v>
      </c>
      <c r="B507" s="27">
        <v>71357</v>
      </c>
      <c r="C507" s="25" t="str">
        <f t="shared" si="39"/>
        <v>0000000</v>
      </c>
      <c r="D507" s="26" t="s">
        <v>3663</v>
      </c>
      <c r="E507" s="25" t="s">
        <v>3225</v>
      </c>
      <c r="F507" s="25" t="s">
        <v>3222</v>
      </c>
      <c r="G507" s="59" t="s">
        <v>3226</v>
      </c>
      <c r="H507" s="60">
        <v>463.44</v>
      </c>
      <c r="I507" s="60">
        <v>430.15</v>
      </c>
      <c r="J507" s="60">
        <v>398.07</v>
      </c>
      <c r="K507" s="60">
        <v>0</v>
      </c>
      <c r="L507" s="60">
        <v>0</v>
      </c>
      <c r="M507" s="60">
        <v>0</v>
      </c>
      <c r="N507" s="60">
        <v>0</v>
      </c>
      <c r="O507" s="60">
        <v>0</v>
      </c>
      <c r="P507" s="60">
        <v>0</v>
      </c>
      <c r="Q507" s="60">
        <v>0</v>
      </c>
      <c r="R507" s="60">
        <v>0</v>
      </c>
      <c r="S507" s="60">
        <v>0</v>
      </c>
      <c r="T507" s="60">
        <v>0</v>
      </c>
      <c r="U507" s="60">
        <v>0</v>
      </c>
      <c r="V507" s="60">
        <v>0</v>
      </c>
      <c r="W507" s="60">
        <v>0</v>
      </c>
      <c r="X507" s="60">
        <v>0</v>
      </c>
      <c r="Y507" s="60">
        <v>0</v>
      </c>
      <c r="Z507" s="60">
        <v>0</v>
      </c>
      <c r="AA507" s="60">
        <v>0</v>
      </c>
      <c r="AB507" s="60">
        <v>0</v>
      </c>
      <c r="AC507" s="60">
        <v>0</v>
      </c>
      <c r="AD507" s="60">
        <v>0</v>
      </c>
      <c r="AE507" s="60">
        <v>0</v>
      </c>
      <c r="AF507" s="60">
        <v>0</v>
      </c>
      <c r="AG507" s="60">
        <v>0</v>
      </c>
      <c r="AH507" s="60">
        <v>0</v>
      </c>
      <c r="AI507" s="60">
        <v>463.44</v>
      </c>
      <c r="AJ507" s="60">
        <v>430.15</v>
      </c>
      <c r="AK507" s="60">
        <v>398.07</v>
      </c>
      <c r="AL507" s="60">
        <v>0</v>
      </c>
      <c r="AM507" s="60">
        <v>0</v>
      </c>
      <c r="AN507" s="60">
        <v>0</v>
      </c>
      <c r="AO507" s="60">
        <v>463.44</v>
      </c>
      <c r="AP507" s="60">
        <v>430.15</v>
      </c>
      <c r="AQ507" s="60">
        <v>398.07</v>
      </c>
      <c r="AR507" s="61">
        <v>463.44</v>
      </c>
    </row>
    <row r="508" spans="1:44" x14ac:dyDescent="0.35">
      <c r="A508" s="49" t="str">
        <f t="shared" si="42"/>
        <v>51</v>
      </c>
      <c r="B508" s="27">
        <v>71365</v>
      </c>
      <c r="C508" s="25" t="str">
        <f t="shared" si="39"/>
        <v>0000000</v>
      </c>
      <c r="D508" s="26" t="s">
        <v>3663</v>
      </c>
      <c r="E508" s="25" t="s">
        <v>3227</v>
      </c>
      <c r="F508" s="25" t="s">
        <v>3222</v>
      </c>
      <c r="G508" s="59" t="s">
        <v>3228</v>
      </c>
      <c r="H508" s="60">
        <v>130.36000000000001</v>
      </c>
      <c r="I508" s="60">
        <v>115.63</v>
      </c>
      <c r="J508" s="60">
        <v>118.2</v>
      </c>
      <c r="K508" s="60">
        <v>0</v>
      </c>
      <c r="L508" s="60">
        <v>0</v>
      </c>
      <c r="M508" s="60">
        <v>0</v>
      </c>
      <c r="N508" s="60">
        <v>0</v>
      </c>
      <c r="O508" s="60">
        <v>0</v>
      </c>
      <c r="P508" s="60">
        <v>0</v>
      </c>
      <c r="Q508" s="60">
        <v>0</v>
      </c>
      <c r="R508" s="60">
        <v>0</v>
      </c>
      <c r="S508" s="60">
        <v>0</v>
      </c>
      <c r="T508" s="60">
        <v>0</v>
      </c>
      <c r="U508" s="60">
        <v>0</v>
      </c>
      <c r="V508" s="60">
        <v>0</v>
      </c>
      <c r="W508" s="60">
        <v>0</v>
      </c>
      <c r="X508" s="60">
        <v>0</v>
      </c>
      <c r="Y508" s="60">
        <v>0</v>
      </c>
      <c r="Z508" s="60">
        <v>0</v>
      </c>
      <c r="AA508" s="60">
        <v>0</v>
      </c>
      <c r="AB508" s="60">
        <v>0</v>
      </c>
      <c r="AC508" s="60">
        <v>0</v>
      </c>
      <c r="AD508" s="60">
        <v>0</v>
      </c>
      <c r="AE508" s="60">
        <v>0</v>
      </c>
      <c r="AF508" s="60">
        <v>0</v>
      </c>
      <c r="AG508" s="60">
        <v>0</v>
      </c>
      <c r="AH508" s="60">
        <v>0</v>
      </c>
      <c r="AI508" s="60">
        <v>130.36000000000001</v>
      </c>
      <c r="AJ508" s="60">
        <v>115.63</v>
      </c>
      <c r="AK508" s="60">
        <v>118.2</v>
      </c>
      <c r="AL508" s="60">
        <v>0</v>
      </c>
      <c r="AM508" s="60">
        <v>0</v>
      </c>
      <c r="AN508" s="60">
        <v>0</v>
      </c>
      <c r="AO508" s="60">
        <v>130.36000000000001</v>
      </c>
      <c r="AP508" s="60">
        <v>115.63</v>
      </c>
      <c r="AQ508" s="60">
        <v>118.2</v>
      </c>
      <c r="AR508" s="61">
        <v>130.36000000000001</v>
      </c>
    </row>
    <row r="509" spans="1:44" x14ac:dyDescent="0.35">
      <c r="A509" s="49" t="str">
        <f t="shared" si="42"/>
        <v>51</v>
      </c>
      <c r="B509" s="27">
        <v>71373</v>
      </c>
      <c r="C509" s="25" t="str">
        <f t="shared" si="39"/>
        <v>0000000</v>
      </c>
      <c r="D509" s="26" t="s">
        <v>3663</v>
      </c>
      <c r="E509" s="25" t="s">
        <v>3229</v>
      </c>
      <c r="F509" s="25" t="s">
        <v>3222</v>
      </c>
      <c r="G509" s="59" t="s">
        <v>3230</v>
      </c>
      <c r="H509" s="60">
        <v>278.05</v>
      </c>
      <c r="I509" s="60">
        <v>289.3</v>
      </c>
      <c r="J509" s="60">
        <v>279.88</v>
      </c>
      <c r="K509" s="60">
        <v>0</v>
      </c>
      <c r="L509" s="60">
        <v>0</v>
      </c>
      <c r="M509" s="60">
        <v>0</v>
      </c>
      <c r="N509" s="60">
        <v>0</v>
      </c>
      <c r="O509" s="60">
        <v>0</v>
      </c>
      <c r="P509" s="60">
        <v>0</v>
      </c>
      <c r="Q509" s="60">
        <v>0</v>
      </c>
      <c r="R509" s="60">
        <v>0</v>
      </c>
      <c r="S509" s="60">
        <v>0</v>
      </c>
      <c r="T509" s="60">
        <v>0</v>
      </c>
      <c r="U509" s="60">
        <v>0</v>
      </c>
      <c r="V509" s="60">
        <v>0</v>
      </c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0">
        <v>0</v>
      </c>
      <c r="AE509" s="60">
        <v>0</v>
      </c>
      <c r="AF509" s="60">
        <v>0</v>
      </c>
      <c r="AG509" s="60">
        <v>0</v>
      </c>
      <c r="AH509" s="60">
        <v>0</v>
      </c>
      <c r="AI509" s="60">
        <v>278.05</v>
      </c>
      <c r="AJ509" s="60">
        <v>289.3</v>
      </c>
      <c r="AK509" s="60">
        <v>279.88</v>
      </c>
      <c r="AL509" s="60">
        <v>0</v>
      </c>
      <c r="AM509" s="60">
        <v>0</v>
      </c>
      <c r="AN509" s="60">
        <v>0</v>
      </c>
      <c r="AO509" s="60">
        <v>278.05</v>
      </c>
      <c r="AP509" s="60">
        <v>289.3</v>
      </c>
      <c r="AQ509" s="60">
        <v>279.88</v>
      </c>
      <c r="AR509" s="61">
        <v>289.3</v>
      </c>
    </row>
    <row r="510" spans="1:44" x14ac:dyDescent="0.35">
      <c r="A510" s="49" t="str">
        <f t="shared" si="42"/>
        <v>51</v>
      </c>
      <c r="B510" s="27">
        <v>71381</v>
      </c>
      <c r="C510" s="25" t="str">
        <f t="shared" si="39"/>
        <v>0000000</v>
      </c>
      <c r="D510" s="26" t="s">
        <v>3663</v>
      </c>
      <c r="E510" s="25" t="s">
        <v>3231</v>
      </c>
      <c r="F510" s="25" t="s">
        <v>3222</v>
      </c>
      <c r="G510" s="59" t="s">
        <v>3232</v>
      </c>
      <c r="H510" s="60">
        <v>482.12</v>
      </c>
      <c r="I510" s="60">
        <v>461.41</v>
      </c>
      <c r="J510" s="60">
        <v>445.83</v>
      </c>
      <c r="K510" s="60">
        <v>0</v>
      </c>
      <c r="L510" s="60">
        <v>0</v>
      </c>
      <c r="M510" s="60">
        <v>0</v>
      </c>
      <c r="N510" s="60">
        <v>0</v>
      </c>
      <c r="O510" s="60">
        <v>0</v>
      </c>
      <c r="P510" s="60">
        <v>0</v>
      </c>
      <c r="Q510" s="60">
        <v>0</v>
      </c>
      <c r="R510" s="60">
        <v>0</v>
      </c>
      <c r="S510" s="60">
        <v>0</v>
      </c>
      <c r="T510" s="60">
        <v>0</v>
      </c>
      <c r="U510" s="60">
        <v>0</v>
      </c>
      <c r="V510" s="60">
        <v>0</v>
      </c>
      <c r="W510" s="60">
        <v>0</v>
      </c>
      <c r="X510" s="60">
        <v>0</v>
      </c>
      <c r="Y510" s="60">
        <v>0</v>
      </c>
      <c r="Z510" s="60">
        <v>0</v>
      </c>
      <c r="AA510" s="60">
        <v>0</v>
      </c>
      <c r="AB510" s="60">
        <v>0</v>
      </c>
      <c r="AC510" s="60">
        <v>0</v>
      </c>
      <c r="AD510" s="60">
        <v>0</v>
      </c>
      <c r="AE510" s="60">
        <v>0</v>
      </c>
      <c r="AF510" s="60">
        <v>0</v>
      </c>
      <c r="AG510" s="60">
        <v>0</v>
      </c>
      <c r="AH510" s="60">
        <v>0</v>
      </c>
      <c r="AI510" s="60">
        <v>482.12</v>
      </c>
      <c r="AJ510" s="60">
        <v>461.41</v>
      </c>
      <c r="AK510" s="60">
        <v>445.83</v>
      </c>
      <c r="AL510" s="60">
        <v>0</v>
      </c>
      <c r="AM510" s="60">
        <v>0</v>
      </c>
      <c r="AN510" s="60">
        <v>0</v>
      </c>
      <c r="AO510" s="60">
        <v>482.12</v>
      </c>
      <c r="AP510" s="60">
        <v>461.41</v>
      </c>
      <c r="AQ510" s="60">
        <v>445.83</v>
      </c>
      <c r="AR510" s="61">
        <v>482.12</v>
      </c>
    </row>
    <row r="511" spans="1:44" x14ac:dyDescent="0.35">
      <c r="A511" s="49" t="str">
        <f t="shared" si="42"/>
        <v>51</v>
      </c>
      <c r="B511" s="27">
        <v>71407</v>
      </c>
      <c r="C511" s="25" t="str">
        <f t="shared" si="39"/>
        <v>0000000</v>
      </c>
      <c r="D511" s="26" t="s">
        <v>3663</v>
      </c>
      <c r="E511" s="25" t="s">
        <v>3235</v>
      </c>
      <c r="F511" s="25" t="s">
        <v>3222</v>
      </c>
      <c r="G511" s="59" t="s">
        <v>3236</v>
      </c>
      <c r="H511" s="60">
        <v>173.67</v>
      </c>
      <c r="I511" s="60">
        <v>182.52</v>
      </c>
      <c r="J511" s="60">
        <v>173.6</v>
      </c>
      <c r="K511" s="60">
        <v>0</v>
      </c>
      <c r="L511" s="60">
        <v>0</v>
      </c>
      <c r="M511" s="60">
        <v>0</v>
      </c>
      <c r="N511" s="60">
        <v>0</v>
      </c>
      <c r="O511" s="60">
        <v>0</v>
      </c>
      <c r="P511" s="60">
        <v>0</v>
      </c>
      <c r="Q511" s="60">
        <v>0</v>
      </c>
      <c r="R511" s="60">
        <v>0</v>
      </c>
      <c r="S511" s="60">
        <v>0</v>
      </c>
      <c r="T511" s="60">
        <v>0</v>
      </c>
      <c r="U511" s="60">
        <v>0</v>
      </c>
      <c r="V511" s="60">
        <v>0</v>
      </c>
      <c r="W511" s="60">
        <v>0</v>
      </c>
      <c r="X511" s="60">
        <v>0</v>
      </c>
      <c r="Y511" s="60">
        <v>0</v>
      </c>
      <c r="Z511" s="60">
        <v>0</v>
      </c>
      <c r="AA511" s="60">
        <v>0</v>
      </c>
      <c r="AB511" s="60">
        <v>0</v>
      </c>
      <c r="AC511" s="60">
        <v>0</v>
      </c>
      <c r="AD511" s="60">
        <v>0</v>
      </c>
      <c r="AE511" s="60">
        <v>0</v>
      </c>
      <c r="AF511" s="60">
        <v>0</v>
      </c>
      <c r="AG511" s="60">
        <v>0</v>
      </c>
      <c r="AH511" s="60">
        <v>0</v>
      </c>
      <c r="AI511" s="60">
        <v>173.67</v>
      </c>
      <c r="AJ511" s="60">
        <v>182.52</v>
      </c>
      <c r="AK511" s="60">
        <v>173.6</v>
      </c>
      <c r="AL511" s="60">
        <v>0</v>
      </c>
      <c r="AM511" s="60">
        <v>0</v>
      </c>
      <c r="AN511" s="60">
        <v>0</v>
      </c>
      <c r="AO511" s="60">
        <v>173.67</v>
      </c>
      <c r="AP511" s="60">
        <v>182.52</v>
      </c>
      <c r="AQ511" s="60">
        <v>173.6</v>
      </c>
      <c r="AR511" s="61">
        <v>182.52</v>
      </c>
    </row>
    <row r="512" spans="1:44" x14ac:dyDescent="0.35">
      <c r="A512" s="49" t="str">
        <f t="shared" si="42"/>
        <v>51</v>
      </c>
      <c r="B512" s="27">
        <v>71415</v>
      </c>
      <c r="C512" s="25" t="str">
        <f t="shared" si="39"/>
        <v>0000000</v>
      </c>
      <c r="D512" s="26" t="s">
        <v>3663</v>
      </c>
      <c r="E512" s="25" t="s">
        <v>3240</v>
      </c>
      <c r="F512" s="25" t="s">
        <v>3222</v>
      </c>
      <c r="G512" s="59" t="s">
        <v>3241</v>
      </c>
      <c r="H512" s="60">
        <v>63.42</v>
      </c>
      <c r="I512" s="60">
        <v>67.989999999999995</v>
      </c>
      <c r="J512" s="60">
        <v>66.069999999999993</v>
      </c>
      <c r="K512" s="60">
        <v>0</v>
      </c>
      <c r="L512" s="60">
        <v>0</v>
      </c>
      <c r="M512" s="60">
        <v>0</v>
      </c>
      <c r="N512" s="60">
        <v>0</v>
      </c>
      <c r="O512" s="60">
        <v>0</v>
      </c>
      <c r="P512" s="60">
        <v>0</v>
      </c>
      <c r="Q512" s="60">
        <v>0</v>
      </c>
      <c r="R512" s="60">
        <v>0</v>
      </c>
      <c r="S512" s="60">
        <v>0</v>
      </c>
      <c r="T512" s="60">
        <v>0</v>
      </c>
      <c r="U512" s="60">
        <v>0</v>
      </c>
      <c r="V512" s="60">
        <v>0</v>
      </c>
      <c r="W512" s="60">
        <v>0</v>
      </c>
      <c r="X512" s="60">
        <v>0</v>
      </c>
      <c r="Y512" s="60">
        <v>0</v>
      </c>
      <c r="Z512" s="60">
        <v>0</v>
      </c>
      <c r="AA512" s="60">
        <v>0</v>
      </c>
      <c r="AB512" s="60">
        <v>0</v>
      </c>
      <c r="AC512" s="60">
        <v>0</v>
      </c>
      <c r="AD512" s="60">
        <v>1384.47</v>
      </c>
      <c r="AE512" s="60">
        <v>1444.96</v>
      </c>
      <c r="AF512" s="60">
        <v>0</v>
      </c>
      <c r="AG512" s="60">
        <v>0</v>
      </c>
      <c r="AH512" s="60">
        <v>0</v>
      </c>
      <c r="AI512" s="60">
        <v>63.42</v>
      </c>
      <c r="AJ512" s="60">
        <v>1452.46</v>
      </c>
      <c r="AK512" s="60">
        <v>1511.03</v>
      </c>
      <c r="AL512" s="60">
        <v>0</v>
      </c>
      <c r="AM512" s="60">
        <v>-1384.47</v>
      </c>
      <c r="AN512" s="60">
        <v>-1444.96</v>
      </c>
      <c r="AO512" s="60">
        <v>63.42</v>
      </c>
      <c r="AP512" s="60">
        <v>67.989999999999995</v>
      </c>
      <c r="AQ512" s="60">
        <v>66.069999999999993</v>
      </c>
      <c r="AR512" s="61">
        <v>67.989999999999995</v>
      </c>
    </row>
    <row r="513" spans="1:44" x14ac:dyDescent="0.35">
      <c r="A513" s="49" t="str">
        <f t="shared" si="42"/>
        <v>51</v>
      </c>
      <c r="B513" s="27">
        <v>71423</v>
      </c>
      <c r="C513" s="25" t="str">
        <f t="shared" si="39"/>
        <v>0000000</v>
      </c>
      <c r="D513" s="26" t="s">
        <v>3663</v>
      </c>
      <c r="E513" s="25" t="s">
        <v>3242</v>
      </c>
      <c r="F513" s="25" t="s">
        <v>3222</v>
      </c>
      <c r="G513" s="59" t="s">
        <v>3243</v>
      </c>
      <c r="H513" s="60">
        <v>157.41</v>
      </c>
      <c r="I513" s="60">
        <v>172.93</v>
      </c>
      <c r="J513" s="60">
        <v>165.37</v>
      </c>
      <c r="K513" s="60">
        <v>0</v>
      </c>
      <c r="L513" s="60">
        <v>0</v>
      </c>
      <c r="M513" s="60">
        <v>0</v>
      </c>
      <c r="N513" s="60">
        <v>0</v>
      </c>
      <c r="O513" s="60">
        <v>0</v>
      </c>
      <c r="P513" s="60">
        <v>0</v>
      </c>
      <c r="Q513" s="60">
        <v>0</v>
      </c>
      <c r="R513" s="60">
        <v>0</v>
      </c>
      <c r="S513" s="60">
        <v>0</v>
      </c>
      <c r="T513" s="60">
        <v>0</v>
      </c>
      <c r="U513" s="60">
        <v>0</v>
      </c>
      <c r="V513" s="60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60">
        <v>0</v>
      </c>
      <c r="AE513" s="60">
        <v>0</v>
      </c>
      <c r="AF513" s="60">
        <v>0</v>
      </c>
      <c r="AG513" s="60">
        <v>0</v>
      </c>
      <c r="AH513" s="60">
        <v>0</v>
      </c>
      <c r="AI513" s="60">
        <v>157.41</v>
      </c>
      <c r="AJ513" s="60">
        <v>172.93</v>
      </c>
      <c r="AK513" s="60">
        <v>165.37</v>
      </c>
      <c r="AL513" s="60">
        <v>0</v>
      </c>
      <c r="AM513" s="60">
        <v>0</v>
      </c>
      <c r="AN513" s="60">
        <v>0</v>
      </c>
      <c r="AO513" s="60">
        <v>157.41</v>
      </c>
      <c r="AP513" s="60">
        <v>172.93</v>
      </c>
      <c r="AQ513" s="60">
        <v>165.37</v>
      </c>
      <c r="AR513" s="61">
        <v>172.93</v>
      </c>
    </row>
    <row r="514" spans="1:44" x14ac:dyDescent="0.35">
      <c r="A514" s="49" t="str">
        <f t="shared" si="42"/>
        <v>51</v>
      </c>
      <c r="B514" s="27">
        <v>71431</v>
      </c>
      <c r="C514" s="25" t="str">
        <f t="shared" si="39"/>
        <v>0000000</v>
      </c>
      <c r="D514" s="26" t="s">
        <v>3663</v>
      </c>
      <c r="E514" s="25" t="s">
        <v>3246</v>
      </c>
      <c r="F514" s="25" t="s">
        <v>3222</v>
      </c>
      <c r="G514" s="59" t="s">
        <v>3247</v>
      </c>
      <c r="H514" s="60">
        <v>148.9</v>
      </c>
      <c r="I514" s="60">
        <v>137.61000000000001</v>
      </c>
      <c r="J514" s="60">
        <v>154.80000000000001</v>
      </c>
      <c r="K514" s="60">
        <v>0</v>
      </c>
      <c r="L514" s="60">
        <v>0</v>
      </c>
      <c r="M514" s="60">
        <v>0</v>
      </c>
      <c r="N514" s="60">
        <v>0</v>
      </c>
      <c r="O514" s="60">
        <v>0</v>
      </c>
      <c r="P514" s="60">
        <v>0</v>
      </c>
      <c r="Q514" s="60">
        <v>0</v>
      </c>
      <c r="R514" s="60">
        <v>0</v>
      </c>
      <c r="S514" s="60">
        <v>0</v>
      </c>
      <c r="T514" s="60">
        <v>0</v>
      </c>
      <c r="U514" s="60">
        <v>0</v>
      </c>
      <c r="V514" s="60">
        <v>0</v>
      </c>
      <c r="W514" s="60">
        <v>0</v>
      </c>
      <c r="X514" s="60">
        <v>0</v>
      </c>
      <c r="Y514" s="60">
        <v>0</v>
      </c>
      <c r="Z514" s="60">
        <v>0</v>
      </c>
      <c r="AA514" s="60">
        <v>0</v>
      </c>
      <c r="AB514" s="60">
        <v>0</v>
      </c>
      <c r="AC514" s="60">
        <v>0</v>
      </c>
      <c r="AD514" s="60">
        <v>0</v>
      </c>
      <c r="AE514" s="60">
        <v>0</v>
      </c>
      <c r="AF514" s="60">
        <v>0</v>
      </c>
      <c r="AG514" s="60">
        <v>0</v>
      </c>
      <c r="AH514" s="60">
        <v>0</v>
      </c>
      <c r="AI514" s="60">
        <v>148.9</v>
      </c>
      <c r="AJ514" s="60">
        <v>137.61000000000001</v>
      </c>
      <c r="AK514" s="60">
        <v>154.80000000000001</v>
      </c>
      <c r="AL514" s="60">
        <v>0</v>
      </c>
      <c r="AM514" s="60">
        <v>0</v>
      </c>
      <c r="AN514" s="60">
        <v>0</v>
      </c>
      <c r="AO514" s="60">
        <v>148.9</v>
      </c>
      <c r="AP514" s="60">
        <v>137.61000000000001</v>
      </c>
      <c r="AQ514" s="60">
        <v>154.80000000000001</v>
      </c>
      <c r="AR514" s="61">
        <v>154.80000000000001</v>
      </c>
    </row>
    <row r="515" spans="1:44" x14ac:dyDescent="0.35">
      <c r="A515" s="49" t="str">
        <f t="shared" si="42"/>
        <v>51</v>
      </c>
      <c r="B515" s="27">
        <v>71456</v>
      </c>
      <c r="C515" s="25" t="str">
        <f t="shared" si="39"/>
        <v>0000000</v>
      </c>
      <c r="D515" s="26" t="s">
        <v>3663</v>
      </c>
      <c r="E515" s="25" t="s">
        <v>3250</v>
      </c>
      <c r="F515" s="25" t="s">
        <v>3222</v>
      </c>
      <c r="G515" s="59" t="s">
        <v>3251</v>
      </c>
      <c r="H515" s="60">
        <v>93.59</v>
      </c>
      <c r="I515" s="60">
        <v>97.98</v>
      </c>
      <c r="J515" s="60">
        <v>106.47</v>
      </c>
      <c r="K515" s="60">
        <v>0</v>
      </c>
      <c r="L515" s="60">
        <v>0</v>
      </c>
      <c r="M515" s="60">
        <v>0</v>
      </c>
      <c r="N515" s="60">
        <v>0</v>
      </c>
      <c r="O515" s="60">
        <v>0</v>
      </c>
      <c r="P515" s="60">
        <v>0</v>
      </c>
      <c r="Q515" s="60">
        <v>0</v>
      </c>
      <c r="R515" s="60">
        <v>0</v>
      </c>
      <c r="S515" s="60">
        <v>0</v>
      </c>
      <c r="T515" s="60">
        <v>0</v>
      </c>
      <c r="U515" s="60">
        <v>0</v>
      </c>
      <c r="V515" s="60">
        <v>0</v>
      </c>
      <c r="W515" s="60">
        <v>0</v>
      </c>
      <c r="X515" s="60">
        <v>0</v>
      </c>
      <c r="Y515" s="60">
        <v>0</v>
      </c>
      <c r="Z515" s="60">
        <v>0</v>
      </c>
      <c r="AA515" s="60">
        <v>0</v>
      </c>
      <c r="AB515" s="60">
        <v>0</v>
      </c>
      <c r="AC515" s="60">
        <v>0</v>
      </c>
      <c r="AD515" s="60">
        <v>0</v>
      </c>
      <c r="AE515" s="60">
        <v>0</v>
      </c>
      <c r="AF515" s="60">
        <v>0</v>
      </c>
      <c r="AG515" s="60">
        <v>0</v>
      </c>
      <c r="AH515" s="60">
        <v>0</v>
      </c>
      <c r="AI515" s="60">
        <v>93.59</v>
      </c>
      <c r="AJ515" s="60">
        <v>97.98</v>
      </c>
      <c r="AK515" s="60">
        <v>106.47</v>
      </c>
      <c r="AL515" s="60">
        <v>0</v>
      </c>
      <c r="AM515" s="60">
        <v>0</v>
      </c>
      <c r="AN515" s="60">
        <v>0</v>
      </c>
      <c r="AO515" s="60">
        <v>93.59</v>
      </c>
      <c r="AP515" s="60">
        <v>97.98</v>
      </c>
      <c r="AQ515" s="60">
        <v>106.47</v>
      </c>
      <c r="AR515" s="61">
        <v>106.47</v>
      </c>
    </row>
    <row r="516" spans="1:44" x14ac:dyDescent="0.35">
      <c r="A516" s="49" t="str">
        <f t="shared" si="42"/>
        <v>51</v>
      </c>
      <c r="B516" s="27">
        <v>71464</v>
      </c>
      <c r="C516" s="25" t="str">
        <f>TEXT(107318,"0000000")</f>
        <v>0107318</v>
      </c>
      <c r="D516" s="26" t="s">
        <v>3258</v>
      </c>
      <c r="E516" s="25" t="s">
        <v>3256</v>
      </c>
      <c r="F516" s="25" t="s">
        <v>3222</v>
      </c>
      <c r="G516" s="59" t="s">
        <v>3257</v>
      </c>
      <c r="H516" s="60">
        <v>0</v>
      </c>
      <c r="I516" s="60">
        <v>0</v>
      </c>
      <c r="J516" s="60">
        <v>0</v>
      </c>
      <c r="K516" s="60">
        <v>0</v>
      </c>
      <c r="L516" s="60">
        <v>0</v>
      </c>
      <c r="M516" s="60">
        <v>0</v>
      </c>
      <c r="N516" s="60">
        <v>0</v>
      </c>
      <c r="O516" s="60">
        <v>0</v>
      </c>
      <c r="P516" s="60">
        <v>0</v>
      </c>
      <c r="Q516" s="60">
        <v>0</v>
      </c>
      <c r="R516" s="60">
        <v>0</v>
      </c>
      <c r="S516" s="60">
        <v>0</v>
      </c>
      <c r="T516" s="60">
        <v>0</v>
      </c>
      <c r="U516" s="60">
        <v>0</v>
      </c>
      <c r="V516" s="60">
        <v>0</v>
      </c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v>481.78</v>
      </c>
      <c r="AD516" s="60">
        <v>456.75</v>
      </c>
      <c r="AE516" s="60">
        <v>438.08</v>
      </c>
      <c r="AF516" s="60">
        <v>0</v>
      </c>
      <c r="AG516" s="60">
        <v>0</v>
      </c>
      <c r="AH516" s="60">
        <v>0</v>
      </c>
      <c r="AI516" s="60">
        <v>481.78</v>
      </c>
      <c r="AJ516" s="60">
        <v>456.75</v>
      </c>
      <c r="AK516" s="60">
        <v>438.08</v>
      </c>
      <c r="AL516" s="60">
        <v>0</v>
      </c>
      <c r="AM516" s="60">
        <v>0</v>
      </c>
      <c r="AN516" s="60">
        <v>0</v>
      </c>
      <c r="AO516" s="60">
        <v>481.78</v>
      </c>
      <c r="AP516" s="60">
        <v>456.75</v>
      </c>
      <c r="AQ516" s="60">
        <v>438.08</v>
      </c>
      <c r="AR516" s="61">
        <v>481.78</v>
      </c>
    </row>
    <row r="517" spans="1:44" x14ac:dyDescent="0.35">
      <c r="A517" s="49" t="str">
        <f t="shared" si="42"/>
        <v>51</v>
      </c>
      <c r="B517" s="27">
        <v>10512</v>
      </c>
      <c r="C517" s="25" t="str">
        <f>TEXT(138040,"0000000")</f>
        <v>0138040</v>
      </c>
      <c r="D517" s="27">
        <v>2000</v>
      </c>
      <c r="E517" s="25" t="s">
        <v>3223</v>
      </c>
      <c r="F517" s="25" t="s">
        <v>3222</v>
      </c>
      <c r="G517" s="59" t="s">
        <v>3224</v>
      </c>
      <c r="H517" s="60">
        <v>0</v>
      </c>
      <c r="I517" s="60">
        <v>0</v>
      </c>
      <c r="J517" s="60">
        <v>0</v>
      </c>
      <c r="K517" s="60">
        <v>0</v>
      </c>
      <c r="L517" s="60">
        <v>0</v>
      </c>
      <c r="M517" s="60">
        <v>0</v>
      </c>
      <c r="N517" s="60">
        <v>0</v>
      </c>
      <c r="O517" s="60">
        <v>0</v>
      </c>
      <c r="P517" s="60">
        <v>0</v>
      </c>
      <c r="Q517" s="60">
        <v>0</v>
      </c>
      <c r="R517" s="60">
        <v>0</v>
      </c>
      <c r="S517" s="60">
        <v>0</v>
      </c>
      <c r="T517" s="60">
        <v>0</v>
      </c>
      <c r="U517" s="60">
        <v>0</v>
      </c>
      <c r="V517" s="60">
        <v>0</v>
      </c>
      <c r="W517" s="60">
        <v>0</v>
      </c>
      <c r="X517" s="60">
        <v>0</v>
      </c>
      <c r="Y517" s="60">
        <v>0</v>
      </c>
      <c r="Z517" s="60">
        <v>0</v>
      </c>
      <c r="AA517" s="60">
        <v>0</v>
      </c>
      <c r="AB517" s="60">
        <v>0</v>
      </c>
      <c r="AC517" s="60">
        <v>95.43</v>
      </c>
      <c r="AD517" s="60">
        <v>116.72</v>
      </c>
      <c r="AE517" s="60">
        <v>138.11000000000001</v>
      </c>
      <c r="AF517" s="60">
        <v>0</v>
      </c>
      <c r="AG517" s="60">
        <v>0</v>
      </c>
      <c r="AH517" s="60">
        <v>0</v>
      </c>
      <c r="AI517" s="60">
        <v>95.43</v>
      </c>
      <c r="AJ517" s="60">
        <v>116.72</v>
      </c>
      <c r="AK517" s="60">
        <v>138.11000000000001</v>
      </c>
      <c r="AL517" s="60">
        <v>0</v>
      </c>
      <c r="AM517" s="60">
        <v>0</v>
      </c>
      <c r="AN517" s="60">
        <v>0</v>
      </c>
      <c r="AO517" s="60">
        <v>95.43</v>
      </c>
      <c r="AP517" s="60">
        <v>116.72</v>
      </c>
      <c r="AQ517" s="60">
        <v>138.11000000000001</v>
      </c>
      <c r="AR517" s="61">
        <v>138.11000000000001</v>
      </c>
    </row>
    <row r="518" spans="1:44" x14ac:dyDescent="0.35">
      <c r="A518" s="49" t="str">
        <f>TEXT(37,"00")</f>
        <v>37</v>
      </c>
      <c r="B518" s="27">
        <v>68338</v>
      </c>
      <c r="C518" s="25" t="str">
        <f t="shared" ref="C518:C549" si="43">TEXT(,"0000000")</f>
        <v>0000000</v>
      </c>
      <c r="D518" s="26" t="s">
        <v>3663</v>
      </c>
      <c r="E518" s="25" t="s">
        <v>2175</v>
      </c>
      <c r="F518" s="25" t="s">
        <v>2176</v>
      </c>
      <c r="G518" s="59" t="s">
        <v>2176</v>
      </c>
      <c r="H518" s="60">
        <v>87550.47</v>
      </c>
      <c r="I518" s="60">
        <v>86408.56</v>
      </c>
      <c r="J518" s="60">
        <v>85812.74</v>
      </c>
      <c r="K518" s="60">
        <v>0</v>
      </c>
      <c r="L518" s="60">
        <v>0</v>
      </c>
      <c r="M518" s="60">
        <v>0</v>
      </c>
      <c r="N518" s="60">
        <v>0</v>
      </c>
      <c r="O518" s="60">
        <v>0</v>
      </c>
      <c r="P518" s="60">
        <v>0</v>
      </c>
      <c r="Q518" s="60">
        <v>0</v>
      </c>
      <c r="R518" s="60">
        <v>0</v>
      </c>
      <c r="S518" s="60">
        <v>0</v>
      </c>
      <c r="T518" s="60">
        <v>0</v>
      </c>
      <c r="U518" s="60">
        <v>0</v>
      </c>
      <c r="V518" s="60">
        <v>0</v>
      </c>
      <c r="W518" s="60">
        <v>0</v>
      </c>
      <c r="X518" s="60">
        <v>0</v>
      </c>
      <c r="Y518" s="60">
        <v>0</v>
      </c>
      <c r="Z518" s="60">
        <v>0</v>
      </c>
      <c r="AA518" s="60">
        <v>0</v>
      </c>
      <c r="AB518" s="60">
        <v>0</v>
      </c>
      <c r="AC518" s="60">
        <v>0</v>
      </c>
      <c r="AD518" s="60">
        <v>0</v>
      </c>
      <c r="AE518" s="60">
        <v>0</v>
      </c>
      <c r="AF518" s="60">
        <v>0</v>
      </c>
      <c r="AG518" s="60">
        <v>0</v>
      </c>
      <c r="AH518" s="60">
        <v>0</v>
      </c>
      <c r="AI518" s="60">
        <v>87550.47</v>
      </c>
      <c r="AJ518" s="60">
        <v>86408.56</v>
      </c>
      <c r="AK518" s="60">
        <v>85812.74</v>
      </c>
      <c r="AL518" s="60">
        <v>0</v>
      </c>
      <c r="AM518" s="60">
        <v>0</v>
      </c>
      <c r="AN518" s="60">
        <v>0</v>
      </c>
      <c r="AO518" s="60">
        <v>87550.47</v>
      </c>
      <c r="AP518" s="60">
        <v>86408.56</v>
      </c>
      <c r="AQ518" s="60">
        <v>85812.74</v>
      </c>
      <c r="AR518" s="61">
        <v>87550.47</v>
      </c>
    </row>
    <row r="519" spans="1:44" x14ac:dyDescent="0.35">
      <c r="A519" s="49" t="str">
        <f t="shared" ref="A519:A528" si="44">TEXT(19,"00")</f>
        <v>19</v>
      </c>
      <c r="B519" s="27">
        <v>64444</v>
      </c>
      <c r="C519" s="25" t="str">
        <f t="shared" si="43"/>
        <v>0000000</v>
      </c>
      <c r="D519" s="26" t="s">
        <v>3663</v>
      </c>
      <c r="E519" s="25" t="s">
        <v>918</v>
      </c>
      <c r="F519" s="25" t="s">
        <v>919</v>
      </c>
      <c r="G519" s="59" t="s">
        <v>919</v>
      </c>
      <c r="H519" s="60">
        <v>6365.84</v>
      </c>
      <c r="I519" s="60">
        <v>6418</v>
      </c>
      <c r="J519" s="60">
        <v>6347.12</v>
      </c>
      <c r="K519" s="60">
        <v>0</v>
      </c>
      <c r="L519" s="60">
        <v>0</v>
      </c>
      <c r="M519" s="60">
        <v>0</v>
      </c>
      <c r="N519" s="60">
        <v>0</v>
      </c>
      <c r="O519" s="60">
        <v>0</v>
      </c>
      <c r="P519" s="60">
        <v>0</v>
      </c>
      <c r="Q519" s="60">
        <v>0</v>
      </c>
      <c r="R519" s="60">
        <v>0</v>
      </c>
      <c r="S519" s="60">
        <v>0</v>
      </c>
      <c r="T519" s="60">
        <v>8.4700000000000006</v>
      </c>
      <c r="U519" s="60">
        <v>7.9</v>
      </c>
      <c r="V519" s="60">
        <v>7.18</v>
      </c>
      <c r="W519" s="60">
        <v>16.04</v>
      </c>
      <c r="X519" s="60">
        <v>16.59</v>
      </c>
      <c r="Y519" s="60">
        <v>11.76</v>
      </c>
      <c r="Z519" s="60">
        <v>0</v>
      </c>
      <c r="AA519" s="60">
        <v>0</v>
      </c>
      <c r="AB519" s="60">
        <v>0</v>
      </c>
      <c r="AC519" s="60">
        <v>0</v>
      </c>
      <c r="AD519" s="60">
        <v>0</v>
      </c>
      <c r="AE519" s="60">
        <v>0</v>
      </c>
      <c r="AF519" s="60">
        <v>0</v>
      </c>
      <c r="AG519" s="60">
        <v>0</v>
      </c>
      <c r="AH519" s="60">
        <v>0</v>
      </c>
      <c r="AI519" s="60">
        <v>6390.35</v>
      </c>
      <c r="AJ519" s="60">
        <v>6442.49</v>
      </c>
      <c r="AK519" s="60">
        <v>6366.06</v>
      </c>
      <c r="AL519" s="60">
        <v>0</v>
      </c>
      <c r="AM519" s="60">
        <v>0</v>
      </c>
      <c r="AN519" s="60">
        <v>0</v>
      </c>
      <c r="AO519" s="60">
        <v>6390.35</v>
      </c>
      <c r="AP519" s="60">
        <v>6442.49</v>
      </c>
      <c r="AQ519" s="60">
        <v>6366.06</v>
      </c>
      <c r="AR519" s="61">
        <v>6442.49</v>
      </c>
    </row>
    <row r="520" spans="1:44" x14ac:dyDescent="0.35">
      <c r="A520" s="49" t="str">
        <f t="shared" si="44"/>
        <v>19</v>
      </c>
      <c r="B520" s="27">
        <v>64311</v>
      </c>
      <c r="C520" s="25" t="str">
        <f t="shared" si="43"/>
        <v>0000000</v>
      </c>
      <c r="D520" s="26" t="s">
        <v>3663</v>
      </c>
      <c r="E520" s="25" t="s">
        <v>920</v>
      </c>
      <c r="F520" s="25" t="s">
        <v>919</v>
      </c>
      <c r="G520" s="59" t="s">
        <v>921</v>
      </c>
      <c r="H520" s="60">
        <v>2911.77</v>
      </c>
      <c r="I520" s="60">
        <v>2940.51</v>
      </c>
      <c r="J520" s="60">
        <v>2959.6</v>
      </c>
      <c r="K520" s="60">
        <v>0</v>
      </c>
      <c r="L520" s="60">
        <v>0</v>
      </c>
      <c r="M520" s="60">
        <v>0</v>
      </c>
      <c r="N520" s="60">
        <v>0</v>
      </c>
      <c r="O520" s="60">
        <v>0</v>
      </c>
      <c r="P520" s="60">
        <v>0</v>
      </c>
      <c r="Q520" s="60">
        <v>0</v>
      </c>
      <c r="R520" s="60">
        <v>0</v>
      </c>
      <c r="S520" s="60">
        <v>0</v>
      </c>
      <c r="T520" s="60">
        <v>0</v>
      </c>
      <c r="U520" s="60">
        <v>0</v>
      </c>
      <c r="V520" s="60">
        <v>0</v>
      </c>
      <c r="W520" s="60">
        <v>0</v>
      </c>
      <c r="X520" s="60">
        <v>0</v>
      </c>
      <c r="Y520" s="60">
        <v>0</v>
      </c>
      <c r="Z520" s="60">
        <v>0</v>
      </c>
      <c r="AA520" s="60">
        <v>0</v>
      </c>
      <c r="AB520" s="60">
        <v>0</v>
      </c>
      <c r="AC520" s="60">
        <v>0</v>
      </c>
      <c r="AD520" s="60">
        <v>0</v>
      </c>
      <c r="AE520" s="60">
        <v>0</v>
      </c>
      <c r="AF520" s="60">
        <v>0</v>
      </c>
      <c r="AG520" s="60">
        <v>0</v>
      </c>
      <c r="AH520" s="60">
        <v>0</v>
      </c>
      <c r="AI520" s="60">
        <v>2911.77</v>
      </c>
      <c r="AJ520" s="60">
        <v>2940.51</v>
      </c>
      <c r="AK520" s="60">
        <v>2959.6</v>
      </c>
      <c r="AL520" s="60">
        <v>0</v>
      </c>
      <c r="AM520" s="60">
        <v>0</v>
      </c>
      <c r="AN520" s="60">
        <v>0</v>
      </c>
      <c r="AO520" s="60">
        <v>2911.77</v>
      </c>
      <c r="AP520" s="60">
        <v>2940.51</v>
      </c>
      <c r="AQ520" s="60">
        <v>2959.6</v>
      </c>
      <c r="AR520" s="61">
        <v>2959.6</v>
      </c>
    </row>
    <row r="521" spans="1:44" x14ac:dyDescent="0.35">
      <c r="A521" s="49" t="str">
        <f t="shared" si="44"/>
        <v>19</v>
      </c>
      <c r="B521" s="27">
        <v>64980</v>
      </c>
      <c r="C521" s="25" t="str">
        <f t="shared" si="43"/>
        <v>0000000</v>
      </c>
      <c r="D521" s="26" t="s">
        <v>3663</v>
      </c>
      <c r="E521" s="25" t="s">
        <v>1102</v>
      </c>
      <c r="F521" s="25" t="s">
        <v>919</v>
      </c>
      <c r="G521" s="59" t="s">
        <v>1103</v>
      </c>
      <c r="H521" s="60">
        <v>8119.36</v>
      </c>
      <c r="I521" s="60">
        <v>8232.18</v>
      </c>
      <c r="J521" s="60">
        <v>8463.9599999999991</v>
      </c>
      <c r="K521" s="60">
        <v>0</v>
      </c>
      <c r="L521" s="60">
        <v>0</v>
      </c>
      <c r="M521" s="60">
        <v>0</v>
      </c>
      <c r="N521" s="60">
        <v>0</v>
      </c>
      <c r="O521" s="60">
        <v>0</v>
      </c>
      <c r="P521" s="60">
        <v>0</v>
      </c>
      <c r="Q521" s="60">
        <v>0</v>
      </c>
      <c r="R521" s="60">
        <v>0</v>
      </c>
      <c r="S521" s="60">
        <v>0</v>
      </c>
      <c r="T521" s="60">
        <v>0</v>
      </c>
      <c r="U521" s="60">
        <v>0</v>
      </c>
      <c r="V521" s="60">
        <v>0</v>
      </c>
      <c r="W521" s="60">
        <v>0</v>
      </c>
      <c r="X521" s="60">
        <v>0</v>
      </c>
      <c r="Y521" s="60">
        <v>0</v>
      </c>
      <c r="Z521" s="60">
        <v>0</v>
      </c>
      <c r="AA521" s="60">
        <v>0</v>
      </c>
      <c r="AB521" s="60">
        <v>0</v>
      </c>
      <c r="AC521" s="60">
        <v>0</v>
      </c>
      <c r="AD521" s="60">
        <v>0</v>
      </c>
      <c r="AE521" s="60">
        <v>0</v>
      </c>
      <c r="AF521" s="60">
        <v>0</v>
      </c>
      <c r="AG521" s="60">
        <v>0</v>
      </c>
      <c r="AH521" s="60">
        <v>0</v>
      </c>
      <c r="AI521" s="60">
        <v>8119.36</v>
      </c>
      <c r="AJ521" s="60">
        <v>8232.18</v>
      </c>
      <c r="AK521" s="60">
        <v>8463.9599999999991</v>
      </c>
      <c r="AL521" s="60">
        <v>0</v>
      </c>
      <c r="AM521" s="60">
        <v>0</v>
      </c>
      <c r="AN521" s="60">
        <v>0</v>
      </c>
      <c r="AO521" s="60">
        <v>8119.36</v>
      </c>
      <c r="AP521" s="60">
        <v>8232.18</v>
      </c>
      <c r="AQ521" s="60">
        <v>8463.9599999999991</v>
      </c>
      <c r="AR521" s="61">
        <v>8463.9599999999991</v>
      </c>
    </row>
    <row r="522" spans="1:44" x14ac:dyDescent="0.35">
      <c r="A522" s="49" t="str">
        <f t="shared" si="44"/>
        <v>19</v>
      </c>
      <c r="B522" s="27">
        <v>65128</v>
      </c>
      <c r="C522" s="25" t="str">
        <f t="shared" si="43"/>
        <v>0000000</v>
      </c>
      <c r="D522" s="26" t="s">
        <v>3663</v>
      </c>
      <c r="E522" s="25" t="s">
        <v>954</v>
      </c>
      <c r="F522" s="25" t="s">
        <v>955</v>
      </c>
      <c r="G522" s="59" t="s">
        <v>955</v>
      </c>
      <c r="H522" s="60">
        <v>9557.73</v>
      </c>
      <c r="I522" s="60">
        <v>9848.1299999999992</v>
      </c>
      <c r="J522" s="60">
        <v>9909.43</v>
      </c>
      <c r="K522" s="60">
        <v>0</v>
      </c>
      <c r="L522" s="60">
        <v>0</v>
      </c>
      <c r="M522" s="60">
        <v>0</v>
      </c>
      <c r="N522" s="60">
        <v>0</v>
      </c>
      <c r="O522" s="60">
        <v>0</v>
      </c>
      <c r="P522" s="60">
        <v>0</v>
      </c>
      <c r="Q522" s="60">
        <v>0</v>
      </c>
      <c r="R522" s="60">
        <v>0</v>
      </c>
      <c r="S522" s="60">
        <v>0</v>
      </c>
      <c r="T522" s="60">
        <v>17.11</v>
      </c>
      <c r="U522" s="60">
        <v>15.93</v>
      </c>
      <c r="V522" s="60">
        <v>14.52</v>
      </c>
      <c r="W522" s="60">
        <v>26.69</v>
      </c>
      <c r="X522" s="60">
        <v>25.57</v>
      </c>
      <c r="Y522" s="60">
        <v>22.53</v>
      </c>
      <c r="Z522" s="60">
        <v>0</v>
      </c>
      <c r="AA522" s="60">
        <v>0</v>
      </c>
      <c r="AB522" s="60">
        <v>0</v>
      </c>
      <c r="AC522" s="60">
        <v>0</v>
      </c>
      <c r="AD522" s="60">
        <v>0</v>
      </c>
      <c r="AE522" s="60">
        <v>0</v>
      </c>
      <c r="AF522" s="60">
        <v>0</v>
      </c>
      <c r="AG522" s="60">
        <v>0</v>
      </c>
      <c r="AH522" s="60">
        <v>0</v>
      </c>
      <c r="AI522" s="60">
        <v>9601.5300000000007</v>
      </c>
      <c r="AJ522" s="60">
        <v>9889.6299999999992</v>
      </c>
      <c r="AK522" s="60">
        <v>9946.48</v>
      </c>
      <c r="AL522" s="60">
        <v>0</v>
      </c>
      <c r="AM522" s="60">
        <v>0</v>
      </c>
      <c r="AN522" s="60">
        <v>0</v>
      </c>
      <c r="AO522" s="60">
        <v>9601.5300000000007</v>
      </c>
      <c r="AP522" s="60">
        <v>9889.6299999999992</v>
      </c>
      <c r="AQ522" s="60">
        <v>9946.48</v>
      </c>
      <c r="AR522" s="61">
        <v>9946.48</v>
      </c>
    </row>
    <row r="523" spans="1:44" x14ac:dyDescent="0.35">
      <c r="A523" s="49" t="str">
        <f t="shared" si="44"/>
        <v>19</v>
      </c>
      <c r="B523" s="27">
        <v>64527</v>
      </c>
      <c r="C523" s="25" t="str">
        <f t="shared" si="43"/>
        <v>0000000</v>
      </c>
      <c r="D523" s="26" t="s">
        <v>3663</v>
      </c>
      <c r="E523" s="25" t="s">
        <v>962</v>
      </c>
      <c r="F523" s="25" t="s">
        <v>955</v>
      </c>
      <c r="G523" s="59" t="s">
        <v>963</v>
      </c>
      <c r="H523" s="60">
        <v>6613.16</v>
      </c>
      <c r="I523" s="60">
        <v>6695.56</v>
      </c>
      <c r="J523" s="60">
        <v>6645.83</v>
      </c>
      <c r="K523" s="60">
        <v>0</v>
      </c>
      <c r="L523" s="60">
        <v>0</v>
      </c>
      <c r="M523" s="60">
        <v>0</v>
      </c>
      <c r="N523" s="60">
        <v>0</v>
      </c>
      <c r="O523" s="60">
        <v>0</v>
      </c>
      <c r="P523" s="60">
        <v>0</v>
      </c>
      <c r="Q523" s="60">
        <v>0</v>
      </c>
      <c r="R523" s="60">
        <v>0</v>
      </c>
      <c r="S523" s="60">
        <v>0</v>
      </c>
      <c r="T523" s="60">
        <v>0</v>
      </c>
      <c r="U523" s="60">
        <v>0</v>
      </c>
      <c r="V523" s="60">
        <v>0</v>
      </c>
      <c r="W523" s="60">
        <v>0</v>
      </c>
      <c r="X523" s="60">
        <v>0</v>
      </c>
      <c r="Y523" s="60">
        <v>0</v>
      </c>
      <c r="Z523" s="60">
        <v>0</v>
      </c>
      <c r="AA523" s="60">
        <v>0</v>
      </c>
      <c r="AB523" s="60">
        <v>0</v>
      </c>
      <c r="AC523" s="60">
        <v>0</v>
      </c>
      <c r="AD523" s="60">
        <v>0</v>
      </c>
      <c r="AE523" s="60">
        <v>0</v>
      </c>
      <c r="AF523" s="60">
        <v>0</v>
      </c>
      <c r="AG523" s="60">
        <v>0</v>
      </c>
      <c r="AH523" s="60">
        <v>0</v>
      </c>
      <c r="AI523" s="60">
        <v>6613.16</v>
      </c>
      <c r="AJ523" s="60">
        <v>6695.56</v>
      </c>
      <c r="AK523" s="60">
        <v>6645.83</v>
      </c>
      <c r="AL523" s="60">
        <v>0</v>
      </c>
      <c r="AM523" s="60">
        <v>0</v>
      </c>
      <c r="AN523" s="60">
        <v>0</v>
      </c>
      <c r="AO523" s="60">
        <v>6613.16</v>
      </c>
      <c r="AP523" s="60">
        <v>6695.56</v>
      </c>
      <c r="AQ523" s="60">
        <v>6645.83</v>
      </c>
      <c r="AR523" s="61">
        <v>6695.56</v>
      </c>
    </row>
    <row r="524" spans="1:44" x14ac:dyDescent="0.35">
      <c r="A524" s="49" t="str">
        <f t="shared" si="44"/>
        <v>19</v>
      </c>
      <c r="B524" s="27">
        <v>64717</v>
      </c>
      <c r="C524" s="25" t="str">
        <f t="shared" si="43"/>
        <v>0000000</v>
      </c>
      <c r="D524" s="26" t="s">
        <v>3663</v>
      </c>
      <c r="E524" s="25" t="s">
        <v>1024</v>
      </c>
      <c r="F524" s="25" t="s">
        <v>955</v>
      </c>
      <c r="G524" s="59" t="s">
        <v>1025</v>
      </c>
      <c r="H524" s="60">
        <v>3411.27</v>
      </c>
      <c r="I524" s="60">
        <v>3463.56</v>
      </c>
      <c r="J524" s="60">
        <v>3421.22</v>
      </c>
      <c r="K524" s="60">
        <v>0</v>
      </c>
      <c r="L524" s="60">
        <v>0</v>
      </c>
      <c r="M524" s="60">
        <v>0</v>
      </c>
      <c r="N524" s="60">
        <v>0</v>
      </c>
      <c r="O524" s="60">
        <v>0</v>
      </c>
      <c r="P524" s="60">
        <v>0</v>
      </c>
      <c r="Q524" s="60">
        <v>0</v>
      </c>
      <c r="R524" s="60">
        <v>0</v>
      </c>
      <c r="S524" s="60">
        <v>0</v>
      </c>
      <c r="T524" s="60">
        <v>0</v>
      </c>
      <c r="U524" s="60">
        <v>0</v>
      </c>
      <c r="V524" s="60">
        <v>0</v>
      </c>
      <c r="W524" s="60">
        <v>0</v>
      </c>
      <c r="X524" s="60">
        <v>0</v>
      </c>
      <c r="Y524" s="60">
        <v>0</v>
      </c>
      <c r="Z524" s="60">
        <v>0</v>
      </c>
      <c r="AA524" s="60">
        <v>0</v>
      </c>
      <c r="AB524" s="60">
        <v>0</v>
      </c>
      <c r="AC524" s="60">
        <v>0</v>
      </c>
      <c r="AD524" s="60">
        <v>0</v>
      </c>
      <c r="AE524" s="60">
        <v>0</v>
      </c>
      <c r="AF524" s="60">
        <v>0</v>
      </c>
      <c r="AG524" s="60">
        <v>0</v>
      </c>
      <c r="AH524" s="60">
        <v>0</v>
      </c>
      <c r="AI524" s="60">
        <v>3411.27</v>
      </c>
      <c r="AJ524" s="60">
        <v>3463.56</v>
      </c>
      <c r="AK524" s="60">
        <v>3421.22</v>
      </c>
      <c r="AL524" s="60">
        <v>0</v>
      </c>
      <c r="AM524" s="60">
        <v>0</v>
      </c>
      <c r="AN524" s="60">
        <v>0</v>
      </c>
      <c r="AO524" s="60">
        <v>3411.27</v>
      </c>
      <c r="AP524" s="60">
        <v>3463.56</v>
      </c>
      <c r="AQ524" s="60">
        <v>3421.22</v>
      </c>
      <c r="AR524" s="61">
        <v>3463.56</v>
      </c>
    </row>
    <row r="525" spans="1:44" x14ac:dyDescent="0.35">
      <c r="A525" s="49" t="str">
        <f t="shared" si="44"/>
        <v>19</v>
      </c>
      <c r="B525" s="27">
        <v>64758</v>
      </c>
      <c r="C525" s="25" t="str">
        <f t="shared" si="43"/>
        <v>0000000</v>
      </c>
      <c r="D525" s="26" t="s">
        <v>3663</v>
      </c>
      <c r="E525" s="25" t="s">
        <v>1057</v>
      </c>
      <c r="F525" s="25" t="s">
        <v>955</v>
      </c>
      <c r="G525" s="59" t="s">
        <v>1058</v>
      </c>
      <c r="H525" s="60">
        <v>1152.82</v>
      </c>
      <c r="I525" s="60">
        <v>1140.1400000000001</v>
      </c>
      <c r="J525" s="60">
        <v>1190.94</v>
      </c>
      <c r="K525" s="60">
        <v>0</v>
      </c>
      <c r="L525" s="60">
        <v>0</v>
      </c>
      <c r="M525" s="60">
        <v>0</v>
      </c>
      <c r="N525" s="60">
        <v>0</v>
      </c>
      <c r="O525" s="60">
        <v>0</v>
      </c>
      <c r="P525" s="60">
        <v>0</v>
      </c>
      <c r="Q525" s="60">
        <v>0</v>
      </c>
      <c r="R525" s="60">
        <v>0</v>
      </c>
      <c r="S525" s="60">
        <v>0</v>
      </c>
      <c r="T525" s="60">
        <v>0</v>
      </c>
      <c r="U525" s="60">
        <v>0</v>
      </c>
      <c r="V525" s="60">
        <v>0</v>
      </c>
      <c r="W525" s="60">
        <v>0</v>
      </c>
      <c r="X525" s="60">
        <v>0</v>
      </c>
      <c r="Y525" s="60">
        <v>0</v>
      </c>
      <c r="Z525" s="60">
        <v>0</v>
      </c>
      <c r="AA525" s="60">
        <v>0</v>
      </c>
      <c r="AB525" s="60">
        <v>0</v>
      </c>
      <c r="AC525" s="60">
        <v>0</v>
      </c>
      <c r="AD525" s="60">
        <v>0</v>
      </c>
      <c r="AE525" s="60">
        <v>0</v>
      </c>
      <c r="AF525" s="60">
        <v>0</v>
      </c>
      <c r="AG525" s="60">
        <v>0</v>
      </c>
      <c r="AH525" s="60">
        <v>0</v>
      </c>
      <c r="AI525" s="60">
        <v>1152.82</v>
      </c>
      <c r="AJ525" s="60">
        <v>1140.1400000000001</v>
      </c>
      <c r="AK525" s="60">
        <v>1190.94</v>
      </c>
      <c r="AL525" s="60">
        <v>0</v>
      </c>
      <c r="AM525" s="60">
        <v>0</v>
      </c>
      <c r="AN525" s="60">
        <v>0</v>
      </c>
      <c r="AO525" s="60">
        <v>1152.82</v>
      </c>
      <c r="AP525" s="60">
        <v>1140.1400000000001</v>
      </c>
      <c r="AQ525" s="60">
        <v>1190.94</v>
      </c>
      <c r="AR525" s="61">
        <v>1190.94</v>
      </c>
    </row>
    <row r="526" spans="1:44" x14ac:dyDescent="0.35">
      <c r="A526" s="49" t="str">
        <f t="shared" si="44"/>
        <v>19</v>
      </c>
      <c r="B526" s="27">
        <v>65037</v>
      </c>
      <c r="C526" s="25" t="str">
        <f t="shared" si="43"/>
        <v>0000000</v>
      </c>
      <c r="D526" s="26" t="s">
        <v>3663</v>
      </c>
      <c r="E526" s="25" t="s">
        <v>1108</v>
      </c>
      <c r="F526" s="25" t="s">
        <v>955</v>
      </c>
      <c r="G526" s="59" t="s">
        <v>1109</v>
      </c>
      <c r="H526" s="60">
        <v>2103.9699999999998</v>
      </c>
      <c r="I526" s="60">
        <v>2117.0300000000002</v>
      </c>
      <c r="J526" s="60">
        <v>2140.16</v>
      </c>
      <c r="K526" s="60">
        <v>0</v>
      </c>
      <c r="L526" s="60">
        <v>0</v>
      </c>
      <c r="M526" s="60">
        <v>0</v>
      </c>
      <c r="N526" s="60">
        <v>0</v>
      </c>
      <c r="O526" s="60">
        <v>0</v>
      </c>
      <c r="P526" s="60">
        <v>0</v>
      </c>
      <c r="Q526" s="60">
        <v>0</v>
      </c>
      <c r="R526" s="60">
        <v>0</v>
      </c>
      <c r="S526" s="60">
        <v>0</v>
      </c>
      <c r="T526" s="60">
        <v>0</v>
      </c>
      <c r="U526" s="60">
        <v>0</v>
      </c>
      <c r="V526" s="60">
        <v>0</v>
      </c>
      <c r="W526" s="60">
        <v>0</v>
      </c>
      <c r="X526" s="60">
        <v>0</v>
      </c>
      <c r="Y526" s="60">
        <v>0</v>
      </c>
      <c r="Z526" s="60">
        <v>0</v>
      </c>
      <c r="AA526" s="60">
        <v>0</v>
      </c>
      <c r="AB526" s="60">
        <v>0</v>
      </c>
      <c r="AC526" s="60">
        <v>0</v>
      </c>
      <c r="AD526" s="60">
        <v>0</v>
      </c>
      <c r="AE526" s="60">
        <v>0</v>
      </c>
      <c r="AF526" s="60">
        <v>0</v>
      </c>
      <c r="AG526" s="60">
        <v>0</v>
      </c>
      <c r="AH526" s="60">
        <v>0</v>
      </c>
      <c r="AI526" s="60">
        <v>2103.9699999999998</v>
      </c>
      <c r="AJ526" s="60">
        <v>2117.0300000000002</v>
      </c>
      <c r="AK526" s="60">
        <v>2140.16</v>
      </c>
      <c r="AL526" s="60">
        <v>0</v>
      </c>
      <c r="AM526" s="60">
        <v>0</v>
      </c>
      <c r="AN526" s="60">
        <v>0</v>
      </c>
      <c r="AO526" s="60">
        <v>2103.9699999999998</v>
      </c>
      <c r="AP526" s="60">
        <v>2117.0300000000002</v>
      </c>
      <c r="AQ526" s="60">
        <v>2140.16</v>
      </c>
      <c r="AR526" s="61">
        <v>2140.16</v>
      </c>
    </row>
    <row r="527" spans="1:44" x14ac:dyDescent="0.35">
      <c r="A527" s="49" t="str">
        <f t="shared" si="44"/>
        <v>19</v>
      </c>
      <c r="B527" s="27">
        <v>65110</v>
      </c>
      <c r="C527" s="25" t="str">
        <f t="shared" si="43"/>
        <v>0000000</v>
      </c>
      <c r="D527" s="26" t="s">
        <v>3663</v>
      </c>
      <c r="E527" s="25" t="s">
        <v>1128</v>
      </c>
      <c r="F527" s="25" t="s">
        <v>955</v>
      </c>
      <c r="G527" s="59" t="s">
        <v>1129</v>
      </c>
      <c r="H527" s="60">
        <v>4981.53</v>
      </c>
      <c r="I527" s="60">
        <v>5041.82</v>
      </c>
      <c r="J527" s="60">
        <v>5208.08</v>
      </c>
      <c r="K527" s="60">
        <v>0</v>
      </c>
      <c r="L527" s="60">
        <v>0</v>
      </c>
      <c r="M527" s="60">
        <v>0</v>
      </c>
      <c r="N527" s="60">
        <v>0</v>
      </c>
      <c r="O527" s="60">
        <v>0</v>
      </c>
      <c r="P527" s="60">
        <v>0</v>
      </c>
      <c r="Q527" s="60">
        <v>0</v>
      </c>
      <c r="R527" s="60">
        <v>0</v>
      </c>
      <c r="S527" s="60">
        <v>0</v>
      </c>
      <c r="T527" s="60">
        <v>0</v>
      </c>
      <c r="U527" s="60">
        <v>0</v>
      </c>
      <c r="V527" s="60">
        <v>0</v>
      </c>
      <c r="W527" s="60">
        <v>0</v>
      </c>
      <c r="X527" s="60">
        <v>0</v>
      </c>
      <c r="Y527" s="60">
        <v>0</v>
      </c>
      <c r="Z527" s="60">
        <v>0</v>
      </c>
      <c r="AA527" s="60">
        <v>0</v>
      </c>
      <c r="AB527" s="60">
        <v>0</v>
      </c>
      <c r="AC527" s="60">
        <v>0</v>
      </c>
      <c r="AD527" s="60">
        <v>0</v>
      </c>
      <c r="AE527" s="60">
        <v>0</v>
      </c>
      <c r="AF527" s="60">
        <v>0</v>
      </c>
      <c r="AG527" s="60">
        <v>0</v>
      </c>
      <c r="AH527" s="60">
        <v>0</v>
      </c>
      <c r="AI527" s="60">
        <v>4981.53</v>
      </c>
      <c r="AJ527" s="60">
        <v>5041.82</v>
      </c>
      <c r="AK527" s="60">
        <v>5208.08</v>
      </c>
      <c r="AL527" s="60">
        <v>0</v>
      </c>
      <c r="AM527" s="60">
        <v>0</v>
      </c>
      <c r="AN527" s="60">
        <v>0</v>
      </c>
      <c r="AO527" s="60">
        <v>4981.53</v>
      </c>
      <c r="AP527" s="60">
        <v>5041.82</v>
      </c>
      <c r="AQ527" s="60">
        <v>5208.08</v>
      </c>
      <c r="AR527" s="61">
        <v>5208.08</v>
      </c>
    </row>
    <row r="528" spans="1:44" x14ac:dyDescent="0.35">
      <c r="A528" s="49" t="str">
        <f t="shared" si="44"/>
        <v>19</v>
      </c>
      <c r="B528" s="27">
        <v>64485</v>
      </c>
      <c r="C528" s="25" t="str">
        <f t="shared" si="43"/>
        <v>0000000</v>
      </c>
      <c r="D528" s="26" t="s">
        <v>3663</v>
      </c>
      <c r="E528" s="25" t="s">
        <v>956</v>
      </c>
      <c r="F528" s="25" t="s">
        <v>955</v>
      </c>
      <c r="G528" s="59" t="s">
        <v>957</v>
      </c>
      <c r="H528" s="60">
        <v>7326.98</v>
      </c>
      <c r="I528" s="60">
        <v>7182.4</v>
      </c>
      <c r="J528" s="60">
        <v>7341.07</v>
      </c>
      <c r="K528" s="60">
        <v>0</v>
      </c>
      <c r="L528" s="60">
        <v>0</v>
      </c>
      <c r="M528" s="60">
        <v>0</v>
      </c>
      <c r="N528" s="60">
        <v>0</v>
      </c>
      <c r="O528" s="60">
        <v>0</v>
      </c>
      <c r="P528" s="60">
        <v>0</v>
      </c>
      <c r="Q528" s="60">
        <v>0</v>
      </c>
      <c r="R528" s="60">
        <v>0</v>
      </c>
      <c r="S528" s="60">
        <v>0</v>
      </c>
      <c r="T528" s="60">
        <v>0</v>
      </c>
      <c r="U528" s="60">
        <v>0</v>
      </c>
      <c r="V528" s="60">
        <v>0</v>
      </c>
      <c r="W528" s="60">
        <v>0</v>
      </c>
      <c r="X528" s="60">
        <v>0</v>
      </c>
      <c r="Y528" s="60">
        <v>0</v>
      </c>
      <c r="Z528" s="60">
        <v>0</v>
      </c>
      <c r="AA528" s="60">
        <v>0</v>
      </c>
      <c r="AB528" s="60">
        <v>0</v>
      </c>
      <c r="AC528" s="60">
        <v>0</v>
      </c>
      <c r="AD528" s="60">
        <v>0</v>
      </c>
      <c r="AE528" s="60">
        <v>0</v>
      </c>
      <c r="AF528" s="60">
        <v>0</v>
      </c>
      <c r="AG528" s="60">
        <v>0</v>
      </c>
      <c r="AH528" s="60">
        <v>0</v>
      </c>
      <c r="AI528" s="60">
        <v>7326.98</v>
      </c>
      <c r="AJ528" s="60">
        <v>7182.4</v>
      </c>
      <c r="AK528" s="60">
        <v>7341.07</v>
      </c>
      <c r="AL528" s="60">
        <v>0</v>
      </c>
      <c r="AM528" s="60">
        <v>0</v>
      </c>
      <c r="AN528" s="60">
        <v>0</v>
      </c>
      <c r="AO528" s="60">
        <v>7326.98</v>
      </c>
      <c r="AP528" s="60">
        <v>7182.4</v>
      </c>
      <c r="AQ528" s="60">
        <v>7341.07</v>
      </c>
      <c r="AR528" s="61">
        <v>7341.07</v>
      </c>
    </row>
    <row r="529" spans="1:44" x14ac:dyDescent="0.35">
      <c r="A529" s="49" t="str">
        <f t="shared" ref="A529:A545" si="45">TEXT(13,"00")</f>
        <v>13</v>
      </c>
      <c r="B529" s="27">
        <v>10132</v>
      </c>
      <c r="C529" s="25" t="str">
        <f t="shared" si="43"/>
        <v>0000000</v>
      </c>
      <c r="D529" s="26" t="s">
        <v>3663</v>
      </c>
      <c r="E529" s="25" t="s">
        <v>587</v>
      </c>
      <c r="F529" s="25" t="s">
        <v>588</v>
      </c>
      <c r="G529" s="59" t="s">
        <v>588</v>
      </c>
      <c r="H529" s="60">
        <v>0</v>
      </c>
      <c r="I529" s="60">
        <v>0</v>
      </c>
      <c r="J529" s="60">
        <v>0</v>
      </c>
      <c r="K529" s="60">
        <v>0</v>
      </c>
      <c r="L529" s="60">
        <v>0</v>
      </c>
      <c r="M529" s="60">
        <v>0</v>
      </c>
      <c r="N529" s="60">
        <v>0</v>
      </c>
      <c r="O529" s="60">
        <v>0</v>
      </c>
      <c r="P529" s="60">
        <v>0</v>
      </c>
      <c r="Q529" s="60">
        <v>0</v>
      </c>
      <c r="R529" s="60">
        <v>0</v>
      </c>
      <c r="S529" s="60">
        <v>0</v>
      </c>
      <c r="T529" s="60">
        <v>178.52</v>
      </c>
      <c r="U529" s="60">
        <v>153.36000000000001</v>
      </c>
      <c r="V529" s="60">
        <v>122.48</v>
      </c>
      <c r="W529" s="60">
        <v>690.97</v>
      </c>
      <c r="X529" s="60">
        <v>637.97</v>
      </c>
      <c r="Y529" s="60">
        <v>523.59</v>
      </c>
      <c r="Z529" s="60">
        <v>0</v>
      </c>
      <c r="AA529" s="60">
        <v>0</v>
      </c>
      <c r="AB529" s="60">
        <v>0</v>
      </c>
      <c r="AC529" s="60">
        <v>0</v>
      </c>
      <c r="AD529" s="60">
        <v>0</v>
      </c>
      <c r="AE529" s="60">
        <v>0</v>
      </c>
      <c r="AF529" s="60">
        <v>0</v>
      </c>
      <c r="AG529" s="60">
        <v>0</v>
      </c>
      <c r="AH529" s="60">
        <v>0</v>
      </c>
      <c r="AI529" s="60">
        <v>869.49</v>
      </c>
      <c r="AJ529" s="60">
        <v>791.33</v>
      </c>
      <c r="AK529" s="60">
        <v>646.07000000000005</v>
      </c>
      <c r="AL529" s="60">
        <v>0</v>
      </c>
      <c r="AM529" s="60">
        <v>0</v>
      </c>
      <c r="AN529" s="60">
        <v>0</v>
      </c>
      <c r="AO529" s="60">
        <v>869.49</v>
      </c>
      <c r="AP529" s="60">
        <v>791.33</v>
      </c>
      <c r="AQ529" s="60">
        <v>646.07000000000005</v>
      </c>
      <c r="AR529" s="61">
        <v>869.49</v>
      </c>
    </row>
    <row r="530" spans="1:44" x14ac:dyDescent="0.35">
      <c r="A530" s="49" t="str">
        <f t="shared" si="45"/>
        <v>13</v>
      </c>
      <c r="B530" s="27">
        <v>63073</v>
      </c>
      <c r="C530" s="25" t="str">
        <f t="shared" si="43"/>
        <v>0000000</v>
      </c>
      <c r="D530" s="26" t="s">
        <v>3663</v>
      </c>
      <c r="E530" s="25" t="s">
        <v>589</v>
      </c>
      <c r="F530" s="25" t="s">
        <v>588</v>
      </c>
      <c r="G530" s="59" t="s">
        <v>590</v>
      </c>
      <c r="H530" s="60">
        <v>3568.14</v>
      </c>
      <c r="I530" s="60">
        <v>3500.74</v>
      </c>
      <c r="J530" s="60">
        <v>3329.5</v>
      </c>
      <c r="K530" s="60">
        <v>0</v>
      </c>
      <c r="L530" s="60">
        <v>0</v>
      </c>
      <c r="M530" s="60">
        <v>0</v>
      </c>
      <c r="N530" s="60">
        <v>0</v>
      </c>
      <c r="O530" s="60">
        <v>0</v>
      </c>
      <c r="P530" s="60">
        <v>0</v>
      </c>
      <c r="Q530" s="60">
        <v>0</v>
      </c>
      <c r="R530" s="60">
        <v>0</v>
      </c>
      <c r="S530" s="60">
        <v>0</v>
      </c>
      <c r="T530" s="60">
        <v>0</v>
      </c>
      <c r="U530" s="60">
        <v>0</v>
      </c>
      <c r="V530" s="60">
        <v>0</v>
      </c>
      <c r="W530" s="60">
        <v>0</v>
      </c>
      <c r="X530" s="60">
        <v>0</v>
      </c>
      <c r="Y530" s="60">
        <v>0</v>
      </c>
      <c r="Z530" s="60">
        <v>0</v>
      </c>
      <c r="AA530" s="60">
        <v>0</v>
      </c>
      <c r="AB530" s="60">
        <v>0</v>
      </c>
      <c r="AC530" s="60">
        <v>0</v>
      </c>
      <c r="AD530" s="60">
        <v>0</v>
      </c>
      <c r="AE530" s="60">
        <v>0</v>
      </c>
      <c r="AF530" s="60">
        <v>0</v>
      </c>
      <c r="AG530" s="60">
        <v>0</v>
      </c>
      <c r="AH530" s="60">
        <v>0</v>
      </c>
      <c r="AI530" s="60">
        <v>3568.14</v>
      </c>
      <c r="AJ530" s="60">
        <v>3500.74</v>
      </c>
      <c r="AK530" s="60">
        <v>3329.5</v>
      </c>
      <c r="AL530" s="60">
        <v>0</v>
      </c>
      <c r="AM530" s="60">
        <v>0</v>
      </c>
      <c r="AN530" s="60">
        <v>0</v>
      </c>
      <c r="AO530" s="60">
        <v>3568.14</v>
      </c>
      <c r="AP530" s="60">
        <v>3500.74</v>
      </c>
      <c r="AQ530" s="60">
        <v>3329.5</v>
      </c>
      <c r="AR530" s="61">
        <v>3568.14</v>
      </c>
    </row>
    <row r="531" spans="1:44" x14ac:dyDescent="0.35">
      <c r="A531" s="49" t="str">
        <f t="shared" si="45"/>
        <v>13</v>
      </c>
      <c r="B531" s="27">
        <v>63081</v>
      </c>
      <c r="C531" s="25" t="str">
        <f t="shared" si="43"/>
        <v>0000000</v>
      </c>
      <c r="D531" s="26" t="s">
        <v>3663</v>
      </c>
      <c r="E531" s="25" t="s">
        <v>591</v>
      </c>
      <c r="F531" s="25" t="s">
        <v>588</v>
      </c>
      <c r="G531" s="59" t="s">
        <v>592</v>
      </c>
      <c r="H531" s="60">
        <v>1884.57</v>
      </c>
      <c r="I531" s="60">
        <v>1873.64</v>
      </c>
      <c r="J531" s="60">
        <v>1828.73</v>
      </c>
      <c r="K531" s="60">
        <v>0</v>
      </c>
      <c r="L531" s="60">
        <v>0</v>
      </c>
      <c r="M531" s="60">
        <v>0</v>
      </c>
      <c r="N531" s="60">
        <v>0</v>
      </c>
      <c r="O531" s="60">
        <v>0</v>
      </c>
      <c r="P531" s="60">
        <v>0</v>
      </c>
      <c r="Q531" s="60">
        <v>0</v>
      </c>
      <c r="R531" s="60">
        <v>0</v>
      </c>
      <c r="S531" s="60">
        <v>0</v>
      </c>
      <c r="T531" s="60">
        <v>0</v>
      </c>
      <c r="U531" s="60">
        <v>0</v>
      </c>
      <c r="V531" s="60">
        <v>0</v>
      </c>
      <c r="W531" s="60">
        <v>0</v>
      </c>
      <c r="X531" s="60">
        <v>0</v>
      </c>
      <c r="Y531" s="60">
        <v>0</v>
      </c>
      <c r="Z531" s="60">
        <v>0</v>
      </c>
      <c r="AA531" s="60">
        <v>0</v>
      </c>
      <c r="AB531" s="60">
        <v>0</v>
      </c>
      <c r="AC531" s="60">
        <v>0</v>
      </c>
      <c r="AD531" s="60">
        <v>0</v>
      </c>
      <c r="AE531" s="60">
        <v>0</v>
      </c>
      <c r="AF531" s="60">
        <v>0</v>
      </c>
      <c r="AG531" s="60">
        <v>0</v>
      </c>
      <c r="AH531" s="60">
        <v>0</v>
      </c>
      <c r="AI531" s="60">
        <v>1884.57</v>
      </c>
      <c r="AJ531" s="60">
        <v>1873.64</v>
      </c>
      <c r="AK531" s="60">
        <v>1828.73</v>
      </c>
      <c r="AL531" s="60">
        <v>0</v>
      </c>
      <c r="AM531" s="60">
        <v>0</v>
      </c>
      <c r="AN531" s="60">
        <v>0</v>
      </c>
      <c r="AO531" s="60">
        <v>1884.57</v>
      </c>
      <c r="AP531" s="60">
        <v>1873.64</v>
      </c>
      <c r="AQ531" s="60">
        <v>1828.73</v>
      </c>
      <c r="AR531" s="61">
        <v>1884.57</v>
      </c>
    </row>
    <row r="532" spans="1:44" x14ac:dyDescent="0.35">
      <c r="A532" s="49" t="str">
        <f t="shared" si="45"/>
        <v>13</v>
      </c>
      <c r="B532" s="27">
        <v>63099</v>
      </c>
      <c r="C532" s="25" t="str">
        <f t="shared" si="43"/>
        <v>0000000</v>
      </c>
      <c r="D532" s="26" t="s">
        <v>3663</v>
      </c>
      <c r="E532" s="25" t="s">
        <v>593</v>
      </c>
      <c r="F532" s="25" t="s">
        <v>588</v>
      </c>
      <c r="G532" s="59" t="s">
        <v>594</v>
      </c>
      <c r="H532" s="60">
        <v>7556.18</v>
      </c>
      <c r="I532" s="60">
        <v>7617.65</v>
      </c>
      <c r="J532" s="60">
        <v>7317.06</v>
      </c>
      <c r="K532" s="60">
        <v>0</v>
      </c>
      <c r="L532" s="60">
        <v>0</v>
      </c>
      <c r="M532" s="60">
        <v>0</v>
      </c>
      <c r="N532" s="60">
        <v>0</v>
      </c>
      <c r="O532" s="60">
        <v>0</v>
      </c>
      <c r="P532" s="60">
        <v>0</v>
      </c>
      <c r="Q532" s="60">
        <v>0</v>
      </c>
      <c r="R532" s="60">
        <v>0</v>
      </c>
      <c r="S532" s="60">
        <v>0</v>
      </c>
      <c r="T532" s="60">
        <v>0</v>
      </c>
      <c r="U532" s="60">
        <v>0</v>
      </c>
      <c r="V532" s="60">
        <v>0</v>
      </c>
      <c r="W532" s="60">
        <v>0</v>
      </c>
      <c r="X532" s="60">
        <v>0</v>
      </c>
      <c r="Y532" s="60">
        <v>0</v>
      </c>
      <c r="Z532" s="60">
        <v>0</v>
      </c>
      <c r="AA532" s="60">
        <v>0</v>
      </c>
      <c r="AB532" s="60">
        <v>0</v>
      </c>
      <c r="AC532" s="60">
        <v>0</v>
      </c>
      <c r="AD532" s="60">
        <v>0</v>
      </c>
      <c r="AE532" s="60">
        <v>0</v>
      </c>
      <c r="AF532" s="60">
        <v>0</v>
      </c>
      <c r="AG532" s="60">
        <v>0</v>
      </c>
      <c r="AH532" s="60">
        <v>0</v>
      </c>
      <c r="AI532" s="60">
        <v>7556.18</v>
      </c>
      <c r="AJ532" s="60">
        <v>7617.65</v>
      </c>
      <c r="AK532" s="60">
        <v>7317.06</v>
      </c>
      <c r="AL532" s="60">
        <v>0</v>
      </c>
      <c r="AM532" s="60">
        <v>0</v>
      </c>
      <c r="AN532" s="60">
        <v>0</v>
      </c>
      <c r="AO532" s="60">
        <v>7556.18</v>
      </c>
      <c r="AP532" s="60">
        <v>7617.65</v>
      </c>
      <c r="AQ532" s="60">
        <v>7317.06</v>
      </c>
      <c r="AR532" s="61">
        <v>7617.65</v>
      </c>
    </row>
    <row r="533" spans="1:44" x14ac:dyDescent="0.35">
      <c r="A533" s="49" t="str">
        <f t="shared" si="45"/>
        <v>13</v>
      </c>
      <c r="B533" s="27">
        <v>63107</v>
      </c>
      <c r="C533" s="25" t="str">
        <f t="shared" si="43"/>
        <v>0000000</v>
      </c>
      <c r="D533" s="26" t="s">
        <v>3663</v>
      </c>
      <c r="E533" s="25" t="s">
        <v>595</v>
      </c>
      <c r="F533" s="25" t="s">
        <v>588</v>
      </c>
      <c r="G533" s="59" t="s">
        <v>596</v>
      </c>
      <c r="H533" s="60">
        <v>1002.56</v>
      </c>
      <c r="I533" s="60">
        <v>1049</v>
      </c>
      <c r="J533" s="60">
        <v>997.83</v>
      </c>
      <c r="K533" s="60">
        <v>0</v>
      </c>
      <c r="L533" s="60">
        <v>0</v>
      </c>
      <c r="M533" s="60">
        <v>0</v>
      </c>
      <c r="N533" s="60">
        <v>0</v>
      </c>
      <c r="O533" s="60">
        <v>0</v>
      </c>
      <c r="P533" s="60">
        <v>0</v>
      </c>
      <c r="Q533" s="60">
        <v>0</v>
      </c>
      <c r="R533" s="60">
        <v>0</v>
      </c>
      <c r="S533" s="60">
        <v>0</v>
      </c>
      <c r="T533" s="60">
        <v>0</v>
      </c>
      <c r="U533" s="60">
        <v>0</v>
      </c>
      <c r="V533" s="60">
        <v>0</v>
      </c>
      <c r="W533" s="60">
        <v>0</v>
      </c>
      <c r="X533" s="60">
        <v>0</v>
      </c>
      <c r="Y533" s="60">
        <v>0</v>
      </c>
      <c r="Z533" s="60">
        <v>0</v>
      </c>
      <c r="AA533" s="60">
        <v>0</v>
      </c>
      <c r="AB533" s="60">
        <v>0</v>
      </c>
      <c r="AC533" s="60">
        <v>0</v>
      </c>
      <c r="AD533" s="60">
        <v>0</v>
      </c>
      <c r="AE533" s="60">
        <v>0</v>
      </c>
      <c r="AF533" s="60">
        <v>0</v>
      </c>
      <c r="AG533" s="60">
        <v>0</v>
      </c>
      <c r="AH533" s="60">
        <v>0</v>
      </c>
      <c r="AI533" s="60">
        <v>1002.56</v>
      </c>
      <c r="AJ533" s="60">
        <v>1049</v>
      </c>
      <c r="AK533" s="60">
        <v>997.83</v>
      </c>
      <c r="AL533" s="60">
        <v>0</v>
      </c>
      <c r="AM533" s="60">
        <v>0</v>
      </c>
      <c r="AN533" s="60">
        <v>0</v>
      </c>
      <c r="AO533" s="60">
        <v>1002.56</v>
      </c>
      <c r="AP533" s="60">
        <v>1049</v>
      </c>
      <c r="AQ533" s="60">
        <v>997.83</v>
      </c>
      <c r="AR533" s="61">
        <v>1049</v>
      </c>
    </row>
    <row r="534" spans="1:44" x14ac:dyDescent="0.35">
      <c r="A534" s="49" t="str">
        <f t="shared" si="45"/>
        <v>13</v>
      </c>
      <c r="B534" s="27">
        <v>63115</v>
      </c>
      <c r="C534" s="25" t="str">
        <f t="shared" si="43"/>
        <v>0000000</v>
      </c>
      <c r="D534" s="26" t="s">
        <v>3663</v>
      </c>
      <c r="E534" s="25" t="s">
        <v>597</v>
      </c>
      <c r="F534" s="25" t="s">
        <v>588</v>
      </c>
      <c r="G534" s="59" t="s">
        <v>598</v>
      </c>
      <c r="H534" s="60">
        <v>3829.89</v>
      </c>
      <c r="I534" s="60">
        <v>3836.88</v>
      </c>
      <c r="J534" s="60">
        <v>3796.57</v>
      </c>
      <c r="K534" s="60">
        <v>0</v>
      </c>
      <c r="L534" s="60">
        <v>0</v>
      </c>
      <c r="M534" s="60">
        <v>0</v>
      </c>
      <c r="N534" s="60">
        <v>0</v>
      </c>
      <c r="O534" s="60">
        <v>0</v>
      </c>
      <c r="P534" s="60">
        <v>0</v>
      </c>
      <c r="Q534" s="60">
        <v>0</v>
      </c>
      <c r="R534" s="60">
        <v>0</v>
      </c>
      <c r="S534" s="60">
        <v>0</v>
      </c>
      <c r="T534" s="60">
        <v>0</v>
      </c>
      <c r="U534" s="60">
        <v>0</v>
      </c>
      <c r="V534" s="60">
        <v>0</v>
      </c>
      <c r="W534" s="60">
        <v>0</v>
      </c>
      <c r="X534" s="60">
        <v>0</v>
      </c>
      <c r="Y534" s="60">
        <v>0</v>
      </c>
      <c r="Z534" s="60">
        <v>0</v>
      </c>
      <c r="AA534" s="60">
        <v>0</v>
      </c>
      <c r="AB534" s="60">
        <v>0</v>
      </c>
      <c r="AC534" s="60">
        <v>0</v>
      </c>
      <c r="AD534" s="60">
        <v>0</v>
      </c>
      <c r="AE534" s="60">
        <v>0</v>
      </c>
      <c r="AF534" s="60">
        <v>0</v>
      </c>
      <c r="AG534" s="60">
        <v>0</v>
      </c>
      <c r="AH534" s="60">
        <v>0</v>
      </c>
      <c r="AI534" s="60">
        <v>3829.89</v>
      </c>
      <c r="AJ534" s="60">
        <v>3836.88</v>
      </c>
      <c r="AK534" s="60">
        <v>3796.57</v>
      </c>
      <c r="AL534" s="60">
        <v>0</v>
      </c>
      <c r="AM534" s="60">
        <v>0</v>
      </c>
      <c r="AN534" s="60">
        <v>0</v>
      </c>
      <c r="AO534" s="60">
        <v>3829.89</v>
      </c>
      <c r="AP534" s="60">
        <v>3836.88</v>
      </c>
      <c r="AQ534" s="60">
        <v>3796.57</v>
      </c>
      <c r="AR534" s="61">
        <v>3836.88</v>
      </c>
    </row>
    <row r="535" spans="1:44" x14ac:dyDescent="0.35">
      <c r="A535" s="49" t="str">
        <f t="shared" si="45"/>
        <v>13</v>
      </c>
      <c r="B535" s="27">
        <v>63123</v>
      </c>
      <c r="C535" s="25" t="str">
        <f t="shared" si="43"/>
        <v>0000000</v>
      </c>
      <c r="D535" s="26" t="s">
        <v>3663</v>
      </c>
      <c r="E535" s="25" t="s">
        <v>599</v>
      </c>
      <c r="F535" s="25" t="s">
        <v>588</v>
      </c>
      <c r="G535" s="59" t="s">
        <v>600</v>
      </c>
      <c r="H535" s="60">
        <v>4778.97</v>
      </c>
      <c r="I535" s="60">
        <v>4735.1000000000004</v>
      </c>
      <c r="J535" s="60">
        <v>4531.7299999999996</v>
      </c>
      <c r="K535" s="60">
        <v>0</v>
      </c>
      <c r="L535" s="60">
        <v>0</v>
      </c>
      <c r="M535" s="60">
        <v>0</v>
      </c>
      <c r="N535" s="60">
        <v>0</v>
      </c>
      <c r="O535" s="60">
        <v>0</v>
      </c>
      <c r="P535" s="60">
        <v>0</v>
      </c>
      <c r="Q535" s="60">
        <v>0</v>
      </c>
      <c r="R535" s="60">
        <v>0</v>
      </c>
      <c r="S535" s="60">
        <v>0</v>
      </c>
      <c r="T535" s="60">
        <v>0</v>
      </c>
      <c r="U535" s="60">
        <v>0</v>
      </c>
      <c r="V535" s="60">
        <v>0</v>
      </c>
      <c r="W535" s="60">
        <v>0</v>
      </c>
      <c r="X535" s="60">
        <v>0</v>
      </c>
      <c r="Y535" s="60">
        <v>0</v>
      </c>
      <c r="Z535" s="60">
        <v>0</v>
      </c>
      <c r="AA535" s="60">
        <v>0</v>
      </c>
      <c r="AB535" s="60">
        <v>0</v>
      </c>
      <c r="AC535" s="60">
        <v>136.38999999999999</v>
      </c>
      <c r="AD535" s="60">
        <v>140.63999999999999</v>
      </c>
      <c r="AE535" s="60">
        <v>112.91</v>
      </c>
      <c r="AF535" s="60">
        <v>0</v>
      </c>
      <c r="AG535" s="60">
        <v>0</v>
      </c>
      <c r="AH535" s="60">
        <v>0</v>
      </c>
      <c r="AI535" s="60">
        <v>4915.3599999999997</v>
      </c>
      <c r="AJ535" s="60">
        <v>4875.74</v>
      </c>
      <c r="AK535" s="60">
        <v>4644.6400000000003</v>
      </c>
      <c r="AL535" s="60">
        <v>0</v>
      </c>
      <c r="AM535" s="60">
        <v>0</v>
      </c>
      <c r="AN535" s="60">
        <v>0</v>
      </c>
      <c r="AO535" s="60">
        <v>4915.3599999999997</v>
      </c>
      <c r="AP535" s="60">
        <v>4875.74</v>
      </c>
      <c r="AQ535" s="60">
        <v>4644.6400000000003</v>
      </c>
      <c r="AR535" s="61">
        <v>4915.3599999999997</v>
      </c>
    </row>
    <row r="536" spans="1:44" x14ac:dyDescent="0.35">
      <c r="A536" s="49" t="str">
        <f t="shared" si="45"/>
        <v>13</v>
      </c>
      <c r="B536" s="27">
        <v>63131</v>
      </c>
      <c r="C536" s="25" t="str">
        <f t="shared" si="43"/>
        <v>0000000</v>
      </c>
      <c r="D536" s="26" t="s">
        <v>3663</v>
      </c>
      <c r="E536" s="25" t="s">
        <v>605</v>
      </c>
      <c r="F536" s="25" t="s">
        <v>588</v>
      </c>
      <c r="G536" s="59" t="s">
        <v>606</v>
      </c>
      <c r="H536" s="60">
        <v>1102.21</v>
      </c>
      <c r="I536" s="60">
        <v>1094.44</v>
      </c>
      <c r="J536" s="60">
        <v>1047.99</v>
      </c>
      <c r="K536" s="60">
        <v>0</v>
      </c>
      <c r="L536" s="60">
        <v>0</v>
      </c>
      <c r="M536" s="60">
        <v>0</v>
      </c>
      <c r="N536" s="60">
        <v>0</v>
      </c>
      <c r="O536" s="60">
        <v>0</v>
      </c>
      <c r="P536" s="60">
        <v>0</v>
      </c>
      <c r="Q536" s="60">
        <v>0</v>
      </c>
      <c r="R536" s="60">
        <v>0</v>
      </c>
      <c r="S536" s="60">
        <v>0</v>
      </c>
      <c r="T536" s="60">
        <v>0</v>
      </c>
      <c r="U536" s="60">
        <v>0</v>
      </c>
      <c r="V536" s="60">
        <v>0</v>
      </c>
      <c r="W536" s="60">
        <v>0</v>
      </c>
      <c r="X536" s="60">
        <v>0</v>
      </c>
      <c r="Y536" s="60">
        <v>0</v>
      </c>
      <c r="Z536" s="60">
        <v>0</v>
      </c>
      <c r="AA536" s="60">
        <v>0</v>
      </c>
      <c r="AB536" s="60">
        <v>0</v>
      </c>
      <c r="AC536" s="60">
        <v>0</v>
      </c>
      <c r="AD536" s="60">
        <v>0</v>
      </c>
      <c r="AE536" s="60">
        <v>0</v>
      </c>
      <c r="AF536" s="60">
        <v>0</v>
      </c>
      <c r="AG536" s="60">
        <v>0</v>
      </c>
      <c r="AH536" s="60">
        <v>0</v>
      </c>
      <c r="AI536" s="60">
        <v>1102.21</v>
      </c>
      <c r="AJ536" s="60">
        <v>1094.44</v>
      </c>
      <c r="AK536" s="60">
        <v>1047.99</v>
      </c>
      <c r="AL536" s="60">
        <v>0</v>
      </c>
      <c r="AM536" s="60">
        <v>0</v>
      </c>
      <c r="AN536" s="60">
        <v>0</v>
      </c>
      <c r="AO536" s="60">
        <v>1102.21</v>
      </c>
      <c r="AP536" s="60">
        <v>1094.44</v>
      </c>
      <c r="AQ536" s="60">
        <v>1047.99</v>
      </c>
      <c r="AR536" s="61">
        <v>1102.21</v>
      </c>
    </row>
    <row r="537" spans="1:44" x14ac:dyDescent="0.35">
      <c r="A537" s="49" t="str">
        <f t="shared" si="45"/>
        <v>13</v>
      </c>
      <c r="B537" s="27">
        <v>63149</v>
      </c>
      <c r="C537" s="25" t="str">
        <f t="shared" si="43"/>
        <v>0000000</v>
      </c>
      <c r="D537" s="26" t="s">
        <v>3663</v>
      </c>
      <c r="E537" s="25" t="s">
        <v>607</v>
      </c>
      <c r="F537" s="25" t="s">
        <v>588</v>
      </c>
      <c r="G537" s="59" t="s">
        <v>608</v>
      </c>
      <c r="H537" s="60">
        <v>1507.96</v>
      </c>
      <c r="I537" s="60">
        <v>1485.84</v>
      </c>
      <c r="J537" s="60">
        <v>1468.59</v>
      </c>
      <c r="K537" s="60">
        <v>0</v>
      </c>
      <c r="L537" s="60">
        <v>0</v>
      </c>
      <c r="M537" s="60">
        <v>0</v>
      </c>
      <c r="N537" s="60">
        <v>0</v>
      </c>
      <c r="O537" s="60">
        <v>0</v>
      </c>
      <c r="P537" s="60">
        <v>0</v>
      </c>
      <c r="Q537" s="60">
        <v>0</v>
      </c>
      <c r="R537" s="60">
        <v>0</v>
      </c>
      <c r="S537" s="60">
        <v>0</v>
      </c>
      <c r="T537" s="60">
        <v>0</v>
      </c>
      <c r="U537" s="60">
        <v>0</v>
      </c>
      <c r="V537" s="60">
        <v>0</v>
      </c>
      <c r="W537" s="60">
        <v>0</v>
      </c>
      <c r="X537" s="60">
        <v>0</v>
      </c>
      <c r="Y537" s="60">
        <v>0</v>
      </c>
      <c r="Z537" s="60">
        <v>0</v>
      </c>
      <c r="AA537" s="60">
        <v>0</v>
      </c>
      <c r="AB537" s="60">
        <v>0</v>
      </c>
      <c r="AC537" s="60">
        <v>0</v>
      </c>
      <c r="AD537" s="60">
        <v>0</v>
      </c>
      <c r="AE537" s="60">
        <v>0</v>
      </c>
      <c r="AF537" s="60">
        <v>0</v>
      </c>
      <c r="AG537" s="60">
        <v>0</v>
      </c>
      <c r="AH537" s="60">
        <v>0</v>
      </c>
      <c r="AI537" s="60">
        <v>1507.96</v>
      </c>
      <c r="AJ537" s="60">
        <v>1485.84</v>
      </c>
      <c r="AK537" s="60">
        <v>1468.59</v>
      </c>
      <c r="AL537" s="60">
        <v>0</v>
      </c>
      <c r="AM537" s="60">
        <v>0</v>
      </c>
      <c r="AN537" s="60">
        <v>0</v>
      </c>
      <c r="AO537" s="60">
        <v>1507.96</v>
      </c>
      <c r="AP537" s="60">
        <v>1485.84</v>
      </c>
      <c r="AQ537" s="60">
        <v>1468.59</v>
      </c>
      <c r="AR537" s="61">
        <v>1507.96</v>
      </c>
    </row>
    <row r="538" spans="1:44" x14ac:dyDescent="0.35">
      <c r="A538" s="49" t="str">
        <f t="shared" si="45"/>
        <v>13</v>
      </c>
      <c r="B538" s="27">
        <v>63164</v>
      </c>
      <c r="C538" s="25" t="str">
        <f t="shared" si="43"/>
        <v>0000000</v>
      </c>
      <c r="D538" s="26" t="s">
        <v>3663</v>
      </c>
      <c r="E538" s="25" t="s">
        <v>609</v>
      </c>
      <c r="F538" s="25" t="s">
        <v>588</v>
      </c>
      <c r="G538" s="59" t="s">
        <v>610</v>
      </c>
      <c r="H538" s="60">
        <v>4430.82</v>
      </c>
      <c r="I538" s="60">
        <v>4262.93</v>
      </c>
      <c r="J538" s="60">
        <v>4063.59</v>
      </c>
      <c r="K538" s="60">
        <v>0</v>
      </c>
      <c r="L538" s="60">
        <v>0</v>
      </c>
      <c r="M538" s="60">
        <v>0</v>
      </c>
      <c r="N538" s="60">
        <v>0</v>
      </c>
      <c r="O538" s="60">
        <v>0</v>
      </c>
      <c r="P538" s="60">
        <v>0</v>
      </c>
      <c r="Q538" s="60">
        <v>0</v>
      </c>
      <c r="R538" s="60">
        <v>0</v>
      </c>
      <c r="S538" s="60">
        <v>0</v>
      </c>
      <c r="T538" s="60">
        <v>0</v>
      </c>
      <c r="U538" s="60">
        <v>0</v>
      </c>
      <c r="V538" s="60">
        <v>0</v>
      </c>
      <c r="W538" s="60">
        <v>0</v>
      </c>
      <c r="X538" s="60">
        <v>0</v>
      </c>
      <c r="Y538" s="60">
        <v>0</v>
      </c>
      <c r="Z538" s="60">
        <v>0</v>
      </c>
      <c r="AA538" s="60">
        <v>0</v>
      </c>
      <c r="AB538" s="60">
        <v>0</v>
      </c>
      <c r="AC538" s="60">
        <v>0</v>
      </c>
      <c r="AD538" s="60">
        <v>0</v>
      </c>
      <c r="AE538" s="60">
        <v>0</v>
      </c>
      <c r="AF538" s="60">
        <v>0</v>
      </c>
      <c r="AG538" s="60">
        <v>0</v>
      </c>
      <c r="AH538" s="60">
        <v>0</v>
      </c>
      <c r="AI538" s="60">
        <v>4430.82</v>
      </c>
      <c r="AJ538" s="60">
        <v>4262.93</v>
      </c>
      <c r="AK538" s="60">
        <v>4063.59</v>
      </c>
      <c r="AL538" s="60">
        <v>0</v>
      </c>
      <c r="AM538" s="60">
        <v>0</v>
      </c>
      <c r="AN538" s="60">
        <v>0</v>
      </c>
      <c r="AO538" s="60">
        <v>4430.82</v>
      </c>
      <c r="AP538" s="60">
        <v>4262.93</v>
      </c>
      <c r="AQ538" s="60">
        <v>4063.59</v>
      </c>
      <c r="AR538" s="61">
        <v>4430.82</v>
      </c>
    </row>
    <row r="539" spans="1:44" x14ac:dyDescent="0.35">
      <c r="A539" s="49" t="str">
        <f t="shared" si="45"/>
        <v>13</v>
      </c>
      <c r="B539" s="27">
        <v>63180</v>
      </c>
      <c r="C539" s="25" t="str">
        <f t="shared" si="43"/>
        <v>0000000</v>
      </c>
      <c r="D539" s="26" t="s">
        <v>3663</v>
      </c>
      <c r="E539" s="25" t="s">
        <v>613</v>
      </c>
      <c r="F539" s="25" t="s">
        <v>588</v>
      </c>
      <c r="G539" s="59" t="s">
        <v>614</v>
      </c>
      <c r="H539" s="60">
        <v>1109.67</v>
      </c>
      <c r="I539" s="60">
        <v>1140.01</v>
      </c>
      <c r="J539" s="60">
        <v>1166.8699999999999</v>
      </c>
      <c r="K539" s="60">
        <v>0</v>
      </c>
      <c r="L539" s="60">
        <v>0</v>
      </c>
      <c r="M539" s="60">
        <v>0</v>
      </c>
      <c r="N539" s="60">
        <v>0</v>
      </c>
      <c r="O539" s="60">
        <v>0</v>
      </c>
      <c r="P539" s="60">
        <v>0</v>
      </c>
      <c r="Q539" s="60">
        <v>0</v>
      </c>
      <c r="R539" s="60">
        <v>0</v>
      </c>
      <c r="S539" s="60">
        <v>0</v>
      </c>
      <c r="T539" s="60">
        <v>0</v>
      </c>
      <c r="U539" s="60">
        <v>0</v>
      </c>
      <c r="V539" s="60">
        <v>0</v>
      </c>
      <c r="W539" s="60">
        <v>0</v>
      </c>
      <c r="X539" s="60">
        <v>0</v>
      </c>
      <c r="Y539" s="60">
        <v>0</v>
      </c>
      <c r="Z539" s="60">
        <v>0</v>
      </c>
      <c r="AA539" s="60">
        <v>0</v>
      </c>
      <c r="AB539" s="60">
        <v>0</v>
      </c>
      <c r="AC539" s="60">
        <v>0</v>
      </c>
      <c r="AD539" s="60">
        <v>0</v>
      </c>
      <c r="AE539" s="60">
        <v>0</v>
      </c>
      <c r="AF539" s="60">
        <v>0</v>
      </c>
      <c r="AG539" s="60">
        <v>0</v>
      </c>
      <c r="AH539" s="60">
        <v>0</v>
      </c>
      <c r="AI539" s="60">
        <v>1109.67</v>
      </c>
      <c r="AJ539" s="60">
        <v>1140.01</v>
      </c>
      <c r="AK539" s="60">
        <v>1166.8699999999999</v>
      </c>
      <c r="AL539" s="60">
        <v>0</v>
      </c>
      <c r="AM539" s="60">
        <v>0</v>
      </c>
      <c r="AN539" s="60">
        <v>0</v>
      </c>
      <c r="AO539" s="60">
        <v>1109.67</v>
      </c>
      <c r="AP539" s="60">
        <v>1140.01</v>
      </c>
      <c r="AQ539" s="60">
        <v>1166.8699999999999</v>
      </c>
      <c r="AR539" s="61">
        <v>1166.8699999999999</v>
      </c>
    </row>
    <row r="540" spans="1:44" x14ac:dyDescent="0.35">
      <c r="A540" s="49" t="str">
        <f t="shared" si="45"/>
        <v>13</v>
      </c>
      <c r="B540" s="27">
        <v>63198</v>
      </c>
      <c r="C540" s="25" t="str">
        <f t="shared" si="43"/>
        <v>0000000</v>
      </c>
      <c r="D540" s="26" t="s">
        <v>3663</v>
      </c>
      <c r="E540" s="25" t="s">
        <v>615</v>
      </c>
      <c r="F540" s="25" t="s">
        <v>588</v>
      </c>
      <c r="G540" s="59" t="s">
        <v>616</v>
      </c>
      <c r="H540" s="60">
        <v>342.17</v>
      </c>
      <c r="I540" s="60">
        <v>355.53</v>
      </c>
      <c r="J540" s="60">
        <v>381.01</v>
      </c>
      <c r="K540" s="60">
        <v>0</v>
      </c>
      <c r="L540" s="60">
        <v>0</v>
      </c>
      <c r="M540" s="60">
        <v>0</v>
      </c>
      <c r="N540" s="60">
        <v>0</v>
      </c>
      <c r="O540" s="60">
        <v>0</v>
      </c>
      <c r="P540" s="60">
        <v>0</v>
      </c>
      <c r="Q540" s="60">
        <v>0</v>
      </c>
      <c r="R540" s="60">
        <v>0</v>
      </c>
      <c r="S540" s="60">
        <v>0</v>
      </c>
      <c r="T540" s="60">
        <v>0</v>
      </c>
      <c r="U540" s="60">
        <v>0</v>
      </c>
      <c r="V540" s="60">
        <v>0</v>
      </c>
      <c r="W540" s="60">
        <v>0</v>
      </c>
      <c r="X540" s="60">
        <v>0</v>
      </c>
      <c r="Y540" s="60">
        <v>0</v>
      </c>
      <c r="Z540" s="60">
        <v>0</v>
      </c>
      <c r="AA540" s="60">
        <v>0</v>
      </c>
      <c r="AB540" s="60">
        <v>0</v>
      </c>
      <c r="AC540" s="60">
        <v>0</v>
      </c>
      <c r="AD540" s="60">
        <v>0</v>
      </c>
      <c r="AE540" s="60">
        <v>0</v>
      </c>
      <c r="AF540" s="60">
        <v>0</v>
      </c>
      <c r="AG540" s="60">
        <v>0</v>
      </c>
      <c r="AH540" s="60">
        <v>0</v>
      </c>
      <c r="AI540" s="60">
        <v>342.17</v>
      </c>
      <c r="AJ540" s="60">
        <v>355.53</v>
      </c>
      <c r="AK540" s="60">
        <v>381.01</v>
      </c>
      <c r="AL540" s="60">
        <v>0</v>
      </c>
      <c r="AM540" s="60">
        <v>0</v>
      </c>
      <c r="AN540" s="60">
        <v>0</v>
      </c>
      <c r="AO540" s="60">
        <v>342.17</v>
      </c>
      <c r="AP540" s="60">
        <v>355.53</v>
      </c>
      <c r="AQ540" s="60">
        <v>381.01</v>
      </c>
      <c r="AR540" s="61">
        <v>381.01</v>
      </c>
    </row>
    <row r="541" spans="1:44" x14ac:dyDescent="0.35">
      <c r="A541" s="49" t="str">
        <f t="shared" si="45"/>
        <v>13</v>
      </c>
      <c r="B541" s="27">
        <v>63214</v>
      </c>
      <c r="C541" s="25" t="str">
        <f t="shared" si="43"/>
        <v>0000000</v>
      </c>
      <c r="D541" s="26" t="s">
        <v>3663</v>
      </c>
      <c r="E541" s="25" t="s">
        <v>619</v>
      </c>
      <c r="F541" s="25" t="s">
        <v>588</v>
      </c>
      <c r="G541" s="59" t="s">
        <v>620</v>
      </c>
      <c r="H541" s="60">
        <v>533.5</v>
      </c>
      <c r="I541" s="60">
        <v>521.16999999999996</v>
      </c>
      <c r="J541" s="60">
        <v>515.66999999999996</v>
      </c>
      <c r="K541" s="60">
        <v>0</v>
      </c>
      <c r="L541" s="60">
        <v>0</v>
      </c>
      <c r="M541" s="60">
        <v>0</v>
      </c>
      <c r="N541" s="60">
        <v>0</v>
      </c>
      <c r="O541" s="60">
        <v>0</v>
      </c>
      <c r="P541" s="60">
        <v>0</v>
      </c>
      <c r="Q541" s="60">
        <v>0</v>
      </c>
      <c r="R541" s="60">
        <v>0</v>
      </c>
      <c r="S541" s="60">
        <v>0</v>
      </c>
      <c r="T541" s="60">
        <v>0</v>
      </c>
      <c r="U541" s="60">
        <v>0</v>
      </c>
      <c r="V541" s="60">
        <v>0</v>
      </c>
      <c r="W541" s="60">
        <v>0</v>
      </c>
      <c r="X541" s="60">
        <v>0</v>
      </c>
      <c r="Y541" s="60">
        <v>0</v>
      </c>
      <c r="Z541" s="60">
        <v>0</v>
      </c>
      <c r="AA541" s="60">
        <v>0</v>
      </c>
      <c r="AB541" s="60">
        <v>0</v>
      </c>
      <c r="AC541" s="60">
        <v>0</v>
      </c>
      <c r="AD541" s="60">
        <v>0</v>
      </c>
      <c r="AE541" s="60">
        <v>0</v>
      </c>
      <c r="AF541" s="60">
        <v>0</v>
      </c>
      <c r="AG541" s="60">
        <v>0</v>
      </c>
      <c r="AH541" s="60">
        <v>0</v>
      </c>
      <c r="AI541" s="60">
        <v>533.5</v>
      </c>
      <c r="AJ541" s="60">
        <v>521.16999999999996</v>
      </c>
      <c r="AK541" s="60">
        <v>515.66999999999996</v>
      </c>
      <c r="AL541" s="60">
        <v>0</v>
      </c>
      <c r="AM541" s="60">
        <v>0</v>
      </c>
      <c r="AN541" s="60">
        <v>0</v>
      </c>
      <c r="AO541" s="60">
        <v>533.5</v>
      </c>
      <c r="AP541" s="60">
        <v>521.16999999999996</v>
      </c>
      <c r="AQ541" s="60">
        <v>515.66999999999996</v>
      </c>
      <c r="AR541" s="61">
        <v>533.5</v>
      </c>
    </row>
    <row r="542" spans="1:44" x14ac:dyDescent="0.35">
      <c r="A542" s="49" t="str">
        <f t="shared" si="45"/>
        <v>13</v>
      </c>
      <c r="B542" s="27">
        <v>63222</v>
      </c>
      <c r="C542" s="25" t="str">
        <f t="shared" si="43"/>
        <v>0000000</v>
      </c>
      <c r="D542" s="26" t="s">
        <v>3663</v>
      </c>
      <c r="E542" s="25" t="s">
        <v>621</v>
      </c>
      <c r="F542" s="25" t="s">
        <v>588</v>
      </c>
      <c r="G542" s="59" t="s">
        <v>622</v>
      </c>
      <c r="H542" s="60">
        <v>309.55</v>
      </c>
      <c r="I542" s="60">
        <v>321.7</v>
      </c>
      <c r="J542" s="60">
        <v>336.64</v>
      </c>
      <c r="K542" s="60">
        <v>0</v>
      </c>
      <c r="L542" s="60">
        <v>0</v>
      </c>
      <c r="M542" s="60">
        <v>0</v>
      </c>
      <c r="N542" s="60">
        <v>0</v>
      </c>
      <c r="O542" s="60">
        <v>0</v>
      </c>
      <c r="P542" s="60">
        <v>0</v>
      </c>
      <c r="Q542" s="60">
        <v>0</v>
      </c>
      <c r="R542" s="60">
        <v>0</v>
      </c>
      <c r="S542" s="60">
        <v>0</v>
      </c>
      <c r="T542" s="60">
        <v>0</v>
      </c>
      <c r="U542" s="60">
        <v>0</v>
      </c>
      <c r="V542" s="60">
        <v>0</v>
      </c>
      <c r="W542" s="60">
        <v>0</v>
      </c>
      <c r="X542" s="60">
        <v>0</v>
      </c>
      <c r="Y542" s="60">
        <v>0</v>
      </c>
      <c r="Z542" s="60">
        <v>0</v>
      </c>
      <c r="AA542" s="60">
        <v>0</v>
      </c>
      <c r="AB542" s="60">
        <v>0</v>
      </c>
      <c r="AC542" s="60">
        <v>0</v>
      </c>
      <c r="AD542" s="60">
        <v>0</v>
      </c>
      <c r="AE542" s="60">
        <v>0</v>
      </c>
      <c r="AF542" s="60">
        <v>0</v>
      </c>
      <c r="AG542" s="60">
        <v>0</v>
      </c>
      <c r="AH542" s="60">
        <v>0</v>
      </c>
      <c r="AI542" s="60">
        <v>309.55</v>
      </c>
      <c r="AJ542" s="60">
        <v>321.7</v>
      </c>
      <c r="AK542" s="60">
        <v>336.64</v>
      </c>
      <c r="AL542" s="60">
        <v>0</v>
      </c>
      <c r="AM542" s="60">
        <v>0</v>
      </c>
      <c r="AN542" s="60">
        <v>0</v>
      </c>
      <c r="AO542" s="60">
        <v>309.55</v>
      </c>
      <c r="AP542" s="60">
        <v>321.7</v>
      </c>
      <c r="AQ542" s="60">
        <v>336.64</v>
      </c>
      <c r="AR542" s="61">
        <v>336.64</v>
      </c>
    </row>
    <row r="543" spans="1:44" x14ac:dyDescent="0.35">
      <c r="A543" s="49" t="str">
        <f t="shared" si="45"/>
        <v>13</v>
      </c>
      <c r="B543" s="27">
        <v>63230</v>
      </c>
      <c r="C543" s="25" t="str">
        <f t="shared" si="43"/>
        <v>0000000</v>
      </c>
      <c r="D543" s="26" t="s">
        <v>3663</v>
      </c>
      <c r="E543" s="25" t="s">
        <v>623</v>
      </c>
      <c r="F543" s="25" t="s">
        <v>588</v>
      </c>
      <c r="G543" s="59" t="s">
        <v>624</v>
      </c>
      <c r="H543" s="60">
        <v>292.83999999999997</v>
      </c>
      <c r="I543" s="60">
        <v>301.67</v>
      </c>
      <c r="J543" s="60">
        <v>297.37</v>
      </c>
      <c r="K543" s="60">
        <v>0</v>
      </c>
      <c r="L543" s="60">
        <v>0</v>
      </c>
      <c r="M543" s="60">
        <v>0</v>
      </c>
      <c r="N543" s="60">
        <v>0</v>
      </c>
      <c r="O543" s="60">
        <v>0</v>
      </c>
      <c r="P543" s="60">
        <v>0</v>
      </c>
      <c r="Q543" s="60">
        <v>0</v>
      </c>
      <c r="R543" s="60">
        <v>0</v>
      </c>
      <c r="S543" s="60">
        <v>0</v>
      </c>
      <c r="T543" s="60">
        <v>0</v>
      </c>
      <c r="U543" s="60">
        <v>0</v>
      </c>
      <c r="V543" s="60">
        <v>0</v>
      </c>
      <c r="W543" s="60">
        <v>0</v>
      </c>
      <c r="X543" s="60">
        <v>0</v>
      </c>
      <c r="Y543" s="60">
        <v>0</v>
      </c>
      <c r="Z543" s="60">
        <v>0</v>
      </c>
      <c r="AA543" s="60">
        <v>0</v>
      </c>
      <c r="AB543" s="60">
        <v>0</v>
      </c>
      <c r="AC543" s="60">
        <v>0</v>
      </c>
      <c r="AD543" s="60">
        <v>0</v>
      </c>
      <c r="AE543" s="60">
        <v>0</v>
      </c>
      <c r="AF543" s="60">
        <v>0</v>
      </c>
      <c r="AG543" s="60">
        <v>0</v>
      </c>
      <c r="AH543" s="60">
        <v>0</v>
      </c>
      <c r="AI543" s="60">
        <v>292.83999999999997</v>
      </c>
      <c r="AJ543" s="60">
        <v>301.67</v>
      </c>
      <c r="AK543" s="60">
        <v>297.37</v>
      </c>
      <c r="AL543" s="60">
        <v>0</v>
      </c>
      <c r="AM543" s="60">
        <v>0</v>
      </c>
      <c r="AN543" s="60">
        <v>0</v>
      </c>
      <c r="AO543" s="60">
        <v>292.83999999999997</v>
      </c>
      <c r="AP543" s="60">
        <v>301.67</v>
      </c>
      <c r="AQ543" s="60">
        <v>297.37</v>
      </c>
      <c r="AR543" s="61">
        <v>301.67</v>
      </c>
    </row>
    <row r="544" spans="1:44" x14ac:dyDescent="0.35">
      <c r="A544" s="49" t="str">
        <f t="shared" si="45"/>
        <v>13</v>
      </c>
      <c r="B544" s="27">
        <v>63172</v>
      </c>
      <c r="C544" s="25" t="str">
        <f t="shared" si="43"/>
        <v>0000000</v>
      </c>
      <c r="D544" s="26" t="s">
        <v>3663</v>
      </c>
      <c r="E544" s="25" t="s">
        <v>611</v>
      </c>
      <c r="F544" s="25" t="s">
        <v>588</v>
      </c>
      <c r="G544" s="59" t="s">
        <v>612</v>
      </c>
      <c r="H544" s="60">
        <v>109.45</v>
      </c>
      <c r="I544" s="60">
        <v>119.78</v>
      </c>
      <c r="J544" s="60">
        <v>114.77</v>
      </c>
      <c r="K544" s="60">
        <v>0</v>
      </c>
      <c r="L544" s="60">
        <v>0</v>
      </c>
      <c r="M544" s="60">
        <v>0</v>
      </c>
      <c r="N544" s="60">
        <v>0</v>
      </c>
      <c r="O544" s="60">
        <v>0</v>
      </c>
      <c r="P544" s="60">
        <v>0</v>
      </c>
      <c r="Q544" s="60">
        <v>0</v>
      </c>
      <c r="R544" s="60">
        <v>0</v>
      </c>
      <c r="S544" s="60">
        <v>0</v>
      </c>
      <c r="T544" s="60">
        <v>0</v>
      </c>
      <c r="U544" s="60">
        <v>0</v>
      </c>
      <c r="V544" s="60">
        <v>0</v>
      </c>
      <c r="W544" s="60">
        <v>0</v>
      </c>
      <c r="X544" s="60">
        <v>0</v>
      </c>
      <c r="Y544" s="60">
        <v>0</v>
      </c>
      <c r="Z544" s="60">
        <v>0</v>
      </c>
      <c r="AA544" s="60">
        <v>0</v>
      </c>
      <c r="AB544" s="60">
        <v>0</v>
      </c>
      <c r="AC544" s="60">
        <v>0</v>
      </c>
      <c r="AD544" s="60">
        <v>0</v>
      </c>
      <c r="AE544" s="60">
        <v>0</v>
      </c>
      <c r="AF544" s="60">
        <v>0</v>
      </c>
      <c r="AG544" s="60">
        <v>0</v>
      </c>
      <c r="AH544" s="60">
        <v>0</v>
      </c>
      <c r="AI544" s="60">
        <v>109.45</v>
      </c>
      <c r="AJ544" s="60">
        <v>119.78</v>
      </c>
      <c r="AK544" s="60">
        <v>114.77</v>
      </c>
      <c r="AL544" s="60">
        <v>0</v>
      </c>
      <c r="AM544" s="60">
        <v>0</v>
      </c>
      <c r="AN544" s="60">
        <v>0</v>
      </c>
      <c r="AO544" s="60">
        <v>109.45</v>
      </c>
      <c r="AP544" s="60">
        <v>119.78</v>
      </c>
      <c r="AQ544" s="60">
        <v>114.77</v>
      </c>
      <c r="AR544" s="61">
        <v>119.78</v>
      </c>
    </row>
    <row r="545" spans="1:44" x14ac:dyDescent="0.35">
      <c r="A545" s="49" t="str">
        <f t="shared" si="45"/>
        <v>13</v>
      </c>
      <c r="B545" s="27">
        <v>63206</v>
      </c>
      <c r="C545" s="25" t="str">
        <f t="shared" si="43"/>
        <v>0000000</v>
      </c>
      <c r="D545" s="26" t="s">
        <v>3663</v>
      </c>
      <c r="E545" s="25" t="s">
        <v>617</v>
      </c>
      <c r="F545" s="25" t="s">
        <v>588</v>
      </c>
      <c r="G545" s="59" t="s">
        <v>618</v>
      </c>
      <c r="H545" s="60">
        <v>63.2</v>
      </c>
      <c r="I545" s="60">
        <v>61.27</v>
      </c>
      <c r="J545" s="60">
        <v>62.83</v>
      </c>
      <c r="K545" s="60">
        <v>0</v>
      </c>
      <c r="L545" s="60">
        <v>0</v>
      </c>
      <c r="M545" s="60">
        <v>0</v>
      </c>
      <c r="N545" s="60">
        <v>0</v>
      </c>
      <c r="O545" s="60">
        <v>0</v>
      </c>
      <c r="P545" s="60">
        <v>0</v>
      </c>
      <c r="Q545" s="60">
        <v>0</v>
      </c>
      <c r="R545" s="60">
        <v>0</v>
      </c>
      <c r="S545" s="60">
        <v>0</v>
      </c>
      <c r="T545" s="60">
        <v>0</v>
      </c>
      <c r="U545" s="60">
        <v>0</v>
      </c>
      <c r="V545" s="60">
        <v>0</v>
      </c>
      <c r="W545" s="60">
        <v>0</v>
      </c>
      <c r="X545" s="60">
        <v>0</v>
      </c>
      <c r="Y545" s="60">
        <v>0</v>
      </c>
      <c r="Z545" s="60">
        <v>0</v>
      </c>
      <c r="AA545" s="60">
        <v>0</v>
      </c>
      <c r="AB545" s="60">
        <v>0</v>
      </c>
      <c r="AC545" s="60">
        <v>0</v>
      </c>
      <c r="AD545" s="60">
        <v>0</v>
      </c>
      <c r="AE545" s="60">
        <v>0</v>
      </c>
      <c r="AF545" s="60">
        <v>0</v>
      </c>
      <c r="AG545" s="60">
        <v>0</v>
      </c>
      <c r="AH545" s="60">
        <v>0</v>
      </c>
      <c r="AI545" s="60">
        <v>63.2</v>
      </c>
      <c r="AJ545" s="60">
        <v>61.27</v>
      </c>
      <c r="AK545" s="60">
        <v>62.83</v>
      </c>
      <c r="AL545" s="60">
        <v>0</v>
      </c>
      <c r="AM545" s="60">
        <v>0</v>
      </c>
      <c r="AN545" s="60">
        <v>0</v>
      </c>
      <c r="AO545" s="60">
        <v>63.2</v>
      </c>
      <c r="AP545" s="60">
        <v>61.27</v>
      </c>
      <c r="AQ545" s="60">
        <v>62.83</v>
      </c>
      <c r="AR545" s="61">
        <v>63.2</v>
      </c>
    </row>
    <row r="546" spans="1:44" x14ac:dyDescent="0.35">
      <c r="A546" s="49" t="str">
        <f t="shared" ref="A546:A578" si="46">TEXT(41,"00")</f>
        <v>41</v>
      </c>
      <c r="B546" s="27">
        <v>10413</v>
      </c>
      <c r="C546" s="25" t="str">
        <f t="shared" si="43"/>
        <v>0000000</v>
      </c>
      <c r="D546" s="26" t="s">
        <v>3663</v>
      </c>
      <c r="E546" s="25" t="s">
        <v>2538</v>
      </c>
      <c r="F546" s="25" t="s">
        <v>2539</v>
      </c>
      <c r="G546" s="59" t="s">
        <v>2539</v>
      </c>
      <c r="H546" s="60">
        <v>0</v>
      </c>
      <c r="I546" s="60">
        <v>0</v>
      </c>
      <c r="J546" s="60">
        <v>0</v>
      </c>
      <c r="K546" s="60">
        <v>0</v>
      </c>
      <c r="L546" s="60">
        <v>0</v>
      </c>
      <c r="M546" s="60">
        <v>0</v>
      </c>
      <c r="N546" s="60">
        <v>0</v>
      </c>
      <c r="O546" s="60">
        <v>0</v>
      </c>
      <c r="P546" s="60">
        <v>0</v>
      </c>
      <c r="Q546" s="60">
        <v>0</v>
      </c>
      <c r="R546" s="60">
        <v>0</v>
      </c>
      <c r="S546" s="60">
        <v>0</v>
      </c>
      <c r="T546" s="60">
        <v>20.87</v>
      </c>
      <c r="U546" s="60">
        <v>26.99</v>
      </c>
      <c r="V546" s="60">
        <v>20.86</v>
      </c>
      <c r="W546" s="60">
        <v>61.61</v>
      </c>
      <c r="X546" s="60">
        <v>67</v>
      </c>
      <c r="Y546" s="60">
        <v>95.65</v>
      </c>
      <c r="Z546" s="60">
        <v>0</v>
      </c>
      <c r="AA546" s="60">
        <v>0</v>
      </c>
      <c r="AB546" s="60">
        <v>0</v>
      </c>
      <c r="AC546" s="60">
        <v>0</v>
      </c>
      <c r="AD546" s="60">
        <v>0</v>
      </c>
      <c r="AE546" s="60">
        <v>0</v>
      </c>
      <c r="AF546" s="60">
        <v>0</v>
      </c>
      <c r="AG546" s="60">
        <v>0</v>
      </c>
      <c r="AH546" s="60">
        <v>0</v>
      </c>
      <c r="AI546" s="60">
        <v>82.48</v>
      </c>
      <c r="AJ546" s="60">
        <v>93.99</v>
      </c>
      <c r="AK546" s="60">
        <v>116.51</v>
      </c>
      <c r="AL546" s="60">
        <v>0</v>
      </c>
      <c r="AM546" s="60">
        <v>0</v>
      </c>
      <c r="AN546" s="60">
        <v>0</v>
      </c>
      <c r="AO546" s="60">
        <v>82.48</v>
      </c>
      <c r="AP546" s="60">
        <v>93.99</v>
      </c>
      <c r="AQ546" s="60">
        <v>116.51</v>
      </c>
      <c r="AR546" s="61">
        <v>116.51</v>
      </c>
    </row>
    <row r="547" spans="1:44" x14ac:dyDescent="0.35">
      <c r="A547" s="49" t="str">
        <f t="shared" si="46"/>
        <v>41</v>
      </c>
      <c r="B547" s="27">
        <v>68858</v>
      </c>
      <c r="C547" s="25" t="str">
        <f t="shared" si="43"/>
        <v>0000000</v>
      </c>
      <c r="D547" s="26" t="s">
        <v>3663</v>
      </c>
      <c r="E547" s="25" t="s">
        <v>2542</v>
      </c>
      <c r="F547" s="25" t="s">
        <v>2539</v>
      </c>
      <c r="G547" s="59" t="s">
        <v>2543</v>
      </c>
      <c r="H547" s="60">
        <v>319.54000000000002</v>
      </c>
      <c r="I547" s="60">
        <v>314.07</v>
      </c>
      <c r="J547" s="60">
        <v>337.85</v>
      </c>
      <c r="K547" s="60">
        <v>0</v>
      </c>
      <c r="L547" s="60">
        <v>0</v>
      </c>
      <c r="M547" s="60">
        <v>0</v>
      </c>
      <c r="N547" s="60">
        <v>0</v>
      </c>
      <c r="O547" s="60">
        <v>0</v>
      </c>
      <c r="P547" s="60">
        <v>0</v>
      </c>
      <c r="Q547" s="60">
        <v>0</v>
      </c>
      <c r="R547" s="60">
        <v>0</v>
      </c>
      <c r="S547" s="60">
        <v>0</v>
      </c>
      <c r="T547" s="60">
        <v>0</v>
      </c>
      <c r="U547" s="60">
        <v>0</v>
      </c>
      <c r="V547" s="60">
        <v>0</v>
      </c>
      <c r="W547" s="60">
        <v>0</v>
      </c>
      <c r="X547" s="60">
        <v>0</v>
      </c>
      <c r="Y547" s="60">
        <v>0</v>
      </c>
      <c r="Z547" s="60">
        <v>0</v>
      </c>
      <c r="AA547" s="60">
        <v>0</v>
      </c>
      <c r="AB547" s="60">
        <v>0</v>
      </c>
      <c r="AC547" s="60">
        <v>0</v>
      </c>
      <c r="AD547" s="60">
        <v>0</v>
      </c>
      <c r="AE547" s="60">
        <v>0</v>
      </c>
      <c r="AF547" s="60">
        <v>0</v>
      </c>
      <c r="AG547" s="60">
        <v>0</v>
      </c>
      <c r="AH547" s="60">
        <v>0</v>
      </c>
      <c r="AI547" s="60">
        <v>319.54000000000002</v>
      </c>
      <c r="AJ547" s="60">
        <v>314.07</v>
      </c>
      <c r="AK547" s="60">
        <v>337.85</v>
      </c>
      <c r="AL547" s="60">
        <v>0</v>
      </c>
      <c r="AM547" s="60">
        <v>0</v>
      </c>
      <c r="AN547" s="60">
        <v>0</v>
      </c>
      <c r="AO547" s="60">
        <v>319.54000000000002</v>
      </c>
      <c r="AP547" s="60">
        <v>314.07</v>
      </c>
      <c r="AQ547" s="60">
        <v>337.85</v>
      </c>
      <c r="AR547" s="61">
        <v>337.85</v>
      </c>
    </row>
    <row r="548" spans="1:44" x14ac:dyDescent="0.35">
      <c r="A548" s="49" t="str">
        <f t="shared" si="46"/>
        <v>41</v>
      </c>
      <c r="B548" s="27">
        <v>68866</v>
      </c>
      <c r="C548" s="25" t="str">
        <f t="shared" si="43"/>
        <v>0000000</v>
      </c>
      <c r="D548" s="26" t="s">
        <v>3663</v>
      </c>
      <c r="E548" s="25" t="s">
        <v>2544</v>
      </c>
      <c r="F548" s="25" t="s">
        <v>2539</v>
      </c>
      <c r="G548" s="59" t="s">
        <v>2545</v>
      </c>
      <c r="H548" s="60">
        <v>3842.36</v>
      </c>
      <c r="I548" s="60">
        <v>3797.76</v>
      </c>
      <c r="J548" s="60">
        <v>3788.66</v>
      </c>
      <c r="K548" s="60">
        <v>0</v>
      </c>
      <c r="L548" s="60">
        <v>0</v>
      </c>
      <c r="M548" s="60">
        <v>0</v>
      </c>
      <c r="N548" s="60">
        <v>0</v>
      </c>
      <c r="O548" s="60">
        <v>0</v>
      </c>
      <c r="P548" s="60">
        <v>0</v>
      </c>
      <c r="Q548" s="60">
        <v>0</v>
      </c>
      <c r="R548" s="60">
        <v>0</v>
      </c>
      <c r="S548" s="60">
        <v>0</v>
      </c>
      <c r="T548" s="60">
        <v>0</v>
      </c>
      <c r="U548" s="60">
        <v>0</v>
      </c>
      <c r="V548" s="60">
        <v>0</v>
      </c>
      <c r="W548" s="60">
        <v>0</v>
      </c>
      <c r="X548" s="60">
        <v>0</v>
      </c>
      <c r="Y548" s="60">
        <v>0</v>
      </c>
      <c r="Z548" s="60">
        <v>0</v>
      </c>
      <c r="AA548" s="60">
        <v>0</v>
      </c>
      <c r="AB548" s="60">
        <v>0</v>
      </c>
      <c r="AC548" s="60">
        <v>0</v>
      </c>
      <c r="AD548" s="60">
        <v>0</v>
      </c>
      <c r="AE548" s="60">
        <v>0</v>
      </c>
      <c r="AF548" s="60">
        <v>0</v>
      </c>
      <c r="AG548" s="60">
        <v>0</v>
      </c>
      <c r="AH548" s="60">
        <v>0</v>
      </c>
      <c r="AI548" s="60">
        <v>3842.36</v>
      </c>
      <c r="AJ548" s="60">
        <v>3797.76</v>
      </c>
      <c r="AK548" s="60">
        <v>3788.66</v>
      </c>
      <c r="AL548" s="60">
        <v>0</v>
      </c>
      <c r="AM548" s="60">
        <v>0</v>
      </c>
      <c r="AN548" s="60">
        <v>0</v>
      </c>
      <c r="AO548" s="60">
        <v>3842.36</v>
      </c>
      <c r="AP548" s="60">
        <v>3797.76</v>
      </c>
      <c r="AQ548" s="60">
        <v>3788.66</v>
      </c>
      <c r="AR548" s="61">
        <v>3842.36</v>
      </c>
    </row>
    <row r="549" spans="1:44" x14ac:dyDescent="0.35">
      <c r="A549" s="49" t="str">
        <f t="shared" si="46"/>
        <v>41</v>
      </c>
      <c r="B549" s="27">
        <v>68874</v>
      </c>
      <c r="C549" s="25" t="str">
        <f t="shared" si="43"/>
        <v>0000000</v>
      </c>
      <c r="D549" s="26" t="s">
        <v>3663</v>
      </c>
      <c r="E549" s="25" t="s">
        <v>2546</v>
      </c>
      <c r="F549" s="25" t="s">
        <v>2539</v>
      </c>
      <c r="G549" s="59" t="s">
        <v>2547</v>
      </c>
      <c r="H549" s="60">
        <v>452.16</v>
      </c>
      <c r="I549" s="60">
        <v>430.16</v>
      </c>
      <c r="J549" s="60">
        <v>415.65</v>
      </c>
      <c r="K549" s="60">
        <v>0</v>
      </c>
      <c r="L549" s="60">
        <v>0</v>
      </c>
      <c r="M549" s="60">
        <v>0</v>
      </c>
      <c r="N549" s="60">
        <v>0</v>
      </c>
      <c r="O549" s="60">
        <v>0</v>
      </c>
      <c r="P549" s="60">
        <v>0</v>
      </c>
      <c r="Q549" s="60">
        <v>0</v>
      </c>
      <c r="R549" s="60">
        <v>0</v>
      </c>
      <c r="S549" s="60">
        <v>0</v>
      </c>
      <c r="T549" s="60">
        <v>0</v>
      </c>
      <c r="U549" s="60">
        <v>0</v>
      </c>
      <c r="V549" s="60">
        <v>0</v>
      </c>
      <c r="W549" s="60">
        <v>0</v>
      </c>
      <c r="X549" s="60">
        <v>0</v>
      </c>
      <c r="Y549" s="60">
        <v>0</v>
      </c>
      <c r="Z549" s="60">
        <v>0</v>
      </c>
      <c r="AA549" s="60">
        <v>0</v>
      </c>
      <c r="AB549" s="60">
        <v>0</v>
      </c>
      <c r="AC549" s="60">
        <v>0</v>
      </c>
      <c r="AD549" s="60">
        <v>0</v>
      </c>
      <c r="AE549" s="60">
        <v>0</v>
      </c>
      <c r="AF549" s="60">
        <v>0</v>
      </c>
      <c r="AG549" s="60">
        <v>0</v>
      </c>
      <c r="AH549" s="60">
        <v>0</v>
      </c>
      <c r="AI549" s="60">
        <v>452.16</v>
      </c>
      <c r="AJ549" s="60">
        <v>430.16</v>
      </c>
      <c r="AK549" s="60">
        <v>415.65</v>
      </c>
      <c r="AL549" s="60">
        <v>0</v>
      </c>
      <c r="AM549" s="60">
        <v>0</v>
      </c>
      <c r="AN549" s="60">
        <v>0</v>
      </c>
      <c r="AO549" s="60">
        <v>452.16</v>
      </c>
      <c r="AP549" s="60">
        <v>430.16</v>
      </c>
      <c r="AQ549" s="60">
        <v>415.65</v>
      </c>
      <c r="AR549" s="61">
        <v>452.16</v>
      </c>
    </row>
    <row r="550" spans="1:44" x14ac:dyDescent="0.35">
      <c r="A550" s="49" t="str">
        <f t="shared" si="46"/>
        <v>41</v>
      </c>
      <c r="B550" s="27">
        <v>68882</v>
      </c>
      <c r="C550" s="25" t="str">
        <f t="shared" ref="C550:C569" si="47">TEXT(,"0000000")</f>
        <v>0000000</v>
      </c>
      <c r="D550" s="26" t="s">
        <v>3663</v>
      </c>
      <c r="E550" s="25" t="s">
        <v>2548</v>
      </c>
      <c r="F550" s="25" t="s">
        <v>2539</v>
      </c>
      <c r="G550" s="59" t="s">
        <v>2549</v>
      </c>
      <c r="H550" s="60">
        <v>3191.99</v>
      </c>
      <c r="I550" s="60">
        <v>3119.88</v>
      </c>
      <c r="J550" s="60">
        <v>3165.03</v>
      </c>
      <c r="K550" s="60">
        <v>0</v>
      </c>
      <c r="L550" s="60">
        <v>0</v>
      </c>
      <c r="M550" s="60">
        <v>0</v>
      </c>
      <c r="N550" s="60">
        <v>0</v>
      </c>
      <c r="O550" s="60">
        <v>0</v>
      </c>
      <c r="P550" s="60">
        <v>0</v>
      </c>
      <c r="Q550" s="60">
        <v>0</v>
      </c>
      <c r="R550" s="60">
        <v>0</v>
      </c>
      <c r="S550" s="60">
        <v>0</v>
      </c>
      <c r="T550" s="60">
        <v>0</v>
      </c>
      <c r="U550" s="60">
        <v>0</v>
      </c>
      <c r="V550" s="60">
        <v>0</v>
      </c>
      <c r="W550" s="60">
        <v>0</v>
      </c>
      <c r="X550" s="60">
        <v>0</v>
      </c>
      <c r="Y550" s="60">
        <v>0</v>
      </c>
      <c r="Z550" s="60">
        <v>0</v>
      </c>
      <c r="AA550" s="60">
        <v>0</v>
      </c>
      <c r="AB550" s="60">
        <v>0</v>
      </c>
      <c r="AC550" s="60">
        <v>0</v>
      </c>
      <c r="AD550" s="60">
        <v>0</v>
      </c>
      <c r="AE550" s="60">
        <v>0</v>
      </c>
      <c r="AF550" s="60">
        <v>0</v>
      </c>
      <c r="AG550" s="60">
        <v>0</v>
      </c>
      <c r="AH550" s="60">
        <v>0</v>
      </c>
      <c r="AI550" s="60">
        <v>3191.99</v>
      </c>
      <c r="AJ550" s="60">
        <v>3119.88</v>
      </c>
      <c r="AK550" s="60">
        <v>3165.03</v>
      </c>
      <c r="AL550" s="60">
        <v>0</v>
      </c>
      <c r="AM550" s="60">
        <v>0</v>
      </c>
      <c r="AN550" s="60">
        <v>0</v>
      </c>
      <c r="AO550" s="60">
        <v>3191.99</v>
      </c>
      <c r="AP550" s="60">
        <v>3119.88</v>
      </c>
      <c r="AQ550" s="60">
        <v>3165.03</v>
      </c>
      <c r="AR550" s="61">
        <v>3191.99</v>
      </c>
    </row>
    <row r="551" spans="1:44" x14ac:dyDescent="0.35">
      <c r="A551" s="49" t="str">
        <f t="shared" si="46"/>
        <v>41</v>
      </c>
      <c r="B551" s="27">
        <v>68908</v>
      </c>
      <c r="C551" s="25" t="str">
        <f t="shared" si="47"/>
        <v>0000000</v>
      </c>
      <c r="D551" s="26" t="s">
        <v>3663</v>
      </c>
      <c r="E551" s="25" t="s">
        <v>2552</v>
      </c>
      <c r="F551" s="25" t="s">
        <v>2539</v>
      </c>
      <c r="G551" s="59" t="s">
        <v>2553</v>
      </c>
      <c r="H551" s="60">
        <v>1213.1199999999999</v>
      </c>
      <c r="I551" s="60">
        <v>1235.03</v>
      </c>
      <c r="J551" s="60">
        <v>1212.3</v>
      </c>
      <c r="K551" s="60">
        <v>0</v>
      </c>
      <c r="L551" s="60">
        <v>0</v>
      </c>
      <c r="M551" s="60">
        <v>0</v>
      </c>
      <c r="N551" s="60">
        <v>0</v>
      </c>
      <c r="O551" s="60">
        <v>0</v>
      </c>
      <c r="P551" s="60">
        <v>0</v>
      </c>
      <c r="Q551" s="60">
        <v>0</v>
      </c>
      <c r="R551" s="60">
        <v>0</v>
      </c>
      <c r="S551" s="60">
        <v>0</v>
      </c>
      <c r="T551" s="60">
        <v>0</v>
      </c>
      <c r="U551" s="60">
        <v>0</v>
      </c>
      <c r="V551" s="60">
        <v>0</v>
      </c>
      <c r="W551" s="60">
        <v>0</v>
      </c>
      <c r="X551" s="60">
        <v>0</v>
      </c>
      <c r="Y551" s="60">
        <v>0</v>
      </c>
      <c r="Z551" s="60">
        <v>0</v>
      </c>
      <c r="AA551" s="60">
        <v>0</v>
      </c>
      <c r="AB551" s="60">
        <v>0</v>
      </c>
      <c r="AC551" s="60">
        <v>0</v>
      </c>
      <c r="AD551" s="60">
        <v>0</v>
      </c>
      <c r="AE551" s="60">
        <v>0</v>
      </c>
      <c r="AF551" s="60">
        <v>0</v>
      </c>
      <c r="AG551" s="60">
        <v>0</v>
      </c>
      <c r="AH551" s="60">
        <v>0</v>
      </c>
      <c r="AI551" s="60">
        <v>1213.1199999999999</v>
      </c>
      <c r="AJ551" s="60">
        <v>1235.03</v>
      </c>
      <c r="AK551" s="60">
        <v>1212.3</v>
      </c>
      <c r="AL551" s="60">
        <v>0</v>
      </c>
      <c r="AM551" s="60">
        <v>0</v>
      </c>
      <c r="AN551" s="60">
        <v>0</v>
      </c>
      <c r="AO551" s="60">
        <v>1213.1199999999999</v>
      </c>
      <c r="AP551" s="60">
        <v>1235.03</v>
      </c>
      <c r="AQ551" s="60">
        <v>1212.3</v>
      </c>
      <c r="AR551" s="61">
        <v>1235.03</v>
      </c>
    </row>
    <row r="552" spans="1:44" x14ac:dyDescent="0.35">
      <c r="A552" s="49" t="str">
        <f t="shared" si="46"/>
        <v>41</v>
      </c>
      <c r="B552" s="27">
        <v>68916</v>
      </c>
      <c r="C552" s="25" t="str">
        <f t="shared" si="47"/>
        <v>0000000</v>
      </c>
      <c r="D552" s="26" t="s">
        <v>3663</v>
      </c>
      <c r="E552" s="25" t="s">
        <v>2554</v>
      </c>
      <c r="F552" s="25" t="s">
        <v>2539</v>
      </c>
      <c r="G552" s="59" t="s">
        <v>1893</v>
      </c>
      <c r="H552" s="60">
        <v>4683.5200000000004</v>
      </c>
      <c r="I552" s="60">
        <v>4620.08</v>
      </c>
      <c r="J552" s="60">
        <v>4789.18</v>
      </c>
      <c r="K552" s="60">
        <v>0</v>
      </c>
      <c r="L552" s="60">
        <v>0</v>
      </c>
      <c r="M552" s="60">
        <v>0</v>
      </c>
      <c r="N552" s="60">
        <v>0</v>
      </c>
      <c r="O552" s="60">
        <v>0</v>
      </c>
      <c r="P552" s="60">
        <v>0</v>
      </c>
      <c r="Q552" s="60">
        <v>0</v>
      </c>
      <c r="R552" s="60">
        <v>0</v>
      </c>
      <c r="S552" s="60">
        <v>0</v>
      </c>
      <c r="T552" s="60">
        <v>0</v>
      </c>
      <c r="U552" s="60">
        <v>0</v>
      </c>
      <c r="V552" s="60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0</v>
      </c>
      <c r="AC552" s="60">
        <v>0</v>
      </c>
      <c r="AD552" s="60">
        <v>0</v>
      </c>
      <c r="AE552" s="60">
        <v>0</v>
      </c>
      <c r="AF552" s="60">
        <v>0</v>
      </c>
      <c r="AG552" s="60">
        <v>0</v>
      </c>
      <c r="AH552" s="60">
        <v>0</v>
      </c>
      <c r="AI552" s="60">
        <v>4683.5200000000004</v>
      </c>
      <c r="AJ552" s="60">
        <v>4620.08</v>
      </c>
      <c r="AK552" s="60">
        <v>4789.18</v>
      </c>
      <c r="AL552" s="60">
        <v>0</v>
      </c>
      <c r="AM552" s="60">
        <v>0</v>
      </c>
      <c r="AN552" s="60">
        <v>0</v>
      </c>
      <c r="AO552" s="60">
        <v>4683.5200000000004</v>
      </c>
      <c r="AP552" s="60">
        <v>4620.08</v>
      </c>
      <c r="AQ552" s="60">
        <v>4789.18</v>
      </c>
      <c r="AR552" s="61">
        <v>4789.18</v>
      </c>
    </row>
    <row r="553" spans="1:44" x14ac:dyDescent="0.35">
      <c r="A553" s="49" t="str">
        <f t="shared" si="46"/>
        <v>41</v>
      </c>
      <c r="B553" s="27">
        <v>68932</v>
      </c>
      <c r="C553" s="25" t="str">
        <f t="shared" si="47"/>
        <v>0000000</v>
      </c>
      <c r="D553" s="26" t="s">
        <v>3663</v>
      </c>
      <c r="E553" s="25" t="s">
        <v>2562</v>
      </c>
      <c r="F553" s="25" t="s">
        <v>2539</v>
      </c>
      <c r="G553" s="59" t="s">
        <v>2563</v>
      </c>
      <c r="H553" s="60">
        <v>2558.13</v>
      </c>
      <c r="I553" s="60">
        <v>2564.9299999999998</v>
      </c>
      <c r="J553" s="60">
        <v>2614.8200000000002</v>
      </c>
      <c r="K553" s="60">
        <v>0</v>
      </c>
      <c r="L553" s="60">
        <v>0</v>
      </c>
      <c r="M553" s="60">
        <v>0</v>
      </c>
      <c r="N553" s="60">
        <v>0</v>
      </c>
      <c r="O553" s="60">
        <v>0</v>
      </c>
      <c r="P553" s="60">
        <v>0</v>
      </c>
      <c r="Q553" s="60">
        <v>0</v>
      </c>
      <c r="R553" s="60">
        <v>0</v>
      </c>
      <c r="S553" s="60">
        <v>0</v>
      </c>
      <c r="T553" s="60">
        <v>0</v>
      </c>
      <c r="U553" s="60">
        <v>0</v>
      </c>
      <c r="V553" s="60">
        <v>0</v>
      </c>
      <c r="W553" s="60">
        <v>0</v>
      </c>
      <c r="X553" s="60">
        <v>0</v>
      </c>
      <c r="Y553" s="60">
        <v>0</v>
      </c>
      <c r="Z553" s="60">
        <v>0</v>
      </c>
      <c r="AA553" s="60">
        <v>0</v>
      </c>
      <c r="AB553" s="60">
        <v>0</v>
      </c>
      <c r="AC553" s="60">
        <v>0</v>
      </c>
      <c r="AD553" s="60">
        <v>0</v>
      </c>
      <c r="AE553" s="60">
        <v>0</v>
      </c>
      <c r="AF553" s="60">
        <v>0</v>
      </c>
      <c r="AG553" s="60">
        <v>0</v>
      </c>
      <c r="AH553" s="60">
        <v>0</v>
      </c>
      <c r="AI553" s="60">
        <v>2558.13</v>
      </c>
      <c r="AJ553" s="60">
        <v>2564.9299999999998</v>
      </c>
      <c r="AK553" s="60">
        <v>2614.8200000000002</v>
      </c>
      <c r="AL553" s="60">
        <v>0</v>
      </c>
      <c r="AM553" s="60">
        <v>0</v>
      </c>
      <c r="AN553" s="60">
        <v>0</v>
      </c>
      <c r="AO553" s="60">
        <v>2558.13</v>
      </c>
      <c r="AP553" s="60">
        <v>2564.9299999999998</v>
      </c>
      <c r="AQ553" s="60">
        <v>2614.8200000000002</v>
      </c>
      <c r="AR553" s="61">
        <v>2614.8200000000002</v>
      </c>
    </row>
    <row r="554" spans="1:44" x14ac:dyDescent="0.35">
      <c r="A554" s="49" t="str">
        <f t="shared" si="46"/>
        <v>41</v>
      </c>
      <c r="B554" s="27">
        <v>68957</v>
      </c>
      <c r="C554" s="25" t="str">
        <f t="shared" si="47"/>
        <v>0000000</v>
      </c>
      <c r="D554" s="26" t="s">
        <v>3663</v>
      </c>
      <c r="E554" s="25" t="s">
        <v>2566</v>
      </c>
      <c r="F554" s="25" t="s">
        <v>2539</v>
      </c>
      <c r="G554" s="59" t="s">
        <v>2567</v>
      </c>
      <c r="H554" s="60">
        <v>1036.4000000000001</v>
      </c>
      <c r="I554" s="60">
        <v>1029.49</v>
      </c>
      <c r="J554" s="60">
        <v>964.24</v>
      </c>
      <c r="K554" s="60">
        <v>0</v>
      </c>
      <c r="L554" s="60">
        <v>0</v>
      </c>
      <c r="M554" s="60">
        <v>0</v>
      </c>
      <c r="N554" s="60">
        <v>79.989999999999995</v>
      </c>
      <c r="O554" s="60">
        <v>76.36</v>
      </c>
      <c r="P554" s="60">
        <v>80.069999999999993</v>
      </c>
      <c r="Q554" s="60">
        <v>0</v>
      </c>
      <c r="R554" s="60">
        <v>0</v>
      </c>
      <c r="S554" s="60">
        <v>0</v>
      </c>
      <c r="T554" s="60">
        <v>0</v>
      </c>
      <c r="U554" s="60">
        <v>0</v>
      </c>
      <c r="V554" s="60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0">
        <v>0</v>
      </c>
      <c r="AD554" s="60">
        <v>0</v>
      </c>
      <c r="AE554" s="60">
        <v>0</v>
      </c>
      <c r="AF554" s="60">
        <v>0</v>
      </c>
      <c r="AG554" s="60">
        <v>0</v>
      </c>
      <c r="AH554" s="60">
        <v>0</v>
      </c>
      <c r="AI554" s="60">
        <v>1116.3900000000001</v>
      </c>
      <c r="AJ554" s="60">
        <v>1105.8499999999999</v>
      </c>
      <c r="AK554" s="60">
        <v>1044.31</v>
      </c>
      <c r="AL554" s="60">
        <v>0</v>
      </c>
      <c r="AM554" s="60">
        <v>0</v>
      </c>
      <c r="AN554" s="60">
        <v>0</v>
      </c>
      <c r="AO554" s="60">
        <v>1116.3900000000001</v>
      </c>
      <c r="AP554" s="60">
        <v>1105.8499999999999</v>
      </c>
      <c r="AQ554" s="60">
        <v>1044.31</v>
      </c>
      <c r="AR554" s="61">
        <v>1116.3900000000001</v>
      </c>
    </row>
    <row r="555" spans="1:44" x14ac:dyDescent="0.35">
      <c r="A555" s="49" t="str">
        <f t="shared" si="46"/>
        <v>41</v>
      </c>
      <c r="B555" s="27">
        <v>68965</v>
      </c>
      <c r="C555" s="25" t="str">
        <f t="shared" si="47"/>
        <v>0000000</v>
      </c>
      <c r="D555" s="26" t="s">
        <v>3663</v>
      </c>
      <c r="E555" s="25" t="s">
        <v>2568</v>
      </c>
      <c r="F555" s="25" t="s">
        <v>2539</v>
      </c>
      <c r="G555" s="59" t="s">
        <v>2569</v>
      </c>
      <c r="H555" s="60">
        <v>2454.23</v>
      </c>
      <c r="I555" s="60">
        <v>2394.9</v>
      </c>
      <c r="J555" s="60">
        <v>2444.67</v>
      </c>
      <c r="K555" s="60">
        <v>0</v>
      </c>
      <c r="L555" s="60">
        <v>0</v>
      </c>
      <c r="M555" s="60">
        <v>0</v>
      </c>
      <c r="N555" s="60">
        <v>180.05</v>
      </c>
      <c r="O555" s="60">
        <v>175.62</v>
      </c>
      <c r="P555" s="60">
        <v>173.22</v>
      </c>
      <c r="Q555" s="60">
        <v>0</v>
      </c>
      <c r="R555" s="60">
        <v>0</v>
      </c>
      <c r="S555" s="60">
        <v>0</v>
      </c>
      <c r="T555" s="60">
        <v>0</v>
      </c>
      <c r="U555" s="60">
        <v>0</v>
      </c>
      <c r="V555" s="60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0">
        <v>0</v>
      </c>
      <c r="AE555" s="60">
        <v>0</v>
      </c>
      <c r="AF555" s="60">
        <v>0</v>
      </c>
      <c r="AG555" s="60">
        <v>0</v>
      </c>
      <c r="AH555" s="60">
        <v>0</v>
      </c>
      <c r="AI555" s="60">
        <v>2634.28</v>
      </c>
      <c r="AJ555" s="60">
        <v>2570.52</v>
      </c>
      <c r="AK555" s="60">
        <v>2617.89</v>
      </c>
      <c r="AL555" s="60">
        <v>0</v>
      </c>
      <c r="AM555" s="60">
        <v>0</v>
      </c>
      <c r="AN555" s="60">
        <v>0</v>
      </c>
      <c r="AO555" s="60">
        <v>2634.28</v>
      </c>
      <c r="AP555" s="60">
        <v>2570.52</v>
      </c>
      <c r="AQ555" s="60">
        <v>2617.89</v>
      </c>
      <c r="AR555" s="61">
        <v>2634.28</v>
      </c>
    </row>
    <row r="556" spans="1:44" x14ac:dyDescent="0.35">
      <c r="A556" s="49" t="str">
        <f t="shared" si="46"/>
        <v>41</v>
      </c>
      <c r="B556" s="27">
        <v>68973</v>
      </c>
      <c r="C556" s="25" t="str">
        <f t="shared" si="47"/>
        <v>0000000</v>
      </c>
      <c r="D556" s="26" t="s">
        <v>3663</v>
      </c>
      <c r="E556" s="25" t="s">
        <v>2570</v>
      </c>
      <c r="F556" s="25" t="s">
        <v>2539</v>
      </c>
      <c r="G556" s="59" t="s">
        <v>2571</v>
      </c>
      <c r="H556" s="60">
        <v>1975.78</v>
      </c>
      <c r="I556" s="60">
        <v>1977.22</v>
      </c>
      <c r="J556" s="60">
        <v>2028</v>
      </c>
      <c r="K556" s="60">
        <v>0</v>
      </c>
      <c r="L556" s="60">
        <v>0</v>
      </c>
      <c r="M556" s="60">
        <v>0</v>
      </c>
      <c r="N556" s="60">
        <v>0</v>
      </c>
      <c r="O556" s="60">
        <v>0</v>
      </c>
      <c r="P556" s="60">
        <v>0</v>
      </c>
      <c r="Q556" s="60">
        <v>0</v>
      </c>
      <c r="R556" s="60">
        <v>0</v>
      </c>
      <c r="S556" s="60">
        <v>0</v>
      </c>
      <c r="T556" s="60">
        <v>0</v>
      </c>
      <c r="U556" s="60">
        <v>0</v>
      </c>
      <c r="V556" s="60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60">
        <v>0</v>
      </c>
      <c r="AE556" s="60">
        <v>0</v>
      </c>
      <c r="AF556" s="60">
        <v>0</v>
      </c>
      <c r="AG556" s="60">
        <v>0</v>
      </c>
      <c r="AH556" s="60">
        <v>0</v>
      </c>
      <c r="AI556" s="60">
        <v>1975.78</v>
      </c>
      <c r="AJ556" s="60">
        <v>1977.22</v>
      </c>
      <c r="AK556" s="60">
        <v>2028</v>
      </c>
      <c r="AL556" s="60">
        <v>0</v>
      </c>
      <c r="AM556" s="60">
        <v>0</v>
      </c>
      <c r="AN556" s="60">
        <v>0</v>
      </c>
      <c r="AO556" s="60">
        <v>1975.78</v>
      </c>
      <c r="AP556" s="60">
        <v>1977.22</v>
      </c>
      <c r="AQ556" s="60">
        <v>2028</v>
      </c>
      <c r="AR556" s="61">
        <v>2028</v>
      </c>
    </row>
    <row r="557" spans="1:44" x14ac:dyDescent="0.35">
      <c r="A557" s="49" t="str">
        <f t="shared" si="46"/>
        <v>41</v>
      </c>
      <c r="B557" s="27">
        <v>68981</v>
      </c>
      <c r="C557" s="25" t="str">
        <f t="shared" si="47"/>
        <v>0000000</v>
      </c>
      <c r="D557" s="26" t="s">
        <v>3663</v>
      </c>
      <c r="E557" s="25" t="s">
        <v>2572</v>
      </c>
      <c r="F557" s="25" t="s">
        <v>2539</v>
      </c>
      <c r="G557" s="59" t="s">
        <v>2573</v>
      </c>
      <c r="H557" s="60">
        <v>422.66</v>
      </c>
      <c r="I557" s="60">
        <v>429.36</v>
      </c>
      <c r="J557" s="60">
        <v>425.88</v>
      </c>
      <c r="K557" s="60">
        <v>0</v>
      </c>
      <c r="L557" s="60">
        <v>0</v>
      </c>
      <c r="M557" s="60">
        <v>0</v>
      </c>
      <c r="N557" s="60">
        <v>36.89</v>
      </c>
      <c r="O557" s="60">
        <v>39.22</v>
      </c>
      <c r="P557" s="60">
        <v>38.950000000000003</v>
      </c>
      <c r="Q557" s="60">
        <v>0</v>
      </c>
      <c r="R557" s="60">
        <v>0</v>
      </c>
      <c r="S557" s="60">
        <v>0</v>
      </c>
      <c r="T557" s="60">
        <v>0</v>
      </c>
      <c r="U557" s="60">
        <v>0</v>
      </c>
      <c r="V557" s="60">
        <v>0</v>
      </c>
      <c r="W557" s="60">
        <v>0</v>
      </c>
      <c r="X557" s="60">
        <v>0</v>
      </c>
      <c r="Y557" s="60">
        <v>0</v>
      </c>
      <c r="Z557" s="60">
        <v>0</v>
      </c>
      <c r="AA557" s="60">
        <v>0</v>
      </c>
      <c r="AB557" s="60">
        <v>0</v>
      </c>
      <c r="AC557" s="60">
        <v>0</v>
      </c>
      <c r="AD557" s="60">
        <v>0</v>
      </c>
      <c r="AE557" s="60">
        <v>0</v>
      </c>
      <c r="AF557" s="60">
        <v>0</v>
      </c>
      <c r="AG557" s="60">
        <v>0</v>
      </c>
      <c r="AH557" s="60">
        <v>0</v>
      </c>
      <c r="AI557" s="60">
        <v>459.55</v>
      </c>
      <c r="AJ557" s="60">
        <v>468.58</v>
      </c>
      <c r="AK557" s="60">
        <v>464.83</v>
      </c>
      <c r="AL557" s="60">
        <v>0</v>
      </c>
      <c r="AM557" s="60">
        <v>0</v>
      </c>
      <c r="AN557" s="60">
        <v>0</v>
      </c>
      <c r="AO557" s="60">
        <v>459.55</v>
      </c>
      <c r="AP557" s="60">
        <v>468.58</v>
      </c>
      <c r="AQ557" s="60">
        <v>464.83</v>
      </c>
      <c r="AR557" s="61">
        <v>468.58</v>
      </c>
    </row>
    <row r="558" spans="1:44" x14ac:dyDescent="0.35">
      <c r="A558" s="49" t="str">
        <f t="shared" si="46"/>
        <v>41</v>
      </c>
      <c r="B558" s="27">
        <v>68999</v>
      </c>
      <c r="C558" s="25" t="str">
        <f t="shared" si="47"/>
        <v>0000000</v>
      </c>
      <c r="D558" s="26" t="s">
        <v>3663</v>
      </c>
      <c r="E558" s="25" t="s">
        <v>2574</v>
      </c>
      <c r="F558" s="25" t="s">
        <v>2539</v>
      </c>
      <c r="G558" s="59" t="s">
        <v>2575</v>
      </c>
      <c r="H558" s="60">
        <v>1274.1500000000001</v>
      </c>
      <c r="I558" s="60">
        <v>1291.93</v>
      </c>
      <c r="J558" s="60">
        <v>1321.73</v>
      </c>
      <c r="K558" s="60">
        <v>0</v>
      </c>
      <c r="L558" s="60">
        <v>0</v>
      </c>
      <c r="M558" s="60">
        <v>0</v>
      </c>
      <c r="N558" s="60">
        <v>0</v>
      </c>
      <c r="O558" s="60">
        <v>0</v>
      </c>
      <c r="P558" s="60">
        <v>0</v>
      </c>
      <c r="Q558" s="60">
        <v>0</v>
      </c>
      <c r="R558" s="60">
        <v>0</v>
      </c>
      <c r="S558" s="60">
        <v>0</v>
      </c>
      <c r="T558" s="60">
        <v>0</v>
      </c>
      <c r="U558" s="60">
        <v>0</v>
      </c>
      <c r="V558" s="60">
        <v>0</v>
      </c>
      <c r="W558" s="60">
        <v>0</v>
      </c>
      <c r="X558" s="60">
        <v>0</v>
      </c>
      <c r="Y558" s="60">
        <v>0</v>
      </c>
      <c r="Z558" s="60">
        <v>0</v>
      </c>
      <c r="AA558" s="60">
        <v>0</v>
      </c>
      <c r="AB558" s="60">
        <v>0</v>
      </c>
      <c r="AC558" s="60">
        <v>0</v>
      </c>
      <c r="AD558" s="60">
        <v>0</v>
      </c>
      <c r="AE558" s="60">
        <v>569.29</v>
      </c>
      <c r="AF558" s="60">
        <v>0</v>
      </c>
      <c r="AG558" s="60">
        <v>0</v>
      </c>
      <c r="AH558" s="60">
        <v>0</v>
      </c>
      <c r="AI558" s="60">
        <v>1274.1500000000001</v>
      </c>
      <c r="AJ558" s="60">
        <v>1291.93</v>
      </c>
      <c r="AK558" s="60">
        <v>1891.02</v>
      </c>
      <c r="AL558" s="60">
        <v>0</v>
      </c>
      <c r="AM558" s="60">
        <v>0</v>
      </c>
      <c r="AN558" s="60">
        <v>-569.29</v>
      </c>
      <c r="AO558" s="60">
        <v>1274.1500000000001</v>
      </c>
      <c r="AP558" s="60">
        <v>1291.93</v>
      </c>
      <c r="AQ558" s="60">
        <v>1321.73</v>
      </c>
      <c r="AR558" s="61">
        <v>1321.73</v>
      </c>
    </row>
    <row r="559" spans="1:44" x14ac:dyDescent="0.35">
      <c r="A559" s="49" t="str">
        <f t="shared" si="46"/>
        <v>41</v>
      </c>
      <c r="B559" s="27">
        <v>69005</v>
      </c>
      <c r="C559" s="25" t="str">
        <f t="shared" si="47"/>
        <v>0000000</v>
      </c>
      <c r="D559" s="26" t="s">
        <v>3663</v>
      </c>
      <c r="E559" s="25" t="s">
        <v>2581</v>
      </c>
      <c r="F559" s="25" t="s">
        <v>2539</v>
      </c>
      <c r="G559" s="59" t="s">
        <v>2582</v>
      </c>
      <c r="H559" s="60">
        <v>5930.81</v>
      </c>
      <c r="I559" s="60">
        <v>5807.87</v>
      </c>
      <c r="J559" s="60">
        <v>5913.58</v>
      </c>
      <c r="K559" s="60">
        <v>0</v>
      </c>
      <c r="L559" s="60">
        <v>0</v>
      </c>
      <c r="M559" s="60">
        <v>0</v>
      </c>
      <c r="N559" s="60">
        <v>0</v>
      </c>
      <c r="O559" s="60">
        <v>0</v>
      </c>
      <c r="P559" s="60">
        <v>0</v>
      </c>
      <c r="Q559" s="60">
        <v>0</v>
      </c>
      <c r="R559" s="60">
        <v>0</v>
      </c>
      <c r="S559" s="60">
        <v>0</v>
      </c>
      <c r="T559" s="60">
        <v>0</v>
      </c>
      <c r="U559" s="60">
        <v>0</v>
      </c>
      <c r="V559" s="60">
        <v>0</v>
      </c>
      <c r="W559" s="60">
        <v>0</v>
      </c>
      <c r="X559" s="60">
        <v>0</v>
      </c>
      <c r="Y559" s="60">
        <v>0</v>
      </c>
      <c r="Z559" s="60">
        <v>0</v>
      </c>
      <c r="AA559" s="60">
        <v>0</v>
      </c>
      <c r="AB559" s="60">
        <v>0</v>
      </c>
      <c r="AC559" s="60">
        <v>0</v>
      </c>
      <c r="AD559" s="60">
        <v>0</v>
      </c>
      <c r="AE559" s="60">
        <v>0</v>
      </c>
      <c r="AF559" s="60">
        <v>0</v>
      </c>
      <c r="AG559" s="60">
        <v>0</v>
      </c>
      <c r="AH559" s="60">
        <v>0</v>
      </c>
      <c r="AI559" s="60">
        <v>5930.81</v>
      </c>
      <c r="AJ559" s="60">
        <v>5807.87</v>
      </c>
      <c r="AK559" s="60">
        <v>5913.58</v>
      </c>
      <c r="AL559" s="60">
        <v>0</v>
      </c>
      <c r="AM559" s="60">
        <v>0</v>
      </c>
      <c r="AN559" s="60">
        <v>0</v>
      </c>
      <c r="AO559" s="60">
        <v>5930.81</v>
      </c>
      <c r="AP559" s="60">
        <v>5807.87</v>
      </c>
      <c r="AQ559" s="60">
        <v>5913.58</v>
      </c>
      <c r="AR559" s="61">
        <v>5930.81</v>
      </c>
    </row>
    <row r="560" spans="1:44" x14ac:dyDescent="0.35">
      <c r="A560" s="49" t="str">
        <f t="shared" si="46"/>
        <v>41</v>
      </c>
      <c r="B560" s="27">
        <v>69013</v>
      </c>
      <c r="C560" s="25" t="str">
        <f t="shared" si="47"/>
        <v>0000000</v>
      </c>
      <c r="D560" s="26" t="s">
        <v>3663</v>
      </c>
      <c r="E560" s="25" t="s">
        <v>2589</v>
      </c>
      <c r="F560" s="25" t="s">
        <v>2539</v>
      </c>
      <c r="G560" s="59" t="s">
        <v>2590</v>
      </c>
      <c r="H560" s="60">
        <v>1878.78</v>
      </c>
      <c r="I560" s="60">
        <v>1813.97</v>
      </c>
      <c r="J560" s="60">
        <v>1974.75</v>
      </c>
      <c r="K560" s="60">
        <v>0</v>
      </c>
      <c r="L560" s="60">
        <v>0</v>
      </c>
      <c r="M560" s="60">
        <v>0</v>
      </c>
      <c r="N560" s="60">
        <v>0</v>
      </c>
      <c r="O560" s="60">
        <v>0</v>
      </c>
      <c r="P560" s="60">
        <v>0</v>
      </c>
      <c r="Q560" s="60">
        <v>0</v>
      </c>
      <c r="R560" s="60">
        <v>0</v>
      </c>
      <c r="S560" s="60">
        <v>0</v>
      </c>
      <c r="T560" s="60">
        <v>0</v>
      </c>
      <c r="U560" s="60">
        <v>0</v>
      </c>
      <c r="V560" s="60">
        <v>0</v>
      </c>
      <c r="W560" s="60">
        <v>0</v>
      </c>
      <c r="X560" s="60">
        <v>0</v>
      </c>
      <c r="Y560" s="60">
        <v>0</v>
      </c>
      <c r="Z560" s="60">
        <v>0</v>
      </c>
      <c r="AA560" s="60">
        <v>0</v>
      </c>
      <c r="AB560" s="60">
        <v>0</v>
      </c>
      <c r="AC560" s="60">
        <v>0</v>
      </c>
      <c r="AD560" s="60">
        <v>0</v>
      </c>
      <c r="AE560" s="60">
        <v>0</v>
      </c>
      <c r="AF560" s="60">
        <v>0</v>
      </c>
      <c r="AG560" s="60">
        <v>0</v>
      </c>
      <c r="AH560" s="60">
        <v>0</v>
      </c>
      <c r="AI560" s="60">
        <v>1878.78</v>
      </c>
      <c r="AJ560" s="60">
        <v>1813.97</v>
      </c>
      <c r="AK560" s="60">
        <v>1974.75</v>
      </c>
      <c r="AL560" s="60">
        <v>0</v>
      </c>
      <c r="AM560" s="60">
        <v>0</v>
      </c>
      <c r="AN560" s="60">
        <v>0</v>
      </c>
      <c r="AO560" s="60">
        <v>1878.78</v>
      </c>
      <c r="AP560" s="60">
        <v>1813.97</v>
      </c>
      <c r="AQ560" s="60">
        <v>1974.75</v>
      </c>
      <c r="AR560" s="61">
        <v>1974.75</v>
      </c>
    </row>
    <row r="561" spans="1:44" x14ac:dyDescent="0.35">
      <c r="A561" s="49" t="str">
        <f t="shared" si="46"/>
        <v>41</v>
      </c>
      <c r="B561" s="27">
        <v>69021</v>
      </c>
      <c r="C561" s="25" t="str">
        <f t="shared" si="47"/>
        <v>0000000</v>
      </c>
      <c r="D561" s="26" t="s">
        <v>3663</v>
      </c>
      <c r="E561" s="25" t="s">
        <v>2591</v>
      </c>
      <c r="F561" s="25" t="s">
        <v>2539</v>
      </c>
      <c r="G561" s="59" t="s">
        <v>2592</v>
      </c>
      <c r="H561" s="60">
        <v>2676.11</v>
      </c>
      <c r="I561" s="60">
        <v>2562.73</v>
      </c>
      <c r="J561" s="60">
        <v>2556.92</v>
      </c>
      <c r="K561" s="60">
        <v>0</v>
      </c>
      <c r="L561" s="60">
        <v>0</v>
      </c>
      <c r="M561" s="60">
        <v>0</v>
      </c>
      <c r="N561" s="60">
        <v>0</v>
      </c>
      <c r="O561" s="60">
        <v>0</v>
      </c>
      <c r="P561" s="60">
        <v>0</v>
      </c>
      <c r="Q561" s="60">
        <v>0</v>
      </c>
      <c r="R561" s="60">
        <v>0</v>
      </c>
      <c r="S561" s="60">
        <v>0</v>
      </c>
      <c r="T561" s="60">
        <v>0</v>
      </c>
      <c r="U561" s="60">
        <v>0</v>
      </c>
      <c r="V561" s="60">
        <v>0</v>
      </c>
      <c r="W561" s="60">
        <v>0</v>
      </c>
      <c r="X561" s="60">
        <v>0</v>
      </c>
      <c r="Y561" s="60">
        <v>0</v>
      </c>
      <c r="Z561" s="60">
        <v>0</v>
      </c>
      <c r="AA561" s="60">
        <v>0</v>
      </c>
      <c r="AB561" s="60">
        <v>0</v>
      </c>
      <c r="AC561" s="60">
        <v>0</v>
      </c>
      <c r="AD561" s="60">
        <v>0</v>
      </c>
      <c r="AE561" s="60">
        <v>0</v>
      </c>
      <c r="AF561" s="60">
        <v>0</v>
      </c>
      <c r="AG561" s="60">
        <v>0</v>
      </c>
      <c r="AH561" s="60">
        <v>0</v>
      </c>
      <c r="AI561" s="60">
        <v>2676.11</v>
      </c>
      <c r="AJ561" s="60">
        <v>2562.73</v>
      </c>
      <c r="AK561" s="60">
        <v>2556.92</v>
      </c>
      <c r="AL561" s="60">
        <v>0</v>
      </c>
      <c r="AM561" s="60">
        <v>0</v>
      </c>
      <c r="AN561" s="60">
        <v>0</v>
      </c>
      <c r="AO561" s="60">
        <v>2676.11</v>
      </c>
      <c r="AP561" s="60">
        <v>2562.73</v>
      </c>
      <c r="AQ561" s="60">
        <v>2556.92</v>
      </c>
      <c r="AR561" s="61">
        <v>2676.11</v>
      </c>
    </row>
    <row r="562" spans="1:44" x14ac:dyDescent="0.35">
      <c r="A562" s="49" t="str">
        <f t="shared" si="46"/>
        <v>41</v>
      </c>
      <c r="B562" s="27">
        <v>69039</v>
      </c>
      <c r="C562" s="25" t="str">
        <f t="shared" si="47"/>
        <v>0000000</v>
      </c>
      <c r="D562" s="26" t="s">
        <v>3663</v>
      </c>
      <c r="E562" s="25" t="s">
        <v>2596</v>
      </c>
      <c r="F562" s="25" t="s">
        <v>2539</v>
      </c>
      <c r="G562" s="59" t="s">
        <v>2597</v>
      </c>
      <c r="H562" s="60">
        <v>9411.82</v>
      </c>
      <c r="I562" s="60">
        <v>9387.2800000000007</v>
      </c>
      <c r="J562" s="60">
        <v>9635.52</v>
      </c>
      <c r="K562" s="60">
        <v>0</v>
      </c>
      <c r="L562" s="60">
        <v>0</v>
      </c>
      <c r="M562" s="60">
        <v>0</v>
      </c>
      <c r="N562" s="60">
        <v>0</v>
      </c>
      <c r="O562" s="60">
        <v>0</v>
      </c>
      <c r="P562" s="60">
        <v>0</v>
      </c>
      <c r="Q562" s="60">
        <v>0</v>
      </c>
      <c r="R562" s="60">
        <v>0</v>
      </c>
      <c r="S562" s="60">
        <v>0</v>
      </c>
      <c r="T562" s="60">
        <v>0</v>
      </c>
      <c r="U562" s="60">
        <v>0</v>
      </c>
      <c r="V562" s="60">
        <v>0</v>
      </c>
      <c r="W562" s="60">
        <v>0</v>
      </c>
      <c r="X562" s="60">
        <v>0</v>
      </c>
      <c r="Y562" s="60">
        <v>0</v>
      </c>
      <c r="Z562" s="60">
        <v>0</v>
      </c>
      <c r="AA562" s="60">
        <v>0</v>
      </c>
      <c r="AB562" s="60">
        <v>0</v>
      </c>
      <c r="AC562" s="60">
        <v>0</v>
      </c>
      <c r="AD562" s="60">
        <v>0</v>
      </c>
      <c r="AE562" s="60">
        <v>0</v>
      </c>
      <c r="AF562" s="60">
        <v>0</v>
      </c>
      <c r="AG562" s="60">
        <v>0</v>
      </c>
      <c r="AH562" s="60">
        <v>0</v>
      </c>
      <c r="AI562" s="60">
        <v>9411.82</v>
      </c>
      <c r="AJ562" s="60">
        <v>9387.2800000000007</v>
      </c>
      <c r="AK562" s="60">
        <v>9635.52</v>
      </c>
      <c r="AL562" s="60">
        <v>0</v>
      </c>
      <c r="AM562" s="60">
        <v>0</v>
      </c>
      <c r="AN562" s="60">
        <v>0</v>
      </c>
      <c r="AO562" s="60">
        <v>9411.82</v>
      </c>
      <c r="AP562" s="60">
        <v>9387.2800000000007</v>
      </c>
      <c r="AQ562" s="60">
        <v>9635.52</v>
      </c>
      <c r="AR562" s="61">
        <v>9635.52</v>
      </c>
    </row>
    <row r="563" spans="1:44" x14ac:dyDescent="0.35">
      <c r="A563" s="49" t="str">
        <f t="shared" si="46"/>
        <v>41</v>
      </c>
      <c r="B563" s="27">
        <v>69088</v>
      </c>
      <c r="C563" s="25" t="str">
        <f t="shared" si="47"/>
        <v>0000000</v>
      </c>
      <c r="D563" s="26" t="s">
        <v>3663</v>
      </c>
      <c r="E563" s="25" t="s">
        <v>2613</v>
      </c>
      <c r="F563" s="25" t="s">
        <v>2539</v>
      </c>
      <c r="G563" s="59" t="s">
        <v>2614</v>
      </c>
      <c r="H563" s="60">
        <v>310.93</v>
      </c>
      <c r="I563" s="60">
        <v>299.06</v>
      </c>
      <c r="J563" s="60">
        <v>306.58999999999997</v>
      </c>
      <c r="K563" s="60">
        <v>0</v>
      </c>
      <c r="L563" s="60">
        <v>0</v>
      </c>
      <c r="M563" s="60">
        <v>0</v>
      </c>
      <c r="N563" s="60">
        <v>38.479999999999997</v>
      </c>
      <c r="O563" s="60">
        <v>36.18</v>
      </c>
      <c r="P563" s="60">
        <v>36.29</v>
      </c>
      <c r="Q563" s="60">
        <v>0</v>
      </c>
      <c r="R563" s="60">
        <v>0</v>
      </c>
      <c r="S563" s="60">
        <v>0</v>
      </c>
      <c r="T563" s="60">
        <v>0</v>
      </c>
      <c r="U563" s="60">
        <v>0</v>
      </c>
      <c r="V563" s="60">
        <v>0</v>
      </c>
      <c r="W563" s="60">
        <v>0</v>
      </c>
      <c r="X563" s="60">
        <v>0</v>
      </c>
      <c r="Y563" s="60">
        <v>0</v>
      </c>
      <c r="Z563" s="60">
        <v>0</v>
      </c>
      <c r="AA563" s="60">
        <v>0</v>
      </c>
      <c r="AB563" s="60">
        <v>0</v>
      </c>
      <c r="AC563" s="60">
        <v>0</v>
      </c>
      <c r="AD563" s="60">
        <v>0</v>
      </c>
      <c r="AE563" s="60">
        <v>0</v>
      </c>
      <c r="AF563" s="60">
        <v>0</v>
      </c>
      <c r="AG563" s="60">
        <v>0</v>
      </c>
      <c r="AH563" s="60">
        <v>0</v>
      </c>
      <c r="AI563" s="60">
        <v>349.41</v>
      </c>
      <c r="AJ563" s="60">
        <v>335.24</v>
      </c>
      <c r="AK563" s="60">
        <v>342.88</v>
      </c>
      <c r="AL563" s="60">
        <v>0</v>
      </c>
      <c r="AM563" s="60">
        <v>0</v>
      </c>
      <c r="AN563" s="60">
        <v>0</v>
      </c>
      <c r="AO563" s="60">
        <v>349.41</v>
      </c>
      <c r="AP563" s="60">
        <v>335.24</v>
      </c>
      <c r="AQ563" s="60">
        <v>342.88</v>
      </c>
      <c r="AR563" s="61">
        <v>349.41</v>
      </c>
    </row>
    <row r="564" spans="1:44" x14ac:dyDescent="0.35">
      <c r="A564" s="49" t="str">
        <f t="shared" si="46"/>
        <v>41</v>
      </c>
      <c r="B564" s="27">
        <v>68924</v>
      </c>
      <c r="C564" s="25" t="str">
        <f t="shared" si="47"/>
        <v>0000000</v>
      </c>
      <c r="D564" s="26" t="s">
        <v>3663</v>
      </c>
      <c r="E564" s="25" t="s">
        <v>2558</v>
      </c>
      <c r="F564" s="25" t="s">
        <v>2539</v>
      </c>
      <c r="G564" s="59" t="s">
        <v>2559</v>
      </c>
      <c r="H564" s="60">
        <v>3444.46</v>
      </c>
      <c r="I564" s="60">
        <v>3580.6</v>
      </c>
      <c r="J564" s="60">
        <v>3629.95</v>
      </c>
      <c r="K564" s="60">
        <v>0</v>
      </c>
      <c r="L564" s="60">
        <v>0</v>
      </c>
      <c r="M564" s="60">
        <v>0</v>
      </c>
      <c r="N564" s="60">
        <v>0</v>
      </c>
      <c r="O564" s="60">
        <v>0</v>
      </c>
      <c r="P564" s="60">
        <v>0</v>
      </c>
      <c r="Q564" s="60">
        <v>0</v>
      </c>
      <c r="R564" s="60">
        <v>0</v>
      </c>
      <c r="S564" s="60">
        <v>0</v>
      </c>
      <c r="T564" s="60">
        <v>0</v>
      </c>
      <c r="U564" s="60">
        <v>0</v>
      </c>
      <c r="V564" s="60">
        <v>0</v>
      </c>
      <c r="W564" s="60">
        <v>0</v>
      </c>
      <c r="X564" s="60">
        <v>0</v>
      </c>
      <c r="Y564" s="60">
        <v>0</v>
      </c>
      <c r="Z564" s="60">
        <v>0</v>
      </c>
      <c r="AA564" s="60">
        <v>0</v>
      </c>
      <c r="AB564" s="60">
        <v>0</v>
      </c>
      <c r="AC564" s="60">
        <v>0</v>
      </c>
      <c r="AD564" s="60">
        <v>0</v>
      </c>
      <c r="AE564" s="60">
        <v>0</v>
      </c>
      <c r="AF564" s="60">
        <v>0</v>
      </c>
      <c r="AG564" s="60">
        <v>0</v>
      </c>
      <c r="AH564" s="60">
        <v>0</v>
      </c>
      <c r="AI564" s="60">
        <v>3444.46</v>
      </c>
      <c r="AJ564" s="60">
        <v>3580.6</v>
      </c>
      <c r="AK564" s="60">
        <v>3629.95</v>
      </c>
      <c r="AL564" s="60">
        <v>0</v>
      </c>
      <c r="AM564" s="60">
        <v>0</v>
      </c>
      <c r="AN564" s="60">
        <v>0</v>
      </c>
      <c r="AO564" s="60">
        <v>3444.46</v>
      </c>
      <c r="AP564" s="60">
        <v>3580.6</v>
      </c>
      <c r="AQ564" s="60">
        <v>3629.95</v>
      </c>
      <c r="AR564" s="61">
        <v>3629.95</v>
      </c>
    </row>
    <row r="565" spans="1:44" x14ac:dyDescent="0.35">
      <c r="A565" s="49" t="str">
        <f t="shared" si="46"/>
        <v>41</v>
      </c>
      <c r="B565" s="27">
        <v>69047</v>
      </c>
      <c r="C565" s="25" t="str">
        <f t="shared" si="47"/>
        <v>0000000</v>
      </c>
      <c r="D565" s="26" t="s">
        <v>3663</v>
      </c>
      <c r="E565" s="25" t="s">
        <v>2598</v>
      </c>
      <c r="F565" s="25" t="s">
        <v>2539</v>
      </c>
      <c r="G565" s="59" t="s">
        <v>2599</v>
      </c>
      <c r="H565" s="60">
        <v>8332.98</v>
      </c>
      <c r="I565" s="60">
        <v>8343.69</v>
      </c>
      <c r="J565" s="60">
        <v>8285.5499999999993</v>
      </c>
      <c r="K565" s="60">
        <v>0</v>
      </c>
      <c r="L565" s="60">
        <v>0</v>
      </c>
      <c r="M565" s="60">
        <v>0</v>
      </c>
      <c r="N565" s="60">
        <v>0</v>
      </c>
      <c r="O565" s="60">
        <v>0</v>
      </c>
      <c r="P565" s="60">
        <v>0</v>
      </c>
      <c r="Q565" s="60">
        <v>0</v>
      </c>
      <c r="R565" s="60">
        <v>0</v>
      </c>
      <c r="S565" s="60">
        <v>0</v>
      </c>
      <c r="T565" s="60">
        <v>0</v>
      </c>
      <c r="U565" s="60">
        <v>0</v>
      </c>
      <c r="V565" s="60">
        <v>0</v>
      </c>
      <c r="W565" s="60">
        <v>0</v>
      </c>
      <c r="X565" s="60">
        <v>0</v>
      </c>
      <c r="Y565" s="60">
        <v>0</v>
      </c>
      <c r="Z565" s="60">
        <v>0</v>
      </c>
      <c r="AA565" s="60">
        <v>0</v>
      </c>
      <c r="AB565" s="60">
        <v>0</v>
      </c>
      <c r="AC565" s="60">
        <v>0</v>
      </c>
      <c r="AD565" s="60">
        <v>0</v>
      </c>
      <c r="AE565" s="60">
        <v>524.14</v>
      </c>
      <c r="AF565" s="60">
        <v>0</v>
      </c>
      <c r="AG565" s="60">
        <v>0</v>
      </c>
      <c r="AH565" s="60">
        <v>0</v>
      </c>
      <c r="AI565" s="60">
        <v>8332.98</v>
      </c>
      <c r="AJ565" s="60">
        <v>8343.69</v>
      </c>
      <c r="AK565" s="60">
        <v>8809.69</v>
      </c>
      <c r="AL565" s="60">
        <v>0</v>
      </c>
      <c r="AM565" s="60">
        <v>0</v>
      </c>
      <c r="AN565" s="60">
        <v>-524.14</v>
      </c>
      <c r="AO565" s="60">
        <v>8332.98</v>
      </c>
      <c r="AP565" s="60">
        <v>8343.69</v>
      </c>
      <c r="AQ565" s="60">
        <v>8285.5499999999993</v>
      </c>
      <c r="AR565" s="61">
        <v>8343.69</v>
      </c>
    </row>
    <row r="566" spans="1:44" x14ac:dyDescent="0.35">
      <c r="A566" s="49" t="str">
        <f t="shared" si="46"/>
        <v>41</v>
      </c>
      <c r="B566" s="27">
        <v>69062</v>
      </c>
      <c r="C566" s="25" t="str">
        <f t="shared" si="47"/>
        <v>0000000</v>
      </c>
      <c r="D566" s="26" t="s">
        <v>3663</v>
      </c>
      <c r="E566" s="25" t="s">
        <v>2602</v>
      </c>
      <c r="F566" s="25" t="s">
        <v>2539</v>
      </c>
      <c r="G566" s="59" t="s">
        <v>2603</v>
      </c>
      <c r="H566" s="60">
        <v>7850.74</v>
      </c>
      <c r="I566" s="60">
        <v>7831.8</v>
      </c>
      <c r="J566" s="60">
        <v>7955.91</v>
      </c>
      <c r="K566" s="60">
        <v>0</v>
      </c>
      <c r="L566" s="60">
        <v>0</v>
      </c>
      <c r="M566" s="60">
        <v>0</v>
      </c>
      <c r="N566" s="60">
        <v>0</v>
      </c>
      <c r="O566" s="60">
        <v>0</v>
      </c>
      <c r="P566" s="60">
        <v>0</v>
      </c>
      <c r="Q566" s="60">
        <v>0</v>
      </c>
      <c r="R566" s="60">
        <v>0</v>
      </c>
      <c r="S566" s="60">
        <v>0</v>
      </c>
      <c r="T566" s="60">
        <v>0</v>
      </c>
      <c r="U566" s="60">
        <v>0</v>
      </c>
      <c r="V566" s="60">
        <v>0</v>
      </c>
      <c r="W566" s="60">
        <v>0</v>
      </c>
      <c r="X566" s="60">
        <v>0</v>
      </c>
      <c r="Y566" s="60">
        <v>0</v>
      </c>
      <c r="Z566" s="60">
        <v>0</v>
      </c>
      <c r="AA566" s="60">
        <v>0</v>
      </c>
      <c r="AB566" s="60">
        <v>0</v>
      </c>
      <c r="AC566" s="60">
        <v>255.58</v>
      </c>
      <c r="AD566" s="60">
        <v>254.54</v>
      </c>
      <c r="AE566" s="60">
        <v>665.45</v>
      </c>
      <c r="AF566" s="60">
        <v>0</v>
      </c>
      <c r="AG566" s="60">
        <v>0</v>
      </c>
      <c r="AH566" s="60">
        <v>0</v>
      </c>
      <c r="AI566" s="60">
        <v>8106.32</v>
      </c>
      <c r="AJ566" s="60">
        <v>8086.34</v>
      </c>
      <c r="AK566" s="60">
        <v>8621.36</v>
      </c>
      <c r="AL566" s="60">
        <v>0</v>
      </c>
      <c r="AM566" s="60">
        <v>0</v>
      </c>
      <c r="AN566" s="60">
        <v>-380.66</v>
      </c>
      <c r="AO566" s="60">
        <v>8106.32</v>
      </c>
      <c r="AP566" s="60">
        <v>8086.34</v>
      </c>
      <c r="AQ566" s="60">
        <v>8240.7000000000007</v>
      </c>
      <c r="AR566" s="61">
        <v>8240.7000000000007</v>
      </c>
    </row>
    <row r="567" spans="1:44" x14ac:dyDescent="0.35">
      <c r="A567" s="49" t="str">
        <f t="shared" si="46"/>
        <v>41</v>
      </c>
      <c r="B567" s="27">
        <v>68890</v>
      </c>
      <c r="C567" s="25" t="str">
        <f t="shared" si="47"/>
        <v>0000000</v>
      </c>
      <c r="D567" s="26" t="s">
        <v>3663</v>
      </c>
      <c r="E567" s="25" t="s">
        <v>2550</v>
      </c>
      <c r="F567" s="25" t="s">
        <v>2539</v>
      </c>
      <c r="G567" s="59" t="s">
        <v>2551</v>
      </c>
      <c r="H567" s="60">
        <v>2451.15</v>
      </c>
      <c r="I567" s="60">
        <v>2519.1799999999998</v>
      </c>
      <c r="J567" s="60">
        <v>2592.38</v>
      </c>
      <c r="K567" s="60">
        <v>0</v>
      </c>
      <c r="L567" s="60">
        <v>0</v>
      </c>
      <c r="M567" s="60">
        <v>0</v>
      </c>
      <c r="N567" s="60">
        <v>0</v>
      </c>
      <c r="O567" s="60">
        <v>0</v>
      </c>
      <c r="P567" s="60">
        <v>0</v>
      </c>
      <c r="Q567" s="60">
        <v>0</v>
      </c>
      <c r="R567" s="60">
        <v>0</v>
      </c>
      <c r="S567" s="60">
        <v>0</v>
      </c>
      <c r="T567" s="60">
        <v>0</v>
      </c>
      <c r="U567" s="60">
        <v>0</v>
      </c>
      <c r="V567" s="60">
        <v>0</v>
      </c>
      <c r="W567" s="60">
        <v>0</v>
      </c>
      <c r="X567" s="60">
        <v>0</v>
      </c>
      <c r="Y567" s="60">
        <v>0</v>
      </c>
      <c r="Z567" s="60">
        <v>0</v>
      </c>
      <c r="AA567" s="60">
        <v>0</v>
      </c>
      <c r="AB567" s="60">
        <v>0</v>
      </c>
      <c r="AC567" s="60">
        <v>0</v>
      </c>
      <c r="AD567" s="60">
        <v>0</v>
      </c>
      <c r="AE567" s="60">
        <v>0</v>
      </c>
      <c r="AF567" s="60">
        <v>0</v>
      </c>
      <c r="AG567" s="60">
        <v>0</v>
      </c>
      <c r="AH567" s="60">
        <v>0</v>
      </c>
      <c r="AI567" s="60">
        <v>2451.15</v>
      </c>
      <c r="AJ567" s="60">
        <v>2519.1799999999998</v>
      </c>
      <c r="AK567" s="60">
        <v>2592.38</v>
      </c>
      <c r="AL567" s="60">
        <v>0</v>
      </c>
      <c r="AM567" s="60">
        <v>0</v>
      </c>
      <c r="AN567" s="60">
        <v>0</v>
      </c>
      <c r="AO567" s="60">
        <v>2451.15</v>
      </c>
      <c r="AP567" s="60">
        <v>2519.1799999999998</v>
      </c>
      <c r="AQ567" s="60">
        <v>2592.38</v>
      </c>
      <c r="AR567" s="61">
        <v>2592.38</v>
      </c>
    </row>
    <row r="568" spans="1:44" x14ac:dyDescent="0.35">
      <c r="A568" s="49" t="str">
        <f t="shared" si="46"/>
        <v>41</v>
      </c>
      <c r="B568" s="27">
        <v>68940</v>
      </c>
      <c r="C568" s="25" t="str">
        <f t="shared" si="47"/>
        <v>0000000</v>
      </c>
      <c r="D568" s="26" t="s">
        <v>3663</v>
      </c>
      <c r="E568" s="25" t="s">
        <v>2564</v>
      </c>
      <c r="F568" s="25" t="s">
        <v>2539</v>
      </c>
      <c r="G568" s="59" t="s">
        <v>2565</v>
      </c>
      <c r="H568" s="60">
        <v>241.29</v>
      </c>
      <c r="I568" s="60">
        <v>231.15</v>
      </c>
      <c r="J568" s="60">
        <v>242.75</v>
      </c>
      <c r="K568" s="60">
        <v>0</v>
      </c>
      <c r="L568" s="60">
        <v>0</v>
      </c>
      <c r="M568" s="60">
        <v>0</v>
      </c>
      <c r="N568" s="60">
        <v>0</v>
      </c>
      <c r="O568" s="60">
        <v>0</v>
      </c>
      <c r="P568" s="60">
        <v>0</v>
      </c>
      <c r="Q568" s="60">
        <v>0</v>
      </c>
      <c r="R568" s="60">
        <v>0</v>
      </c>
      <c r="S568" s="60">
        <v>0</v>
      </c>
      <c r="T568" s="60">
        <v>0</v>
      </c>
      <c r="U568" s="60">
        <v>0</v>
      </c>
      <c r="V568" s="60">
        <v>0</v>
      </c>
      <c r="W568" s="60">
        <v>0</v>
      </c>
      <c r="X568" s="60">
        <v>0</v>
      </c>
      <c r="Y568" s="60">
        <v>0</v>
      </c>
      <c r="Z568" s="60">
        <v>0</v>
      </c>
      <c r="AA568" s="60">
        <v>0</v>
      </c>
      <c r="AB568" s="60">
        <v>0</v>
      </c>
      <c r="AC568" s="60">
        <v>0</v>
      </c>
      <c r="AD568" s="60">
        <v>0</v>
      </c>
      <c r="AE568" s="60">
        <v>0</v>
      </c>
      <c r="AF568" s="60">
        <v>0</v>
      </c>
      <c r="AG568" s="60">
        <v>0</v>
      </c>
      <c r="AH568" s="60">
        <v>0</v>
      </c>
      <c r="AI568" s="60">
        <v>241.29</v>
      </c>
      <c r="AJ568" s="60">
        <v>231.15</v>
      </c>
      <c r="AK568" s="60">
        <v>242.75</v>
      </c>
      <c r="AL568" s="60">
        <v>0</v>
      </c>
      <c r="AM568" s="60">
        <v>0</v>
      </c>
      <c r="AN568" s="60">
        <v>0</v>
      </c>
      <c r="AO568" s="60">
        <v>241.29</v>
      </c>
      <c r="AP568" s="60">
        <v>231.15</v>
      </c>
      <c r="AQ568" s="60">
        <v>242.75</v>
      </c>
      <c r="AR568" s="61">
        <v>242.75</v>
      </c>
    </row>
    <row r="569" spans="1:44" x14ac:dyDescent="0.35">
      <c r="A569" s="49" t="str">
        <f t="shared" si="46"/>
        <v>41</v>
      </c>
      <c r="B569" s="27">
        <v>69070</v>
      </c>
      <c r="C569" s="25" t="str">
        <f t="shared" si="47"/>
        <v>0000000</v>
      </c>
      <c r="D569" s="26" t="s">
        <v>3663</v>
      </c>
      <c r="E569" s="25" t="s">
        <v>2611</v>
      </c>
      <c r="F569" s="25" t="s">
        <v>2539</v>
      </c>
      <c r="G569" s="59" t="s">
        <v>2612</v>
      </c>
      <c r="H569" s="60">
        <v>7379.58</v>
      </c>
      <c r="I569" s="60">
        <v>7335.76</v>
      </c>
      <c r="J569" s="60">
        <v>7361.62</v>
      </c>
      <c r="K569" s="60">
        <v>0</v>
      </c>
      <c r="L569" s="60">
        <v>0</v>
      </c>
      <c r="M569" s="60">
        <v>0</v>
      </c>
      <c r="N569" s="60">
        <v>0</v>
      </c>
      <c r="O569" s="60">
        <v>0</v>
      </c>
      <c r="P569" s="60">
        <v>0</v>
      </c>
      <c r="Q569" s="60">
        <v>0</v>
      </c>
      <c r="R569" s="60">
        <v>0</v>
      </c>
      <c r="S569" s="60">
        <v>0</v>
      </c>
      <c r="T569" s="60">
        <v>0</v>
      </c>
      <c r="U569" s="60">
        <v>0</v>
      </c>
      <c r="V569" s="60">
        <v>0</v>
      </c>
      <c r="W569" s="60">
        <v>0</v>
      </c>
      <c r="X569" s="60">
        <v>0</v>
      </c>
      <c r="Y569" s="60">
        <v>0</v>
      </c>
      <c r="Z569" s="60">
        <v>0</v>
      </c>
      <c r="AA569" s="60">
        <v>0</v>
      </c>
      <c r="AB569" s="60">
        <v>0</v>
      </c>
      <c r="AC569" s="60">
        <v>0</v>
      </c>
      <c r="AD569" s="60">
        <v>0</v>
      </c>
      <c r="AE569" s="60">
        <v>0</v>
      </c>
      <c r="AF569" s="60">
        <v>0</v>
      </c>
      <c r="AG569" s="60">
        <v>0</v>
      </c>
      <c r="AH569" s="60">
        <v>0</v>
      </c>
      <c r="AI569" s="60">
        <v>7379.58</v>
      </c>
      <c r="AJ569" s="60">
        <v>7335.76</v>
      </c>
      <c r="AK569" s="60">
        <v>7361.62</v>
      </c>
      <c r="AL569" s="60">
        <v>0</v>
      </c>
      <c r="AM569" s="60">
        <v>0</v>
      </c>
      <c r="AN569" s="60">
        <v>0</v>
      </c>
      <c r="AO569" s="60">
        <v>7379.58</v>
      </c>
      <c r="AP569" s="60">
        <v>7335.76</v>
      </c>
      <c r="AQ569" s="60">
        <v>7361.62</v>
      </c>
      <c r="AR569" s="61">
        <v>7379.58</v>
      </c>
    </row>
    <row r="570" spans="1:44" x14ac:dyDescent="0.35">
      <c r="A570" s="49" t="str">
        <f t="shared" si="46"/>
        <v>41</v>
      </c>
      <c r="B570" s="27">
        <v>69062</v>
      </c>
      <c r="C570" s="25" t="str">
        <f>TEXT(119503,"0000000")</f>
        <v>0119503</v>
      </c>
      <c r="D570" s="27">
        <v>1070</v>
      </c>
      <c r="E570" s="25" t="s">
        <v>2607</v>
      </c>
      <c r="F570" s="25" t="s">
        <v>2539</v>
      </c>
      <c r="G570" s="59" t="s">
        <v>2608</v>
      </c>
      <c r="H570" s="60">
        <v>0</v>
      </c>
      <c r="I570" s="60">
        <v>0</v>
      </c>
      <c r="J570" s="60">
        <v>0</v>
      </c>
      <c r="K570" s="60">
        <v>0</v>
      </c>
      <c r="L570" s="60">
        <v>0</v>
      </c>
      <c r="M570" s="60">
        <v>0</v>
      </c>
      <c r="N570" s="60">
        <v>0</v>
      </c>
      <c r="O570" s="60">
        <v>0</v>
      </c>
      <c r="P570" s="60">
        <v>0</v>
      </c>
      <c r="Q570" s="60">
        <v>0</v>
      </c>
      <c r="R570" s="60">
        <v>0</v>
      </c>
      <c r="S570" s="60">
        <v>0</v>
      </c>
      <c r="T570" s="60">
        <v>0</v>
      </c>
      <c r="U570" s="60">
        <v>0</v>
      </c>
      <c r="V570" s="60">
        <v>0</v>
      </c>
      <c r="W570" s="60">
        <v>0</v>
      </c>
      <c r="X570" s="60">
        <v>0</v>
      </c>
      <c r="Y570" s="60">
        <v>0</v>
      </c>
      <c r="Z570" s="60">
        <v>0</v>
      </c>
      <c r="AA570" s="60">
        <v>0</v>
      </c>
      <c r="AB570" s="60">
        <v>0</v>
      </c>
      <c r="AC570" s="60">
        <v>244.65</v>
      </c>
      <c r="AD570" s="60">
        <v>255.62</v>
      </c>
      <c r="AE570" s="60">
        <v>279.47000000000003</v>
      </c>
      <c r="AF570" s="60">
        <v>0</v>
      </c>
      <c r="AG570" s="60">
        <v>0</v>
      </c>
      <c r="AH570" s="60">
        <v>0</v>
      </c>
      <c r="AI570" s="60">
        <v>244.65</v>
      </c>
      <c r="AJ570" s="60">
        <v>255.62</v>
      </c>
      <c r="AK570" s="60">
        <v>279.47000000000003</v>
      </c>
      <c r="AL570" s="60">
        <v>0</v>
      </c>
      <c r="AM570" s="60">
        <v>0</v>
      </c>
      <c r="AN570" s="60">
        <v>0</v>
      </c>
      <c r="AO570" s="60">
        <v>244.65</v>
      </c>
      <c r="AP570" s="60">
        <v>255.62</v>
      </c>
      <c r="AQ570" s="60">
        <v>279.47000000000003</v>
      </c>
      <c r="AR570" s="61">
        <v>279.47000000000003</v>
      </c>
    </row>
    <row r="571" spans="1:44" x14ac:dyDescent="0.35">
      <c r="A571" s="49" t="str">
        <f t="shared" si="46"/>
        <v>41</v>
      </c>
      <c r="B571" s="27">
        <v>69021</v>
      </c>
      <c r="C571" s="25" t="str">
        <f>TEXT(6112213,"0000000")</f>
        <v>6112213</v>
      </c>
      <c r="D571" s="26" t="s">
        <v>2595</v>
      </c>
      <c r="E571" s="25" t="s">
        <v>2593</v>
      </c>
      <c r="F571" s="25" t="s">
        <v>2539</v>
      </c>
      <c r="G571" s="59" t="s">
        <v>2594</v>
      </c>
      <c r="H571" s="60">
        <v>0</v>
      </c>
      <c r="I571" s="60">
        <v>0</v>
      </c>
      <c r="J571" s="60">
        <v>0</v>
      </c>
      <c r="K571" s="60">
        <v>0</v>
      </c>
      <c r="L571" s="60">
        <v>0</v>
      </c>
      <c r="M571" s="60">
        <v>0</v>
      </c>
      <c r="N571" s="60">
        <v>0</v>
      </c>
      <c r="O571" s="60">
        <v>0</v>
      </c>
      <c r="P571" s="60">
        <v>0</v>
      </c>
      <c r="Q571" s="60">
        <v>0</v>
      </c>
      <c r="R571" s="60">
        <v>0</v>
      </c>
      <c r="S571" s="60">
        <v>0</v>
      </c>
      <c r="T571" s="60">
        <v>0</v>
      </c>
      <c r="U571" s="60">
        <v>0</v>
      </c>
      <c r="V571" s="60">
        <v>0</v>
      </c>
      <c r="W571" s="60">
        <v>0</v>
      </c>
      <c r="X571" s="60">
        <v>0</v>
      </c>
      <c r="Y571" s="60">
        <v>0</v>
      </c>
      <c r="Z571" s="60">
        <v>0</v>
      </c>
      <c r="AA571" s="60">
        <v>0</v>
      </c>
      <c r="AB571" s="60">
        <v>0</v>
      </c>
      <c r="AC571" s="60">
        <v>351.93</v>
      </c>
      <c r="AD571" s="60">
        <v>336.06</v>
      </c>
      <c r="AE571" s="60">
        <v>351.95</v>
      </c>
      <c r="AF571" s="60">
        <v>0</v>
      </c>
      <c r="AG571" s="60">
        <v>0</v>
      </c>
      <c r="AH571" s="60">
        <v>0</v>
      </c>
      <c r="AI571" s="60">
        <v>351.93</v>
      </c>
      <c r="AJ571" s="60">
        <v>336.06</v>
      </c>
      <c r="AK571" s="60">
        <v>351.95</v>
      </c>
      <c r="AL571" s="60">
        <v>0</v>
      </c>
      <c r="AM571" s="60">
        <v>0</v>
      </c>
      <c r="AN571" s="60">
        <v>0</v>
      </c>
      <c r="AO571" s="60">
        <v>351.93</v>
      </c>
      <c r="AP571" s="60">
        <v>336.06</v>
      </c>
      <c r="AQ571" s="60">
        <v>351.95</v>
      </c>
      <c r="AR571" s="61">
        <v>351.95</v>
      </c>
    </row>
    <row r="572" spans="1:44" x14ac:dyDescent="0.35">
      <c r="A572" s="49" t="str">
        <f t="shared" si="46"/>
        <v>41</v>
      </c>
      <c r="B572" s="27">
        <v>69005</v>
      </c>
      <c r="C572" s="25" t="str">
        <f>TEXT(127282,"0000000")</f>
        <v>0127282</v>
      </c>
      <c r="D572" s="27">
        <v>1498</v>
      </c>
      <c r="E572" s="25" t="s">
        <v>2583</v>
      </c>
      <c r="F572" s="25" t="s">
        <v>2539</v>
      </c>
      <c r="G572" s="59" t="s">
        <v>2584</v>
      </c>
      <c r="H572" s="60">
        <v>0</v>
      </c>
      <c r="I572" s="60">
        <v>0</v>
      </c>
      <c r="J572" s="60">
        <v>0</v>
      </c>
      <c r="K572" s="60">
        <v>0</v>
      </c>
      <c r="L572" s="60">
        <v>0</v>
      </c>
      <c r="M572" s="60">
        <v>0</v>
      </c>
      <c r="N572" s="60">
        <v>0</v>
      </c>
      <c r="O572" s="60">
        <v>0</v>
      </c>
      <c r="P572" s="60">
        <v>0</v>
      </c>
      <c r="Q572" s="60">
        <v>0</v>
      </c>
      <c r="R572" s="60">
        <v>0</v>
      </c>
      <c r="S572" s="60">
        <v>0</v>
      </c>
      <c r="T572" s="60">
        <v>0</v>
      </c>
      <c r="U572" s="60">
        <v>0</v>
      </c>
      <c r="V572" s="60">
        <v>0</v>
      </c>
      <c r="W572" s="60">
        <v>0</v>
      </c>
      <c r="X572" s="60">
        <v>0</v>
      </c>
      <c r="Y572" s="60">
        <v>0</v>
      </c>
      <c r="Z572" s="60">
        <v>0</v>
      </c>
      <c r="AA572" s="60">
        <v>0</v>
      </c>
      <c r="AB572" s="60">
        <v>0</v>
      </c>
      <c r="AC572" s="60">
        <v>130.07</v>
      </c>
      <c r="AD572" s="60">
        <v>133.96</v>
      </c>
      <c r="AE572" s="60">
        <v>136.78</v>
      </c>
      <c r="AF572" s="60">
        <v>0</v>
      </c>
      <c r="AG572" s="60">
        <v>0</v>
      </c>
      <c r="AH572" s="60">
        <v>0</v>
      </c>
      <c r="AI572" s="60">
        <v>130.07</v>
      </c>
      <c r="AJ572" s="60">
        <v>133.96</v>
      </c>
      <c r="AK572" s="60">
        <v>136.78</v>
      </c>
      <c r="AL572" s="60">
        <v>0</v>
      </c>
      <c r="AM572" s="60">
        <v>0</v>
      </c>
      <c r="AN572" s="60">
        <v>0</v>
      </c>
      <c r="AO572" s="60">
        <v>130.07</v>
      </c>
      <c r="AP572" s="60">
        <v>133.96</v>
      </c>
      <c r="AQ572" s="60">
        <v>136.78</v>
      </c>
      <c r="AR572" s="61">
        <v>136.78</v>
      </c>
    </row>
    <row r="573" spans="1:44" x14ac:dyDescent="0.35">
      <c r="A573" s="49" t="str">
        <f t="shared" si="46"/>
        <v>41</v>
      </c>
      <c r="B573" s="27">
        <v>69062</v>
      </c>
      <c r="C573" s="25" t="str">
        <f>TEXT(139915,"0000000")</f>
        <v>0139915</v>
      </c>
      <c r="D573" s="27">
        <v>2085</v>
      </c>
      <c r="E573" s="25" t="s">
        <v>2609</v>
      </c>
      <c r="F573" s="25" t="s">
        <v>2539</v>
      </c>
      <c r="G573" s="59" t="s">
        <v>2610</v>
      </c>
      <c r="H573" s="60">
        <v>0</v>
      </c>
      <c r="I573" s="60">
        <v>0</v>
      </c>
      <c r="J573" s="60">
        <v>0</v>
      </c>
      <c r="K573" s="60">
        <v>0</v>
      </c>
      <c r="L573" s="60">
        <v>0</v>
      </c>
      <c r="M573" s="60">
        <v>0</v>
      </c>
      <c r="N573" s="60">
        <v>0</v>
      </c>
      <c r="O573" s="60">
        <v>0</v>
      </c>
      <c r="P573" s="60">
        <v>0</v>
      </c>
      <c r="Q573" s="60">
        <v>0</v>
      </c>
      <c r="R573" s="60">
        <v>0</v>
      </c>
      <c r="S573" s="60">
        <v>0</v>
      </c>
      <c r="T573" s="60">
        <v>0</v>
      </c>
      <c r="U573" s="60">
        <v>0</v>
      </c>
      <c r="V573" s="60">
        <v>0</v>
      </c>
      <c r="W573" s="60">
        <v>0</v>
      </c>
      <c r="X573" s="60">
        <v>0</v>
      </c>
      <c r="Y573" s="60">
        <v>0</v>
      </c>
      <c r="Z573" s="60">
        <v>0</v>
      </c>
      <c r="AA573" s="60">
        <v>0</v>
      </c>
      <c r="AB573" s="60">
        <v>0</v>
      </c>
      <c r="AC573" s="60">
        <v>218.64</v>
      </c>
      <c r="AD573" s="60">
        <v>204.3</v>
      </c>
      <c r="AE573" s="60">
        <v>170.38</v>
      </c>
      <c r="AF573" s="60">
        <v>0</v>
      </c>
      <c r="AG573" s="60">
        <v>0</v>
      </c>
      <c r="AH573" s="60">
        <v>0</v>
      </c>
      <c r="AI573" s="60">
        <v>218.64</v>
      </c>
      <c r="AJ573" s="60">
        <v>204.3</v>
      </c>
      <c r="AK573" s="60">
        <v>170.38</v>
      </c>
      <c r="AL573" s="60">
        <v>0</v>
      </c>
      <c r="AM573" s="60">
        <v>0</v>
      </c>
      <c r="AN573" s="60">
        <v>0</v>
      </c>
      <c r="AO573" s="60">
        <v>218.64</v>
      </c>
      <c r="AP573" s="60">
        <v>204.3</v>
      </c>
      <c r="AQ573" s="60">
        <v>170.38</v>
      </c>
      <c r="AR573" s="61">
        <v>218.64</v>
      </c>
    </row>
    <row r="574" spans="1:44" x14ac:dyDescent="0.35">
      <c r="A574" s="49" t="str">
        <f t="shared" si="46"/>
        <v>41</v>
      </c>
      <c r="B574" s="27">
        <v>10413</v>
      </c>
      <c r="C574" s="25" t="str">
        <f>TEXT(135269,"0000000")</f>
        <v>0135269</v>
      </c>
      <c r="D574" s="27">
        <v>1845</v>
      </c>
      <c r="E574" s="25" t="s">
        <v>2540</v>
      </c>
      <c r="F574" s="25" t="s">
        <v>2539</v>
      </c>
      <c r="G574" s="59" t="s">
        <v>2541</v>
      </c>
      <c r="H574" s="60">
        <v>0</v>
      </c>
      <c r="I574" s="60">
        <v>0</v>
      </c>
      <c r="J574" s="60">
        <v>0</v>
      </c>
      <c r="K574" s="60">
        <v>0</v>
      </c>
      <c r="L574" s="60">
        <v>0</v>
      </c>
      <c r="M574" s="60">
        <v>0</v>
      </c>
      <c r="N574" s="60">
        <v>0</v>
      </c>
      <c r="O574" s="60">
        <v>0</v>
      </c>
      <c r="P574" s="60">
        <v>0</v>
      </c>
      <c r="Q574" s="60">
        <v>0</v>
      </c>
      <c r="R574" s="60">
        <v>0</v>
      </c>
      <c r="S574" s="60">
        <v>0</v>
      </c>
      <c r="T574" s="60">
        <v>0</v>
      </c>
      <c r="U574" s="60">
        <v>0</v>
      </c>
      <c r="V574" s="60">
        <v>0</v>
      </c>
      <c r="W574" s="60">
        <v>0</v>
      </c>
      <c r="X574" s="60">
        <v>0</v>
      </c>
      <c r="Y574" s="60">
        <v>0</v>
      </c>
      <c r="Z574" s="60">
        <v>0</v>
      </c>
      <c r="AA574" s="60">
        <v>0</v>
      </c>
      <c r="AB574" s="60">
        <v>0</v>
      </c>
      <c r="AC574" s="60">
        <v>104.79</v>
      </c>
      <c r="AD574" s="60">
        <v>88.41</v>
      </c>
      <c r="AE574" s="60">
        <v>100.99</v>
      </c>
      <c r="AF574" s="60">
        <v>0</v>
      </c>
      <c r="AG574" s="60">
        <v>0</v>
      </c>
      <c r="AH574" s="60">
        <v>0</v>
      </c>
      <c r="AI574" s="60">
        <v>104.79</v>
      </c>
      <c r="AJ574" s="60">
        <v>88.41</v>
      </c>
      <c r="AK574" s="60">
        <v>100.99</v>
      </c>
      <c r="AL574" s="60">
        <v>0</v>
      </c>
      <c r="AM574" s="60">
        <v>0</v>
      </c>
      <c r="AN574" s="60">
        <v>0</v>
      </c>
      <c r="AO574" s="60">
        <v>104.79</v>
      </c>
      <c r="AP574" s="60">
        <v>88.41</v>
      </c>
      <c r="AQ574" s="60">
        <v>100.99</v>
      </c>
      <c r="AR574" s="61">
        <v>104.79</v>
      </c>
    </row>
    <row r="575" spans="1:44" x14ac:dyDescent="0.35">
      <c r="A575" s="49" t="str">
        <f t="shared" si="46"/>
        <v>41</v>
      </c>
      <c r="B575" s="27">
        <v>69005</v>
      </c>
      <c r="C575" s="25" t="str">
        <f>TEXT(132068,"0000000")</f>
        <v>0132068</v>
      </c>
      <c r="D575" s="27">
        <v>1735</v>
      </c>
      <c r="E575" s="25" t="s">
        <v>2585</v>
      </c>
      <c r="F575" s="25" t="s">
        <v>2539</v>
      </c>
      <c r="G575" s="59" t="s">
        <v>2586</v>
      </c>
      <c r="H575" s="60">
        <v>0</v>
      </c>
      <c r="I575" s="60">
        <v>0</v>
      </c>
      <c r="J575" s="60">
        <v>0</v>
      </c>
      <c r="K575" s="60">
        <v>0</v>
      </c>
      <c r="L575" s="60">
        <v>0</v>
      </c>
      <c r="M575" s="60">
        <v>0</v>
      </c>
      <c r="N575" s="60">
        <v>0</v>
      </c>
      <c r="O575" s="60">
        <v>0</v>
      </c>
      <c r="P575" s="60">
        <v>0</v>
      </c>
      <c r="Q575" s="60">
        <v>0</v>
      </c>
      <c r="R575" s="60">
        <v>0</v>
      </c>
      <c r="S575" s="60">
        <v>0</v>
      </c>
      <c r="T575" s="60">
        <v>0</v>
      </c>
      <c r="U575" s="60">
        <v>0</v>
      </c>
      <c r="V575" s="60">
        <v>0</v>
      </c>
      <c r="W575" s="60">
        <v>0</v>
      </c>
      <c r="X575" s="60">
        <v>0</v>
      </c>
      <c r="Y575" s="60">
        <v>0</v>
      </c>
      <c r="Z575" s="60">
        <v>0</v>
      </c>
      <c r="AA575" s="60">
        <v>0</v>
      </c>
      <c r="AB575" s="60">
        <v>0</v>
      </c>
      <c r="AC575" s="60">
        <v>647.01</v>
      </c>
      <c r="AD575" s="60">
        <v>644.04999999999995</v>
      </c>
      <c r="AE575" s="60">
        <v>688.06</v>
      </c>
      <c r="AF575" s="60">
        <v>0</v>
      </c>
      <c r="AG575" s="60">
        <v>0</v>
      </c>
      <c r="AH575" s="60">
        <v>0</v>
      </c>
      <c r="AI575" s="60">
        <v>647.01</v>
      </c>
      <c r="AJ575" s="60">
        <v>644.04999999999995</v>
      </c>
      <c r="AK575" s="60">
        <v>688.06</v>
      </c>
      <c r="AL575" s="60">
        <v>0</v>
      </c>
      <c r="AM575" s="60">
        <v>0</v>
      </c>
      <c r="AN575" s="60">
        <v>0</v>
      </c>
      <c r="AO575" s="60">
        <v>647.01</v>
      </c>
      <c r="AP575" s="60">
        <v>644.04999999999995</v>
      </c>
      <c r="AQ575" s="60">
        <v>688.06</v>
      </c>
      <c r="AR575" s="61">
        <v>688.06</v>
      </c>
    </row>
    <row r="576" spans="1:44" x14ac:dyDescent="0.35">
      <c r="A576" s="49" t="str">
        <f t="shared" si="46"/>
        <v>41</v>
      </c>
      <c r="B576" s="27">
        <v>68999</v>
      </c>
      <c r="C576" s="25" t="str">
        <f>TEXT(135608,"0000000")</f>
        <v>0135608</v>
      </c>
      <c r="D576" s="27">
        <v>1868</v>
      </c>
      <c r="E576" s="25" t="s">
        <v>2579</v>
      </c>
      <c r="F576" s="25" t="s">
        <v>2539</v>
      </c>
      <c r="G576" s="59" t="s">
        <v>2580</v>
      </c>
      <c r="H576" s="60">
        <v>0</v>
      </c>
      <c r="I576" s="60">
        <v>0</v>
      </c>
      <c r="J576" s="60">
        <v>0</v>
      </c>
      <c r="K576" s="60">
        <v>0</v>
      </c>
      <c r="L576" s="60">
        <v>0</v>
      </c>
      <c r="M576" s="60">
        <v>0</v>
      </c>
      <c r="N576" s="60">
        <v>0</v>
      </c>
      <c r="O576" s="60">
        <v>0</v>
      </c>
      <c r="P576" s="60">
        <v>0</v>
      </c>
      <c r="Q576" s="60">
        <v>0</v>
      </c>
      <c r="R576" s="60">
        <v>0</v>
      </c>
      <c r="S576" s="60">
        <v>0</v>
      </c>
      <c r="T576" s="60">
        <v>0</v>
      </c>
      <c r="U576" s="60">
        <v>0</v>
      </c>
      <c r="V576" s="60">
        <v>0</v>
      </c>
      <c r="W576" s="60">
        <v>0</v>
      </c>
      <c r="X576" s="60">
        <v>0</v>
      </c>
      <c r="Y576" s="60">
        <v>0</v>
      </c>
      <c r="Z576" s="60">
        <v>0</v>
      </c>
      <c r="AA576" s="60">
        <v>0</v>
      </c>
      <c r="AB576" s="60">
        <v>0</v>
      </c>
      <c r="AC576" s="60">
        <v>536.05999999999995</v>
      </c>
      <c r="AD576" s="60">
        <v>557.29999999999995</v>
      </c>
      <c r="AE576" s="60">
        <v>0</v>
      </c>
      <c r="AF576" s="60">
        <v>0</v>
      </c>
      <c r="AG576" s="60">
        <v>0</v>
      </c>
      <c r="AH576" s="60">
        <v>0</v>
      </c>
      <c r="AI576" s="60">
        <v>536.05999999999995</v>
      </c>
      <c r="AJ576" s="60">
        <v>557.29999999999995</v>
      </c>
      <c r="AK576" s="60">
        <v>0</v>
      </c>
      <c r="AL576" s="60">
        <v>0</v>
      </c>
      <c r="AM576" s="60">
        <v>0</v>
      </c>
      <c r="AN576" s="60">
        <v>569.29</v>
      </c>
      <c r="AO576" s="60">
        <v>536.05999999999995</v>
      </c>
      <c r="AP576" s="60">
        <v>557.29999999999995</v>
      </c>
      <c r="AQ576" s="60">
        <v>569.29</v>
      </c>
      <c r="AR576" s="61">
        <v>569.29</v>
      </c>
    </row>
    <row r="577" spans="1:44" x14ac:dyDescent="0.35">
      <c r="A577" s="49" t="str">
        <f t="shared" si="46"/>
        <v>41</v>
      </c>
      <c r="B577" s="27">
        <v>69047</v>
      </c>
      <c r="C577" s="25" t="str">
        <f>TEXT(129759,"0000000")</f>
        <v>0129759</v>
      </c>
      <c r="D577" s="27">
        <v>1647</v>
      </c>
      <c r="E577" s="25" t="s">
        <v>2600</v>
      </c>
      <c r="F577" s="25" t="s">
        <v>2539</v>
      </c>
      <c r="G577" s="59" t="s">
        <v>2601</v>
      </c>
      <c r="H577" s="60">
        <v>0</v>
      </c>
      <c r="I577" s="60">
        <v>0</v>
      </c>
      <c r="J577" s="60">
        <v>0</v>
      </c>
      <c r="K577" s="60">
        <v>0</v>
      </c>
      <c r="L577" s="60">
        <v>0</v>
      </c>
      <c r="M577" s="60">
        <v>0</v>
      </c>
      <c r="N577" s="60">
        <v>0</v>
      </c>
      <c r="O577" s="60">
        <v>0</v>
      </c>
      <c r="P577" s="60">
        <v>0</v>
      </c>
      <c r="Q577" s="60">
        <v>0</v>
      </c>
      <c r="R577" s="60">
        <v>0</v>
      </c>
      <c r="S577" s="60">
        <v>0</v>
      </c>
      <c r="T577" s="60">
        <v>0</v>
      </c>
      <c r="U577" s="60">
        <v>0</v>
      </c>
      <c r="V577" s="60">
        <v>0</v>
      </c>
      <c r="W577" s="60">
        <v>0</v>
      </c>
      <c r="X577" s="60">
        <v>0</v>
      </c>
      <c r="Y577" s="60">
        <v>0</v>
      </c>
      <c r="Z577" s="60">
        <v>0</v>
      </c>
      <c r="AA577" s="60">
        <v>0</v>
      </c>
      <c r="AB577" s="60">
        <v>0</v>
      </c>
      <c r="AC577" s="60">
        <v>499.99</v>
      </c>
      <c r="AD577" s="60">
        <v>509.05</v>
      </c>
      <c r="AE577" s="60">
        <v>0</v>
      </c>
      <c r="AF577" s="60">
        <v>0</v>
      </c>
      <c r="AG577" s="60">
        <v>0</v>
      </c>
      <c r="AH577" s="60">
        <v>0</v>
      </c>
      <c r="AI577" s="60">
        <v>499.99</v>
      </c>
      <c r="AJ577" s="60">
        <v>509.05</v>
      </c>
      <c r="AK577" s="60">
        <v>0</v>
      </c>
      <c r="AL577" s="60">
        <v>0</v>
      </c>
      <c r="AM577" s="60">
        <v>0</v>
      </c>
      <c r="AN577" s="60">
        <v>524.14</v>
      </c>
      <c r="AO577" s="60">
        <v>499.99</v>
      </c>
      <c r="AP577" s="60">
        <v>509.05</v>
      </c>
      <c r="AQ577" s="60">
        <v>524.14</v>
      </c>
      <c r="AR577" s="61">
        <v>524.14</v>
      </c>
    </row>
    <row r="578" spans="1:44" x14ac:dyDescent="0.35">
      <c r="A578" s="49" t="str">
        <f t="shared" si="46"/>
        <v>41</v>
      </c>
      <c r="B578" s="27">
        <v>69062</v>
      </c>
      <c r="C578" s="25" t="str">
        <f>TEXT(112722,"0000000")</f>
        <v>0112722</v>
      </c>
      <c r="D578" s="26" t="s">
        <v>2606</v>
      </c>
      <c r="E578" s="25" t="s">
        <v>2604</v>
      </c>
      <c r="F578" s="25" t="s">
        <v>2539</v>
      </c>
      <c r="G578" s="59" t="s">
        <v>2605</v>
      </c>
      <c r="H578" s="60">
        <v>0</v>
      </c>
      <c r="I578" s="60">
        <v>0</v>
      </c>
      <c r="J578" s="60">
        <v>0</v>
      </c>
      <c r="K578" s="60">
        <v>0</v>
      </c>
      <c r="L578" s="60">
        <v>0</v>
      </c>
      <c r="M578" s="60">
        <v>0</v>
      </c>
      <c r="N578" s="60">
        <v>0</v>
      </c>
      <c r="O578" s="60">
        <v>0</v>
      </c>
      <c r="P578" s="60">
        <v>0</v>
      </c>
      <c r="Q578" s="60">
        <v>0</v>
      </c>
      <c r="R578" s="60">
        <v>0</v>
      </c>
      <c r="S578" s="60">
        <v>0</v>
      </c>
      <c r="T578" s="60">
        <v>0</v>
      </c>
      <c r="U578" s="60">
        <v>0</v>
      </c>
      <c r="V578" s="60">
        <v>0</v>
      </c>
      <c r="W578" s="60">
        <v>0</v>
      </c>
      <c r="X578" s="60">
        <v>0</v>
      </c>
      <c r="Y578" s="60">
        <v>0</v>
      </c>
      <c r="Z578" s="60">
        <v>0</v>
      </c>
      <c r="AA578" s="60">
        <v>0</v>
      </c>
      <c r="AB578" s="60">
        <v>0</v>
      </c>
      <c r="AC578" s="60">
        <v>340.56</v>
      </c>
      <c r="AD578" s="60">
        <v>347.11</v>
      </c>
      <c r="AE578" s="60">
        <v>0</v>
      </c>
      <c r="AF578" s="60">
        <v>0</v>
      </c>
      <c r="AG578" s="60">
        <v>0</v>
      </c>
      <c r="AH578" s="60">
        <v>0</v>
      </c>
      <c r="AI578" s="60">
        <v>340.56</v>
      </c>
      <c r="AJ578" s="60">
        <v>347.11</v>
      </c>
      <c r="AK578" s="60">
        <v>0</v>
      </c>
      <c r="AL578" s="60">
        <v>0</v>
      </c>
      <c r="AM578" s="60">
        <v>0</v>
      </c>
      <c r="AN578" s="60">
        <v>380.66</v>
      </c>
      <c r="AO578" s="60">
        <v>340.56</v>
      </c>
      <c r="AP578" s="60">
        <v>347.11</v>
      </c>
      <c r="AQ578" s="60">
        <v>380.66</v>
      </c>
      <c r="AR578" s="61">
        <v>380.66</v>
      </c>
    </row>
    <row r="579" spans="1:44" x14ac:dyDescent="0.35">
      <c r="A579" s="49" t="str">
        <f>TEXT(26,"00")</f>
        <v>26</v>
      </c>
      <c r="B579" s="27">
        <v>10264</v>
      </c>
      <c r="C579" s="25" t="str">
        <f t="shared" ref="C579:C610" si="48">TEXT(,"0000000")</f>
        <v>0000000</v>
      </c>
      <c r="D579" s="26" t="s">
        <v>3663</v>
      </c>
      <c r="E579" s="25" t="s">
        <v>1373</v>
      </c>
      <c r="F579" s="25" t="s">
        <v>1374</v>
      </c>
      <c r="G579" s="59" t="s">
        <v>1374</v>
      </c>
      <c r="H579" s="60">
        <v>0</v>
      </c>
      <c r="I579" s="60">
        <v>0</v>
      </c>
      <c r="J579" s="60">
        <v>0</v>
      </c>
      <c r="K579" s="60">
        <v>0</v>
      </c>
      <c r="L579" s="60">
        <v>0</v>
      </c>
      <c r="M579" s="60">
        <v>0</v>
      </c>
      <c r="N579" s="60">
        <v>0</v>
      </c>
      <c r="O579" s="60">
        <v>0</v>
      </c>
      <c r="P579" s="60">
        <v>0</v>
      </c>
      <c r="Q579" s="60">
        <v>0</v>
      </c>
      <c r="R579" s="60">
        <v>0</v>
      </c>
      <c r="S579" s="60">
        <v>0</v>
      </c>
      <c r="T579" s="60">
        <v>3.22</v>
      </c>
      <c r="U579" s="60">
        <v>0.59</v>
      </c>
      <c r="V579" s="60">
        <v>1.21</v>
      </c>
      <c r="W579" s="60">
        <v>6.72</v>
      </c>
      <c r="X579" s="60">
        <v>13.63</v>
      </c>
      <c r="Y579" s="60">
        <v>10.029999999999999</v>
      </c>
      <c r="Z579" s="60">
        <v>189.57</v>
      </c>
      <c r="AA579" s="60">
        <v>156.94</v>
      </c>
      <c r="AB579" s="60">
        <v>137.61000000000001</v>
      </c>
      <c r="AC579" s="60">
        <v>0</v>
      </c>
      <c r="AD579" s="60">
        <v>0</v>
      </c>
      <c r="AE579" s="60">
        <v>0</v>
      </c>
      <c r="AF579" s="60">
        <v>0</v>
      </c>
      <c r="AG579" s="60">
        <v>0</v>
      </c>
      <c r="AH579" s="60">
        <v>0</v>
      </c>
      <c r="AI579" s="60">
        <v>199.51</v>
      </c>
      <c r="AJ579" s="60">
        <v>171.16</v>
      </c>
      <c r="AK579" s="60">
        <v>148.85</v>
      </c>
      <c r="AL579" s="60">
        <v>0</v>
      </c>
      <c r="AM579" s="60">
        <v>0</v>
      </c>
      <c r="AN579" s="60">
        <v>0</v>
      </c>
      <c r="AO579" s="60">
        <v>199.51</v>
      </c>
      <c r="AP579" s="60">
        <v>171.16</v>
      </c>
      <c r="AQ579" s="60">
        <v>148.85</v>
      </c>
      <c r="AR579" s="61">
        <v>199.51</v>
      </c>
    </row>
    <row r="580" spans="1:44" x14ac:dyDescent="0.35">
      <c r="A580" s="49" t="str">
        <f>TEXT(26,"00")</f>
        <v>26</v>
      </c>
      <c r="B580" s="27">
        <v>73668</v>
      </c>
      <c r="C580" s="25" t="str">
        <f t="shared" si="48"/>
        <v>0000000</v>
      </c>
      <c r="D580" s="26" t="s">
        <v>3663</v>
      </c>
      <c r="E580" s="25" t="s">
        <v>1375</v>
      </c>
      <c r="F580" s="25" t="s">
        <v>1374</v>
      </c>
      <c r="G580" s="59" t="s">
        <v>1376</v>
      </c>
      <c r="H580" s="60">
        <v>353.21</v>
      </c>
      <c r="I580" s="60">
        <v>362.87</v>
      </c>
      <c r="J580" s="60">
        <v>358.27</v>
      </c>
      <c r="K580" s="60">
        <v>0</v>
      </c>
      <c r="L580" s="60">
        <v>0</v>
      </c>
      <c r="M580" s="60">
        <v>0</v>
      </c>
      <c r="N580" s="60">
        <v>0</v>
      </c>
      <c r="O580" s="60">
        <v>0</v>
      </c>
      <c r="P580" s="60">
        <v>0</v>
      </c>
      <c r="Q580" s="60">
        <v>0</v>
      </c>
      <c r="R580" s="60">
        <v>0</v>
      </c>
      <c r="S580" s="60">
        <v>0</v>
      </c>
      <c r="T580" s="60">
        <v>0</v>
      </c>
      <c r="U580" s="60">
        <v>0</v>
      </c>
      <c r="V580" s="60">
        <v>0</v>
      </c>
      <c r="W580" s="60">
        <v>0</v>
      </c>
      <c r="X580" s="60">
        <v>0</v>
      </c>
      <c r="Y580" s="60">
        <v>0</v>
      </c>
      <c r="Z580" s="60">
        <v>0</v>
      </c>
      <c r="AA580" s="60">
        <v>0</v>
      </c>
      <c r="AB580" s="60">
        <v>0</v>
      </c>
      <c r="AC580" s="60">
        <v>0</v>
      </c>
      <c r="AD580" s="60">
        <v>0</v>
      </c>
      <c r="AE580" s="60">
        <v>0</v>
      </c>
      <c r="AF580" s="60">
        <v>0</v>
      </c>
      <c r="AG580" s="60">
        <v>0</v>
      </c>
      <c r="AH580" s="60">
        <v>0</v>
      </c>
      <c r="AI580" s="60">
        <v>353.21</v>
      </c>
      <c r="AJ580" s="60">
        <v>362.87</v>
      </c>
      <c r="AK580" s="60">
        <v>358.27</v>
      </c>
      <c r="AL580" s="60">
        <v>0</v>
      </c>
      <c r="AM580" s="60">
        <v>0</v>
      </c>
      <c r="AN580" s="60">
        <v>0</v>
      </c>
      <c r="AO580" s="60">
        <v>353.21</v>
      </c>
      <c r="AP580" s="60">
        <v>362.87</v>
      </c>
      <c r="AQ580" s="60">
        <v>358.27</v>
      </c>
      <c r="AR580" s="61">
        <v>362.87</v>
      </c>
    </row>
    <row r="581" spans="1:44" x14ac:dyDescent="0.35">
      <c r="A581" s="49" t="str">
        <f>TEXT(26,"00")</f>
        <v>26</v>
      </c>
      <c r="B581" s="27">
        <v>73692</v>
      </c>
      <c r="C581" s="25" t="str">
        <f t="shared" si="48"/>
        <v>0000000</v>
      </c>
      <c r="D581" s="26" t="s">
        <v>3663</v>
      </c>
      <c r="E581" s="25" t="s">
        <v>1377</v>
      </c>
      <c r="F581" s="25" t="s">
        <v>1374</v>
      </c>
      <c r="G581" s="59" t="s">
        <v>1378</v>
      </c>
      <c r="H581" s="60">
        <v>1049.9000000000001</v>
      </c>
      <c r="I581" s="60">
        <v>1034.92</v>
      </c>
      <c r="J581" s="60">
        <v>943.86</v>
      </c>
      <c r="K581" s="60">
        <v>0</v>
      </c>
      <c r="L581" s="60">
        <v>0</v>
      </c>
      <c r="M581" s="60">
        <v>0</v>
      </c>
      <c r="N581" s="60">
        <v>0</v>
      </c>
      <c r="O581" s="60">
        <v>0</v>
      </c>
      <c r="P581" s="60">
        <v>0</v>
      </c>
      <c r="Q581" s="60">
        <v>0</v>
      </c>
      <c r="R581" s="60">
        <v>0</v>
      </c>
      <c r="S581" s="60">
        <v>0</v>
      </c>
      <c r="T581" s="60">
        <v>0</v>
      </c>
      <c r="U581" s="60">
        <v>0</v>
      </c>
      <c r="V581" s="60">
        <v>0</v>
      </c>
      <c r="W581" s="60">
        <v>0</v>
      </c>
      <c r="X581" s="60">
        <v>0</v>
      </c>
      <c r="Y581" s="60">
        <v>0</v>
      </c>
      <c r="Z581" s="60">
        <v>0</v>
      </c>
      <c r="AA581" s="60">
        <v>0</v>
      </c>
      <c r="AB581" s="60">
        <v>0</v>
      </c>
      <c r="AC581" s="60">
        <v>0</v>
      </c>
      <c r="AD581" s="60">
        <v>0</v>
      </c>
      <c r="AE581" s="60">
        <v>0</v>
      </c>
      <c r="AF581" s="60">
        <v>0</v>
      </c>
      <c r="AG581" s="60">
        <v>0</v>
      </c>
      <c r="AH581" s="60">
        <v>0</v>
      </c>
      <c r="AI581" s="60">
        <v>1049.9000000000001</v>
      </c>
      <c r="AJ581" s="60">
        <v>1034.92</v>
      </c>
      <c r="AK581" s="60">
        <v>943.86</v>
      </c>
      <c r="AL581" s="60">
        <v>0</v>
      </c>
      <c r="AM581" s="60">
        <v>0</v>
      </c>
      <c r="AN581" s="60">
        <v>0</v>
      </c>
      <c r="AO581" s="60">
        <v>1049.9000000000001</v>
      </c>
      <c r="AP581" s="60">
        <v>1034.92</v>
      </c>
      <c r="AQ581" s="60">
        <v>943.86</v>
      </c>
      <c r="AR581" s="61">
        <v>1049.9000000000001</v>
      </c>
    </row>
    <row r="582" spans="1:44" x14ac:dyDescent="0.35">
      <c r="A582" s="49" t="str">
        <f t="shared" ref="A582:A588" si="49">TEXT(17,"00")</f>
        <v>17</v>
      </c>
      <c r="B582" s="27">
        <v>10173</v>
      </c>
      <c r="C582" s="25" t="str">
        <f t="shared" si="48"/>
        <v>0000000</v>
      </c>
      <c r="D582" s="26" t="s">
        <v>3663</v>
      </c>
      <c r="E582" s="25" t="s">
        <v>785</v>
      </c>
      <c r="F582" s="25" t="s">
        <v>786</v>
      </c>
      <c r="G582" s="59" t="s">
        <v>786</v>
      </c>
      <c r="H582" s="60">
        <v>0</v>
      </c>
      <c r="I582" s="60">
        <v>0</v>
      </c>
      <c r="J582" s="60">
        <v>0</v>
      </c>
      <c r="K582" s="60">
        <v>0</v>
      </c>
      <c r="L582" s="60">
        <v>0</v>
      </c>
      <c r="M582" s="60">
        <v>0</v>
      </c>
      <c r="N582" s="60">
        <v>0</v>
      </c>
      <c r="O582" s="60">
        <v>0</v>
      </c>
      <c r="P582" s="60">
        <v>0</v>
      </c>
      <c r="Q582" s="60">
        <v>0</v>
      </c>
      <c r="R582" s="60">
        <v>0</v>
      </c>
      <c r="S582" s="60">
        <v>0</v>
      </c>
      <c r="T582" s="60">
        <v>11.27</v>
      </c>
      <c r="U582" s="60">
        <v>8.4700000000000006</v>
      </c>
      <c r="V582" s="60">
        <v>6.92</v>
      </c>
      <c r="W582" s="60">
        <v>19.190000000000001</v>
      </c>
      <c r="X582" s="60">
        <v>19.29</v>
      </c>
      <c r="Y582" s="60">
        <v>20.329999999999998</v>
      </c>
      <c r="Z582" s="60">
        <v>0</v>
      </c>
      <c r="AA582" s="60">
        <v>0</v>
      </c>
      <c r="AB582" s="60">
        <v>0</v>
      </c>
      <c r="AC582" s="60">
        <v>0</v>
      </c>
      <c r="AD582" s="60">
        <v>0</v>
      </c>
      <c r="AE582" s="60">
        <v>0</v>
      </c>
      <c r="AF582" s="60">
        <v>0</v>
      </c>
      <c r="AG582" s="60">
        <v>0</v>
      </c>
      <c r="AH582" s="60">
        <v>0</v>
      </c>
      <c r="AI582" s="60">
        <v>30.46</v>
      </c>
      <c r="AJ582" s="60">
        <v>27.76</v>
      </c>
      <c r="AK582" s="60">
        <v>27.25</v>
      </c>
      <c r="AL582" s="60">
        <v>0</v>
      </c>
      <c r="AM582" s="60">
        <v>0</v>
      </c>
      <c r="AN582" s="60">
        <v>0</v>
      </c>
      <c r="AO582" s="60">
        <v>30.46</v>
      </c>
      <c r="AP582" s="60">
        <v>27.76</v>
      </c>
      <c r="AQ582" s="60">
        <v>27.25</v>
      </c>
      <c r="AR582" s="61">
        <v>30.46</v>
      </c>
    </row>
    <row r="583" spans="1:44" x14ac:dyDescent="0.35">
      <c r="A583" s="49" t="str">
        <f t="shared" si="49"/>
        <v>17</v>
      </c>
      <c r="B583" s="27">
        <v>64048</v>
      </c>
      <c r="C583" s="25" t="str">
        <f t="shared" si="48"/>
        <v>0000000</v>
      </c>
      <c r="D583" s="26" t="s">
        <v>3663</v>
      </c>
      <c r="E583" s="25" t="s">
        <v>793</v>
      </c>
      <c r="F583" s="25" t="s">
        <v>786</v>
      </c>
      <c r="G583" s="59" t="s">
        <v>794</v>
      </c>
      <c r="H583" s="60">
        <v>270.37</v>
      </c>
      <c r="I583" s="60">
        <v>261.77</v>
      </c>
      <c r="J583" s="60">
        <v>248.49</v>
      </c>
      <c r="K583" s="60">
        <v>0</v>
      </c>
      <c r="L583" s="60">
        <v>0</v>
      </c>
      <c r="M583" s="60">
        <v>0</v>
      </c>
      <c r="N583" s="60">
        <v>0</v>
      </c>
      <c r="O583" s="60">
        <v>0</v>
      </c>
      <c r="P583" s="60">
        <v>0</v>
      </c>
      <c r="Q583" s="60">
        <v>0</v>
      </c>
      <c r="R583" s="60">
        <v>0</v>
      </c>
      <c r="S583" s="60">
        <v>0</v>
      </c>
      <c r="T583" s="60">
        <v>0</v>
      </c>
      <c r="U583" s="60">
        <v>0</v>
      </c>
      <c r="V583" s="60">
        <v>0</v>
      </c>
      <c r="W583" s="60">
        <v>0</v>
      </c>
      <c r="X583" s="60">
        <v>0</v>
      </c>
      <c r="Y583" s="60">
        <v>0</v>
      </c>
      <c r="Z583" s="60">
        <v>0</v>
      </c>
      <c r="AA583" s="60">
        <v>0</v>
      </c>
      <c r="AB583" s="60">
        <v>0</v>
      </c>
      <c r="AC583" s="60">
        <v>0</v>
      </c>
      <c r="AD583" s="60">
        <v>0</v>
      </c>
      <c r="AE583" s="60">
        <v>0</v>
      </c>
      <c r="AF583" s="60">
        <v>0</v>
      </c>
      <c r="AG583" s="60">
        <v>0</v>
      </c>
      <c r="AH583" s="60">
        <v>0</v>
      </c>
      <c r="AI583" s="60">
        <v>270.37</v>
      </c>
      <c r="AJ583" s="60">
        <v>261.77</v>
      </c>
      <c r="AK583" s="60">
        <v>248.49</v>
      </c>
      <c r="AL583" s="60">
        <v>0</v>
      </c>
      <c r="AM583" s="60">
        <v>0</v>
      </c>
      <c r="AN583" s="60">
        <v>0</v>
      </c>
      <c r="AO583" s="60">
        <v>270.37</v>
      </c>
      <c r="AP583" s="60">
        <v>261.77</v>
      </c>
      <c r="AQ583" s="60">
        <v>248.49</v>
      </c>
      <c r="AR583" s="61">
        <v>270.37</v>
      </c>
    </row>
    <row r="584" spans="1:44" x14ac:dyDescent="0.35">
      <c r="A584" s="49" t="str">
        <f t="shared" si="49"/>
        <v>17</v>
      </c>
      <c r="B584" s="27">
        <v>64014</v>
      </c>
      <c r="C584" s="25" t="str">
        <f t="shared" si="48"/>
        <v>0000000</v>
      </c>
      <c r="D584" s="26" t="s">
        <v>3663</v>
      </c>
      <c r="E584" s="25" t="s">
        <v>787</v>
      </c>
      <c r="F584" s="25" t="s">
        <v>786</v>
      </c>
      <c r="G584" s="59" t="s">
        <v>788</v>
      </c>
      <c r="H584" s="60">
        <v>1713.85</v>
      </c>
      <c r="I584" s="60">
        <v>1678.68</v>
      </c>
      <c r="J584" s="60">
        <v>1666.47</v>
      </c>
      <c r="K584" s="60">
        <v>0</v>
      </c>
      <c r="L584" s="60">
        <v>0</v>
      </c>
      <c r="M584" s="60">
        <v>0</v>
      </c>
      <c r="N584" s="60">
        <v>0</v>
      </c>
      <c r="O584" s="60">
        <v>0</v>
      </c>
      <c r="P584" s="60">
        <v>0</v>
      </c>
      <c r="Q584" s="60">
        <v>0</v>
      </c>
      <c r="R584" s="60">
        <v>0</v>
      </c>
      <c r="S584" s="60">
        <v>0</v>
      </c>
      <c r="T584" s="60">
        <v>0</v>
      </c>
      <c r="U584" s="60">
        <v>0</v>
      </c>
      <c r="V584" s="60">
        <v>0</v>
      </c>
      <c r="W584" s="60">
        <v>0</v>
      </c>
      <c r="X584" s="60">
        <v>0</v>
      </c>
      <c r="Y584" s="60">
        <v>0</v>
      </c>
      <c r="Z584" s="60">
        <v>0</v>
      </c>
      <c r="AA584" s="60">
        <v>0</v>
      </c>
      <c r="AB584" s="60">
        <v>0</v>
      </c>
      <c r="AC584" s="60">
        <v>0</v>
      </c>
      <c r="AD584" s="60">
        <v>0</v>
      </c>
      <c r="AE584" s="60">
        <v>0</v>
      </c>
      <c r="AF584" s="60">
        <v>0</v>
      </c>
      <c r="AG584" s="60">
        <v>0</v>
      </c>
      <c r="AH584" s="60">
        <v>0</v>
      </c>
      <c r="AI584" s="60">
        <v>1713.85</v>
      </c>
      <c r="AJ584" s="60">
        <v>1678.68</v>
      </c>
      <c r="AK584" s="60">
        <v>1666.47</v>
      </c>
      <c r="AL584" s="60">
        <v>0</v>
      </c>
      <c r="AM584" s="60">
        <v>0</v>
      </c>
      <c r="AN584" s="60">
        <v>0</v>
      </c>
      <c r="AO584" s="60">
        <v>1713.85</v>
      </c>
      <c r="AP584" s="60">
        <v>1678.68</v>
      </c>
      <c r="AQ584" s="60">
        <v>1666.47</v>
      </c>
      <c r="AR584" s="61">
        <v>1713.85</v>
      </c>
    </row>
    <row r="585" spans="1:44" x14ac:dyDescent="0.35">
      <c r="A585" s="49" t="str">
        <f t="shared" si="49"/>
        <v>17</v>
      </c>
      <c r="B585" s="27">
        <v>64022</v>
      </c>
      <c r="C585" s="25" t="str">
        <f t="shared" si="48"/>
        <v>0000000</v>
      </c>
      <c r="D585" s="26" t="s">
        <v>3663</v>
      </c>
      <c r="E585" s="25" t="s">
        <v>789</v>
      </c>
      <c r="F585" s="25" t="s">
        <v>786</v>
      </c>
      <c r="G585" s="59" t="s">
        <v>790</v>
      </c>
      <c r="H585" s="60">
        <v>3388.37</v>
      </c>
      <c r="I585" s="60">
        <v>3272.89</v>
      </c>
      <c r="J585" s="60">
        <v>3097.77</v>
      </c>
      <c r="K585" s="60">
        <v>0</v>
      </c>
      <c r="L585" s="60">
        <v>0</v>
      </c>
      <c r="M585" s="60">
        <v>0</v>
      </c>
      <c r="N585" s="60">
        <v>0</v>
      </c>
      <c r="O585" s="60">
        <v>0</v>
      </c>
      <c r="P585" s="60">
        <v>0</v>
      </c>
      <c r="Q585" s="60">
        <v>0</v>
      </c>
      <c r="R585" s="60">
        <v>0</v>
      </c>
      <c r="S585" s="60">
        <v>0</v>
      </c>
      <c r="T585" s="60">
        <v>0</v>
      </c>
      <c r="U585" s="60">
        <v>0</v>
      </c>
      <c r="V585" s="60">
        <v>0</v>
      </c>
      <c r="W585" s="60">
        <v>0</v>
      </c>
      <c r="X585" s="60">
        <v>0</v>
      </c>
      <c r="Y585" s="60">
        <v>0</v>
      </c>
      <c r="Z585" s="60">
        <v>0</v>
      </c>
      <c r="AA585" s="60">
        <v>0</v>
      </c>
      <c r="AB585" s="60">
        <v>0</v>
      </c>
      <c r="AC585" s="60">
        <v>0</v>
      </c>
      <c r="AD585" s="60">
        <v>0</v>
      </c>
      <c r="AE585" s="60">
        <v>0</v>
      </c>
      <c r="AF585" s="60">
        <v>0</v>
      </c>
      <c r="AG585" s="60">
        <v>0</v>
      </c>
      <c r="AH585" s="60">
        <v>0</v>
      </c>
      <c r="AI585" s="60">
        <v>3388.37</v>
      </c>
      <c r="AJ585" s="60">
        <v>3272.89</v>
      </c>
      <c r="AK585" s="60">
        <v>3097.77</v>
      </c>
      <c r="AL585" s="60">
        <v>0</v>
      </c>
      <c r="AM585" s="60">
        <v>0</v>
      </c>
      <c r="AN585" s="60">
        <v>0</v>
      </c>
      <c r="AO585" s="60">
        <v>3388.37</v>
      </c>
      <c r="AP585" s="60">
        <v>3272.89</v>
      </c>
      <c r="AQ585" s="60">
        <v>3097.77</v>
      </c>
      <c r="AR585" s="61">
        <v>3388.37</v>
      </c>
    </row>
    <row r="586" spans="1:44" x14ac:dyDescent="0.35">
      <c r="A586" s="49" t="str">
        <f t="shared" si="49"/>
        <v>17</v>
      </c>
      <c r="B586" s="27">
        <v>64030</v>
      </c>
      <c r="C586" s="25" t="str">
        <f t="shared" si="48"/>
        <v>0000000</v>
      </c>
      <c r="D586" s="26" t="s">
        <v>3663</v>
      </c>
      <c r="E586" s="25" t="s">
        <v>791</v>
      </c>
      <c r="F586" s="25" t="s">
        <v>786</v>
      </c>
      <c r="G586" s="59" t="s">
        <v>792</v>
      </c>
      <c r="H586" s="60">
        <v>1221.94</v>
      </c>
      <c r="I586" s="60">
        <v>1204.32</v>
      </c>
      <c r="J586" s="60">
        <v>1214.28</v>
      </c>
      <c r="K586" s="60">
        <v>0</v>
      </c>
      <c r="L586" s="60">
        <v>0</v>
      </c>
      <c r="M586" s="60">
        <v>0</v>
      </c>
      <c r="N586" s="60">
        <v>0</v>
      </c>
      <c r="O586" s="60">
        <v>0</v>
      </c>
      <c r="P586" s="60">
        <v>0</v>
      </c>
      <c r="Q586" s="60">
        <v>0</v>
      </c>
      <c r="R586" s="60">
        <v>0</v>
      </c>
      <c r="S586" s="60">
        <v>0</v>
      </c>
      <c r="T586" s="60">
        <v>0</v>
      </c>
      <c r="U586" s="60">
        <v>0</v>
      </c>
      <c r="V586" s="60">
        <v>0</v>
      </c>
      <c r="W586" s="60">
        <v>0</v>
      </c>
      <c r="X586" s="60">
        <v>0</v>
      </c>
      <c r="Y586" s="60">
        <v>0</v>
      </c>
      <c r="Z586" s="60">
        <v>0</v>
      </c>
      <c r="AA586" s="60">
        <v>0</v>
      </c>
      <c r="AB586" s="60">
        <v>0</v>
      </c>
      <c r="AC586" s="60">
        <v>0</v>
      </c>
      <c r="AD586" s="60">
        <v>0</v>
      </c>
      <c r="AE586" s="60">
        <v>0</v>
      </c>
      <c r="AF586" s="60">
        <v>0</v>
      </c>
      <c r="AG586" s="60">
        <v>0</v>
      </c>
      <c r="AH586" s="60">
        <v>0</v>
      </c>
      <c r="AI586" s="60">
        <v>1221.94</v>
      </c>
      <c r="AJ586" s="60">
        <v>1204.32</v>
      </c>
      <c r="AK586" s="60">
        <v>1214.28</v>
      </c>
      <c r="AL586" s="60">
        <v>0</v>
      </c>
      <c r="AM586" s="60">
        <v>0</v>
      </c>
      <c r="AN586" s="60">
        <v>0</v>
      </c>
      <c r="AO586" s="60">
        <v>1221.94</v>
      </c>
      <c r="AP586" s="60">
        <v>1204.32</v>
      </c>
      <c r="AQ586" s="60">
        <v>1214.28</v>
      </c>
      <c r="AR586" s="61">
        <v>1221.94</v>
      </c>
    </row>
    <row r="587" spans="1:44" x14ac:dyDescent="0.35">
      <c r="A587" s="49" t="str">
        <f t="shared" si="49"/>
        <v>17</v>
      </c>
      <c r="B587" s="27">
        <v>64055</v>
      </c>
      <c r="C587" s="25" t="str">
        <f t="shared" si="48"/>
        <v>0000000</v>
      </c>
      <c r="D587" s="26" t="s">
        <v>3663</v>
      </c>
      <c r="E587" s="25" t="s">
        <v>795</v>
      </c>
      <c r="F587" s="25" t="s">
        <v>786</v>
      </c>
      <c r="G587" s="59" t="s">
        <v>796</v>
      </c>
      <c r="H587" s="60">
        <v>1348.29</v>
      </c>
      <c r="I587" s="60">
        <v>1298.07</v>
      </c>
      <c r="J587" s="60">
        <v>1283.8699999999999</v>
      </c>
      <c r="K587" s="60">
        <v>0</v>
      </c>
      <c r="L587" s="60">
        <v>0</v>
      </c>
      <c r="M587" s="60">
        <v>0</v>
      </c>
      <c r="N587" s="60">
        <v>0</v>
      </c>
      <c r="O587" s="60">
        <v>0</v>
      </c>
      <c r="P587" s="60">
        <v>0</v>
      </c>
      <c r="Q587" s="60">
        <v>0</v>
      </c>
      <c r="R587" s="60">
        <v>0</v>
      </c>
      <c r="S587" s="60">
        <v>0</v>
      </c>
      <c r="T587" s="60">
        <v>0</v>
      </c>
      <c r="U587" s="60">
        <v>0</v>
      </c>
      <c r="V587" s="60">
        <v>0</v>
      </c>
      <c r="W587" s="60">
        <v>0</v>
      </c>
      <c r="X587" s="60">
        <v>0</v>
      </c>
      <c r="Y587" s="60">
        <v>0</v>
      </c>
      <c r="Z587" s="60">
        <v>0</v>
      </c>
      <c r="AA587" s="60">
        <v>0</v>
      </c>
      <c r="AB587" s="60">
        <v>0</v>
      </c>
      <c r="AC587" s="60">
        <v>81.72</v>
      </c>
      <c r="AD587" s="60">
        <v>70.09</v>
      </c>
      <c r="AE587" s="60">
        <v>74.599999999999994</v>
      </c>
      <c r="AF587" s="60">
        <v>0</v>
      </c>
      <c r="AG587" s="60">
        <v>0</v>
      </c>
      <c r="AH587" s="60">
        <v>0</v>
      </c>
      <c r="AI587" s="60">
        <v>1430.01</v>
      </c>
      <c r="AJ587" s="60">
        <v>1368.16</v>
      </c>
      <c r="AK587" s="60">
        <v>1358.47</v>
      </c>
      <c r="AL587" s="60">
        <v>0</v>
      </c>
      <c r="AM587" s="60">
        <v>0</v>
      </c>
      <c r="AN587" s="60">
        <v>0</v>
      </c>
      <c r="AO587" s="60">
        <v>1430.01</v>
      </c>
      <c r="AP587" s="60">
        <v>1368.16</v>
      </c>
      <c r="AQ587" s="60">
        <v>1358.47</v>
      </c>
      <c r="AR587" s="61">
        <v>1430.01</v>
      </c>
    </row>
    <row r="588" spans="1:44" x14ac:dyDescent="0.35">
      <c r="A588" s="49" t="str">
        <f t="shared" si="49"/>
        <v>17</v>
      </c>
      <c r="B588" s="27">
        <v>76976</v>
      </c>
      <c r="C588" s="25" t="str">
        <f t="shared" si="48"/>
        <v>0000000</v>
      </c>
      <c r="D588" s="26" t="s">
        <v>3663</v>
      </c>
      <c r="E588" s="25" t="s">
        <v>799</v>
      </c>
      <c r="F588" s="25" t="s">
        <v>786</v>
      </c>
      <c r="G588" s="59" t="s">
        <v>800</v>
      </c>
      <c r="H588" s="60">
        <v>870.22</v>
      </c>
      <c r="I588" s="60">
        <v>839.8</v>
      </c>
      <c r="J588" s="60">
        <v>761.23</v>
      </c>
      <c r="K588" s="60">
        <v>0</v>
      </c>
      <c r="L588" s="60">
        <v>0</v>
      </c>
      <c r="M588" s="60">
        <v>0</v>
      </c>
      <c r="N588" s="60">
        <v>0</v>
      </c>
      <c r="O588" s="60">
        <v>0</v>
      </c>
      <c r="P588" s="60">
        <v>0</v>
      </c>
      <c r="Q588" s="60">
        <v>0</v>
      </c>
      <c r="R588" s="60">
        <v>0</v>
      </c>
      <c r="S588" s="60">
        <v>0</v>
      </c>
      <c r="T588" s="60">
        <v>0</v>
      </c>
      <c r="U588" s="60">
        <v>0</v>
      </c>
      <c r="V588" s="60">
        <v>0</v>
      </c>
      <c r="W588" s="60">
        <v>0</v>
      </c>
      <c r="X588" s="60">
        <v>0</v>
      </c>
      <c r="Y588" s="60">
        <v>0</v>
      </c>
      <c r="Z588" s="60">
        <v>0</v>
      </c>
      <c r="AA588" s="60">
        <v>0</v>
      </c>
      <c r="AB588" s="60">
        <v>0</v>
      </c>
      <c r="AC588" s="60">
        <v>0</v>
      </c>
      <c r="AD588" s="60">
        <v>0</v>
      </c>
      <c r="AE588" s="60">
        <v>0</v>
      </c>
      <c r="AF588" s="60">
        <v>0</v>
      </c>
      <c r="AG588" s="60">
        <v>0</v>
      </c>
      <c r="AH588" s="60">
        <v>0</v>
      </c>
      <c r="AI588" s="60">
        <v>870.22</v>
      </c>
      <c r="AJ588" s="60">
        <v>839.8</v>
      </c>
      <c r="AK588" s="60">
        <v>761.23</v>
      </c>
      <c r="AL588" s="60">
        <v>0</v>
      </c>
      <c r="AM588" s="60">
        <v>0</v>
      </c>
      <c r="AN588" s="60">
        <v>0</v>
      </c>
      <c r="AO588" s="60">
        <v>870.22</v>
      </c>
      <c r="AP588" s="60">
        <v>839.8</v>
      </c>
      <c r="AQ588" s="60">
        <v>761.23</v>
      </c>
      <c r="AR588" s="61">
        <v>870.22</v>
      </c>
    </row>
    <row r="589" spans="1:44" x14ac:dyDescent="0.35">
      <c r="A589" s="49" t="str">
        <f>TEXT(48,"00")</f>
        <v>48</v>
      </c>
      <c r="B589" s="27">
        <v>70581</v>
      </c>
      <c r="C589" s="25" t="str">
        <f t="shared" si="48"/>
        <v>0000000</v>
      </c>
      <c r="D589" s="26" t="s">
        <v>3663</v>
      </c>
      <c r="E589" s="25" t="s">
        <v>3037</v>
      </c>
      <c r="F589" s="25" t="s">
        <v>3038</v>
      </c>
      <c r="G589" s="59" t="s">
        <v>3038</v>
      </c>
      <c r="H589" s="60">
        <v>8377.69</v>
      </c>
      <c r="I589" s="60">
        <v>8512.57</v>
      </c>
      <c r="J589" s="60">
        <v>8512.68</v>
      </c>
      <c r="K589" s="60">
        <v>0</v>
      </c>
      <c r="L589" s="60">
        <v>0</v>
      </c>
      <c r="M589" s="60">
        <v>0</v>
      </c>
      <c r="N589" s="60">
        <v>0</v>
      </c>
      <c r="O589" s="60">
        <v>0</v>
      </c>
      <c r="P589" s="60">
        <v>0</v>
      </c>
      <c r="Q589" s="60">
        <v>0</v>
      </c>
      <c r="R589" s="60">
        <v>0</v>
      </c>
      <c r="S589" s="60">
        <v>0</v>
      </c>
      <c r="T589" s="60">
        <v>0</v>
      </c>
      <c r="U589" s="60">
        <v>0</v>
      </c>
      <c r="V589" s="60">
        <v>0</v>
      </c>
      <c r="W589" s="60">
        <v>0</v>
      </c>
      <c r="X589" s="60">
        <v>0</v>
      </c>
      <c r="Y589" s="60">
        <v>0</v>
      </c>
      <c r="Z589" s="60">
        <v>0</v>
      </c>
      <c r="AA589" s="60">
        <v>0</v>
      </c>
      <c r="AB589" s="60">
        <v>0</v>
      </c>
      <c r="AC589" s="60">
        <v>370.26</v>
      </c>
      <c r="AD589" s="60">
        <v>371.69</v>
      </c>
      <c r="AE589" s="60">
        <v>334.14</v>
      </c>
      <c r="AF589" s="60">
        <v>0</v>
      </c>
      <c r="AG589" s="60">
        <v>0</v>
      </c>
      <c r="AH589" s="60">
        <v>0</v>
      </c>
      <c r="AI589" s="60">
        <v>8747.9500000000007</v>
      </c>
      <c r="AJ589" s="60">
        <v>8884.26</v>
      </c>
      <c r="AK589" s="60">
        <v>8846.82</v>
      </c>
      <c r="AL589" s="60">
        <v>0</v>
      </c>
      <c r="AM589" s="60">
        <v>0</v>
      </c>
      <c r="AN589" s="60">
        <v>0</v>
      </c>
      <c r="AO589" s="60">
        <v>8747.9500000000007</v>
      </c>
      <c r="AP589" s="60">
        <v>8884.26</v>
      </c>
      <c r="AQ589" s="60">
        <v>8846.82</v>
      </c>
      <c r="AR589" s="61">
        <v>8884.26</v>
      </c>
    </row>
    <row r="590" spans="1:44" x14ac:dyDescent="0.35">
      <c r="A590" s="49" t="str">
        <f t="shared" ref="A590:A603" si="50">TEXT(4,"00")</f>
        <v>04</v>
      </c>
      <c r="B590" s="27">
        <v>10041</v>
      </c>
      <c r="C590" s="25" t="str">
        <f t="shared" si="48"/>
        <v>0000000</v>
      </c>
      <c r="D590" s="26" t="s">
        <v>3663</v>
      </c>
      <c r="E590" s="25" t="s">
        <v>175</v>
      </c>
      <c r="F590" s="25" t="s">
        <v>176</v>
      </c>
      <c r="G590" s="59" t="s">
        <v>176</v>
      </c>
      <c r="H590" s="60">
        <v>0</v>
      </c>
      <c r="I590" s="60">
        <v>0</v>
      </c>
      <c r="J590" s="60">
        <v>0</v>
      </c>
      <c r="K590" s="60">
        <v>0</v>
      </c>
      <c r="L590" s="60">
        <v>0</v>
      </c>
      <c r="M590" s="60">
        <v>0</v>
      </c>
      <c r="N590" s="60">
        <v>0</v>
      </c>
      <c r="O590" s="60">
        <v>0</v>
      </c>
      <c r="P590" s="60">
        <v>0</v>
      </c>
      <c r="Q590" s="60">
        <v>0</v>
      </c>
      <c r="R590" s="60">
        <v>0</v>
      </c>
      <c r="S590" s="60">
        <v>0</v>
      </c>
      <c r="T590" s="60">
        <v>38.409999999999997</v>
      </c>
      <c r="U590" s="60">
        <v>31.04</v>
      </c>
      <c r="V590" s="60">
        <v>18.010000000000002</v>
      </c>
      <c r="W590" s="60">
        <v>246.08</v>
      </c>
      <c r="X590" s="60">
        <v>236.56</v>
      </c>
      <c r="Y590" s="60">
        <v>236.61</v>
      </c>
      <c r="Z590" s="60">
        <v>70.989999999999995</v>
      </c>
      <c r="AA590" s="60">
        <v>49.37</v>
      </c>
      <c r="AB590" s="60">
        <v>36.4</v>
      </c>
      <c r="AC590" s="60">
        <v>0</v>
      </c>
      <c r="AD590" s="60">
        <v>0</v>
      </c>
      <c r="AE590" s="60">
        <v>0</v>
      </c>
      <c r="AF590" s="60">
        <v>0</v>
      </c>
      <c r="AG590" s="60">
        <v>0</v>
      </c>
      <c r="AH590" s="60">
        <v>0</v>
      </c>
      <c r="AI590" s="60">
        <v>355.48</v>
      </c>
      <c r="AJ590" s="60">
        <v>316.97000000000003</v>
      </c>
      <c r="AK590" s="60">
        <v>291.02</v>
      </c>
      <c r="AL590" s="60">
        <v>0</v>
      </c>
      <c r="AM590" s="60">
        <v>0</v>
      </c>
      <c r="AN590" s="60">
        <v>0</v>
      </c>
      <c r="AO590" s="60">
        <v>355.48</v>
      </c>
      <c r="AP590" s="60">
        <v>316.97000000000003</v>
      </c>
      <c r="AQ590" s="60">
        <v>291.02</v>
      </c>
      <c r="AR590" s="61">
        <v>355.48</v>
      </c>
    </row>
    <row r="591" spans="1:44" x14ac:dyDescent="0.35">
      <c r="A591" s="49" t="str">
        <f t="shared" si="50"/>
        <v>04</v>
      </c>
      <c r="B591" s="27">
        <v>61382</v>
      </c>
      <c r="C591" s="25" t="str">
        <f t="shared" si="48"/>
        <v>0000000</v>
      </c>
      <c r="D591" s="26" t="s">
        <v>3663</v>
      </c>
      <c r="E591" s="25" t="s">
        <v>182</v>
      </c>
      <c r="F591" s="25" t="s">
        <v>176</v>
      </c>
      <c r="G591" s="59" t="s">
        <v>183</v>
      </c>
      <c r="H591" s="60">
        <v>75.5</v>
      </c>
      <c r="I591" s="60">
        <v>64.62</v>
      </c>
      <c r="J591" s="60">
        <v>83.3</v>
      </c>
      <c r="K591" s="60">
        <v>0</v>
      </c>
      <c r="L591" s="60">
        <v>0</v>
      </c>
      <c r="M591" s="60">
        <v>0</v>
      </c>
      <c r="N591" s="60">
        <v>0</v>
      </c>
      <c r="O591" s="60">
        <v>0</v>
      </c>
      <c r="P591" s="60">
        <v>0</v>
      </c>
      <c r="Q591" s="60">
        <v>0</v>
      </c>
      <c r="R591" s="60">
        <v>0</v>
      </c>
      <c r="S591" s="60">
        <v>0</v>
      </c>
      <c r="T591" s="60">
        <v>0</v>
      </c>
      <c r="U591" s="60">
        <v>0</v>
      </c>
      <c r="V591" s="60">
        <v>0</v>
      </c>
      <c r="W591" s="60">
        <v>0</v>
      </c>
      <c r="X591" s="60">
        <v>0</v>
      </c>
      <c r="Y591" s="60">
        <v>0</v>
      </c>
      <c r="Z591" s="60">
        <v>0</v>
      </c>
      <c r="AA591" s="60">
        <v>0</v>
      </c>
      <c r="AB591" s="60">
        <v>0</v>
      </c>
      <c r="AC591" s="60">
        <v>0</v>
      </c>
      <c r="AD591" s="60">
        <v>0</v>
      </c>
      <c r="AE591" s="60">
        <v>0</v>
      </c>
      <c r="AF591" s="60">
        <v>0</v>
      </c>
      <c r="AG591" s="60">
        <v>0</v>
      </c>
      <c r="AH591" s="60">
        <v>0</v>
      </c>
      <c r="AI591" s="60">
        <v>75.5</v>
      </c>
      <c r="AJ591" s="60">
        <v>64.62</v>
      </c>
      <c r="AK591" s="60">
        <v>83.3</v>
      </c>
      <c r="AL591" s="60">
        <v>0</v>
      </c>
      <c r="AM591" s="60">
        <v>0</v>
      </c>
      <c r="AN591" s="60">
        <v>0</v>
      </c>
      <c r="AO591" s="60">
        <v>75.5</v>
      </c>
      <c r="AP591" s="60">
        <v>64.62</v>
      </c>
      <c r="AQ591" s="60">
        <v>83.3</v>
      </c>
      <c r="AR591" s="61">
        <v>83.3</v>
      </c>
    </row>
    <row r="592" spans="1:44" x14ac:dyDescent="0.35">
      <c r="A592" s="49" t="str">
        <f t="shared" si="50"/>
        <v>04</v>
      </c>
      <c r="B592" s="27">
        <v>61457</v>
      </c>
      <c r="C592" s="25" t="str">
        <f t="shared" si="48"/>
        <v>0000000</v>
      </c>
      <c r="D592" s="26" t="s">
        <v>3663</v>
      </c>
      <c r="E592" s="25" t="s">
        <v>209</v>
      </c>
      <c r="F592" s="25" t="s">
        <v>176</v>
      </c>
      <c r="G592" s="59" t="s">
        <v>210</v>
      </c>
      <c r="H592" s="60">
        <v>68.14</v>
      </c>
      <c r="I592" s="60">
        <v>58.42</v>
      </c>
      <c r="J592" s="60">
        <v>57.04</v>
      </c>
      <c r="K592" s="60">
        <v>0</v>
      </c>
      <c r="L592" s="60">
        <v>0</v>
      </c>
      <c r="M592" s="60">
        <v>0</v>
      </c>
      <c r="N592" s="60">
        <v>0</v>
      </c>
      <c r="O592" s="60">
        <v>0</v>
      </c>
      <c r="P592" s="60">
        <v>0</v>
      </c>
      <c r="Q592" s="60">
        <v>0</v>
      </c>
      <c r="R592" s="60">
        <v>0</v>
      </c>
      <c r="S592" s="60">
        <v>0</v>
      </c>
      <c r="T592" s="60">
        <v>0</v>
      </c>
      <c r="U592" s="60">
        <v>0</v>
      </c>
      <c r="V592" s="60">
        <v>0</v>
      </c>
      <c r="W592" s="60">
        <v>0</v>
      </c>
      <c r="X592" s="60">
        <v>0</v>
      </c>
      <c r="Y592" s="60">
        <v>0</v>
      </c>
      <c r="Z592" s="60">
        <v>0</v>
      </c>
      <c r="AA592" s="60">
        <v>0</v>
      </c>
      <c r="AB592" s="60">
        <v>0</v>
      </c>
      <c r="AC592" s="60">
        <v>0</v>
      </c>
      <c r="AD592" s="60">
        <v>0</v>
      </c>
      <c r="AE592" s="60">
        <v>0</v>
      </c>
      <c r="AF592" s="60">
        <v>0</v>
      </c>
      <c r="AG592" s="60">
        <v>0</v>
      </c>
      <c r="AH592" s="60">
        <v>0</v>
      </c>
      <c r="AI592" s="60">
        <v>68.14</v>
      </c>
      <c r="AJ592" s="60">
        <v>58.42</v>
      </c>
      <c r="AK592" s="60">
        <v>57.04</v>
      </c>
      <c r="AL592" s="60">
        <v>0</v>
      </c>
      <c r="AM592" s="60">
        <v>0</v>
      </c>
      <c r="AN592" s="60">
        <v>0</v>
      </c>
      <c r="AO592" s="60">
        <v>68.14</v>
      </c>
      <c r="AP592" s="60">
        <v>58.42</v>
      </c>
      <c r="AQ592" s="60">
        <v>57.04</v>
      </c>
      <c r="AR592" s="61">
        <v>68.14</v>
      </c>
    </row>
    <row r="593" spans="1:44" x14ac:dyDescent="0.35">
      <c r="A593" s="49" t="str">
        <f t="shared" si="50"/>
        <v>04</v>
      </c>
      <c r="B593" s="27">
        <v>61499</v>
      </c>
      <c r="C593" s="25" t="str">
        <f t="shared" si="48"/>
        <v>0000000</v>
      </c>
      <c r="D593" s="26" t="s">
        <v>3663</v>
      </c>
      <c r="E593" s="25" t="s">
        <v>211</v>
      </c>
      <c r="F593" s="25" t="s">
        <v>176</v>
      </c>
      <c r="G593" s="59" t="s">
        <v>212</v>
      </c>
      <c r="H593" s="60">
        <v>304.48</v>
      </c>
      <c r="I593" s="60">
        <v>299.89999999999998</v>
      </c>
      <c r="J593" s="60">
        <v>271.44</v>
      </c>
      <c r="K593" s="60">
        <v>0</v>
      </c>
      <c r="L593" s="60">
        <v>0</v>
      </c>
      <c r="M593" s="60">
        <v>0</v>
      </c>
      <c r="N593" s="60">
        <v>0</v>
      </c>
      <c r="O593" s="60">
        <v>0</v>
      </c>
      <c r="P593" s="60">
        <v>0</v>
      </c>
      <c r="Q593" s="60">
        <v>0</v>
      </c>
      <c r="R593" s="60">
        <v>0</v>
      </c>
      <c r="S593" s="60">
        <v>0</v>
      </c>
      <c r="T593" s="60">
        <v>0</v>
      </c>
      <c r="U593" s="60">
        <v>0</v>
      </c>
      <c r="V593" s="60">
        <v>0</v>
      </c>
      <c r="W593" s="60">
        <v>0</v>
      </c>
      <c r="X593" s="60">
        <v>0</v>
      </c>
      <c r="Y593" s="60">
        <v>0</v>
      </c>
      <c r="Z593" s="60">
        <v>0</v>
      </c>
      <c r="AA593" s="60">
        <v>0</v>
      </c>
      <c r="AB593" s="60">
        <v>0</v>
      </c>
      <c r="AC593" s="60">
        <v>0</v>
      </c>
      <c r="AD593" s="60">
        <v>0</v>
      </c>
      <c r="AE593" s="60">
        <v>0</v>
      </c>
      <c r="AF593" s="60">
        <v>0</v>
      </c>
      <c r="AG593" s="60">
        <v>0</v>
      </c>
      <c r="AH593" s="60">
        <v>0</v>
      </c>
      <c r="AI593" s="60">
        <v>304.48</v>
      </c>
      <c r="AJ593" s="60">
        <v>299.89999999999998</v>
      </c>
      <c r="AK593" s="60">
        <v>271.44</v>
      </c>
      <c r="AL593" s="60">
        <v>0</v>
      </c>
      <c r="AM593" s="60">
        <v>0</v>
      </c>
      <c r="AN593" s="60">
        <v>0</v>
      </c>
      <c r="AO593" s="60">
        <v>304.48</v>
      </c>
      <c r="AP593" s="60">
        <v>299.89999999999998</v>
      </c>
      <c r="AQ593" s="60">
        <v>271.44</v>
      </c>
      <c r="AR593" s="61">
        <v>304.48</v>
      </c>
    </row>
    <row r="594" spans="1:44" x14ac:dyDescent="0.35">
      <c r="A594" s="49" t="str">
        <f t="shared" si="50"/>
        <v>04</v>
      </c>
      <c r="B594" s="27">
        <v>61507</v>
      </c>
      <c r="C594" s="25" t="str">
        <f t="shared" si="48"/>
        <v>0000000</v>
      </c>
      <c r="D594" s="26" t="s">
        <v>3663</v>
      </c>
      <c r="E594" s="25" t="s">
        <v>213</v>
      </c>
      <c r="F594" s="25" t="s">
        <v>176</v>
      </c>
      <c r="G594" s="59" t="s">
        <v>214</v>
      </c>
      <c r="H594" s="60">
        <v>1830.94</v>
      </c>
      <c r="I594" s="60">
        <v>1903.46</v>
      </c>
      <c r="J594" s="60">
        <v>1869.66</v>
      </c>
      <c r="K594" s="60">
        <v>0</v>
      </c>
      <c r="L594" s="60">
        <v>0</v>
      </c>
      <c r="M594" s="60">
        <v>0</v>
      </c>
      <c r="N594" s="60">
        <v>0</v>
      </c>
      <c r="O594" s="60">
        <v>0</v>
      </c>
      <c r="P594" s="60">
        <v>0</v>
      </c>
      <c r="Q594" s="60">
        <v>0</v>
      </c>
      <c r="R594" s="60">
        <v>0</v>
      </c>
      <c r="S594" s="60">
        <v>0</v>
      </c>
      <c r="T594" s="60">
        <v>0</v>
      </c>
      <c r="U594" s="60">
        <v>0</v>
      </c>
      <c r="V594" s="60">
        <v>0</v>
      </c>
      <c r="W594" s="60">
        <v>0</v>
      </c>
      <c r="X594" s="60">
        <v>0</v>
      </c>
      <c r="Y594" s="60">
        <v>0</v>
      </c>
      <c r="Z594" s="60">
        <v>0</v>
      </c>
      <c r="AA594" s="60">
        <v>0</v>
      </c>
      <c r="AB594" s="60">
        <v>0</v>
      </c>
      <c r="AC594" s="60">
        <v>53.11</v>
      </c>
      <c r="AD594" s="60">
        <v>55.72</v>
      </c>
      <c r="AE594" s="60">
        <v>80.209999999999994</v>
      </c>
      <c r="AF594" s="60">
        <v>0</v>
      </c>
      <c r="AG594" s="60">
        <v>0</v>
      </c>
      <c r="AH594" s="60">
        <v>0</v>
      </c>
      <c r="AI594" s="60">
        <v>1884.05</v>
      </c>
      <c r="AJ594" s="60">
        <v>1959.18</v>
      </c>
      <c r="AK594" s="60">
        <v>1949.87</v>
      </c>
      <c r="AL594" s="60">
        <v>0</v>
      </c>
      <c r="AM594" s="60">
        <v>0</v>
      </c>
      <c r="AN594" s="60">
        <v>0</v>
      </c>
      <c r="AO594" s="60">
        <v>1884.05</v>
      </c>
      <c r="AP594" s="60">
        <v>1959.18</v>
      </c>
      <c r="AQ594" s="60">
        <v>1949.87</v>
      </c>
      <c r="AR594" s="61">
        <v>1959.18</v>
      </c>
    </row>
    <row r="595" spans="1:44" x14ac:dyDescent="0.35">
      <c r="A595" s="49" t="str">
        <f t="shared" si="50"/>
        <v>04</v>
      </c>
      <c r="B595" s="27">
        <v>61523</v>
      </c>
      <c r="C595" s="25" t="str">
        <f t="shared" si="48"/>
        <v>0000000</v>
      </c>
      <c r="D595" s="26" t="s">
        <v>3663</v>
      </c>
      <c r="E595" s="25" t="s">
        <v>219</v>
      </c>
      <c r="F595" s="25" t="s">
        <v>176</v>
      </c>
      <c r="G595" s="59" t="s">
        <v>220</v>
      </c>
      <c r="H595" s="60">
        <v>1192.73</v>
      </c>
      <c r="I595" s="60">
        <v>1104.1300000000001</v>
      </c>
      <c r="J595" s="60">
        <v>1082.9000000000001</v>
      </c>
      <c r="K595" s="60">
        <v>0</v>
      </c>
      <c r="L595" s="60">
        <v>0</v>
      </c>
      <c r="M595" s="60">
        <v>0</v>
      </c>
      <c r="N595" s="60">
        <v>0</v>
      </c>
      <c r="O595" s="60">
        <v>0</v>
      </c>
      <c r="P595" s="60">
        <v>0</v>
      </c>
      <c r="Q595" s="60">
        <v>0</v>
      </c>
      <c r="R595" s="60">
        <v>0</v>
      </c>
      <c r="S595" s="60">
        <v>0</v>
      </c>
      <c r="T595" s="60">
        <v>0</v>
      </c>
      <c r="U595" s="60">
        <v>0</v>
      </c>
      <c r="V595" s="60">
        <v>0</v>
      </c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0</v>
      </c>
      <c r="AC595" s="60">
        <v>0</v>
      </c>
      <c r="AD595" s="60">
        <v>0</v>
      </c>
      <c r="AE595" s="60">
        <v>0</v>
      </c>
      <c r="AF595" s="60">
        <v>0</v>
      </c>
      <c r="AG595" s="60">
        <v>0</v>
      </c>
      <c r="AH595" s="60">
        <v>0</v>
      </c>
      <c r="AI595" s="60">
        <v>1192.73</v>
      </c>
      <c r="AJ595" s="60">
        <v>1104.1300000000001</v>
      </c>
      <c r="AK595" s="60">
        <v>1082.9000000000001</v>
      </c>
      <c r="AL595" s="60">
        <v>0</v>
      </c>
      <c r="AM595" s="60">
        <v>0</v>
      </c>
      <c r="AN595" s="60">
        <v>0</v>
      </c>
      <c r="AO595" s="60">
        <v>1192.73</v>
      </c>
      <c r="AP595" s="60">
        <v>1104.1300000000001</v>
      </c>
      <c r="AQ595" s="60">
        <v>1082.9000000000001</v>
      </c>
      <c r="AR595" s="61">
        <v>1192.73</v>
      </c>
    </row>
    <row r="596" spans="1:44" x14ac:dyDescent="0.35">
      <c r="A596" s="49" t="str">
        <f t="shared" si="50"/>
        <v>04</v>
      </c>
      <c r="B596" s="27">
        <v>61549</v>
      </c>
      <c r="C596" s="25" t="str">
        <f t="shared" si="48"/>
        <v>0000000</v>
      </c>
      <c r="D596" s="26" t="s">
        <v>3663</v>
      </c>
      <c r="E596" s="25" t="s">
        <v>226</v>
      </c>
      <c r="F596" s="25" t="s">
        <v>176</v>
      </c>
      <c r="G596" s="59" t="s">
        <v>227</v>
      </c>
      <c r="H596" s="60">
        <v>1428.89</v>
      </c>
      <c r="I596" s="60">
        <v>1435.92</v>
      </c>
      <c r="J596" s="60">
        <v>1336.02</v>
      </c>
      <c r="K596" s="60">
        <v>0</v>
      </c>
      <c r="L596" s="60">
        <v>0</v>
      </c>
      <c r="M596" s="60">
        <v>0</v>
      </c>
      <c r="N596" s="60">
        <v>0</v>
      </c>
      <c r="O596" s="60">
        <v>0</v>
      </c>
      <c r="P596" s="60">
        <v>0</v>
      </c>
      <c r="Q596" s="60">
        <v>0</v>
      </c>
      <c r="R596" s="60">
        <v>0</v>
      </c>
      <c r="S596" s="60">
        <v>0</v>
      </c>
      <c r="T596" s="60">
        <v>0</v>
      </c>
      <c r="U596" s="60">
        <v>0</v>
      </c>
      <c r="V596" s="60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0</v>
      </c>
      <c r="AB596" s="60">
        <v>0</v>
      </c>
      <c r="AC596" s="60">
        <v>0</v>
      </c>
      <c r="AD596" s="60">
        <v>0</v>
      </c>
      <c r="AE596" s="60">
        <v>0</v>
      </c>
      <c r="AF596" s="60">
        <v>0</v>
      </c>
      <c r="AG596" s="60">
        <v>0</v>
      </c>
      <c r="AH596" s="60">
        <v>0</v>
      </c>
      <c r="AI596" s="60">
        <v>1428.89</v>
      </c>
      <c r="AJ596" s="60">
        <v>1435.92</v>
      </c>
      <c r="AK596" s="60">
        <v>1336.02</v>
      </c>
      <c r="AL596" s="60">
        <v>0</v>
      </c>
      <c r="AM596" s="60">
        <v>0</v>
      </c>
      <c r="AN596" s="60">
        <v>0</v>
      </c>
      <c r="AO596" s="60">
        <v>1428.89</v>
      </c>
      <c r="AP596" s="60">
        <v>1435.92</v>
      </c>
      <c r="AQ596" s="60">
        <v>1336.02</v>
      </c>
      <c r="AR596" s="61">
        <v>1435.92</v>
      </c>
    </row>
    <row r="597" spans="1:44" x14ac:dyDescent="0.35">
      <c r="A597" s="49" t="str">
        <f t="shared" si="50"/>
        <v>04</v>
      </c>
      <c r="B597" s="27">
        <v>61515</v>
      </c>
      <c r="C597" s="25" t="str">
        <f t="shared" si="48"/>
        <v>0000000</v>
      </c>
      <c r="D597" s="26" t="s">
        <v>3663</v>
      </c>
      <c r="E597" s="25" t="s">
        <v>217</v>
      </c>
      <c r="F597" s="25" t="s">
        <v>176</v>
      </c>
      <c r="G597" s="59" t="s">
        <v>218</v>
      </c>
      <c r="H597" s="60">
        <v>2009.87</v>
      </c>
      <c r="I597" s="60">
        <v>2031.55</v>
      </c>
      <c r="J597" s="60">
        <v>2021.01</v>
      </c>
      <c r="K597" s="60">
        <v>0</v>
      </c>
      <c r="L597" s="60">
        <v>0</v>
      </c>
      <c r="M597" s="60">
        <v>0</v>
      </c>
      <c r="N597" s="60">
        <v>0</v>
      </c>
      <c r="O597" s="60">
        <v>0</v>
      </c>
      <c r="P597" s="60">
        <v>0</v>
      </c>
      <c r="Q597" s="60">
        <v>0</v>
      </c>
      <c r="R597" s="60">
        <v>0</v>
      </c>
      <c r="S597" s="60">
        <v>0</v>
      </c>
      <c r="T597" s="60">
        <v>0</v>
      </c>
      <c r="U597" s="60">
        <v>0</v>
      </c>
      <c r="V597" s="60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0">
        <v>0</v>
      </c>
      <c r="AD597" s="60">
        <v>0</v>
      </c>
      <c r="AE597" s="60">
        <v>0</v>
      </c>
      <c r="AF597" s="60">
        <v>0</v>
      </c>
      <c r="AG597" s="60">
        <v>0</v>
      </c>
      <c r="AH597" s="60">
        <v>0</v>
      </c>
      <c r="AI597" s="60">
        <v>2009.87</v>
      </c>
      <c r="AJ597" s="60">
        <v>2031.55</v>
      </c>
      <c r="AK597" s="60">
        <v>2021.01</v>
      </c>
      <c r="AL597" s="60">
        <v>0</v>
      </c>
      <c r="AM597" s="60">
        <v>0</v>
      </c>
      <c r="AN597" s="60">
        <v>0</v>
      </c>
      <c r="AO597" s="60">
        <v>2009.87</v>
      </c>
      <c r="AP597" s="60">
        <v>2031.55</v>
      </c>
      <c r="AQ597" s="60">
        <v>2021.01</v>
      </c>
      <c r="AR597" s="61">
        <v>2031.55</v>
      </c>
    </row>
    <row r="598" spans="1:44" x14ac:dyDescent="0.35">
      <c r="A598" s="49" t="str">
        <f t="shared" si="50"/>
        <v>04</v>
      </c>
      <c r="B598" s="27">
        <v>61408</v>
      </c>
      <c r="C598" s="25" t="str">
        <f t="shared" si="48"/>
        <v>0000000</v>
      </c>
      <c r="D598" s="26" t="s">
        <v>3663</v>
      </c>
      <c r="E598" s="25" t="s">
        <v>184</v>
      </c>
      <c r="F598" s="25" t="s">
        <v>176</v>
      </c>
      <c r="G598" s="59" t="s">
        <v>185</v>
      </c>
      <c r="H598" s="60">
        <v>512.63</v>
      </c>
      <c r="I598" s="60">
        <v>492.1</v>
      </c>
      <c r="J598" s="60">
        <v>494.41</v>
      </c>
      <c r="K598" s="60">
        <v>0</v>
      </c>
      <c r="L598" s="60">
        <v>0</v>
      </c>
      <c r="M598" s="60">
        <v>0</v>
      </c>
      <c r="N598" s="60">
        <v>0</v>
      </c>
      <c r="O598" s="60">
        <v>0</v>
      </c>
      <c r="P598" s="60">
        <v>0</v>
      </c>
      <c r="Q598" s="60">
        <v>0</v>
      </c>
      <c r="R598" s="60">
        <v>0</v>
      </c>
      <c r="S598" s="60">
        <v>0</v>
      </c>
      <c r="T598" s="60">
        <v>0</v>
      </c>
      <c r="U598" s="60">
        <v>0</v>
      </c>
      <c r="V598" s="60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0</v>
      </c>
      <c r="AB598" s="60">
        <v>0</v>
      </c>
      <c r="AC598" s="60">
        <v>0</v>
      </c>
      <c r="AD598" s="60">
        <v>0</v>
      </c>
      <c r="AE598" s="60">
        <v>0</v>
      </c>
      <c r="AF598" s="60">
        <v>0</v>
      </c>
      <c r="AG598" s="60">
        <v>0</v>
      </c>
      <c r="AH598" s="60">
        <v>0</v>
      </c>
      <c r="AI598" s="60">
        <v>512.63</v>
      </c>
      <c r="AJ598" s="60">
        <v>492.1</v>
      </c>
      <c r="AK598" s="60">
        <v>494.41</v>
      </c>
      <c r="AL598" s="60">
        <v>0</v>
      </c>
      <c r="AM598" s="60">
        <v>0</v>
      </c>
      <c r="AN598" s="60">
        <v>0</v>
      </c>
      <c r="AO598" s="60">
        <v>512.63</v>
      </c>
      <c r="AP598" s="60">
        <v>492.1</v>
      </c>
      <c r="AQ598" s="60">
        <v>494.41</v>
      </c>
      <c r="AR598" s="61">
        <v>512.63</v>
      </c>
    </row>
    <row r="599" spans="1:44" x14ac:dyDescent="0.35">
      <c r="A599" s="49" t="str">
        <f t="shared" si="50"/>
        <v>04</v>
      </c>
      <c r="B599" s="27">
        <v>61424</v>
      </c>
      <c r="C599" s="25" t="str">
        <f t="shared" si="48"/>
        <v>0000000</v>
      </c>
      <c r="D599" s="26" t="s">
        <v>3663</v>
      </c>
      <c r="E599" s="25" t="s">
        <v>186</v>
      </c>
      <c r="F599" s="25" t="s">
        <v>176</v>
      </c>
      <c r="G599" s="59" t="s">
        <v>187</v>
      </c>
      <c r="H599" s="60">
        <v>11601.83</v>
      </c>
      <c r="I599" s="60">
        <v>11364.5</v>
      </c>
      <c r="J599" s="60">
        <v>11082.12</v>
      </c>
      <c r="K599" s="60">
        <v>0</v>
      </c>
      <c r="L599" s="60">
        <v>0</v>
      </c>
      <c r="M599" s="60">
        <v>0</v>
      </c>
      <c r="N599" s="60">
        <v>0</v>
      </c>
      <c r="O599" s="60">
        <v>0</v>
      </c>
      <c r="P599" s="60">
        <v>0</v>
      </c>
      <c r="Q599" s="60">
        <v>0</v>
      </c>
      <c r="R599" s="60">
        <v>0</v>
      </c>
      <c r="S599" s="60">
        <v>0</v>
      </c>
      <c r="T599" s="60">
        <v>0</v>
      </c>
      <c r="U599" s="60">
        <v>0</v>
      </c>
      <c r="V599" s="60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0">
        <v>99.3</v>
      </c>
      <c r="AD599" s="60">
        <v>96.29</v>
      </c>
      <c r="AE599" s="60">
        <v>99.34</v>
      </c>
      <c r="AF599" s="60">
        <v>0</v>
      </c>
      <c r="AG599" s="60">
        <v>0</v>
      </c>
      <c r="AH599" s="60">
        <v>0</v>
      </c>
      <c r="AI599" s="60">
        <v>11701.13</v>
      </c>
      <c r="AJ599" s="60">
        <v>11460.79</v>
      </c>
      <c r="AK599" s="60">
        <v>11181.46</v>
      </c>
      <c r="AL599" s="60">
        <v>0</v>
      </c>
      <c r="AM599" s="60">
        <v>0</v>
      </c>
      <c r="AN599" s="60">
        <v>0</v>
      </c>
      <c r="AO599" s="60">
        <v>11701.13</v>
      </c>
      <c r="AP599" s="60">
        <v>11460.79</v>
      </c>
      <c r="AQ599" s="60">
        <v>11181.46</v>
      </c>
      <c r="AR599" s="61">
        <v>11701.13</v>
      </c>
    </row>
    <row r="600" spans="1:44" x14ac:dyDescent="0.35">
      <c r="A600" s="49" t="str">
        <f t="shared" si="50"/>
        <v>04</v>
      </c>
      <c r="B600" s="27">
        <v>61432</v>
      </c>
      <c r="C600" s="25" t="str">
        <f t="shared" si="48"/>
        <v>0000000</v>
      </c>
      <c r="D600" s="26" t="s">
        <v>3663</v>
      </c>
      <c r="E600" s="25" t="s">
        <v>207</v>
      </c>
      <c r="F600" s="25" t="s">
        <v>176</v>
      </c>
      <c r="G600" s="59" t="s">
        <v>208</v>
      </c>
      <c r="H600" s="60">
        <v>972.31</v>
      </c>
      <c r="I600" s="60">
        <v>930.97</v>
      </c>
      <c r="J600" s="60">
        <v>912.3</v>
      </c>
      <c r="K600" s="60">
        <v>0</v>
      </c>
      <c r="L600" s="60">
        <v>0</v>
      </c>
      <c r="M600" s="60">
        <v>0</v>
      </c>
      <c r="N600" s="60">
        <v>0</v>
      </c>
      <c r="O600" s="60">
        <v>0</v>
      </c>
      <c r="P600" s="60">
        <v>0</v>
      </c>
      <c r="Q600" s="60">
        <v>0</v>
      </c>
      <c r="R600" s="60">
        <v>0</v>
      </c>
      <c r="S600" s="60">
        <v>0</v>
      </c>
      <c r="T600" s="60">
        <v>0</v>
      </c>
      <c r="U600" s="60">
        <v>0</v>
      </c>
      <c r="V600" s="60">
        <v>0</v>
      </c>
      <c r="W600" s="60">
        <v>0</v>
      </c>
      <c r="X600" s="60">
        <v>0</v>
      </c>
      <c r="Y600" s="60">
        <v>0</v>
      </c>
      <c r="Z600" s="60">
        <v>0</v>
      </c>
      <c r="AA600" s="60">
        <v>0</v>
      </c>
      <c r="AB600" s="60">
        <v>0</v>
      </c>
      <c r="AC600" s="60">
        <v>0</v>
      </c>
      <c r="AD600" s="60">
        <v>0</v>
      </c>
      <c r="AE600" s="60">
        <v>0</v>
      </c>
      <c r="AF600" s="60">
        <v>0</v>
      </c>
      <c r="AG600" s="60">
        <v>0</v>
      </c>
      <c r="AH600" s="60">
        <v>0</v>
      </c>
      <c r="AI600" s="60">
        <v>972.31</v>
      </c>
      <c r="AJ600" s="60">
        <v>930.97</v>
      </c>
      <c r="AK600" s="60">
        <v>912.3</v>
      </c>
      <c r="AL600" s="60">
        <v>0</v>
      </c>
      <c r="AM600" s="60">
        <v>0</v>
      </c>
      <c r="AN600" s="60">
        <v>0</v>
      </c>
      <c r="AO600" s="60">
        <v>972.31</v>
      </c>
      <c r="AP600" s="60">
        <v>930.97</v>
      </c>
      <c r="AQ600" s="60">
        <v>912.3</v>
      </c>
      <c r="AR600" s="61">
        <v>972.31</v>
      </c>
    </row>
    <row r="601" spans="1:44" x14ac:dyDescent="0.35">
      <c r="A601" s="49" t="str">
        <f t="shared" si="50"/>
        <v>04</v>
      </c>
      <c r="B601" s="27">
        <v>61531</v>
      </c>
      <c r="C601" s="25" t="str">
        <f t="shared" si="48"/>
        <v>0000000</v>
      </c>
      <c r="D601" s="26" t="s">
        <v>3663</v>
      </c>
      <c r="E601" s="25" t="s">
        <v>221</v>
      </c>
      <c r="F601" s="25" t="s">
        <v>176</v>
      </c>
      <c r="G601" s="59" t="s">
        <v>222</v>
      </c>
      <c r="H601" s="60">
        <v>1526.47</v>
      </c>
      <c r="I601" s="60">
        <v>1403.58</v>
      </c>
      <c r="J601" s="60">
        <v>1212.95</v>
      </c>
      <c r="K601" s="60">
        <v>0</v>
      </c>
      <c r="L601" s="60">
        <v>0</v>
      </c>
      <c r="M601" s="60">
        <v>0</v>
      </c>
      <c r="N601" s="60">
        <v>0</v>
      </c>
      <c r="O601" s="60">
        <v>0</v>
      </c>
      <c r="P601" s="60">
        <v>0</v>
      </c>
      <c r="Q601" s="60">
        <v>0</v>
      </c>
      <c r="R601" s="60">
        <v>0</v>
      </c>
      <c r="S601" s="60">
        <v>0</v>
      </c>
      <c r="T601" s="60">
        <v>0</v>
      </c>
      <c r="U601" s="60">
        <v>0</v>
      </c>
      <c r="V601" s="60">
        <v>0</v>
      </c>
      <c r="W601" s="60">
        <v>0</v>
      </c>
      <c r="X601" s="60">
        <v>0</v>
      </c>
      <c r="Y601" s="60">
        <v>0</v>
      </c>
      <c r="Z601" s="60">
        <v>0</v>
      </c>
      <c r="AA601" s="60">
        <v>0</v>
      </c>
      <c r="AB601" s="60">
        <v>0</v>
      </c>
      <c r="AC601" s="60">
        <v>449.65</v>
      </c>
      <c r="AD601" s="60">
        <v>389.52</v>
      </c>
      <c r="AE601" s="60">
        <v>336.27</v>
      </c>
      <c r="AF601" s="60">
        <v>0</v>
      </c>
      <c r="AG601" s="60">
        <v>0</v>
      </c>
      <c r="AH601" s="60">
        <v>0</v>
      </c>
      <c r="AI601" s="60">
        <v>1976.12</v>
      </c>
      <c r="AJ601" s="60">
        <v>1793.1</v>
      </c>
      <c r="AK601" s="60">
        <v>1549.22</v>
      </c>
      <c r="AL601" s="60">
        <v>0</v>
      </c>
      <c r="AM601" s="60">
        <v>0</v>
      </c>
      <c r="AN601" s="60">
        <v>0</v>
      </c>
      <c r="AO601" s="60">
        <v>1976.12</v>
      </c>
      <c r="AP601" s="60">
        <v>1793.1</v>
      </c>
      <c r="AQ601" s="60">
        <v>1549.22</v>
      </c>
      <c r="AR601" s="61">
        <v>1976.12</v>
      </c>
    </row>
    <row r="602" spans="1:44" x14ac:dyDescent="0.35">
      <c r="A602" s="49" t="str">
        <f t="shared" si="50"/>
        <v>04</v>
      </c>
      <c r="B602" s="27">
        <v>73379</v>
      </c>
      <c r="C602" s="25" t="str">
        <f t="shared" si="48"/>
        <v>0000000</v>
      </c>
      <c r="D602" s="26" t="s">
        <v>3663</v>
      </c>
      <c r="E602" s="25" t="s">
        <v>228</v>
      </c>
      <c r="F602" s="25" t="s">
        <v>176</v>
      </c>
      <c r="G602" s="59" t="s">
        <v>229</v>
      </c>
      <c r="H602" s="60">
        <v>29</v>
      </c>
      <c r="I602" s="60">
        <v>26.54</v>
      </c>
      <c r="J602" s="60">
        <v>22.86</v>
      </c>
      <c r="K602" s="60">
        <v>0</v>
      </c>
      <c r="L602" s="60">
        <v>0</v>
      </c>
      <c r="M602" s="60">
        <v>0</v>
      </c>
      <c r="N602" s="60">
        <v>0</v>
      </c>
      <c r="O602" s="60">
        <v>0</v>
      </c>
      <c r="P602" s="60">
        <v>0</v>
      </c>
      <c r="Q602" s="60">
        <v>0</v>
      </c>
      <c r="R602" s="60">
        <v>0</v>
      </c>
      <c r="S602" s="60">
        <v>0</v>
      </c>
      <c r="T602" s="60">
        <v>0</v>
      </c>
      <c r="U602" s="60">
        <v>0</v>
      </c>
      <c r="V602" s="60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0</v>
      </c>
      <c r="AC602" s="60">
        <v>0</v>
      </c>
      <c r="AD602" s="60">
        <v>0</v>
      </c>
      <c r="AE602" s="60">
        <v>0</v>
      </c>
      <c r="AF602" s="60">
        <v>0</v>
      </c>
      <c r="AG602" s="60">
        <v>0</v>
      </c>
      <c r="AH602" s="60">
        <v>0</v>
      </c>
      <c r="AI602" s="60">
        <v>29</v>
      </c>
      <c r="AJ602" s="60">
        <v>26.54</v>
      </c>
      <c r="AK602" s="60">
        <v>22.86</v>
      </c>
      <c r="AL602" s="60">
        <v>0</v>
      </c>
      <c r="AM602" s="60">
        <v>0</v>
      </c>
      <c r="AN602" s="60">
        <v>0</v>
      </c>
      <c r="AO602" s="60">
        <v>29</v>
      </c>
      <c r="AP602" s="60">
        <v>26.54</v>
      </c>
      <c r="AQ602" s="60">
        <v>22.86</v>
      </c>
      <c r="AR602" s="61">
        <v>29</v>
      </c>
    </row>
    <row r="603" spans="1:44" x14ac:dyDescent="0.35">
      <c r="A603" s="49" t="str">
        <f t="shared" si="50"/>
        <v>04</v>
      </c>
      <c r="B603" s="27">
        <v>75507</v>
      </c>
      <c r="C603" s="25" t="str">
        <f t="shared" si="48"/>
        <v>0000000</v>
      </c>
      <c r="D603" s="26" t="s">
        <v>3663</v>
      </c>
      <c r="E603" s="25" t="s">
        <v>230</v>
      </c>
      <c r="F603" s="25" t="s">
        <v>176</v>
      </c>
      <c r="G603" s="59" t="s">
        <v>231</v>
      </c>
      <c r="H603" s="60">
        <v>1858.02</v>
      </c>
      <c r="I603" s="60">
        <v>1877.59</v>
      </c>
      <c r="J603" s="60">
        <v>1846.04</v>
      </c>
      <c r="K603" s="60">
        <v>0</v>
      </c>
      <c r="L603" s="60">
        <v>0</v>
      </c>
      <c r="M603" s="60">
        <v>0</v>
      </c>
      <c r="N603" s="60">
        <v>0</v>
      </c>
      <c r="O603" s="60">
        <v>0</v>
      </c>
      <c r="P603" s="60">
        <v>0</v>
      </c>
      <c r="Q603" s="60">
        <v>0</v>
      </c>
      <c r="R603" s="60">
        <v>0</v>
      </c>
      <c r="S603" s="60">
        <v>0</v>
      </c>
      <c r="T603" s="60">
        <v>0</v>
      </c>
      <c r="U603" s="60">
        <v>0</v>
      </c>
      <c r="V603" s="60">
        <v>0</v>
      </c>
      <c r="W603" s="60">
        <v>0</v>
      </c>
      <c r="X603" s="60">
        <v>0</v>
      </c>
      <c r="Y603" s="60">
        <v>0</v>
      </c>
      <c r="Z603" s="60">
        <v>0</v>
      </c>
      <c r="AA603" s="60">
        <v>0</v>
      </c>
      <c r="AB603" s="60">
        <v>0</v>
      </c>
      <c r="AC603" s="60">
        <v>0</v>
      </c>
      <c r="AD603" s="60">
        <v>0</v>
      </c>
      <c r="AE603" s="60">
        <v>0</v>
      </c>
      <c r="AF603" s="60">
        <v>0</v>
      </c>
      <c r="AG603" s="60">
        <v>0</v>
      </c>
      <c r="AH603" s="60">
        <v>0</v>
      </c>
      <c r="AI603" s="60">
        <v>1858.02</v>
      </c>
      <c r="AJ603" s="60">
        <v>1877.59</v>
      </c>
      <c r="AK603" s="60">
        <v>1846.04</v>
      </c>
      <c r="AL603" s="60">
        <v>0</v>
      </c>
      <c r="AM603" s="60">
        <v>0</v>
      </c>
      <c r="AN603" s="60">
        <v>0</v>
      </c>
      <c r="AO603" s="60">
        <v>1858.02</v>
      </c>
      <c r="AP603" s="60">
        <v>1877.59</v>
      </c>
      <c r="AQ603" s="60">
        <v>1846.04</v>
      </c>
      <c r="AR603" s="61">
        <v>1877.59</v>
      </c>
    </row>
    <row r="604" spans="1:44" x14ac:dyDescent="0.35">
      <c r="A604" s="49" t="str">
        <f t="shared" ref="A604:A609" si="51">TEXT(28,"00")</f>
        <v>28</v>
      </c>
      <c r="B604" s="27">
        <v>10280</v>
      </c>
      <c r="C604" s="25" t="str">
        <f t="shared" si="48"/>
        <v>0000000</v>
      </c>
      <c r="D604" s="26" t="s">
        <v>3663</v>
      </c>
      <c r="E604" s="25" t="s">
        <v>1445</v>
      </c>
      <c r="F604" s="25" t="s">
        <v>1446</v>
      </c>
      <c r="G604" s="59" t="s">
        <v>1446</v>
      </c>
      <c r="H604" s="60">
        <v>0</v>
      </c>
      <c r="I604" s="60">
        <v>0</v>
      </c>
      <c r="J604" s="60">
        <v>0</v>
      </c>
      <c r="K604" s="60">
        <v>0</v>
      </c>
      <c r="L604" s="60">
        <v>0</v>
      </c>
      <c r="M604" s="60">
        <v>0</v>
      </c>
      <c r="N604" s="60">
        <v>0</v>
      </c>
      <c r="O604" s="60">
        <v>0</v>
      </c>
      <c r="P604" s="60">
        <v>0</v>
      </c>
      <c r="Q604" s="60">
        <v>0</v>
      </c>
      <c r="R604" s="60">
        <v>0</v>
      </c>
      <c r="S604" s="60">
        <v>0</v>
      </c>
      <c r="T604" s="60">
        <v>71.400000000000006</v>
      </c>
      <c r="U604" s="60">
        <v>78.37</v>
      </c>
      <c r="V604" s="60">
        <v>85.89</v>
      </c>
      <c r="W604" s="60">
        <v>0</v>
      </c>
      <c r="X604" s="60">
        <v>0</v>
      </c>
      <c r="Y604" s="60">
        <v>0</v>
      </c>
      <c r="Z604" s="60">
        <v>0</v>
      </c>
      <c r="AA604" s="60">
        <v>0</v>
      </c>
      <c r="AB604" s="60">
        <v>0</v>
      </c>
      <c r="AC604" s="60">
        <v>0</v>
      </c>
      <c r="AD604" s="60">
        <v>0</v>
      </c>
      <c r="AE604" s="60">
        <v>0</v>
      </c>
      <c r="AF604" s="60">
        <v>0</v>
      </c>
      <c r="AG604" s="60">
        <v>0</v>
      </c>
      <c r="AH604" s="60">
        <v>0</v>
      </c>
      <c r="AI604" s="60">
        <v>71.400000000000006</v>
      </c>
      <c r="AJ604" s="60">
        <v>78.37</v>
      </c>
      <c r="AK604" s="60">
        <v>85.89</v>
      </c>
      <c r="AL604" s="60">
        <v>0</v>
      </c>
      <c r="AM604" s="60">
        <v>0</v>
      </c>
      <c r="AN604" s="60">
        <v>0</v>
      </c>
      <c r="AO604" s="60">
        <v>71.400000000000006</v>
      </c>
      <c r="AP604" s="60">
        <v>78.37</v>
      </c>
      <c r="AQ604" s="60">
        <v>85.89</v>
      </c>
      <c r="AR604" s="61">
        <v>85.89</v>
      </c>
    </row>
    <row r="605" spans="1:44" x14ac:dyDescent="0.35">
      <c r="A605" s="49" t="str">
        <f t="shared" si="51"/>
        <v>28</v>
      </c>
      <c r="B605" s="27">
        <v>66266</v>
      </c>
      <c r="C605" s="25" t="str">
        <f t="shared" si="48"/>
        <v>0000000</v>
      </c>
      <c r="D605" s="26" t="s">
        <v>3663</v>
      </c>
      <c r="E605" s="25" t="s">
        <v>1451</v>
      </c>
      <c r="F605" s="25" t="s">
        <v>1446</v>
      </c>
      <c r="G605" s="59" t="s">
        <v>1452</v>
      </c>
      <c r="H605" s="60">
        <v>14968.57</v>
      </c>
      <c r="I605" s="60">
        <v>14808.22</v>
      </c>
      <c r="J605" s="60">
        <v>15016.31</v>
      </c>
      <c r="K605" s="60">
        <v>0</v>
      </c>
      <c r="L605" s="60">
        <v>0</v>
      </c>
      <c r="M605" s="60">
        <v>0</v>
      </c>
      <c r="N605" s="60">
        <v>0</v>
      </c>
      <c r="O605" s="60">
        <v>0</v>
      </c>
      <c r="P605" s="60">
        <v>0</v>
      </c>
      <c r="Q605" s="60">
        <v>0</v>
      </c>
      <c r="R605" s="60">
        <v>0</v>
      </c>
      <c r="S605" s="60">
        <v>0</v>
      </c>
      <c r="T605" s="60">
        <v>0</v>
      </c>
      <c r="U605" s="60">
        <v>0</v>
      </c>
      <c r="V605" s="60">
        <v>0</v>
      </c>
      <c r="W605" s="60">
        <v>0</v>
      </c>
      <c r="X605" s="60">
        <v>0</v>
      </c>
      <c r="Y605" s="60">
        <v>0</v>
      </c>
      <c r="Z605" s="60">
        <v>0</v>
      </c>
      <c r="AA605" s="60">
        <v>0</v>
      </c>
      <c r="AB605" s="60">
        <v>0</v>
      </c>
      <c r="AC605" s="60">
        <v>260.73</v>
      </c>
      <c r="AD605" s="60">
        <v>245.09</v>
      </c>
      <c r="AE605" s="60">
        <v>250.99</v>
      </c>
      <c r="AF605" s="60">
        <v>0</v>
      </c>
      <c r="AG605" s="60">
        <v>0</v>
      </c>
      <c r="AH605" s="60">
        <v>0</v>
      </c>
      <c r="AI605" s="60">
        <v>15229.3</v>
      </c>
      <c r="AJ605" s="60">
        <v>15053.31</v>
      </c>
      <c r="AK605" s="60">
        <v>15267.3</v>
      </c>
      <c r="AL605" s="60">
        <v>0</v>
      </c>
      <c r="AM605" s="60">
        <v>0</v>
      </c>
      <c r="AN605" s="60">
        <v>0</v>
      </c>
      <c r="AO605" s="60">
        <v>15229.3</v>
      </c>
      <c r="AP605" s="60">
        <v>15053.31</v>
      </c>
      <c r="AQ605" s="60">
        <v>15267.3</v>
      </c>
      <c r="AR605" s="61">
        <v>15267.3</v>
      </c>
    </row>
    <row r="606" spans="1:44" x14ac:dyDescent="0.35">
      <c r="A606" s="49" t="str">
        <f t="shared" si="51"/>
        <v>28</v>
      </c>
      <c r="B606" s="27">
        <v>66241</v>
      </c>
      <c r="C606" s="25" t="str">
        <f t="shared" si="48"/>
        <v>0000000</v>
      </c>
      <c r="D606" s="26" t="s">
        <v>3663</v>
      </c>
      <c r="E606" s="25" t="s">
        <v>1447</v>
      </c>
      <c r="F606" s="25" t="s">
        <v>1446</v>
      </c>
      <c r="G606" s="59" t="s">
        <v>1448</v>
      </c>
      <c r="H606" s="60">
        <v>738.5</v>
      </c>
      <c r="I606" s="60">
        <v>753.31</v>
      </c>
      <c r="J606" s="60">
        <v>771.92</v>
      </c>
      <c r="K606" s="60">
        <v>0</v>
      </c>
      <c r="L606" s="60">
        <v>0</v>
      </c>
      <c r="M606" s="60">
        <v>0</v>
      </c>
      <c r="N606" s="60">
        <v>0</v>
      </c>
      <c r="O606" s="60">
        <v>0</v>
      </c>
      <c r="P606" s="60">
        <v>0</v>
      </c>
      <c r="Q606" s="60">
        <v>0</v>
      </c>
      <c r="R606" s="60">
        <v>0</v>
      </c>
      <c r="S606" s="60">
        <v>0</v>
      </c>
      <c r="T606" s="60">
        <v>0</v>
      </c>
      <c r="U606" s="60">
        <v>0</v>
      </c>
      <c r="V606" s="60">
        <v>0</v>
      </c>
      <c r="W606" s="60">
        <v>0</v>
      </c>
      <c r="X606" s="60">
        <v>0</v>
      </c>
      <c r="Y606" s="60">
        <v>0</v>
      </c>
      <c r="Z606" s="60">
        <v>0</v>
      </c>
      <c r="AA606" s="60">
        <v>0</v>
      </c>
      <c r="AB606" s="60">
        <v>0</v>
      </c>
      <c r="AC606" s="60">
        <v>0</v>
      </c>
      <c r="AD606" s="60">
        <v>0</v>
      </c>
      <c r="AE606" s="60">
        <v>0</v>
      </c>
      <c r="AF606" s="60">
        <v>0</v>
      </c>
      <c r="AG606" s="60">
        <v>0</v>
      </c>
      <c r="AH606" s="60">
        <v>0</v>
      </c>
      <c r="AI606" s="60">
        <v>738.5</v>
      </c>
      <c r="AJ606" s="60">
        <v>753.31</v>
      </c>
      <c r="AK606" s="60">
        <v>771.92</v>
      </c>
      <c r="AL606" s="60">
        <v>0</v>
      </c>
      <c r="AM606" s="60">
        <v>0</v>
      </c>
      <c r="AN606" s="60">
        <v>0</v>
      </c>
      <c r="AO606" s="60">
        <v>738.5</v>
      </c>
      <c r="AP606" s="60">
        <v>753.31</v>
      </c>
      <c r="AQ606" s="60">
        <v>771.92</v>
      </c>
      <c r="AR606" s="61">
        <v>771.92</v>
      </c>
    </row>
    <row r="607" spans="1:44" x14ac:dyDescent="0.35">
      <c r="A607" s="49" t="str">
        <f t="shared" si="51"/>
        <v>28</v>
      </c>
      <c r="B607" s="27">
        <v>66258</v>
      </c>
      <c r="C607" s="25" t="str">
        <f t="shared" si="48"/>
        <v>0000000</v>
      </c>
      <c r="D607" s="26" t="s">
        <v>3663</v>
      </c>
      <c r="E607" s="25" t="s">
        <v>1449</v>
      </c>
      <c r="F607" s="25" t="s">
        <v>1446</v>
      </c>
      <c r="G607" s="59" t="s">
        <v>1450</v>
      </c>
      <c r="H607" s="60">
        <v>85.09</v>
      </c>
      <c r="I607" s="60">
        <v>95.44</v>
      </c>
      <c r="J607" s="60">
        <v>89.27</v>
      </c>
      <c r="K607" s="60">
        <v>0</v>
      </c>
      <c r="L607" s="60">
        <v>0</v>
      </c>
      <c r="M607" s="60">
        <v>0</v>
      </c>
      <c r="N607" s="60">
        <v>0</v>
      </c>
      <c r="O607" s="60">
        <v>0</v>
      </c>
      <c r="P607" s="60">
        <v>0</v>
      </c>
      <c r="Q607" s="60">
        <v>0</v>
      </c>
      <c r="R607" s="60">
        <v>0</v>
      </c>
      <c r="S607" s="60">
        <v>0</v>
      </c>
      <c r="T607" s="60">
        <v>0</v>
      </c>
      <c r="U607" s="60">
        <v>0</v>
      </c>
      <c r="V607" s="60">
        <v>0</v>
      </c>
      <c r="W607" s="60">
        <v>0</v>
      </c>
      <c r="X607" s="60">
        <v>0</v>
      </c>
      <c r="Y607" s="60">
        <v>0</v>
      </c>
      <c r="Z607" s="60">
        <v>0</v>
      </c>
      <c r="AA607" s="60">
        <v>0</v>
      </c>
      <c r="AB607" s="60">
        <v>0</v>
      </c>
      <c r="AC607" s="60">
        <v>0</v>
      </c>
      <c r="AD607" s="60">
        <v>0</v>
      </c>
      <c r="AE607" s="60">
        <v>0</v>
      </c>
      <c r="AF607" s="60">
        <v>0</v>
      </c>
      <c r="AG607" s="60">
        <v>0</v>
      </c>
      <c r="AH607" s="60">
        <v>0</v>
      </c>
      <c r="AI607" s="60">
        <v>85.09</v>
      </c>
      <c r="AJ607" s="60">
        <v>95.44</v>
      </c>
      <c r="AK607" s="60">
        <v>89.27</v>
      </c>
      <c r="AL607" s="60">
        <v>0</v>
      </c>
      <c r="AM607" s="60">
        <v>0</v>
      </c>
      <c r="AN607" s="60">
        <v>0</v>
      </c>
      <c r="AO607" s="60">
        <v>85.09</v>
      </c>
      <c r="AP607" s="60">
        <v>95.44</v>
      </c>
      <c r="AQ607" s="60">
        <v>89.27</v>
      </c>
      <c r="AR607" s="61">
        <v>95.44</v>
      </c>
    </row>
    <row r="608" spans="1:44" x14ac:dyDescent="0.35">
      <c r="A608" s="49" t="str">
        <f t="shared" si="51"/>
        <v>28</v>
      </c>
      <c r="B608" s="27">
        <v>66282</v>
      </c>
      <c r="C608" s="25" t="str">
        <f t="shared" si="48"/>
        <v>0000000</v>
      </c>
      <c r="D608" s="26" t="s">
        <v>3663</v>
      </c>
      <c r="E608" s="25" t="s">
        <v>1453</v>
      </c>
      <c r="F608" s="25" t="s">
        <v>1446</v>
      </c>
      <c r="G608" s="59" t="s">
        <v>1454</v>
      </c>
      <c r="H608" s="60">
        <v>45.64</v>
      </c>
      <c r="I608" s="60">
        <v>47.9</v>
      </c>
      <c r="J608" s="60">
        <v>51.04</v>
      </c>
      <c r="K608" s="60">
        <v>0</v>
      </c>
      <c r="L608" s="60">
        <v>0</v>
      </c>
      <c r="M608" s="60">
        <v>0</v>
      </c>
      <c r="N608" s="60">
        <v>0</v>
      </c>
      <c r="O608" s="60">
        <v>0</v>
      </c>
      <c r="P608" s="60">
        <v>0</v>
      </c>
      <c r="Q608" s="60">
        <v>0</v>
      </c>
      <c r="R608" s="60">
        <v>0</v>
      </c>
      <c r="S608" s="60">
        <v>0</v>
      </c>
      <c r="T608" s="60">
        <v>0</v>
      </c>
      <c r="U608" s="60">
        <v>0</v>
      </c>
      <c r="V608" s="60">
        <v>0</v>
      </c>
      <c r="W608" s="60">
        <v>0</v>
      </c>
      <c r="X608" s="60">
        <v>0</v>
      </c>
      <c r="Y608" s="60">
        <v>0</v>
      </c>
      <c r="Z608" s="60">
        <v>0</v>
      </c>
      <c r="AA608" s="60">
        <v>0</v>
      </c>
      <c r="AB608" s="60">
        <v>0</v>
      </c>
      <c r="AC608" s="60">
        <v>0</v>
      </c>
      <c r="AD608" s="60">
        <v>0</v>
      </c>
      <c r="AE608" s="60">
        <v>0</v>
      </c>
      <c r="AF608" s="60">
        <v>0</v>
      </c>
      <c r="AG608" s="60">
        <v>0</v>
      </c>
      <c r="AH608" s="60">
        <v>0</v>
      </c>
      <c r="AI608" s="60">
        <v>45.64</v>
      </c>
      <c r="AJ608" s="60">
        <v>47.9</v>
      </c>
      <c r="AK608" s="60">
        <v>51.04</v>
      </c>
      <c r="AL608" s="60">
        <v>0</v>
      </c>
      <c r="AM608" s="60">
        <v>0</v>
      </c>
      <c r="AN608" s="60">
        <v>0</v>
      </c>
      <c r="AO608" s="60">
        <v>45.64</v>
      </c>
      <c r="AP608" s="60">
        <v>47.9</v>
      </c>
      <c r="AQ608" s="60">
        <v>51.04</v>
      </c>
      <c r="AR608" s="61">
        <v>51.04</v>
      </c>
    </row>
    <row r="609" spans="1:44" x14ac:dyDescent="0.35">
      <c r="A609" s="49" t="str">
        <f t="shared" si="51"/>
        <v>28</v>
      </c>
      <c r="B609" s="27">
        <v>66290</v>
      </c>
      <c r="C609" s="25" t="str">
        <f t="shared" si="48"/>
        <v>0000000</v>
      </c>
      <c r="D609" s="26" t="s">
        <v>3663</v>
      </c>
      <c r="E609" s="25" t="s">
        <v>1455</v>
      </c>
      <c r="F609" s="25" t="s">
        <v>1446</v>
      </c>
      <c r="G609" s="59" t="s">
        <v>1456</v>
      </c>
      <c r="H609" s="60">
        <v>1044.6300000000001</v>
      </c>
      <c r="I609" s="60">
        <v>1056.07</v>
      </c>
      <c r="J609" s="60">
        <v>1087.99</v>
      </c>
      <c r="K609" s="60">
        <v>0</v>
      </c>
      <c r="L609" s="60">
        <v>0</v>
      </c>
      <c r="M609" s="60">
        <v>0</v>
      </c>
      <c r="N609" s="60">
        <v>83.7</v>
      </c>
      <c r="O609" s="60">
        <v>69.099999999999994</v>
      </c>
      <c r="P609" s="60">
        <v>62.36</v>
      </c>
      <c r="Q609" s="60">
        <v>0</v>
      </c>
      <c r="R609" s="60">
        <v>0</v>
      </c>
      <c r="S609" s="60">
        <v>0</v>
      </c>
      <c r="T609" s="60">
        <v>0</v>
      </c>
      <c r="U609" s="60">
        <v>0</v>
      </c>
      <c r="V609" s="60">
        <v>0</v>
      </c>
      <c r="W609" s="60">
        <v>0</v>
      </c>
      <c r="X609" s="60">
        <v>0</v>
      </c>
      <c r="Y609" s="60">
        <v>0</v>
      </c>
      <c r="Z609" s="60">
        <v>0</v>
      </c>
      <c r="AA609" s="60">
        <v>0</v>
      </c>
      <c r="AB609" s="60">
        <v>0</v>
      </c>
      <c r="AC609" s="60">
        <v>0</v>
      </c>
      <c r="AD609" s="60">
        <v>0</v>
      </c>
      <c r="AE609" s="60">
        <v>0</v>
      </c>
      <c r="AF609" s="60">
        <v>0</v>
      </c>
      <c r="AG609" s="60">
        <v>0</v>
      </c>
      <c r="AH609" s="60">
        <v>0</v>
      </c>
      <c r="AI609" s="60">
        <v>1128.33</v>
      </c>
      <c r="AJ609" s="60">
        <v>1125.17</v>
      </c>
      <c r="AK609" s="60">
        <v>1150.3499999999999</v>
      </c>
      <c r="AL609" s="60">
        <v>0</v>
      </c>
      <c r="AM609" s="60">
        <v>0</v>
      </c>
      <c r="AN609" s="60">
        <v>0</v>
      </c>
      <c r="AO609" s="60">
        <v>1128.33</v>
      </c>
      <c r="AP609" s="60">
        <v>1125.17</v>
      </c>
      <c r="AQ609" s="60">
        <v>1150.3499999999999</v>
      </c>
      <c r="AR609" s="61">
        <v>1150.3499999999999</v>
      </c>
    </row>
    <row r="610" spans="1:44" x14ac:dyDescent="0.35">
      <c r="A610" s="49" t="str">
        <f t="shared" ref="A610:A656" si="52">TEXT(54,"00")</f>
        <v>54</v>
      </c>
      <c r="B610" s="27">
        <v>10546</v>
      </c>
      <c r="C610" s="25" t="str">
        <f t="shared" si="48"/>
        <v>0000000</v>
      </c>
      <c r="D610" s="26" t="s">
        <v>3663</v>
      </c>
      <c r="E610" s="25" t="s">
        <v>3310</v>
      </c>
      <c r="F610" s="25" t="s">
        <v>3311</v>
      </c>
      <c r="G610" s="59" t="s">
        <v>3311</v>
      </c>
      <c r="H610" s="60">
        <v>0</v>
      </c>
      <c r="I610" s="60">
        <v>0</v>
      </c>
      <c r="J610" s="60">
        <v>0</v>
      </c>
      <c r="K610" s="60">
        <v>0</v>
      </c>
      <c r="L610" s="60">
        <v>0</v>
      </c>
      <c r="M610" s="60">
        <v>0</v>
      </c>
      <c r="N610" s="60">
        <v>0</v>
      </c>
      <c r="O610" s="60">
        <v>0</v>
      </c>
      <c r="P610" s="60">
        <v>0</v>
      </c>
      <c r="Q610" s="60">
        <v>0</v>
      </c>
      <c r="R610" s="60">
        <v>0</v>
      </c>
      <c r="S610" s="60">
        <v>0</v>
      </c>
      <c r="T610" s="60">
        <v>92.75</v>
      </c>
      <c r="U610" s="60">
        <v>89.28</v>
      </c>
      <c r="V610" s="60">
        <v>68.06</v>
      </c>
      <c r="W610" s="60">
        <v>932.2</v>
      </c>
      <c r="X610" s="60">
        <v>852.82</v>
      </c>
      <c r="Y610" s="60">
        <v>825.32</v>
      </c>
      <c r="Z610" s="60">
        <v>410.71</v>
      </c>
      <c r="AA610" s="60">
        <v>449.8</v>
      </c>
      <c r="AB610" s="60">
        <v>445.64</v>
      </c>
      <c r="AC610" s="60">
        <v>0</v>
      </c>
      <c r="AD610" s="60">
        <v>0</v>
      </c>
      <c r="AE610" s="60">
        <v>0</v>
      </c>
      <c r="AF610" s="60">
        <v>0</v>
      </c>
      <c r="AG610" s="60">
        <v>0</v>
      </c>
      <c r="AH610" s="60">
        <v>0</v>
      </c>
      <c r="AI610" s="60">
        <v>1435.66</v>
      </c>
      <c r="AJ610" s="60">
        <v>1391.9</v>
      </c>
      <c r="AK610" s="60">
        <v>1339.02</v>
      </c>
      <c r="AL610" s="60">
        <v>0</v>
      </c>
      <c r="AM610" s="60">
        <v>0</v>
      </c>
      <c r="AN610" s="60">
        <v>0</v>
      </c>
      <c r="AO610" s="60">
        <v>1435.66</v>
      </c>
      <c r="AP610" s="60">
        <v>1391.9</v>
      </c>
      <c r="AQ610" s="60">
        <v>1339.02</v>
      </c>
      <c r="AR610" s="61">
        <v>1435.66</v>
      </c>
    </row>
    <row r="611" spans="1:44" x14ac:dyDescent="0.35">
      <c r="A611" s="49" t="str">
        <f t="shared" si="52"/>
        <v>54</v>
      </c>
      <c r="B611" s="27">
        <v>72249</v>
      </c>
      <c r="C611" s="25" t="str">
        <f t="shared" ref="C611:C642" si="53">TEXT(,"0000000")</f>
        <v>0000000</v>
      </c>
      <c r="D611" s="26" t="s">
        <v>3663</v>
      </c>
      <c r="E611" s="25" t="s">
        <v>3394</v>
      </c>
      <c r="F611" s="25" t="s">
        <v>3311</v>
      </c>
      <c r="G611" s="59" t="s">
        <v>3395</v>
      </c>
      <c r="H611" s="60">
        <v>5029.76</v>
      </c>
      <c r="I611" s="60">
        <v>5061.8900000000003</v>
      </c>
      <c r="J611" s="60">
        <v>5052.91</v>
      </c>
      <c r="K611" s="60">
        <v>0</v>
      </c>
      <c r="L611" s="60">
        <v>0</v>
      </c>
      <c r="M611" s="60">
        <v>0</v>
      </c>
      <c r="N611" s="60">
        <v>0</v>
      </c>
      <c r="O611" s="60">
        <v>0</v>
      </c>
      <c r="P611" s="60">
        <v>0</v>
      </c>
      <c r="Q611" s="60">
        <v>0</v>
      </c>
      <c r="R611" s="60">
        <v>0</v>
      </c>
      <c r="S611" s="60">
        <v>0</v>
      </c>
      <c r="T611" s="60">
        <v>0</v>
      </c>
      <c r="U611" s="60">
        <v>0</v>
      </c>
      <c r="V611" s="60">
        <v>0</v>
      </c>
      <c r="W611" s="60">
        <v>0</v>
      </c>
      <c r="X611" s="60">
        <v>0</v>
      </c>
      <c r="Y611" s="60">
        <v>0</v>
      </c>
      <c r="Z611" s="60">
        <v>0</v>
      </c>
      <c r="AA611" s="60">
        <v>0</v>
      </c>
      <c r="AB611" s="60">
        <v>0</v>
      </c>
      <c r="AC611" s="60">
        <v>337.55</v>
      </c>
      <c r="AD611" s="60">
        <v>343.63</v>
      </c>
      <c r="AE611" s="60">
        <v>341.73</v>
      </c>
      <c r="AF611" s="60">
        <v>0</v>
      </c>
      <c r="AG611" s="60">
        <v>0</v>
      </c>
      <c r="AH611" s="60">
        <v>0</v>
      </c>
      <c r="AI611" s="60">
        <v>5367.31</v>
      </c>
      <c r="AJ611" s="60">
        <v>5405.52</v>
      </c>
      <c r="AK611" s="60">
        <v>5394.64</v>
      </c>
      <c r="AL611" s="60">
        <v>0</v>
      </c>
      <c r="AM611" s="60">
        <v>0</v>
      </c>
      <c r="AN611" s="60">
        <v>0</v>
      </c>
      <c r="AO611" s="60">
        <v>5367.31</v>
      </c>
      <c r="AP611" s="60">
        <v>5405.52</v>
      </c>
      <c r="AQ611" s="60">
        <v>5394.64</v>
      </c>
      <c r="AR611" s="61">
        <v>5405.52</v>
      </c>
    </row>
    <row r="612" spans="1:44" x14ac:dyDescent="0.35">
      <c r="A612" s="49" t="str">
        <f t="shared" si="52"/>
        <v>54</v>
      </c>
      <c r="B612" s="27">
        <v>71860</v>
      </c>
      <c r="C612" s="25" t="str">
        <f t="shared" si="53"/>
        <v>0000000</v>
      </c>
      <c r="D612" s="26" t="s">
        <v>3663</v>
      </c>
      <c r="E612" s="25" t="s">
        <v>3338</v>
      </c>
      <c r="F612" s="25" t="s">
        <v>3311</v>
      </c>
      <c r="G612" s="59" t="s">
        <v>3339</v>
      </c>
      <c r="H612" s="60">
        <v>3637.8</v>
      </c>
      <c r="I612" s="60">
        <v>3641.63</v>
      </c>
      <c r="J612" s="60">
        <v>3563.02</v>
      </c>
      <c r="K612" s="60">
        <v>0</v>
      </c>
      <c r="L612" s="60">
        <v>0</v>
      </c>
      <c r="M612" s="60">
        <v>0</v>
      </c>
      <c r="N612" s="60">
        <v>0</v>
      </c>
      <c r="O612" s="60">
        <v>0</v>
      </c>
      <c r="P612" s="60">
        <v>0</v>
      </c>
      <c r="Q612" s="60">
        <v>0</v>
      </c>
      <c r="R612" s="60">
        <v>0</v>
      </c>
      <c r="S612" s="60">
        <v>0</v>
      </c>
      <c r="T612" s="60">
        <v>0</v>
      </c>
      <c r="U612" s="60">
        <v>0</v>
      </c>
      <c r="V612" s="60">
        <v>0</v>
      </c>
      <c r="W612" s="60">
        <v>0</v>
      </c>
      <c r="X612" s="60">
        <v>0</v>
      </c>
      <c r="Y612" s="60">
        <v>0</v>
      </c>
      <c r="Z612" s="60">
        <v>0</v>
      </c>
      <c r="AA612" s="60">
        <v>0</v>
      </c>
      <c r="AB612" s="60">
        <v>0</v>
      </c>
      <c r="AC612" s="60">
        <v>0</v>
      </c>
      <c r="AD612" s="60">
        <v>0</v>
      </c>
      <c r="AE612" s="60">
        <v>0</v>
      </c>
      <c r="AF612" s="60">
        <v>0</v>
      </c>
      <c r="AG612" s="60">
        <v>0</v>
      </c>
      <c r="AH612" s="60">
        <v>0</v>
      </c>
      <c r="AI612" s="60">
        <v>3637.8</v>
      </c>
      <c r="AJ612" s="60">
        <v>3641.63</v>
      </c>
      <c r="AK612" s="60">
        <v>3563.02</v>
      </c>
      <c r="AL612" s="60">
        <v>0</v>
      </c>
      <c r="AM612" s="60">
        <v>0</v>
      </c>
      <c r="AN612" s="60">
        <v>0</v>
      </c>
      <c r="AO612" s="60">
        <v>3637.8</v>
      </c>
      <c r="AP612" s="60">
        <v>3641.63</v>
      </c>
      <c r="AQ612" s="60">
        <v>3563.02</v>
      </c>
      <c r="AR612" s="61">
        <v>3641.63</v>
      </c>
    </row>
    <row r="613" spans="1:44" x14ac:dyDescent="0.35">
      <c r="A613" s="49" t="str">
        <f t="shared" si="52"/>
        <v>54</v>
      </c>
      <c r="B613" s="27">
        <v>72256</v>
      </c>
      <c r="C613" s="25" t="str">
        <f t="shared" si="53"/>
        <v>0000000</v>
      </c>
      <c r="D613" s="26" t="s">
        <v>3663</v>
      </c>
      <c r="E613" s="25" t="s">
        <v>3396</v>
      </c>
      <c r="F613" s="25" t="s">
        <v>3311</v>
      </c>
      <c r="G613" s="59" t="s">
        <v>3397</v>
      </c>
      <c r="H613" s="60">
        <v>25576.560000000001</v>
      </c>
      <c r="I613" s="60">
        <v>25394.560000000001</v>
      </c>
      <c r="J613" s="60">
        <v>24620.29</v>
      </c>
      <c r="K613" s="60">
        <v>0</v>
      </c>
      <c r="L613" s="60">
        <v>0</v>
      </c>
      <c r="M613" s="60">
        <v>0</v>
      </c>
      <c r="N613" s="60">
        <v>0</v>
      </c>
      <c r="O613" s="60">
        <v>0</v>
      </c>
      <c r="P613" s="60">
        <v>0</v>
      </c>
      <c r="Q613" s="60">
        <v>0</v>
      </c>
      <c r="R613" s="60">
        <v>0</v>
      </c>
      <c r="S613" s="60">
        <v>0</v>
      </c>
      <c r="T613" s="60">
        <v>0</v>
      </c>
      <c r="U613" s="60">
        <v>0</v>
      </c>
      <c r="V613" s="60">
        <v>0</v>
      </c>
      <c r="W613" s="60">
        <v>0</v>
      </c>
      <c r="X613" s="60">
        <v>0</v>
      </c>
      <c r="Y613" s="60">
        <v>0</v>
      </c>
      <c r="Z613" s="60">
        <v>0</v>
      </c>
      <c r="AA613" s="60">
        <v>0</v>
      </c>
      <c r="AB613" s="60">
        <v>0</v>
      </c>
      <c r="AC613" s="60">
        <v>1306.27</v>
      </c>
      <c r="AD613" s="60">
        <v>1333.7</v>
      </c>
      <c r="AE613" s="60">
        <v>1258.58</v>
      </c>
      <c r="AF613" s="60">
        <v>0</v>
      </c>
      <c r="AG613" s="60">
        <v>0</v>
      </c>
      <c r="AH613" s="60">
        <v>0</v>
      </c>
      <c r="AI613" s="60">
        <v>26882.83</v>
      </c>
      <c r="AJ613" s="60">
        <v>26728.26</v>
      </c>
      <c r="AK613" s="60">
        <v>25878.87</v>
      </c>
      <c r="AL613" s="60">
        <v>0</v>
      </c>
      <c r="AM613" s="60">
        <v>0</v>
      </c>
      <c r="AN613" s="60">
        <v>0</v>
      </c>
      <c r="AO613" s="60">
        <v>26882.83</v>
      </c>
      <c r="AP613" s="60">
        <v>26728.26</v>
      </c>
      <c r="AQ613" s="60">
        <v>25878.87</v>
      </c>
      <c r="AR613" s="61">
        <v>26882.83</v>
      </c>
    </row>
    <row r="614" spans="1:44" x14ac:dyDescent="0.35">
      <c r="A614" s="49" t="str">
        <f t="shared" si="52"/>
        <v>54</v>
      </c>
      <c r="B614" s="27">
        <v>71902</v>
      </c>
      <c r="C614" s="25" t="str">
        <f t="shared" si="53"/>
        <v>0000000</v>
      </c>
      <c r="D614" s="26" t="s">
        <v>3663</v>
      </c>
      <c r="E614" s="25" t="s">
        <v>3342</v>
      </c>
      <c r="F614" s="25" t="s">
        <v>3311</v>
      </c>
      <c r="G614" s="59" t="s">
        <v>3343</v>
      </c>
      <c r="H614" s="60">
        <v>1307.51</v>
      </c>
      <c r="I614" s="60">
        <v>1292.03</v>
      </c>
      <c r="J614" s="60">
        <v>1322.03</v>
      </c>
      <c r="K614" s="60">
        <v>0</v>
      </c>
      <c r="L614" s="60">
        <v>0</v>
      </c>
      <c r="M614" s="60">
        <v>0</v>
      </c>
      <c r="N614" s="60">
        <v>0</v>
      </c>
      <c r="O614" s="60">
        <v>0</v>
      </c>
      <c r="P614" s="60">
        <v>0</v>
      </c>
      <c r="Q614" s="60">
        <v>0</v>
      </c>
      <c r="R614" s="60">
        <v>0</v>
      </c>
      <c r="S614" s="60">
        <v>0</v>
      </c>
      <c r="T614" s="60">
        <v>0</v>
      </c>
      <c r="U614" s="60">
        <v>0</v>
      </c>
      <c r="V614" s="60">
        <v>0</v>
      </c>
      <c r="W614" s="60">
        <v>0</v>
      </c>
      <c r="X614" s="60">
        <v>0</v>
      </c>
      <c r="Y614" s="60">
        <v>0</v>
      </c>
      <c r="Z614" s="60">
        <v>0</v>
      </c>
      <c r="AA614" s="60">
        <v>0</v>
      </c>
      <c r="AB614" s="60">
        <v>0</v>
      </c>
      <c r="AC614" s="60">
        <v>0</v>
      </c>
      <c r="AD614" s="60">
        <v>0</v>
      </c>
      <c r="AE614" s="60">
        <v>0</v>
      </c>
      <c r="AF614" s="60">
        <v>0</v>
      </c>
      <c r="AG614" s="60">
        <v>0</v>
      </c>
      <c r="AH614" s="60">
        <v>0</v>
      </c>
      <c r="AI614" s="60">
        <v>1307.51</v>
      </c>
      <c r="AJ614" s="60">
        <v>1292.03</v>
      </c>
      <c r="AK614" s="60">
        <v>1322.03</v>
      </c>
      <c r="AL614" s="60">
        <v>0</v>
      </c>
      <c r="AM614" s="60">
        <v>0</v>
      </c>
      <c r="AN614" s="60">
        <v>0</v>
      </c>
      <c r="AO614" s="60">
        <v>1307.51</v>
      </c>
      <c r="AP614" s="60">
        <v>1292.03</v>
      </c>
      <c r="AQ614" s="60">
        <v>1322.03</v>
      </c>
      <c r="AR614" s="61">
        <v>1322.03</v>
      </c>
    </row>
    <row r="615" spans="1:44" x14ac:dyDescent="0.35">
      <c r="A615" s="49" t="str">
        <f t="shared" si="52"/>
        <v>54</v>
      </c>
      <c r="B615" s="27">
        <v>72231</v>
      </c>
      <c r="C615" s="25" t="str">
        <f t="shared" si="53"/>
        <v>0000000</v>
      </c>
      <c r="D615" s="26" t="s">
        <v>3663</v>
      </c>
      <c r="E615" s="25" t="s">
        <v>3392</v>
      </c>
      <c r="F615" s="25" t="s">
        <v>3311</v>
      </c>
      <c r="G615" s="59" t="s">
        <v>3393</v>
      </c>
      <c r="H615" s="60">
        <v>8783.0499999999993</v>
      </c>
      <c r="I615" s="60">
        <v>8572.1</v>
      </c>
      <c r="J615" s="60">
        <v>8365.35</v>
      </c>
      <c r="K615" s="60">
        <v>0</v>
      </c>
      <c r="L615" s="60">
        <v>0</v>
      </c>
      <c r="M615" s="60">
        <v>0</v>
      </c>
      <c r="N615" s="60">
        <v>0</v>
      </c>
      <c r="O615" s="60">
        <v>0</v>
      </c>
      <c r="P615" s="60">
        <v>0</v>
      </c>
      <c r="Q615" s="60">
        <v>0</v>
      </c>
      <c r="R615" s="60">
        <v>0</v>
      </c>
      <c r="S615" s="60">
        <v>0</v>
      </c>
      <c r="T615" s="60">
        <v>0</v>
      </c>
      <c r="U615" s="60">
        <v>0</v>
      </c>
      <c r="V615" s="60">
        <v>0</v>
      </c>
      <c r="W615" s="60">
        <v>0</v>
      </c>
      <c r="X615" s="60">
        <v>0</v>
      </c>
      <c r="Y615" s="60">
        <v>0</v>
      </c>
      <c r="Z615" s="60">
        <v>0</v>
      </c>
      <c r="AA615" s="60">
        <v>0</v>
      </c>
      <c r="AB615" s="60">
        <v>0</v>
      </c>
      <c r="AC615" s="60">
        <v>0</v>
      </c>
      <c r="AD615" s="60">
        <v>0</v>
      </c>
      <c r="AE615" s="60">
        <v>0</v>
      </c>
      <c r="AF615" s="60">
        <v>0</v>
      </c>
      <c r="AG615" s="60">
        <v>0</v>
      </c>
      <c r="AH615" s="60">
        <v>0</v>
      </c>
      <c r="AI615" s="60">
        <v>8783.0499999999993</v>
      </c>
      <c r="AJ615" s="60">
        <v>8572.1</v>
      </c>
      <c r="AK615" s="60">
        <v>8365.35</v>
      </c>
      <c r="AL615" s="60">
        <v>0</v>
      </c>
      <c r="AM615" s="60">
        <v>0</v>
      </c>
      <c r="AN615" s="60">
        <v>0</v>
      </c>
      <c r="AO615" s="60">
        <v>8783.0499999999993</v>
      </c>
      <c r="AP615" s="60">
        <v>8572.1</v>
      </c>
      <c r="AQ615" s="60">
        <v>8365.35</v>
      </c>
      <c r="AR615" s="61">
        <v>8783.0499999999993</v>
      </c>
    </row>
    <row r="616" spans="1:44" x14ac:dyDescent="0.35">
      <c r="A616" s="49" t="str">
        <f t="shared" si="52"/>
        <v>54</v>
      </c>
      <c r="B616" s="27">
        <v>71993</v>
      </c>
      <c r="C616" s="25" t="str">
        <f t="shared" si="53"/>
        <v>0000000</v>
      </c>
      <c r="D616" s="26" t="s">
        <v>3663</v>
      </c>
      <c r="E616" s="25" t="s">
        <v>3350</v>
      </c>
      <c r="F616" s="25" t="s">
        <v>3311</v>
      </c>
      <c r="G616" s="59" t="s">
        <v>3351</v>
      </c>
      <c r="H616" s="60">
        <v>3734.19</v>
      </c>
      <c r="I616" s="60">
        <v>3674</v>
      </c>
      <c r="J616" s="60">
        <v>3573.3</v>
      </c>
      <c r="K616" s="60">
        <v>0</v>
      </c>
      <c r="L616" s="60">
        <v>0</v>
      </c>
      <c r="M616" s="60">
        <v>0</v>
      </c>
      <c r="N616" s="60">
        <v>0</v>
      </c>
      <c r="O616" s="60">
        <v>0</v>
      </c>
      <c r="P616" s="60">
        <v>0</v>
      </c>
      <c r="Q616" s="60">
        <v>0</v>
      </c>
      <c r="R616" s="60">
        <v>0</v>
      </c>
      <c r="S616" s="60">
        <v>0</v>
      </c>
      <c r="T616" s="60">
        <v>0</v>
      </c>
      <c r="U616" s="60">
        <v>0</v>
      </c>
      <c r="V616" s="60">
        <v>0</v>
      </c>
      <c r="W616" s="60">
        <v>0</v>
      </c>
      <c r="X616" s="60">
        <v>0</v>
      </c>
      <c r="Y616" s="60">
        <v>0</v>
      </c>
      <c r="Z616" s="60">
        <v>0</v>
      </c>
      <c r="AA616" s="60">
        <v>0</v>
      </c>
      <c r="AB616" s="60">
        <v>0</v>
      </c>
      <c r="AC616" s="60">
        <v>39.869999999999997</v>
      </c>
      <c r="AD616" s="60">
        <v>33.21</v>
      </c>
      <c r="AE616" s="60">
        <v>32.659999999999997</v>
      </c>
      <c r="AF616" s="60">
        <v>0</v>
      </c>
      <c r="AG616" s="60">
        <v>0</v>
      </c>
      <c r="AH616" s="60">
        <v>0</v>
      </c>
      <c r="AI616" s="60">
        <v>3774.06</v>
      </c>
      <c r="AJ616" s="60">
        <v>3707.21</v>
      </c>
      <c r="AK616" s="60">
        <v>3605.96</v>
      </c>
      <c r="AL616" s="60">
        <v>0</v>
      </c>
      <c r="AM616" s="60">
        <v>0</v>
      </c>
      <c r="AN616" s="60">
        <v>0</v>
      </c>
      <c r="AO616" s="60">
        <v>3774.06</v>
      </c>
      <c r="AP616" s="60">
        <v>3707.21</v>
      </c>
      <c r="AQ616" s="60">
        <v>3605.96</v>
      </c>
      <c r="AR616" s="61">
        <v>3774.06</v>
      </c>
    </row>
    <row r="617" spans="1:44" x14ac:dyDescent="0.35">
      <c r="A617" s="49" t="str">
        <f t="shared" si="52"/>
        <v>54</v>
      </c>
      <c r="B617" s="27">
        <v>72173</v>
      </c>
      <c r="C617" s="25" t="str">
        <f t="shared" si="53"/>
        <v>0000000</v>
      </c>
      <c r="D617" s="26" t="s">
        <v>3663</v>
      </c>
      <c r="E617" s="25" t="s">
        <v>3380</v>
      </c>
      <c r="F617" s="25" t="s">
        <v>3311</v>
      </c>
      <c r="G617" s="59" t="s">
        <v>3381</v>
      </c>
      <c r="H617" s="60">
        <v>805.06</v>
      </c>
      <c r="I617" s="60">
        <v>788.23</v>
      </c>
      <c r="J617" s="60">
        <v>760.83</v>
      </c>
      <c r="K617" s="60">
        <v>0</v>
      </c>
      <c r="L617" s="60">
        <v>0</v>
      </c>
      <c r="M617" s="60">
        <v>0</v>
      </c>
      <c r="N617" s="60">
        <v>0</v>
      </c>
      <c r="O617" s="60">
        <v>0</v>
      </c>
      <c r="P617" s="60">
        <v>0</v>
      </c>
      <c r="Q617" s="60">
        <v>0</v>
      </c>
      <c r="R617" s="60">
        <v>0</v>
      </c>
      <c r="S617" s="60">
        <v>0</v>
      </c>
      <c r="T617" s="60">
        <v>0</v>
      </c>
      <c r="U617" s="60">
        <v>0</v>
      </c>
      <c r="V617" s="60">
        <v>0</v>
      </c>
      <c r="W617" s="60">
        <v>0</v>
      </c>
      <c r="X617" s="60">
        <v>0</v>
      </c>
      <c r="Y617" s="60">
        <v>0</v>
      </c>
      <c r="Z617" s="60">
        <v>0</v>
      </c>
      <c r="AA617" s="60">
        <v>0</v>
      </c>
      <c r="AB617" s="60">
        <v>0</v>
      </c>
      <c r="AC617" s="60">
        <v>0</v>
      </c>
      <c r="AD617" s="60">
        <v>0</v>
      </c>
      <c r="AE617" s="60">
        <v>0</v>
      </c>
      <c r="AF617" s="60">
        <v>0</v>
      </c>
      <c r="AG617" s="60">
        <v>0</v>
      </c>
      <c r="AH617" s="60">
        <v>0</v>
      </c>
      <c r="AI617" s="60">
        <v>805.06</v>
      </c>
      <c r="AJ617" s="60">
        <v>788.23</v>
      </c>
      <c r="AK617" s="60">
        <v>760.83</v>
      </c>
      <c r="AL617" s="60">
        <v>0</v>
      </c>
      <c r="AM617" s="60">
        <v>0</v>
      </c>
      <c r="AN617" s="60">
        <v>0</v>
      </c>
      <c r="AO617" s="60">
        <v>805.06</v>
      </c>
      <c r="AP617" s="60">
        <v>788.23</v>
      </c>
      <c r="AQ617" s="60">
        <v>760.83</v>
      </c>
      <c r="AR617" s="61">
        <v>805.06</v>
      </c>
    </row>
    <row r="618" spans="1:44" x14ac:dyDescent="0.35">
      <c r="A618" s="49" t="str">
        <f t="shared" si="52"/>
        <v>54</v>
      </c>
      <c r="B618" s="27">
        <v>71837</v>
      </c>
      <c r="C618" s="25" t="str">
        <f t="shared" si="53"/>
        <v>0000000</v>
      </c>
      <c r="D618" s="26" t="s">
        <v>3663</v>
      </c>
      <c r="E618" s="25" t="s">
        <v>3334</v>
      </c>
      <c r="F618" s="25" t="s">
        <v>3311</v>
      </c>
      <c r="G618" s="59" t="s">
        <v>3335</v>
      </c>
      <c r="H618" s="60">
        <v>2304.58</v>
      </c>
      <c r="I618" s="60">
        <v>2267.0700000000002</v>
      </c>
      <c r="J618" s="60">
        <v>2285.6999999999998</v>
      </c>
      <c r="K618" s="60">
        <v>0</v>
      </c>
      <c r="L618" s="60">
        <v>0</v>
      </c>
      <c r="M618" s="60">
        <v>0</v>
      </c>
      <c r="N618" s="60">
        <v>0</v>
      </c>
      <c r="O618" s="60">
        <v>0</v>
      </c>
      <c r="P618" s="60">
        <v>0</v>
      </c>
      <c r="Q618" s="60">
        <v>0</v>
      </c>
      <c r="R618" s="60">
        <v>0</v>
      </c>
      <c r="S618" s="60">
        <v>0</v>
      </c>
      <c r="T618" s="60">
        <v>0</v>
      </c>
      <c r="U618" s="60">
        <v>0</v>
      </c>
      <c r="V618" s="60">
        <v>0</v>
      </c>
      <c r="W618" s="60">
        <v>0</v>
      </c>
      <c r="X618" s="60">
        <v>0</v>
      </c>
      <c r="Y618" s="60">
        <v>0</v>
      </c>
      <c r="Z618" s="60">
        <v>0</v>
      </c>
      <c r="AA618" s="60">
        <v>0</v>
      </c>
      <c r="AB618" s="60">
        <v>0</v>
      </c>
      <c r="AC618" s="60">
        <v>2314.06</v>
      </c>
      <c r="AD618" s="60">
        <v>2239.29</v>
      </c>
      <c r="AE618" s="60">
        <v>2135.5</v>
      </c>
      <c r="AF618" s="60">
        <v>0</v>
      </c>
      <c r="AG618" s="60">
        <v>0</v>
      </c>
      <c r="AH618" s="60">
        <v>0</v>
      </c>
      <c r="AI618" s="60">
        <v>4618.6400000000003</v>
      </c>
      <c r="AJ618" s="60">
        <v>4506.3599999999997</v>
      </c>
      <c r="AK618" s="60">
        <v>4421.2</v>
      </c>
      <c r="AL618" s="60">
        <v>0</v>
      </c>
      <c r="AM618" s="60">
        <v>0</v>
      </c>
      <c r="AN618" s="60">
        <v>0</v>
      </c>
      <c r="AO618" s="60">
        <v>4618.6400000000003</v>
      </c>
      <c r="AP618" s="60">
        <v>4506.3599999999997</v>
      </c>
      <c r="AQ618" s="60">
        <v>4421.2</v>
      </c>
      <c r="AR618" s="61">
        <v>4618.6400000000003</v>
      </c>
    </row>
    <row r="619" spans="1:44" x14ac:dyDescent="0.35">
      <c r="A619" s="49" t="str">
        <f t="shared" si="52"/>
        <v>54</v>
      </c>
      <c r="B619" s="27">
        <v>72298</v>
      </c>
      <c r="C619" s="25" t="str">
        <f t="shared" si="53"/>
        <v>0000000</v>
      </c>
      <c r="D619" s="26" t="s">
        <v>3663</v>
      </c>
      <c r="E619" s="25" t="s">
        <v>3400</v>
      </c>
      <c r="F619" s="25" t="s">
        <v>3311</v>
      </c>
      <c r="G619" s="59" t="s">
        <v>3401</v>
      </c>
      <c r="H619" s="60">
        <v>364.14</v>
      </c>
      <c r="I619" s="60">
        <v>390.35</v>
      </c>
      <c r="J619" s="60">
        <v>379.12</v>
      </c>
      <c r="K619" s="60">
        <v>0</v>
      </c>
      <c r="L619" s="60">
        <v>0</v>
      </c>
      <c r="M619" s="60">
        <v>0</v>
      </c>
      <c r="N619" s="60">
        <v>0</v>
      </c>
      <c r="O619" s="60">
        <v>0</v>
      </c>
      <c r="P619" s="60">
        <v>0</v>
      </c>
      <c r="Q619" s="60">
        <v>0</v>
      </c>
      <c r="R619" s="60">
        <v>0</v>
      </c>
      <c r="S619" s="60">
        <v>0</v>
      </c>
      <c r="T619" s="60">
        <v>0</v>
      </c>
      <c r="U619" s="60">
        <v>0</v>
      </c>
      <c r="V619" s="60">
        <v>0</v>
      </c>
      <c r="W619" s="60">
        <v>0</v>
      </c>
      <c r="X619" s="60">
        <v>0</v>
      </c>
      <c r="Y619" s="60">
        <v>0</v>
      </c>
      <c r="Z619" s="60">
        <v>0</v>
      </c>
      <c r="AA619" s="60">
        <v>0</v>
      </c>
      <c r="AB619" s="60">
        <v>0</v>
      </c>
      <c r="AC619" s="60">
        <v>0</v>
      </c>
      <c r="AD619" s="60">
        <v>0</v>
      </c>
      <c r="AE619" s="60">
        <v>0</v>
      </c>
      <c r="AF619" s="60">
        <v>0</v>
      </c>
      <c r="AG619" s="60">
        <v>0</v>
      </c>
      <c r="AH619" s="60">
        <v>0</v>
      </c>
      <c r="AI619" s="60">
        <v>364.14</v>
      </c>
      <c r="AJ619" s="60">
        <v>390.35</v>
      </c>
      <c r="AK619" s="60">
        <v>379.12</v>
      </c>
      <c r="AL619" s="60">
        <v>0</v>
      </c>
      <c r="AM619" s="60">
        <v>0</v>
      </c>
      <c r="AN619" s="60">
        <v>0</v>
      </c>
      <c r="AO619" s="60">
        <v>364.14</v>
      </c>
      <c r="AP619" s="60">
        <v>390.35</v>
      </c>
      <c r="AQ619" s="60">
        <v>379.12</v>
      </c>
      <c r="AR619" s="61">
        <v>390.35</v>
      </c>
    </row>
    <row r="620" spans="1:44" x14ac:dyDescent="0.35">
      <c r="A620" s="49" t="str">
        <f t="shared" si="52"/>
        <v>54</v>
      </c>
      <c r="B620" s="27">
        <v>72041</v>
      </c>
      <c r="C620" s="25" t="str">
        <f t="shared" si="53"/>
        <v>0000000</v>
      </c>
      <c r="D620" s="26" t="s">
        <v>3663</v>
      </c>
      <c r="E620" s="25" t="s">
        <v>3360</v>
      </c>
      <c r="F620" s="25" t="s">
        <v>3311</v>
      </c>
      <c r="G620" s="59" t="s">
        <v>3361</v>
      </c>
      <c r="H620" s="60">
        <v>814.56</v>
      </c>
      <c r="I620" s="60">
        <v>826.75</v>
      </c>
      <c r="J620" s="60">
        <v>810.75</v>
      </c>
      <c r="K620" s="60">
        <v>0</v>
      </c>
      <c r="L620" s="60">
        <v>0</v>
      </c>
      <c r="M620" s="60">
        <v>0</v>
      </c>
      <c r="N620" s="60">
        <v>0</v>
      </c>
      <c r="O620" s="60">
        <v>0</v>
      </c>
      <c r="P620" s="60">
        <v>0</v>
      </c>
      <c r="Q620" s="60">
        <v>0</v>
      </c>
      <c r="R620" s="60">
        <v>0</v>
      </c>
      <c r="S620" s="60">
        <v>0</v>
      </c>
      <c r="T620" s="60">
        <v>0</v>
      </c>
      <c r="U620" s="60">
        <v>0</v>
      </c>
      <c r="V620" s="60">
        <v>0</v>
      </c>
      <c r="W620" s="60">
        <v>0</v>
      </c>
      <c r="X620" s="60">
        <v>0</v>
      </c>
      <c r="Y620" s="60">
        <v>0</v>
      </c>
      <c r="Z620" s="60">
        <v>0</v>
      </c>
      <c r="AA620" s="60">
        <v>0</v>
      </c>
      <c r="AB620" s="60">
        <v>0</v>
      </c>
      <c r="AC620" s="60">
        <v>0</v>
      </c>
      <c r="AD620" s="60">
        <v>0</v>
      </c>
      <c r="AE620" s="60">
        <v>0</v>
      </c>
      <c r="AF620" s="60">
        <v>0</v>
      </c>
      <c r="AG620" s="60">
        <v>0</v>
      </c>
      <c r="AH620" s="60">
        <v>0</v>
      </c>
      <c r="AI620" s="60">
        <v>814.56</v>
      </c>
      <c r="AJ620" s="60">
        <v>826.75</v>
      </c>
      <c r="AK620" s="60">
        <v>810.75</v>
      </c>
      <c r="AL620" s="60">
        <v>0</v>
      </c>
      <c r="AM620" s="60">
        <v>0</v>
      </c>
      <c r="AN620" s="60">
        <v>0</v>
      </c>
      <c r="AO620" s="60">
        <v>814.56</v>
      </c>
      <c r="AP620" s="60">
        <v>826.75</v>
      </c>
      <c r="AQ620" s="60">
        <v>810.75</v>
      </c>
      <c r="AR620" s="61">
        <v>826.75</v>
      </c>
    </row>
    <row r="621" spans="1:44" x14ac:dyDescent="0.35">
      <c r="A621" s="49" t="str">
        <f t="shared" si="52"/>
        <v>54</v>
      </c>
      <c r="B621" s="27">
        <v>71969</v>
      </c>
      <c r="C621" s="25" t="str">
        <f t="shared" si="53"/>
        <v>0000000</v>
      </c>
      <c r="D621" s="26" t="s">
        <v>3663</v>
      </c>
      <c r="E621" s="25" t="s">
        <v>3347</v>
      </c>
      <c r="F621" s="25" t="s">
        <v>3311</v>
      </c>
      <c r="G621" s="59" t="s">
        <v>3348</v>
      </c>
      <c r="H621" s="60">
        <v>387.09</v>
      </c>
      <c r="I621" s="60">
        <v>378.83</v>
      </c>
      <c r="J621" s="60">
        <v>354.28</v>
      </c>
      <c r="K621" s="60">
        <v>0</v>
      </c>
      <c r="L621" s="60">
        <v>0</v>
      </c>
      <c r="M621" s="60">
        <v>0</v>
      </c>
      <c r="N621" s="60">
        <v>0</v>
      </c>
      <c r="O621" s="60">
        <v>0</v>
      </c>
      <c r="P621" s="60">
        <v>0</v>
      </c>
      <c r="Q621" s="60">
        <v>0</v>
      </c>
      <c r="R621" s="60">
        <v>0</v>
      </c>
      <c r="S621" s="60">
        <v>0</v>
      </c>
      <c r="T621" s="60">
        <v>0</v>
      </c>
      <c r="U621" s="60">
        <v>0</v>
      </c>
      <c r="V621" s="60">
        <v>0</v>
      </c>
      <c r="W621" s="60">
        <v>0</v>
      </c>
      <c r="X621" s="60">
        <v>0</v>
      </c>
      <c r="Y621" s="60">
        <v>0</v>
      </c>
      <c r="Z621" s="60">
        <v>0</v>
      </c>
      <c r="AA621" s="60">
        <v>0</v>
      </c>
      <c r="AB621" s="60">
        <v>0</v>
      </c>
      <c r="AC621" s="60">
        <v>0</v>
      </c>
      <c r="AD621" s="60">
        <v>0</v>
      </c>
      <c r="AE621" s="60">
        <v>0</v>
      </c>
      <c r="AF621" s="60">
        <v>0</v>
      </c>
      <c r="AG621" s="60">
        <v>0</v>
      </c>
      <c r="AH621" s="60">
        <v>0</v>
      </c>
      <c r="AI621" s="60">
        <v>387.09</v>
      </c>
      <c r="AJ621" s="60">
        <v>378.83</v>
      </c>
      <c r="AK621" s="60">
        <v>354.28</v>
      </c>
      <c r="AL621" s="60">
        <v>0</v>
      </c>
      <c r="AM621" s="60">
        <v>0</v>
      </c>
      <c r="AN621" s="60">
        <v>0</v>
      </c>
      <c r="AO621" s="60">
        <v>387.09</v>
      </c>
      <c r="AP621" s="60">
        <v>378.83</v>
      </c>
      <c r="AQ621" s="60">
        <v>354.28</v>
      </c>
      <c r="AR621" s="61">
        <v>387.09</v>
      </c>
    </row>
    <row r="622" spans="1:44" x14ac:dyDescent="0.35">
      <c r="A622" s="49" t="str">
        <f t="shared" si="52"/>
        <v>54</v>
      </c>
      <c r="B622" s="27">
        <v>71803</v>
      </c>
      <c r="C622" s="25" t="str">
        <f t="shared" si="53"/>
        <v>0000000</v>
      </c>
      <c r="D622" s="26" t="s">
        <v>3663</v>
      </c>
      <c r="E622" s="25" t="s">
        <v>3323</v>
      </c>
      <c r="F622" s="25" t="s">
        <v>3311</v>
      </c>
      <c r="G622" s="59" t="s">
        <v>3324</v>
      </c>
      <c r="H622" s="60">
        <v>339.75</v>
      </c>
      <c r="I622" s="60">
        <v>336.85</v>
      </c>
      <c r="J622" s="60">
        <v>290.51</v>
      </c>
      <c r="K622" s="60">
        <v>0</v>
      </c>
      <c r="L622" s="60">
        <v>0</v>
      </c>
      <c r="M622" s="60">
        <v>0</v>
      </c>
      <c r="N622" s="60">
        <v>0</v>
      </c>
      <c r="O622" s="60">
        <v>0</v>
      </c>
      <c r="P622" s="60">
        <v>0</v>
      </c>
      <c r="Q622" s="60">
        <v>0</v>
      </c>
      <c r="R622" s="60">
        <v>0</v>
      </c>
      <c r="S622" s="60">
        <v>0</v>
      </c>
      <c r="T622" s="60">
        <v>0</v>
      </c>
      <c r="U622" s="60">
        <v>0</v>
      </c>
      <c r="V622" s="60">
        <v>0</v>
      </c>
      <c r="W622" s="60">
        <v>0</v>
      </c>
      <c r="X622" s="60">
        <v>0</v>
      </c>
      <c r="Y622" s="60">
        <v>0</v>
      </c>
      <c r="Z622" s="60">
        <v>0</v>
      </c>
      <c r="AA622" s="60">
        <v>0</v>
      </c>
      <c r="AB622" s="60">
        <v>0</v>
      </c>
      <c r="AC622" s="60">
        <v>0</v>
      </c>
      <c r="AD622" s="60">
        <v>0</v>
      </c>
      <c r="AE622" s="60">
        <v>0</v>
      </c>
      <c r="AF622" s="60">
        <v>0</v>
      </c>
      <c r="AG622" s="60">
        <v>0</v>
      </c>
      <c r="AH622" s="60">
        <v>0</v>
      </c>
      <c r="AI622" s="60">
        <v>339.75</v>
      </c>
      <c r="AJ622" s="60">
        <v>336.85</v>
      </c>
      <c r="AK622" s="60">
        <v>290.51</v>
      </c>
      <c r="AL622" s="60">
        <v>0</v>
      </c>
      <c r="AM622" s="60">
        <v>0</v>
      </c>
      <c r="AN622" s="60">
        <v>0</v>
      </c>
      <c r="AO622" s="60">
        <v>339.75</v>
      </c>
      <c r="AP622" s="60">
        <v>336.85</v>
      </c>
      <c r="AQ622" s="60">
        <v>290.51</v>
      </c>
      <c r="AR622" s="61">
        <v>339.75</v>
      </c>
    </row>
    <row r="623" spans="1:44" x14ac:dyDescent="0.35">
      <c r="A623" s="49" t="str">
        <f t="shared" si="52"/>
        <v>54</v>
      </c>
      <c r="B623" s="27">
        <v>72033</v>
      </c>
      <c r="C623" s="25" t="str">
        <f t="shared" si="53"/>
        <v>0000000</v>
      </c>
      <c r="D623" s="26" t="s">
        <v>3663</v>
      </c>
      <c r="E623" s="25" t="s">
        <v>3358</v>
      </c>
      <c r="F623" s="25" t="s">
        <v>3311</v>
      </c>
      <c r="G623" s="59" t="s">
        <v>3359</v>
      </c>
      <c r="H623" s="60">
        <v>481.61</v>
      </c>
      <c r="I623" s="60">
        <v>468.51</v>
      </c>
      <c r="J623" s="60">
        <v>437.15</v>
      </c>
      <c r="K623" s="60">
        <v>0</v>
      </c>
      <c r="L623" s="60">
        <v>0</v>
      </c>
      <c r="M623" s="60">
        <v>0</v>
      </c>
      <c r="N623" s="60">
        <v>0</v>
      </c>
      <c r="O623" s="60">
        <v>0</v>
      </c>
      <c r="P623" s="60">
        <v>0</v>
      </c>
      <c r="Q623" s="60">
        <v>0</v>
      </c>
      <c r="R623" s="60">
        <v>0</v>
      </c>
      <c r="S623" s="60">
        <v>0</v>
      </c>
      <c r="T623" s="60">
        <v>0</v>
      </c>
      <c r="U623" s="60">
        <v>0</v>
      </c>
      <c r="V623" s="60">
        <v>0</v>
      </c>
      <c r="W623" s="60">
        <v>0</v>
      </c>
      <c r="X623" s="60">
        <v>0</v>
      </c>
      <c r="Y623" s="60">
        <v>0</v>
      </c>
      <c r="Z623" s="60">
        <v>0</v>
      </c>
      <c r="AA623" s="60">
        <v>0</v>
      </c>
      <c r="AB623" s="60">
        <v>0</v>
      </c>
      <c r="AC623" s="60">
        <v>0</v>
      </c>
      <c r="AD623" s="60">
        <v>0</v>
      </c>
      <c r="AE623" s="60">
        <v>0</v>
      </c>
      <c r="AF623" s="60">
        <v>0</v>
      </c>
      <c r="AG623" s="60">
        <v>0</v>
      </c>
      <c r="AH623" s="60">
        <v>0</v>
      </c>
      <c r="AI623" s="60">
        <v>481.61</v>
      </c>
      <c r="AJ623" s="60">
        <v>468.51</v>
      </c>
      <c r="AK623" s="60">
        <v>437.15</v>
      </c>
      <c r="AL623" s="60">
        <v>0</v>
      </c>
      <c r="AM623" s="60">
        <v>0</v>
      </c>
      <c r="AN623" s="60">
        <v>0</v>
      </c>
      <c r="AO623" s="60">
        <v>481.61</v>
      </c>
      <c r="AP623" s="60">
        <v>468.51</v>
      </c>
      <c r="AQ623" s="60">
        <v>437.15</v>
      </c>
      <c r="AR623" s="61">
        <v>481.61</v>
      </c>
    </row>
    <row r="624" spans="1:44" x14ac:dyDescent="0.35">
      <c r="A624" s="49" t="str">
        <f t="shared" si="52"/>
        <v>54</v>
      </c>
      <c r="B624" s="27">
        <v>72199</v>
      </c>
      <c r="C624" s="25" t="str">
        <f t="shared" si="53"/>
        <v>0000000</v>
      </c>
      <c r="D624" s="26" t="s">
        <v>3663</v>
      </c>
      <c r="E624" s="25" t="s">
        <v>3384</v>
      </c>
      <c r="F624" s="25" t="s">
        <v>3311</v>
      </c>
      <c r="G624" s="59" t="s">
        <v>3385</v>
      </c>
      <c r="H624" s="60">
        <v>690.16</v>
      </c>
      <c r="I624" s="60">
        <v>692.7</v>
      </c>
      <c r="J624" s="60">
        <v>750.04</v>
      </c>
      <c r="K624" s="60">
        <v>0</v>
      </c>
      <c r="L624" s="60">
        <v>0</v>
      </c>
      <c r="M624" s="60">
        <v>0</v>
      </c>
      <c r="N624" s="60">
        <v>0</v>
      </c>
      <c r="O624" s="60">
        <v>0</v>
      </c>
      <c r="P624" s="60">
        <v>0</v>
      </c>
      <c r="Q624" s="60">
        <v>0</v>
      </c>
      <c r="R624" s="60">
        <v>0</v>
      </c>
      <c r="S624" s="60">
        <v>0</v>
      </c>
      <c r="T624" s="60">
        <v>0</v>
      </c>
      <c r="U624" s="60">
        <v>0</v>
      </c>
      <c r="V624" s="60">
        <v>0</v>
      </c>
      <c r="W624" s="60">
        <v>0</v>
      </c>
      <c r="X624" s="60">
        <v>0</v>
      </c>
      <c r="Y624" s="60">
        <v>0</v>
      </c>
      <c r="Z624" s="60">
        <v>0</v>
      </c>
      <c r="AA624" s="60">
        <v>0</v>
      </c>
      <c r="AB624" s="60">
        <v>0</v>
      </c>
      <c r="AC624" s="60">
        <v>0</v>
      </c>
      <c r="AD624" s="60">
        <v>0</v>
      </c>
      <c r="AE624" s="60">
        <v>0</v>
      </c>
      <c r="AF624" s="60">
        <v>0</v>
      </c>
      <c r="AG624" s="60">
        <v>0</v>
      </c>
      <c r="AH624" s="60">
        <v>0</v>
      </c>
      <c r="AI624" s="60">
        <v>690.16</v>
      </c>
      <c r="AJ624" s="60">
        <v>692.7</v>
      </c>
      <c r="AK624" s="60">
        <v>750.04</v>
      </c>
      <c r="AL624" s="60">
        <v>0</v>
      </c>
      <c r="AM624" s="60">
        <v>0</v>
      </c>
      <c r="AN624" s="60">
        <v>0</v>
      </c>
      <c r="AO624" s="60">
        <v>690.16</v>
      </c>
      <c r="AP624" s="60">
        <v>692.7</v>
      </c>
      <c r="AQ624" s="60">
        <v>750.04</v>
      </c>
      <c r="AR624" s="61">
        <v>750.04</v>
      </c>
    </row>
    <row r="625" spans="1:44" x14ac:dyDescent="0.35">
      <c r="A625" s="49" t="str">
        <f t="shared" si="52"/>
        <v>54</v>
      </c>
      <c r="B625" s="27">
        <v>75325</v>
      </c>
      <c r="C625" s="25" t="str">
        <f t="shared" si="53"/>
        <v>0000000</v>
      </c>
      <c r="D625" s="26" t="s">
        <v>3663</v>
      </c>
      <c r="E625" s="25" t="s">
        <v>3402</v>
      </c>
      <c r="F625" s="25" t="s">
        <v>3311</v>
      </c>
      <c r="G625" s="59" t="s">
        <v>3403</v>
      </c>
      <c r="H625" s="60">
        <v>2256.3000000000002</v>
      </c>
      <c r="I625" s="60">
        <v>2274.5500000000002</v>
      </c>
      <c r="J625" s="60">
        <v>2242.83</v>
      </c>
      <c r="K625" s="60">
        <v>0</v>
      </c>
      <c r="L625" s="60">
        <v>0</v>
      </c>
      <c r="M625" s="60">
        <v>0</v>
      </c>
      <c r="N625" s="60">
        <v>0</v>
      </c>
      <c r="O625" s="60">
        <v>0</v>
      </c>
      <c r="P625" s="60">
        <v>0</v>
      </c>
      <c r="Q625" s="60">
        <v>0</v>
      </c>
      <c r="R625" s="60">
        <v>0</v>
      </c>
      <c r="S625" s="60">
        <v>0</v>
      </c>
      <c r="T625" s="60">
        <v>0</v>
      </c>
      <c r="U625" s="60">
        <v>0</v>
      </c>
      <c r="V625" s="60">
        <v>0</v>
      </c>
      <c r="W625" s="60">
        <v>0</v>
      </c>
      <c r="X625" s="60">
        <v>0</v>
      </c>
      <c r="Y625" s="60">
        <v>0</v>
      </c>
      <c r="Z625" s="60">
        <v>0</v>
      </c>
      <c r="AA625" s="60">
        <v>0</v>
      </c>
      <c r="AB625" s="60">
        <v>0</v>
      </c>
      <c r="AC625" s="60">
        <v>0</v>
      </c>
      <c r="AD625" s="60">
        <v>0</v>
      </c>
      <c r="AE625" s="60">
        <v>0</v>
      </c>
      <c r="AF625" s="60">
        <v>0</v>
      </c>
      <c r="AG625" s="60">
        <v>0</v>
      </c>
      <c r="AH625" s="60">
        <v>0</v>
      </c>
      <c r="AI625" s="60">
        <v>2256.3000000000002</v>
      </c>
      <c r="AJ625" s="60">
        <v>2274.5500000000002</v>
      </c>
      <c r="AK625" s="60">
        <v>2242.83</v>
      </c>
      <c r="AL625" s="60">
        <v>0</v>
      </c>
      <c r="AM625" s="60">
        <v>0</v>
      </c>
      <c r="AN625" s="60">
        <v>0</v>
      </c>
      <c r="AO625" s="60">
        <v>2256.3000000000002</v>
      </c>
      <c r="AP625" s="60">
        <v>2274.5500000000002</v>
      </c>
      <c r="AQ625" s="60">
        <v>2242.83</v>
      </c>
      <c r="AR625" s="61">
        <v>2274.5500000000002</v>
      </c>
    </row>
    <row r="626" spans="1:44" x14ac:dyDescent="0.35">
      <c r="A626" s="49" t="str">
        <f t="shared" si="52"/>
        <v>54</v>
      </c>
      <c r="B626" s="27">
        <v>75531</v>
      </c>
      <c r="C626" s="25" t="str">
        <f t="shared" si="53"/>
        <v>0000000</v>
      </c>
      <c r="D626" s="26" t="s">
        <v>3663</v>
      </c>
      <c r="E626" s="25" t="s">
        <v>3406</v>
      </c>
      <c r="F626" s="25" t="s">
        <v>3311</v>
      </c>
      <c r="G626" s="59" t="s">
        <v>3407</v>
      </c>
      <c r="H626" s="60">
        <v>5665.34</v>
      </c>
      <c r="I626" s="60">
        <v>5838.4</v>
      </c>
      <c r="J626" s="60">
        <v>5936.48</v>
      </c>
      <c r="K626" s="60">
        <v>0</v>
      </c>
      <c r="L626" s="60">
        <v>0</v>
      </c>
      <c r="M626" s="60">
        <v>0</v>
      </c>
      <c r="N626" s="60">
        <v>0</v>
      </c>
      <c r="O626" s="60">
        <v>0</v>
      </c>
      <c r="P626" s="60">
        <v>0</v>
      </c>
      <c r="Q626" s="60">
        <v>0</v>
      </c>
      <c r="R626" s="60">
        <v>0</v>
      </c>
      <c r="S626" s="60">
        <v>0</v>
      </c>
      <c r="T626" s="60">
        <v>0</v>
      </c>
      <c r="U626" s="60">
        <v>0</v>
      </c>
      <c r="V626" s="60">
        <v>0</v>
      </c>
      <c r="W626" s="60">
        <v>0</v>
      </c>
      <c r="X626" s="60">
        <v>0</v>
      </c>
      <c r="Y626" s="60">
        <v>0</v>
      </c>
      <c r="Z626" s="60">
        <v>0</v>
      </c>
      <c r="AA626" s="60">
        <v>0</v>
      </c>
      <c r="AB626" s="60">
        <v>0</v>
      </c>
      <c r="AC626" s="60">
        <v>0</v>
      </c>
      <c r="AD626" s="60">
        <v>0</v>
      </c>
      <c r="AE626" s="60">
        <v>0</v>
      </c>
      <c r="AF626" s="60">
        <v>0</v>
      </c>
      <c r="AG626" s="60">
        <v>0</v>
      </c>
      <c r="AH626" s="60">
        <v>0</v>
      </c>
      <c r="AI626" s="60">
        <v>5665.34</v>
      </c>
      <c r="AJ626" s="60">
        <v>5838.4</v>
      </c>
      <c r="AK626" s="60">
        <v>5936.48</v>
      </c>
      <c r="AL626" s="60">
        <v>0</v>
      </c>
      <c r="AM626" s="60">
        <v>0</v>
      </c>
      <c r="AN626" s="60">
        <v>0</v>
      </c>
      <c r="AO626" s="60">
        <v>5665.34</v>
      </c>
      <c r="AP626" s="60">
        <v>5838.4</v>
      </c>
      <c r="AQ626" s="60">
        <v>5936.48</v>
      </c>
      <c r="AR626" s="61">
        <v>5936.48</v>
      </c>
    </row>
    <row r="627" spans="1:44" x14ac:dyDescent="0.35">
      <c r="A627" s="49" t="str">
        <f t="shared" si="52"/>
        <v>54</v>
      </c>
      <c r="B627" s="27">
        <v>75523</v>
      </c>
      <c r="C627" s="25" t="str">
        <f t="shared" si="53"/>
        <v>0000000</v>
      </c>
      <c r="D627" s="26" t="s">
        <v>3663</v>
      </c>
      <c r="E627" s="25" t="s">
        <v>3404</v>
      </c>
      <c r="F627" s="25" t="s">
        <v>3311</v>
      </c>
      <c r="G627" s="59" t="s">
        <v>3405</v>
      </c>
      <c r="H627" s="60">
        <v>11823.93</v>
      </c>
      <c r="I627" s="60">
        <v>12076.97</v>
      </c>
      <c r="J627" s="60">
        <v>11983.04</v>
      </c>
      <c r="K627" s="60">
        <v>0</v>
      </c>
      <c r="L627" s="60">
        <v>0</v>
      </c>
      <c r="M627" s="60">
        <v>0</v>
      </c>
      <c r="N627" s="60">
        <v>0</v>
      </c>
      <c r="O627" s="60">
        <v>0</v>
      </c>
      <c r="P627" s="60">
        <v>0</v>
      </c>
      <c r="Q627" s="60">
        <v>0</v>
      </c>
      <c r="R627" s="60">
        <v>0</v>
      </c>
      <c r="S627" s="60">
        <v>0</v>
      </c>
      <c r="T627" s="60">
        <v>0</v>
      </c>
      <c r="U627" s="60">
        <v>0</v>
      </c>
      <c r="V627" s="60">
        <v>0</v>
      </c>
      <c r="W627" s="60">
        <v>0</v>
      </c>
      <c r="X627" s="60">
        <v>0</v>
      </c>
      <c r="Y627" s="60">
        <v>0</v>
      </c>
      <c r="Z627" s="60">
        <v>0</v>
      </c>
      <c r="AA627" s="60">
        <v>0</v>
      </c>
      <c r="AB627" s="60">
        <v>0</v>
      </c>
      <c r="AC627" s="60">
        <v>1185.01</v>
      </c>
      <c r="AD627" s="60">
        <v>1089.03</v>
      </c>
      <c r="AE627" s="60">
        <v>848.36</v>
      </c>
      <c r="AF627" s="60">
        <v>0</v>
      </c>
      <c r="AG627" s="60">
        <v>0</v>
      </c>
      <c r="AH627" s="60">
        <v>0</v>
      </c>
      <c r="AI627" s="60">
        <v>13008.94</v>
      </c>
      <c r="AJ627" s="60">
        <v>13166</v>
      </c>
      <c r="AK627" s="60">
        <v>12831.4</v>
      </c>
      <c r="AL627" s="60">
        <v>0</v>
      </c>
      <c r="AM627" s="60">
        <v>0</v>
      </c>
      <c r="AN627" s="60">
        <v>0</v>
      </c>
      <c r="AO627" s="60">
        <v>13008.94</v>
      </c>
      <c r="AP627" s="60">
        <v>13166</v>
      </c>
      <c r="AQ627" s="60">
        <v>12831.4</v>
      </c>
      <c r="AR627" s="61">
        <v>13166</v>
      </c>
    </row>
    <row r="628" spans="1:44" x14ac:dyDescent="0.35">
      <c r="A628" s="49" t="str">
        <f t="shared" si="52"/>
        <v>54</v>
      </c>
      <c r="B628" s="27">
        <v>71795</v>
      </c>
      <c r="C628" s="25" t="str">
        <f t="shared" si="53"/>
        <v>0000000</v>
      </c>
      <c r="D628" s="26" t="s">
        <v>3663</v>
      </c>
      <c r="E628" s="25" t="s">
        <v>3321</v>
      </c>
      <c r="F628" s="25" t="s">
        <v>3311</v>
      </c>
      <c r="G628" s="59" t="s">
        <v>3322</v>
      </c>
      <c r="H628" s="60">
        <v>95.75</v>
      </c>
      <c r="I628" s="60">
        <v>78.88</v>
      </c>
      <c r="J628" s="60">
        <v>71.099999999999994</v>
      </c>
      <c r="K628" s="60">
        <v>0</v>
      </c>
      <c r="L628" s="60">
        <v>0</v>
      </c>
      <c r="M628" s="60">
        <v>0</v>
      </c>
      <c r="N628" s="60">
        <v>0</v>
      </c>
      <c r="O628" s="60">
        <v>0</v>
      </c>
      <c r="P628" s="60">
        <v>0</v>
      </c>
      <c r="Q628" s="60">
        <v>0</v>
      </c>
      <c r="R628" s="60">
        <v>0</v>
      </c>
      <c r="S628" s="60">
        <v>0</v>
      </c>
      <c r="T628" s="60">
        <v>0</v>
      </c>
      <c r="U628" s="60">
        <v>0</v>
      </c>
      <c r="V628" s="60">
        <v>0</v>
      </c>
      <c r="W628" s="60">
        <v>0</v>
      </c>
      <c r="X628" s="60">
        <v>0</v>
      </c>
      <c r="Y628" s="60">
        <v>0</v>
      </c>
      <c r="Z628" s="60">
        <v>0</v>
      </c>
      <c r="AA628" s="60">
        <v>0</v>
      </c>
      <c r="AB628" s="60">
        <v>0</v>
      </c>
      <c r="AC628" s="60">
        <v>0</v>
      </c>
      <c r="AD628" s="60">
        <v>0</v>
      </c>
      <c r="AE628" s="60">
        <v>0</v>
      </c>
      <c r="AF628" s="60">
        <v>0</v>
      </c>
      <c r="AG628" s="60">
        <v>0</v>
      </c>
      <c r="AH628" s="60">
        <v>0</v>
      </c>
      <c r="AI628" s="60">
        <v>95.75</v>
      </c>
      <c r="AJ628" s="60">
        <v>78.88</v>
      </c>
      <c r="AK628" s="60">
        <v>71.099999999999994</v>
      </c>
      <c r="AL628" s="60">
        <v>0</v>
      </c>
      <c r="AM628" s="60">
        <v>0</v>
      </c>
      <c r="AN628" s="60">
        <v>0</v>
      </c>
      <c r="AO628" s="60">
        <v>95.75</v>
      </c>
      <c r="AP628" s="60">
        <v>78.88</v>
      </c>
      <c r="AQ628" s="60">
        <v>71.099999999999994</v>
      </c>
      <c r="AR628" s="61">
        <v>95.75</v>
      </c>
    </row>
    <row r="629" spans="1:44" x14ac:dyDescent="0.35">
      <c r="A629" s="49" t="str">
        <f t="shared" si="52"/>
        <v>54</v>
      </c>
      <c r="B629" s="27">
        <v>71811</v>
      </c>
      <c r="C629" s="25" t="str">
        <f t="shared" si="53"/>
        <v>0000000</v>
      </c>
      <c r="D629" s="26" t="s">
        <v>3663</v>
      </c>
      <c r="E629" s="25" t="s">
        <v>3328</v>
      </c>
      <c r="F629" s="25" t="s">
        <v>3311</v>
      </c>
      <c r="G629" s="59" t="s">
        <v>3329</v>
      </c>
      <c r="H629" s="60">
        <v>482.05</v>
      </c>
      <c r="I629" s="60">
        <v>464.11</v>
      </c>
      <c r="J629" s="60">
        <v>433.53</v>
      </c>
      <c r="K629" s="60">
        <v>0</v>
      </c>
      <c r="L629" s="60">
        <v>0</v>
      </c>
      <c r="M629" s="60">
        <v>0</v>
      </c>
      <c r="N629" s="60">
        <v>0</v>
      </c>
      <c r="O629" s="60">
        <v>0</v>
      </c>
      <c r="P629" s="60">
        <v>0</v>
      </c>
      <c r="Q629" s="60">
        <v>0</v>
      </c>
      <c r="R629" s="60">
        <v>0</v>
      </c>
      <c r="S629" s="60">
        <v>0</v>
      </c>
      <c r="T629" s="60">
        <v>0</v>
      </c>
      <c r="U629" s="60">
        <v>0</v>
      </c>
      <c r="V629" s="60">
        <v>0</v>
      </c>
      <c r="W629" s="60">
        <v>0</v>
      </c>
      <c r="X629" s="60">
        <v>0</v>
      </c>
      <c r="Y629" s="60">
        <v>0</v>
      </c>
      <c r="Z629" s="60">
        <v>0</v>
      </c>
      <c r="AA629" s="60">
        <v>0</v>
      </c>
      <c r="AB629" s="60">
        <v>0</v>
      </c>
      <c r="AC629" s="60">
        <v>0</v>
      </c>
      <c r="AD629" s="60">
        <v>0</v>
      </c>
      <c r="AE629" s="60">
        <v>0</v>
      </c>
      <c r="AF629" s="60">
        <v>0</v>
      </c>
      <c r="AG629" s="60">
        <v>0</v>
      </c>
      <c r="AH629" s="60">
        <v>0</v>
      </c>
      <c r="AI629" s="60">
        <v>482.05</v>
      </c>
      <c r="AJ629" s="60">
        <v>464.11</v>
      </c>
      <c r="AK629" s="60">
        <v>433.53</v>
      </c>
      <c r="AL629" s="60">
        <v>0</v>
      </c>
      <c r="AM629" s="60">
        <v>0</v>
      </c>
      <c r="AN629" s="60">
        <v>0</v>
      </c>
      <c r="AO629" s="60">
        <v>482.05</v>
      </c>
      <c r="AP629" s="60">
        <v>464.11</v>
      </c>
      <c r="AQ629" s="60">
        <v>433.53</v>
      </c>
      <c r="AR629" s="61">
        <v>482.05</v>
      </c>
    </row>
    <row r="630" spans="1:44" x14ac:dyDescent="0.35">
      <c r="A630" s="49" t="str">
        <f t="shared" si="52"/>
        <v>54</v>
      </c>
      <c r="B630" s="27">
        <v>71829</v>
      </c>
      <c r="C630" s="25" t="str">
        <f t="shared" si="53"/>
        <v>0000000</v>
      </c>
      <c r="D630" s="26" t="s">
        <v>3663</v>
      </c>
      <c r="E630" s="25" t="s">
        <v>3332</v>
      </c>
      <c r="F630" s="25" t="s">
        <v>3311</v>
      </c>
      <c r="G630" s="59" t="s">
        <v>3333</v>
      </c>
      <c r="H630" s="60">
        <v>166.4</v>
      </c>
      <c r="I630" s="60">
        <v>179.62</v>
      </c>
      <c r="J630" s="60">
        <v>176.42</v>
      </c>
      <c r="K630" s="60">
        <v>0</v>
      </c>
      <c r="L630" s="60">
        <v>0</v>
      </c>
      <c r="M630" s="60">
        <v>0</v>
      </c>
      <c r="N630" s="60">
        <v>0</v>
      </c>
      <c r="O630" s="60">
        <v>0</v>
      </c>
      <c r="P630" s="60">
        <v>0</v>
      </c>
      <c r="Q630" s="60">
        <v>0</v>
      </c>
      <c r="R630" s="60">
        <v>0</v>
      </c>
      <c r="S630" s="60">
        <v>0</v>
      </c>
      <c r="T630" s="60">
        <v>0</v>
      </c>
      <c r="U630" s="60">
        <v>0</v>
      </c>
      <c r="V630" s="60">
        <v>0</v>
      </c>
      <c r="W630" s="60">
        <v>0</v>
      </c>
      <c r="X630" s="60">
        <v>0</v>
      </c>
      <c r="Y630" s="60">
        <v>0</v>
      </c>
      <c r="Z630" s="60">
        <v>0</v>
      </c>
      <c r="AA630" s="60">
        <v>0</v>
      </c>
      <c r="AB630" s="60">
        <v>0</v>
      </c>
      <c r="AC630" s="60">
        <v>0</v>
      </c>
      <c r="AD630" s="60">
        <v>0</v>
      </c>
      <c r="AE630" s="60">
        <v>0</v>
      </c>
      <c r="AF630" s="60">
        <v>0</v>
      </c>
      <c r="AG630" s="60">
        <v>0</v>
      </c>
      <c r="AH630" s="60">
        <v>0</v>
      </c>
      <c r="AI630" s="60">
        <v>166.4</v>
      </c>
      <c r="AJ630" s="60">
        <v>179.62</v>
      </c>
      <c r="AK630" s="60">
        <v>176.42</v>
      </c>
      <c r="AL630" s="60">
        <v>0</v>
      </c>
      <c r="AM630" s="60">
        <v>0</v>
      </c>
      <c r="AN630" s="60">
        <v>0</v>
      </c>
      <c r="AO630" s="60">
        <v>166.4</v>
      </c>
      <c r="AP630" s="60">
        <v>179.62</v>
      </c>
      <c r="AQ630" s="60">
        <v>176.42</v>
      </c>
      <c r="AR630" s="61">
        <v>179.62</v>
      </c>
    </row>
    <row r="631" spans="1:44" x14ac:dyDescent="0.35">
      <c r="A631" s="49" t="str">
        <f t="shared" si="52"/>
        <v>54</v>
      </c>
      <c r="B631" s="27">
        <v>71852</v>
      </c>
      <c r="C631" s="25" t="str">
        <f t="shared" si="53"/>
        <v>0000000</v>
      </c>
      <c r="D631" s="26" t="s">
        <v>3663</v>
      </c>
      <c r="E631" s="25" t="s">
        <v>3336</v>
      </c>
      <c r="F631" s="25" t="s">
        <v>3311</v>
      </c>
      <c r="G631" s="59" t="s">
        <v>3337</v>
      </c>
      <c r="H631" s="60">
        <v>170.86</v>
      </c>
      <c r="I631" s="60">
        <v>177.95</v>
      </c>
      <c r="J631" s="60">
        <v>174.95</v>
      </c>
      <c r="K631" s="60">
        <v>0</v>
      </c>
      <c r="L631" s="60">
        <v>0</v>
      </c>
      <c r="M631" s="60">
        <v>0</v>
      </c>
      <c r="N631" s="60">
        <v>0</v>
      </c>
      <c r="O631" s="60">
        <v>0</v>
      </c>
      <c r="P631" s="60">
        <v>0</v>
      </c>
      <c r="Q631" s="60">
        <v>0</v>
      </c>
      <c r="R631" s="60">
        <v>0</v>
      </c>
      <c r="S631" s="60">
        <v>0</v>
      </c>
      <c r="T631" s="60">
        <v>0</v>
      </c>
      <c r="U631" s="60">
        <v>0</v>
      </c>
      <c r="V631" s="60">
        <v>0</v>
      </c>
      <c r="W631" s="60">
        <v>0</v>
      </c>
      <c r="X631" s="60">
        <v>0</v>
      </c>
      <c r="Y631" s="60">
        <v>0</v>
      </c>
      <c r="Z631" s="60">
        <v>0</v>
      </c>
      <c r="AA631" s="60">
        <v>0</v>
      </c>
      <c r="AB631" s="60">
        <v>0</v>
      </c>
      <c r="AC631" s="60">
        <v>0</v>
      </c>
      <c r="AD631" s="60">
        <v>0</v>
      </c>
      <c r="AE631" s="60">
        <v>0</v>
      </c>
      <c r="AF631" s="60">
        <v>0</v>
      </c>
      <c r="AG631" s="60">
        <v>0</v>
      </c>
      <c r="AH631" s="60">
        <v>0</v>
      </c>
      <c r="AI631" s="60">
        <v>170.86</v>
      </c>
      <c r="AJ631" s="60">
        <v>177.95</v>
      </c>
      <c r="AK631" s="60">
        <v>174.95</v>
      </c>
      <c r="AL631" s="60">
        <v>0</v>
      </c>
      <c r="AM631" s="60">
        <v>0</v>
      </c>
      <c r="AN631" s="60">
        <v>0</v>
      </c>
      <c r="AO631" s="60">
        <v>170.86</v>
      </c>
      <c r="AP631" s="60">
        <v>177.95</v>
      </c>
      <c r="AQ631" s="60">
        <v>174.95</v>
      </c>
      <c r="AR631" s="61">
        <v>177.95</v>
      </c>
    </row>
    <row r="632" spans="1:44" x14ac:dyDescent="0.35">
      <c r="A632" s="49" t="str">
        <f t="shared" si="52"/>
        <v>54</v>
      </c>
      <c r="B632" s="27">
        <v>71894</v>
      </c>
      <c r="C632" s="25" t="str">
        <f t="shared" si="53"/>
        <v>0000000</v>
      </c>
      <c r="D632" s="26" t="s">
        <v>3663</v>
      </c>
      <c r="E632" s="25" t="s">
        <v>3340</v>
      </c>
      <c r="F632" s="25" t="s">
        <v>3311</v>
      </c>
      <c r="G632" s="59" t="s">
        <v>3341</v>
      </c>
      <c r="H632" s="60">
        <v>144.97999999999999</v>
      </c>
      <c r="I632" s="60">
        <v>122.05</v>
      </c>
      <c r="J632" s="60">
        <v>113.26</v>
      </c>
      <c r="K632" s="60">
        <v>0</v>
      </c>
      <c r="L632" s="60">
        <v>0</v>
      </c>
      <c r="M632" s="60">
        <v>0</v>
      </c>
      <c r="N632" s="60">
        <v>0</v>
      </c>
      <c r="O632" s="60">
        <v>0</v>
      </c>
      <c r="P632" s="60">
        <v>0</v>
      </c>
      <c r="Q632" s="60">
        <v>0</v>
      </c>
      <c r="R632" s="60">
        <v>0</v>
      </c>
      <c r="S632" s="60">
        <v>0</v>
      </c>
      <c r="T632" s="60">
        <v>0</v>
      </c>
      <c r="U632" s="60">
        <v>0</v>
      </c>
      <c r="V632" s="60">
        <v>0</v>
      </c>
      <c r="W632" s="60">
        <v>0</v>
      </c>
      <c r="X632" s="60">
        <v>0</v>
      </c>
      <c r="Y632" s="60">
        <v>0</v>
      </c>
      <c r="Z632" s="60">
        <v>0</v>
      </c>
      <c r="AA632" s="60">
        <v>0</v>
      </c>
      <c r="AB632" s="60">
        <v>0</v>
      </c>
      <c r="AC632" s="60">
        <v>0</v>
      </c>
      <c r="AD632" s="60">
        <v>0</v>
      </c>
      <c r="AE632" s="60">
        <v>0</v>
      </c>
      <c r="AF632" s="60">
        <v>0</v>
      </c>
      <c r="AG632" s="60">
        <v>0</v>
      </c>
      <c r="AH632" s="60">
        <v>0</v>
      </c>
      <c r="AI632" s="60">
        <v>144.97999999999999</v>
      </c>
      <c r="AJ632" s="60">
        <v>122.05</v>
      </c>
      <c r="AK632" s="60">
        <v>113.26</v>
      </c>
      <c r="AL632" s="60">
        <v>0</v>
      </c>
      <c r="AM632" s="60">
        <v>0</v>
      </c>
      <c r="AN632" s="60">
        <v>0</v>
      </c>
      <c r="AO632" s="60">
        <v>144.97999999999999</v>
      </c>
      <c r="AP632" s="60">
        <v>122.05</v>
      </c>
      <c r="AQ632" s="60">
        <v>113.26</v>
      </c>
      <c r="AR632" s="61">
        <v>144.97999999999999</v>
      </c>
    </row>
    <row r="633" spans="1:44" x14ac:dyDescent="0.35">
      <c r="A633" s="49" t="str">
        <f t="shared" si="52"/>
        <v>54</v>
      </c>
      <c r="B633" s="27">
        <v>71944</v>
      </c>
      <c r="C633" s="25" t="str">
        <f t="shared" si="53"/>
        <v>0000000</v>
      </c>
      <c r="D633" s="26" t="s">
        <v>3663</v>
      </c>
      <c r="E633" s="25" t="s">
        <v>3344</v>
      </c>
      <c r="F633" s="25" t="s">
        <v>3311</v>
      </c>
      <c r="G633" s="59" t="s">
        <v>2645</v>
      </c>
      <c r="H633" s="60">
        <v>212.62</v>
      </c>
      <c r="I633" s="60">
        <v>217.06</v>
      </c>
      <c r="J633" s="60">
        <v>216.67</v>
      </c>
      <c r="K633" s="60">
        <v>0</v>
      </c>
      <c r="L633" s="60">
        <v>0</v>
      </c>
      <c r="M633" s="60">
        <v>0</v>
      </c>
      <c r="N633" s="60">
        <v>0</v>
      </c>
      <c r="O633" s="60">
        <v>0</v>
      </c>
      <c r="P633" s="60">
        <v>0</v>
      </c>
      <c r="Q633" s="60">
        <v>0</v>
      </c>
      <c r="R633" s="60">
        <v>0</v>
      </c>
      <c r="S633" s="60">
        <v>0</v>
      </c>
      <c r="T633" s="60">
        <v>0</v>
      </c>
      <c r="U633" s="60">
        <v>0</v>
      </c>
      <c r="V633" s="60">
        <v>0</v>
      </c>
      <c r="W633" s="60">
        <v>0</v>
      </c>
      <c r="X633" s="60">
        <v>0</v>
      </c>
      <c r="Y633" s="60">
        <v>0</v>
      </c>
      <c r="Z633" s="60">
        <v>0</v>
      </c>
      <c r="AA633" s="60">
        <v>0</v>
      </c>
      <c r="AB633" s="60">
        <v>0</v>
      </c>
      <c r="AC633" s="60">
        <v>0</v>
      </c>
      <c r="AD633" s="60">
        <v>0</v>
      </c>
      <c r="AE633" s="60">
        <v>0</v>
      </c>
      <c r="AF633" s="60">
        <v>0</v>
      </c>
      <c r="AG633" s="60">
        <v>0</v>
      </c>
      <c r="AH633" s="60">
        <v>0</v>
      </c>
      <c r="AI633" s="60">
        <v>212.62</v>
      </c>
      <c r="AJ633" s="60">
        <v>217.06</v>
      </c>
      <c r="AK633" s="60">
        <v>216.67</v>
      </c>
      <c r="AL633" s="60">
        <v>0</v>
      </c>
      <c r="AM633" s="60">
        <v>0</v>
      </c>
      <c r="AN633" s="60">
        <v>0</v>
      </c>
      <c r="AO633" s="60">
        <v>212.62</v>
      </c>
      <c r="AP633" s="60">
        <v>217.06</v>
      </c>
      <c r="AQ633" s="60">
        <v>216.67</v>
      </c>
      <c r="AR633" s="61">
        <v>217.06</v>
      </c>
    </row>
    <row r="634" spans="1:44" x14ac:dyDescent="0.35">
      <c r="A634" s="49" t="str">
        <f t="shared" si="52"/>
        <v>54</v>
      </c>
      <c r="B634" s="27">
        <v>71951</v>
      </c>
      <c r="C634" s="25" t="str">
        <f t="shared" si="53"/>
        <v>0000000</v>
      </c>
      <c r="D634" s="26" t="s">
        <v>3663</v>
      </c>
      <c r="E634" s="25" t="s">
        <v>3345</v>
      </c>
      <c r="F634" s="25" t="s">
        <v>3311</v>
      </c>
      <c r="G634" s="59" t="s">
        <v>3346</v>
      </c>
      <c r="H634" s="60">
        <v>14.32</v>
      </c>
      <c r="I634" s="60">
        <v>9.99</v>
      </c>
      <c r="J634" s="60">
        <v>7.24</v>
      </c>
      <c r="K634" s="60">
        <v>0</v>
      </c>
      <c r="L634" s="60">
        <v>0</v>
      </c>
      <c r="M634" s="60">
        <v>0</v>
      </c>
      <c r="N634" s="60">
        <v>0</v>
      </c>
      <c r="O634" s="60">
        <v>0</v>
      </c>
      <c r="P634" s="60">
        <v>0</v>
      </c>
      <c r="Q634" s="60">
        <v>0</v>
      </c>
      <c r="R634" s="60">
        <v>0</v>
      </c>
      <c r="S634" s="60">
        <v>0</v>
      </c>
      <c r="T634" s="60">
        <v>0</v>
      </c>
      <c r="U634" s="60">
        <v>0</v>
      </c>
      <c r="V634" s="60">
        <v>0</v>
      </c>
      <c r="W634" s="60">
        <v>0</v>
      </c>
      <c r="X634" s="60">
        <v>0</v>
      </c>
      <c r="Y634" s="60">
        <v>0</v>
      </c>
      <c r="Z634" s="60">
        <v>0</v>
      </c>
      <c r="AA634" s="60">
        <v>0</v>
      </c>
      <c r="AB634" s="60">
        <v>0</v>
      </c>
      <c r="AC634" s="60">
        <v>0</v>
      </c>
      <c r="AD634" s="60">
        <v>0</v>
      </c>
      <c r="AE634" s="60">
        <v>0</v>
      </c>
      <c r="AF634" s="60">
        <v>0</v>
      </c>
      <c r="AG634" s="60">
        <v>0</v>
      </c>
      <c r="AH634" s="60">
        <v>0</v>
      </c>
      <c r="AI634" s="60">
        <v>14.32</v>
      </c>
      <c r="AJ634" s="60">
        <v>9.99</v>
      </c>
      <c r="AK634" s="60">
        <v>7.24</v>
      </c>
      <c r="AL634" s="60">
        <v>0</v>
      </c>
      <c r="AM634" s="60">
        <v>0</v>
      </c>
      <c r="AN634" s="60">
        <v>0</v>
      </c>
      <c r="AO634" s="60">
        <v>14.32</v>
      </c>
      <c r="AP634" s="60">
        <v>9.99</v>
      </c>
      <c r="AQ634" s="60">
        <v>7.24</v>
      </c>
      <c r="AR634" s="61">
        <v>14.32</v>
      </c>
    </row>
    <row r="635" spans="1:44" x14ac:dyDescent="0.35">
      <c r="A635" s="49" t="str">
        <f t="shared" si="52"/>
        <v>54</v>
      </c>
      <c r="B635" s="27">
        <v>71985</v>
      </c>
      <c r="C635" s="25" t="str">
        <f t="shared" si="53"/>
        <v>0000000</v>
      </c>
      <c r="D635" s="26" t="s">
        <v>3663</v>
      </c>
      <c r="E635" s="25" t="s">
        <v>3349</v>
      </c>
      <c r="F635" s="25" t="s">
        <v>3311</v>
      </c>
      <c r="G635" s="59" t="s">
        <v>3089</v>
      </c>
      <c r="H635" s="60">
        <v>789.38</v>
      </c>
      <c r="I635" s="60">
        <v>751.5</v>
      </c>
      <c r="J635" s="60">
        <v>709.61</v>
      </c>
      <c r="K635" s="60">
        <v>0</v>
      </c>
      <c r="L635" s="60">
        <v>0</v>
      </c>
      <c r="M635" s="60">
        <v>0</v>
      </c>
      <c r="N635" s="60">
        <v>0</v>
      </c>
      <c r="O635" s="60">
        <v>0</v>
      </c>
      <c r="P635" s="60">
        <v>0</v>
      </c>
      <c r="Q635" s="60">
        <v>0</v>
      </c>
      <c r="R635" s="60">
        <v>0</v>
      </c>
      <c r="S635" s="60">
        <v>0</v>
      </c>
      <c r="T635" s="60">
        <v>0</v>
      </c>
      <c r="U635" s="60">
        <v>0</v>
      </c>
      <c r="V635" s="60">
        <v>0</v>
      </c>
      <c r="W635" s="60">
        <v>0</v>
      </c>
      <c r="X635" s="60">
        <v>0</v>
      </c>
      <c r="Y635" s="60">
        <v>0</v>
      </c>
      <c r="Z635" s="60">
        <v>0</v>
      </c>
      <c r="AA635" s="60">
        <v>0</v>
      </c>
      <c r="AB635" s="60">
        <v>0</v>
      </c>
      <c r="AC635" s="60">
        <v>0</v>
      </c>
      <c r="AD635" s="60">
        <v>0</v>
      </c>
      <c r="AE635" s="60">
        <v>0</v>
      </c>
      <c r="AF635" s="60">
        <v>0</v>
      </c>
      <c r="AG635" s="60">
        <v>0</v>
      </c>
      <c r="AH635" s="60">
        <v>0</v>
      </c>
      <c r="AI635" s="60">
        <v>789.38</v>
      </c>
      <c r="AJ635" s="60">
        <v>751.5</v>
      </c>
      <c r="AK635" s="60">
        <v>709.61</v>
      </c>
      <c r="AL635" s="60">
        <v>0</v>
      </c>
      <c r="AM635" s="60">
        <v>0</v>
      </c>
      <c r="AN635" s="60">
        <v>0</v>
      </c>
      <c r="AO635" s="60">
        <v>789.38</v>
      </c>
      <c r="AP635" s="60">
        <v>751.5</v>
      </c>
      <c r="AQ635" s="60">
        <v>709.61</v>
      </c>
      <c r="AR635" s="61">
        <v>789.38</v>
      </c>
    </row>
    <row r="636" spans="1:44" x14ac:dyDescent="0.35">
      <c r="A636" s="49" t="str">
        <f t="shared" si="52"/>
        <v>54</v>
      </c>
      <c r="B636" s="27">
        <v>72009</v>
      </c>
      <c r="C636" s="25" t="str">
        <f t="shared" si="53"/>
        <v>0000000</v>
      </c>
      <c r="D636" s="26" t="s">
        <v>3663</v>
      </c>
      <c r="E636" s="25" t="s">
        <v>3352</v>
      </c>
      <c r="F636" s="25" t="s">
        <v>3311</v>
      </c>
      <c r="G636" s="59" t="s">
        <v>3353</v>
      </c>
      <c r="H636" s="60">
        <v>422.47</v>
      </c>
      <c r="I636" s="60">
        <v>410.23</v>
      </c>
      <c r="J636" s="60">
        <v>406</v>
      </c>
      <c r="K636" s="60">
        <v>0</v>
      </c>
      <c r="L636" s="60">
        <v>0</v>
      </c>
      <c r="M636" s="60">
        <v>0</v>
      </c>
      <c r="N636" s="60">
        <v>0</v>
      </c>
      <c r="O636" s="60">
        <v>0</v>
      </c>
      <c r="P636" s="60">
        <v>0</v>
      </c>
      <c r="Q636" s="60">
        <v>0</v>
      </c>
      <c r="R636" s="60">
        <v>0</v>
      </c>
      <c r="S636" s="60">
        <v>0</v>
      </c>
      <c r="T636" s="60">
        <v>0</v>
      </c>
      <c r="U636" s="60">
        <v>0</v>
      </c>
      <c r="V636" s="60">
        <v>0</v>
      </c>
      <c r="W636" s="60">
        <v>0</v>
      </c>
      <c r="X636" s="60">
        <v>0</v>
      </c>
      <c r="Y636" s="60">
        <v>0</v>
      </c>
      <c r="Z636" s="60">
        <v>0</v>
      </c>
      <c r="AA636" s="60">
        <v>0</v>
      </c>
      <c r="AB636" s="60">
        <v>0</v>
      </c>
      <c r="AC636" s="60">
        <v>0</v>
      </c>
      <c r="AD636" s="60">
        <v>0</v>
      </c>
      <c r="AE636" s="60">
        <v>0</v>
      </c>
      <c r="AF636" s="60">
        <v>0</v>
      </c>
      <c r="AG636" s="60">
        <v>0</v>
      </c>
      <c r="AH636" s="60">
        <v>0</v>
      </c>
      <c r="AI636" s="60">
        <v>422.47</v>
      </c>
      <c r="AJ636" s="60">
        <v>410.23</v>
      </c>
      <c r="AK636" s="60">
        <v>406</v>
      </c>
      <c r="AL636" s="60">
        <v>0</v>
      </c>
      <c r="AM636" s="60">
        <v>0</v>
      </c>
      <c r="AN636" s="60">
        <v>0</v>
      </c>
      <c r="AO636" s="60">
        <v>422.47</v>
      </c>
      <c r="AP636" s="60">
        <v>410.23</v>
      </c>
      <c r="AQ636" s="60">
        <v>406</v>
      </c>
      <c r="AR636" s="61">
        <v>422.47</v>
      </c>
    </row>
    <row r="637" spans="1:44" x14ac:dyDescent="0.35">
      <c r="A637" s="49" t="str">
        <f t="shared" si="52"/>
        <v>54</v>
      </c>
      <c r="B637" s="27">
        <v>72017</v>
      </c>
      <c r="C637" s="25" t="str">
        <f t="shared" si="53"/>
        <v>0000000</v>
      </c>
      <c r="D637" s="26" t="s">
        <v>3663</v>
      </c>
      <c r="E637" s="25" t="s">
        <v>3354</v>
      </c>
      <c r="F637" s="25" t="s">
        <v>3311</v>
      </c>
      <c r="G637" s="59" t="s">
        <v>3355</v>
      </c>
      <c r="H637" s="60">
        <v>542.76</v>
      </c>
      <c r="I637" s="60">
        <v>535.85</v>
      </c>
      <c r="J637" s="60">
        <v>530.05999999999995</v>
      </c>
      <c r="K637" s="60">
        <v>0</v>
      </c>
      <c r="L637" s="60">
        <v>0</v>
      </c>
      <c r="M637" s="60">
        <v>0</v>
      </c>
      <c r="N637" s="60">
        <v>0</v>
      </c>
      <c r="O637" s="60">
        <v>0</v>
      </c>
      <c r="P637" s="60">
        <v>0</v>
      </c>
      <c r="Q637" s="60">
        <v>0</v>
      </c>
      <c r="R637" s="60">
        <v>0</v>
      </c>
      <c r="S637" s="60">
        <v>0</v>
      </c>
      <c r="T637" s="60">
        <v>0</v>
      </c>
      <c r="U637" s="60">
        <v>0</v>
      </c>
      <c r="V637" s="60">
        <v>0</v>
      </c>
      <c r="W637" s="60">
        <v>0</v>
      </c>
      <c r="X637" s="60">
        <v>0</v>
      </c>
      <c r="Y637" s="60">
        <v>0</v>
      </c>
      <c r="Z637" s="60">
        <v>0</v>
      </c>
      <c r="AA637" s="60">
        <v>0</v>
      </c>
      <c r="AB637" s="60">
        <v>0</v>
      </c>
      <c r="AC637" s="60">
        <v>0</v>
      </c>
      <c r="AD637" s="60">
        <v>0</v>
      </c>
      <c r="AE637" s="60">
        <v>0</v>
      </c>
      <c r="AF637" s="60">
        <v>0</v>
      </c>
      <c r="AG637" s="60">
        <v>0</v>
      </c>
      <c r="AH637" s="60">
        <v>0</v>
      </c>
      <c r="AI637" s="60">
        <v>542.76</v>
      </c>
      <c r="AJ637" s="60">
        <v>535.85</v>
      </c>
      <c r="AK637" s="60">
        <v>530.05999999999995</v>
      </c>
      <c r="AL637" s="60">
        <v>0</v>
      </c>
      <c r="AM637" s="60">
        <v>0</v>
      </c>
      <c r="AN637" s="60">
        <v>0</v>
      </c>
      <c r="AO637" s="60">
        <v>542.76</v>
      </c>
      <c r="AP637" s="60">
        <v>535.85</v>
      </c>
      <c r="AQ637" s="60">
        <v>530.05999999999995</v>
      </c>
      <c r="AR637" s="61">
        <v>542.76</v>
      </c>
    </row>
    <row r="638" spans="1:44" x14ac:dyDescent="0.35">
      <c r="A638" s="49" t="str">
        <f t="shared" si="52"/>
        <v>54</v>
      </c>
      <c r="B638" s="27">
        <v>72025</v>
      </c>
      <c r="C638" s="25" t="str">
        <f t="shared" si="53"/>
        <v>0000000</v>
      </c>
      <c r="D638" s="26" t="s">
        <v>3663</v>
      </c>
      <c r="E638" s="25" t="s">
        <v>3356</v>
      </c>
      <c r="F638" s="25" t="s">
        <v>3311</v>
      </c>
      <c r="G638" s="59" t="s">
        <v>3357</v>
      </c>
      <c r="H638" s="60">
        <v>129.76</v>
      </c>
      <c r="I638" s="60">
        <v>120.85</v>
      </c>
      <c r="J638" s="60">
        <v>116.8</v>
      </c>
      <c r="K638" s="60">
        <v>0</v>
      </c>
      <c r="L638" s="60">
        <v>0</v>
      </c>
      <c r="M638" s="60">
        <v>0</v>
      </c>
      <c r="N638" s="60">
        <v>0</v>
      </c>
      <c r="O638" s="60">
        <v>0</v>
      </c>
      <c r="P638" s="60">
        <v>0</v>
      </c>
      <c r="Q638" s="60">
        <v>0</v>
      </c>
      <c r="R638" s="60">
        <v>0</v>
      </c>
      <c r="S638" s="60">
        <v>0</v>
      </c>
      <c r="T638" s="60">
        <v>0</v>
      </c>
      <c r="U638" s="60">
        <v>0</v>
      </c>
      <c r="V638" s="60">
        <v>0</v>
      </c>
      <c r="W638" s="60">
        <v>0</v>
      </c>
      <c r="X638" s="60">
        <v>0</v>
      </c>
      <c r="Y638" s="60">
        <v>0</v>
      </c>
      <c r="Z638" s="60">
        <v>0</v>
      </c>
      <c r="AA638" s="60">
        <v>0</v>
      </c>
      <c r="AB638" s="60">
        <v>0</v>
      </c>
      <c r="AC638" s="60">
        <v>0</v>
      </c>
      <c r="AD638" s="60">
        <v>0</v>
      </c>
      <c r="AE638" s="60">
        <v>0</v>
      </c>
      <c r="AF638" s="60">
        <v>0</v>
      </c>
      <c r="AG638" s="60">
        <v>0</v>
      </c>
      <c r="AH638" s="60">
        <v>0</v>
      </c>
      <c r="AI638" s="60">
        <v>129.76</v>
      </c>
      <c r="AJ638" s="60">
        <v>120.85</v>
      </c>
      <c r="AK638" s="60">
        <v>116.8</v>
      </c>
      <c r="AL638" s="60">
        <v>0</v>
      </c>
      <c r="AM638" s="60">
        <v>0</v>
      </c>
      <c r="AN638" s="60">
        <v>0</v>
      </c>
      <c r="AO638" s="60">
        <v>129.76</v>
      </c>
      <c r="AP638" s="60">
        <v>120.85</v>
      </c>
      <c r="AQ638" s="60">
        <v>116.8</v>
      </c>
      <c r="AR638" s="61">
        <v>129.76</v>
      </c>
    </row>
    <row r="639" spans="1:44" x14ac:dyDescent="0.35">
      <c r="A639" s="49" t="str">
        <f t="shared" si="52"/>
        <v>54</v>
      </c>
      <c r="B639" s="27">
        <v>72058</v>
      </c>
      <c r="C639" s="25" t="str">
        <f t="shared" si="53"/>
        <v>0000000</v>
      </c>
      <c r="D639" s="26" t="s">
        <v>3663</v>
      </c>
      <c r="E639" s="25" t="s">
        <v>3362</v>
      </c>
      <c r="F639" s="25" t="s">
        <v>3311</v>
      </c>
      <c r="G639" s="59" t="s">
        <v>3363</v>
      </c>
      <c r="H639" s="60">
        <v>429.65</v>
      </c>
      <c r="I639" s="60">
        <v>395.62</v>
      </c>
      <c r="J639" s="60">
        <v>413.15</v>
      </c>
      <c r="K639" s="60">
        <v>0</v>
      </c>
      <c r="L639" s="60">
        <v>0</v>
      </c>
      <c r="M639" s="60">
        <v>0</v>
      </c>
      <c r="N639" s="60">
        <v>0</v>
      </c>
      <c r="O639" s="60">
        <v>0</v>
      </c>
      <c r="P639" s="60">
        <v>0</v>
      </c>
      <c r="Q639" s="60">
        <v>0</v>
      </c>
      <c r="R639" s="60">
        <v>0</v>
      </c>
      <c r="S639" s="60">
        <v>0</v>
      </c>
      <c r="T639" s="60">
        <v>0</v>
      </c>
      <c r="U639" s="60">
        <v>0</v>
      </c>
      <c r="V639" s="60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60">
        <v>0</v>
      </c>
      <c r="AE639" s="60">
        <v>0</v>
      </c>
      <c r="AF639" s="60">
        <v>0</v>
      </c>
      <c r="AG639" s="60">
        <v>0</v>
      </c>
      <c r="AH639" s="60">
        <v>0</v>
      </c>
      <c r="AI639" s="60">
        <v>429.65</v>
      </c>
      <c r="AJ639" s="60">
        <v>395.62</v>
      </c>
      <c r="AK639" s="60">
        <v>413.15</v>
      </c>
      <c r="AL639" s="60">
        <v>0</v>
      </c>
      <c r="AM639" s="60">
        <v>0</v>
      </c>
      <c r="AN639" s="60">
        <v>0</v>
      </c>
      <c r="AO639" s="60">
        <v>429.65</v>
      </c>
      <c r="AP639" s="60">
        <v>395.62</v>
      </c>
      <c r="AQ639" s="60">
        <v>413.15</v>
      </c>
      <c r="AR639" s="61">
        <v>429.65</v>
      </c>
    </row>
    <row r="640" spans="1:44" x14ac:dyDescent="0.35">
      <c r="A640" s="49" t="str">
        <f t="shared" si="52"/>
        <v>54</v>
      </c>
      <c r="B640" s="27">
        <v>72082</v>
      </c>
      <c r="C640" s="25" t="str">
        <f t="shared" si="53"/>
        <v>0000000</v>
      </c>
      <c r="D640" s="26" t="s">
        <v>3663</v>
      </c>
      <c r="E640" s="25" t="s">
        <v>3364</v>
      </c>
      <c r="F640" s="25" t="s">
        <v>3311</v>
      </c>
      <c r="G640" s="59" t="s">
        <v>3365</v>
      </c>
      <c r="H640" s="60">
        <v>463.37</v>
      </c>
      <c r="I640" s="60">
        <v>476.75</v>
      </c>
      <c r="J640" s="60">
        <v>428.23</v>
      </c>
      <c r="K640" s="60">
        <v>0</v>
      </c>
      <c r="L640" s="60">
        <v>0</v>
      </c>
      <c r="M640" s="60">
        <v>0</v>
      </c>
      <c r="N640" s="60">
        <v>0</v>
      </c>
      <c r="O640" s="60">
        <v>0</v>
      </c>
      <c r="P640" s="60">
        <v>0</v>
      </c>
      <c r="Q640" s="60">
        <v>0</v>
      </c>
      <c r="R640" s="60">
        <v>0</v>
      </c>
      <c r="S640" s="60">
        <v>0</v>
      </c>
      <c r="T640" s="60">
        <v>0</v>
      </c>
      <c r="U640" s="60">
        <v>0</v>
      </c>
      <c r="V640" s="60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0">
        <v>0</v>
      </c>
      <c r="AE640" s="60">
        <v>0</v>
      </c>
      <c r="AF640" s="60">
        <v>0</v>
      </c>
      <c r="AG640" s="60">
        <v>0</v>
      </c>
      <c r="AH640" s="60">
        <v>0</v>
      </c>
      <c r="AI640" s="60">
        <v>463.37</v>
      </c>
      <c r="AJ640" s="60">
        <v>476.75</v>
      </c>
      <c r="AK640" s="60">
        <v>428.23</v>
      </c>
      <c r="AL640" s="60">
        <v>0</v>
      </c>
      <c r="AM640" s="60">
        <v>0</v>
      </c>
      <c r="AN640" s="60">
        <v>0</v>
      </c>
      <c r="AO640" s="60">
        <v>463.37</v>
      </c>
      <c r="AP640" s="60">
        <v>476.75</v>
      </c>
      <c r="AQ640" s="60">
        <v>428.23</v>
      </c>
      <c r="AR640" s="61">
        <v>476.75</v>
      </c>
    </row>
    <row r="641" spans="1:44" x14ac:dyDescent="0.35">
      <c r="A641" s="49" t="str">
        <f t="shared" si="52"/>
        <v>54</v>
      </c>
      <c r="B641" s="27">
        <v>72090</v>
      </c>
      <c r="C641" s="25" t="str">
        <f t="shared" si="53"/>
        <v>0000000</v>
      </c>
      <c r="D641" s="26" t="s">
        <v>3663</v>
      </c>
      <c r="E641" s="25" t="s">
        <v>3366</v>
      </c>
      <c r="F641" s="25" t="s">
        <v>3311</v>
      </c>
      <c r="G641" s="59" t="s">
        <v>3367</v>
      </c>
      <c r="H641" s="60">
        <v>270.04000000000002</v>
      </c>
      <c r="I641" s="60">
        <v>296.27999999999997</v>
      </c>
      <c r="J641" s="60">
        <v>306.72000000000003</v>
      </c>
      <c r="K641" s="60">
        <v>0</v>
      </c>
      <c r="L641" s="60">
        <v>0</v>
      </c>
      <c r="M641" s="60">
        <v>0</v>
      </c>
      <c r="N641" s="60">
        <v>0</v>
      </c>
      <c r="O641" s="60">
        <v>0</v>
      </c>
      <c r="P641" s="60">
        <v>0</v>
      </c>
      <c r="Q641" s="60">
        <v>0</v>
      </c>
      <c r="R641" s="60">
        <v>0</v>
      </c>
      <c r="S641" s="60">
        <v>0</v>
      </c>
      <c r="T641" s="60">
        <v>0</v>
      </c>
      <c r="U641" s="60">
        <v>0</v>
      </c>
      <c r="V641" s="60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0">
        <v>0</v>
      </c>
      <c r="AE641" s="60">
        <v>0</v>
      </c>
      <c r="AF641" s="60">
        <v>0</v>
      </c>
      <c r="AG641" s="60">
        <v>0</v>
      </c>
      <c r="AH641" s="60">
        <v>0</v>
      </c>
      <c r="AI641" s="60">
        <v>270.04000000000002</v>
      </c>
      <c r="AJ641" s="60">
        <v>296.27999999999997</v>
      </c>
      <c r="AK641" s="60">
        <v>306.72000000000003</v>
      </c>
      <c r="AL641" s="60">
        <v>0</v>
      </c>
      <c r="AM641" s="60">
        <v>0</v>
      </c>
      <c r="AN641" s="60">
        <v>0</v>
      </c>
      <c r="AO641" s="60">
        <v>270.04000000000002</v>
      </c>
      <c r="AP641" s="60">
        <v>296.27999999999997</v>
      </c>
      <c r="AQ641" s="60">
        <v>306.72000000000003</v>
      </c>
      <c r="AR641" s="61">
        <v>306.72000000000003</v>
      </c>
    </row>
    <row r="642" spans="1:44" x14ac:dyDescent="0.35">
      <c r="A642" s="49" t="str">
        <f t="shared" si="52"/>
        <v>54</v>
      </c>
      <c r="B642" s="27">
        <v>72108</v>
      </c>
      <c r="C642" s="25" t="str">
        <f t="shared" si="53"/>
        <v>0000000</v>
      </c>
      <c r="D642" s="26" t="s">
        <v>3663</v>
      </c>
      <c r="E642" s="25" t="s">
        <v>3368</v>
      </c>
      <c r="F642" s="25" t="s">
        <v>3311</v>
      </c>
      <c r="G642" s="59" t="s">
        <v>3369</v>
      </c>
      <c r="H642" s="60">
        <v>67.75</v>
      </c>
      <c r="I642" s="60">
        <v>63.08</v>
      </c>
      <c r="J642" s="60">
        <v>73.41</v>
      </c>
      <c r="K642" s="60">
        <v>0</v>
      </c>
      <c r="L642" s="60">
        <v>0</v>
      </c>
      <c r="M642" s="60">
        <v>0</v>
      </c>
      <c r="N642" s="60">
        <v>0</v>
      </c>
      <c r="O642" s="60">
        <v>0</v>
      </c>
      <c r="P642" s="60">
        <v>0</v>
      </c>
      <c r="Q642" s="60">
        <v>0</v>
      </c>
      <c r="R642" s="60">
        <v>0</v>
      </c>
      <c r="S642" s="60">
        <v>0</v>
      </c>
      <c r="T642" s="60">
        <v>0</v>
      </c>
      <c r="U642" s="60">
        <v>0</v>
      </c>
      <c r="V642" s="60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60">
        <v>0</v>
      </c>
      <c r="AE642" s="60">
        <v>0</v>
      </c>
      <c r="AF642" s="60">
        <v>0</v>
      </c>
      <c r="AG642" s="60">
        <v>0</v>
      </c>
      <c r="AH642" s="60">
        <v>0</v>
      </c>
      <c r="AI642" s="60">
        <v>67.75</v>
      </c>
      <c r="AJ642" s="60">
        <v>63.08</v>
      </c>
      <c r="AK642" s="60">
        <v>73.41</v>
      </c>
      <c r="AL642" s="60">
        <v>0</v>
      </c>
      <c r="AM642" s="60">
        <v>0</v>
      </c>
      <c r="AN642" s="60">
        <v>0</v>
      </c>
      <c r="AO642" s="60">
        <v>67.75</v>
      </c>
      <c r="AP642" s="60">
        <v>63.08</v>
      </c>
      <c r="AQ642" s="60">
        <v>73.41</v>
      </c>
      <c r="AR642" s="61">
        <v>73.41</v>
      </c>
    </row>
    <row r="643" spans="1:44" x14ac:dyDescent="0.35">
      <c r="A643" s="49" t="str">
        <f t="shared" si="52"/>
        <v>54</v>
      </c>
      <c r="B643" s="27">
        <v>72116</v>
      </c>
      <c r="C643" s="25" t="str">
        <f t="shared" ref="C643:C653" si="54">TEXT(,"0000000")</f>
        <v>0000000</v>
      </c>
      <c r="D643" s="26" t="s">
        <v>3663</v>
      </c>
      <c r="E643" s="25" t="s">
        <v>3370</v>
      </c>
      <c r="F643" s="25" t="s">
        <v>3311</v>
      </c>
      <c r="G643" s="59" t="s">
        <v>3371</v>
      </c>
      <c r="H643" s="60">
        <v>31.6</v>
      </c>
      <c r="I643" s="60">
        <v>41</v>
      </c>
      <c r="J643" s="60">
        <v>32</v>
      </c>
      <c r="K643" s="60">
        <v>0</v>
      </c>
      <c r="L643" s="60">
        <v>0</v>
      </c>
      <c r="M643" s="60">
        <v>0</v>
      </c>
      <c r="N643" s="60">
        <v>0</v>
      </c>
      <c r="O643" s="60">
        <v>0</v>
      </c>
      <c r="P643" s="60">
        <v>0</v>
      </c>
      <c r="Q643" s="60">
        <v>0</v>
      </c>
      <c r="R643" s="60">
        <v>0</v>
      </c>
      <c r="S643" s="60">
        <v>0</v>
      </c>
      <c r="T643" s="60">
        <v>0</v>
      </c>
      <c r="U643" s="60">
        <v>0</v>
      </c>
      <c r="V643" s="60">
        <v>0</v>
      </c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323.89999999999998</v>
      </c>
      <c r="AD643" s="60">
        <v>318.27</v>
      </c>
      <c r="AE643" s="60">
        <v>312.10000000000002</v>
      </c>
      <c r="AF643" s="60">
        <v>0</v>
      </c>
      <c r="AG643" s="60">
        <v>0</v>
      </c>
      <c r="AH643" s="60">
        <v>0</v>
      </c>
      <c r="AI643" s="60">
        <v>355.5</v>
      </c>
      <c r="AJ643" s="60">
        <v>359.27</v>
      </c>
      <c r="AK643" s="60">
        <v>344.1</v>
      </c>
      <c r="AL643" s="60">
        <v>0</v>
      </c>
      <c r="AM643" s="60">
        <v>0</v>
      </c>
      <c r="AN643" s="60">
        <v>0</v>
      </c>
      <c r="AO643" s="60">
        <v>355.5</v>
      </c>
      <c r="AP643" s="60">
        <v>359.27</v>
      </c>
      <c r="AQ643" s="60">
        <v>344.1</v>
      </c>
      <c r="AR643" s="61">
        <v>359.27</v>
      </c>
    </row>
    <row r="644" spans="1:44" x14ac:dyDescent="0.35">
      <c r="A644" s="49" t="str">
        <f t="shared" si="52"/>
        <v>54</v>
      </c>
      <c r="B644" s="27">
        <v>72132</v>
      </c>
      <c r="C644" s="25" t="str">
        <f t="shared" si="54"/>
        <v>0000000</v>
      </c>
      <c r="D644" s="26" t="s">
        <v>3663</v>
      </c>
      <c r="E644" s="25" t="s">
        <v>3372</v>
      </c>
      <c r="F644" s="25" t="s">
        <v>3311</v>
      </c>
      <c r="G644" s="59" t="s">
        <v>3373</v>
      </c>
      <c r="H644" s="60">
        <v>307.27999999999997</v>
      </c>
      <c r="I644" s="60">
        <v>306.57</v>
      </c>
      <c r="J644" s="60">
        <v>290.49</v>
      </c>
      <c r="K644" s="60">
        <v>0</v>
      </c>
      <c r="L644" s="60">
        <v>0</v>
      </c>
      <c r="M644" s="60">
        <v>0</v>
      </c>
      <c r="N644" s="60">
        <v>0</v>
      </c>
      <c r="O644" s="60">
        <v>0</v>
      </c>
      <c r="P644" s="60">
        <v>0</v>
      </c>
      <c r="Q644" s="60">
        <v>0</v>
      </c>
      <c r="R644" s="60">
        <v>0</v>
      </c>
      <c r="S644" s="60">
        <v>0</v>
      </c>
      <c r="T644" s="60">
        <v>0</v>
      </c>
      <c r="U644" s="60">
        <v>0</v>
      </c>
      <c r="V644" s="60">
        <v>0</v>
      </c>
      <c r="W644" s="60">
        <v>0</v>
      </c>
      <c r="X644" s="60">
        <v>0</v>
      </c>
      <c r="Y644" s="60">
        <v>0</v>
      </c>
      <c r="Z644" s="60">
        <v>0</v>
      </c>
      <c r="AA644" s="60">
        <v>0</v>
      </c>
      <c r="AB644" s="60">
        <v>0</v>
      </c>
      <c r="AC644" s="60">
        <v>0</v>
      </c>
      <c r="AD644" s="60">
        <v>0</v>
      </c>
      <c r="AE644" s="60">
        <v>0</v>
      </c>
      <c r="AF644" s="60">
        <v>0</v>
      </c>
      <c r="AG644" s="60">
        <v>0</v>
      </c>
      <c r="AH644" s="60">
        <v>0</v>
      </c>
      <c r="AI644" s="60">
        <v>307.27999999999997</v>
      </c>
      <c r="AJ644" s="60">
        <v>306.57</v>
      </c>
      <c r="AK644" s="60">
        <v>290.49</v>
      </c>
      <c r="AL644" s="60">
        <v>0</v>
      </c>
      <c r="AM644" s="60">
        <v>0</v>
      </c>
      <c r="AN644" s="60">
        <v>0</v>
      </c>
      <c r="AO644" s="60">
        <v>307.27999999999997</v>
      </c>
      <c r="AP644" s="60">
        <v>306.57</v>
      </c>
      <c r="AQ644" s="60">
        <v>290.49</v>
      </c>
      <c r="AR644" s="61">
        <v>307.27999999999997</v>
      </c>
    </row>
    <row r="645" spans="1:44" x14ac:dyDescent="0.35">
      <c r="A645" s="49" t="str">
        <f t="shared" si="52"/>
        <v>54</v>
      </c>
      <c r="B645" s="27">
        <v>72140</v>
      </c>
      <c r="C645" s="25" t="str">
        <f t="shared" si="54"/>
        <v>0000000</v>
      </c>
      <c r="D645" s="26" t="s">
        <v>3663</v>
      </c>
      <c r="E645" s="25" t="s">
        <v>3374</v>
      </c>
      <c r="F645" s="25" t="s">
        <v>3311</v>
      </c>
      <c r="G645" s="59" t="s">
        <v>3375</v>
      </c>
      <c r="H645" s="60">
        <v>106.63</v>
      </c>
      <c r="I645" s="60">
        <v>104.25</v>
      </c>
      <c r="J645" s="60">
        <v>115.36</v>
      </c>
      <c r="K645" s="60">
        <v>0</v>
      </c>
      <c r="L645" s="60">
        <v>0</v>
      </c>
      <c r="M645" s="60">
        <v>0</v>
      </c>
      <c r="N645" s="60">
        <v>0</v>
      </c>
      <c r="O645" s="60">
        <v>0</v>
      </c>
      <c r="P645" s="60">
        <v>0</v>
      </c>
      <c r="Q645" s="60">
        <v>0</v>
      </c>
      <c r="R645" s="60">
        <v>0</v>
      </c>
      <c r="S645" s="60">
        <v>0</v>
      </c>
      <c r="T645" s="60">
        <v>0</v>
      </c>
      <c r="U645" s="60">
        <v>0</v>
      </c>
      <c r="V645" s="60">
        <v>0</v>
      </c>
      <c r="W645" s="60">
        <v>0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v>0</v>
      </c>
      <c r="AD645" s="60">
        <v>0</v>
      </c>
      <c r="AE645" s="60">
        <v>0</v>
      </c>
      <c r="AF645" s="60">
        <v>0</v>
      </c>
      <c r="AG645" s="60">
        <v>0</v>
      </c>
      <c r="AH645" s="60">
        <v>0</v>
      </c>
      <c r="AI645" s="60">
        <v>106.63</v>
      </c>
      <c r="AJ645" s="60">
        <v>104.25</v>
      </c>
      <c r="AK645" s="60">
        <v>115.36</v>
      </c>
      <c r="AL645" s="60">
        <v>0</v>
      </c>
      <c r="AM645" s="60">
        <v>0</v>
      </c>
      <c r="AN645" s="60">
        <v>0</v>
      </c>
      <c r="AO645" s="60">
        <v>106.63</v>
      </c>
      <c r="AP645" s="60">
        <v>104.25</v>
      </c>
      <c r="AQ645" s="60">
        <v>115.36</v>
      </c>
      <c r="AR645" s="61">
        <v>115.36</v>
      </c>
    </row>
    <row r="646" spans="1:44" x14ac:dyDescent="0.35">
      <c r="A646" s="49" t="str">
        <f t="shared" si="52"/>
        <v>54</v>
      </c>
      <c r="B646" s="27">
        <v>72157</v>
      </c>
      <c r="C646" s="25" t="str">
        <f t="shared" si="54"/>
        <v>0000000</v>
      </c>
      <c r="D646" s="26" t="s">
        <v>3663</v>
      </c>
      <c r="E646" s="25" t="s">
        <v>3378</v>
      </c>
      <c r="F646" s="25" t="s">
        <v>3311</v>
      </c>
      <c r="G646" s="59" t="s">
        <v>3379</v>
      </c>
      <c r="H646" s="60">
        <v>654.1</v>
      </c>
      <c r="I646" s="60">
        <v>647.59</v>
      </c>
      <c r="J646" s="60">
        <v>595.64</v>
      </c>
      <c r="K646" s="60">
        <v>0</v>
      </c>
      <c r="L646" s="60">
        <v>0</v>
      </c>
      <c r="M646" s="60">
        <v>0</v>
      </c>
      <c r="N646" s="60">
        <v>0</v>
      </c>
      <c r="O646" s="60">
        <v>0</v>
      </c>
      <c r="P646" s="60">
        <v>0</v>
      </c>
      <c r="Q646" s="60">
        <v>0</v>
      </c>
      <c r="R646" s="60">
        <v>0</v>
      </c>
      <c r="S646" s="60">
        <v>0</v>
      </c>
      <c r="T646" s="60">
        <v>0</v>
      </c>
      <c r="U646" s="60">
        <v>0</v>
      </c>
      <c r="V646" s="60">
        <v>0</v>
      </c>
      <c r="W646" s="60">
        <v>0</v>
      </c>
      <c r="X646" s="60">
        <v>0</v>
      </c>
      <c r="Y646" s="60">
        <v>0</v>
      </c>
      <c r="Z646" s="60">
        <v>0</v>
      </c>
      <c r="AA646" s="60">
        <v>0</v>
      </c>
      <c r="AB646" s="60">
        <v>0</v>
      </c>
      <c r="AC646" s="60">
        <v>0</v>
      </c>
      <c r="AD646" s="60">
        <v>0</v>
      </c>
      <c r="AE646" s="60">
        <v>0</v>
      </c>
      <c r="AF646" s="60">
        <v>0</v>
      </c>
      <c r="AG646" s="60">
        <v>0</v>
      </c>
      <c r="AH646" s="60">
        <v>0</v>
      </c>
      <c r="AI646" s="60">
        <v>654.1</v>
      </c>
      <c r="AJ646" s="60">
        <v>647.59</v>
      </c>
      <c r="AK646" s="60">
        <v>595.64</v>
      </c>
      <c r="AL646" s="60">
        <v>0</v>
      </c>
      <c r="AM646" s="60">
        <v>0</v>
      </c>
      <c r="AN646" s="60">
        <v>0</v>
      </c>
      <c r="AO646" s="60">
        <v>654.1</v>
      </c>
      <c r="AP646" s="60">
        <v>647.59</v>
      </c>
      <c r="AQ646" s="60">
        <v>595.64</v>
      </c>
      <c r="AR646" s="61">
        <v>654.1</v>
      </c>
    </row>
    <row r="647" spans="1:44" x14ac:dyDescent="0.35">
      <c r="A647" s="49" t="str">
        <f t="shared" si="52"/>
        <v>54</v>
      </c>
      <c r="B647" s="27">
        <v>72181</v>
      </c>
      <c r="C647" s="25" t="str">
        <f t="shared" si="54"/>
        <v>0000000</v>
      </c>
      <c r="D647" s="26" t="s">
        <v>3663</v>
      </c>
      <c r="E647" s="25" t="s">
        <v>3382</v>
      </c>
      <c r="F647" s="25" t="s">
        <v>3311</v>
      </c>
      <c r="G647" s="59" t="s">
        <v>3383</v>
      </c>
      <c r="H647" s="60">
        <v>282.39</v>
      </c>
      <c r="I647" s="60">
        <v>297.75</v>
      </c>
      <c r="J647" s="60">
        <v>303.86</v>
      </c>
      <c r="K647" s="60">
        <v>0</v>
      </c>
      <c r="L647" s="60">
        <v>0</v>
      </c>
      <c r="M647" s="60">
        <v>0</v>
      </c>
      <c r="N647" s="60">
        <v>0</v>
      </c>
      <c r="O647" s="60">
        <v>0</v>
      </c>
      <c r="P647" s="60">
        <v>0</v>
      </c>
      <c r="Q647" s="60">
        <v>0</v>
      </c>
      <c r="R647" s="60">
        <v>0</v>
      </c>
      <c r="S647" s="60">
        <v>0</v>
      </c>
      <c r="T647" s="60">
        <v>0</v>
      </c>
      <c r="U647" s="60">
        <v>0</v>
      </c>
      <c r="V647" s="60">
        <v>0</v>
      </c>
      <c r="W647" s="60">
        <v>0</v>
      </c>
      <c r="X647" s="60">
        <v>0</v>
      </c>
      <c r="Y647" s="60">
        <v>0</v>
      </c>
      <c r="Z647" s="60">
        <v>0</v>
      </c>
      <c r="AA647" s="60">
        <v>0</v>
      </c>
      <c r="AB647" s="60">
        <v>0</v>
      </c>
      <c r="AC647" s="60">
        <v>0</v>
      </c>
      <c r="AD647" s="60">
        <v>0</v>
      </c>
      <c r="AE647" s="60">
        <v>0</v>
      </c>
      <c r="AF647" s="60">
        <v>0</v>
      </c>
      <c r="AG647" s="60">
        <v>0</v>
      </c>
      <c r="AH647" s="60">
        <v>0</v>
      </c>
      <c r="AI647" s="60">
        <v>282.39</v>
      </c>
      <c r="AJ647" s="60">
        <v>297.75</v>
      </c>
      <c r="AK647" s="60">
        <v>303.86</v>
      </c>
      <c r="AL647" s="60">
        <v>0</v>
      </c>
      <c r="AM647" s="60">
        <v>0</v>
      </c>
      <c r="AN647" s="60">
        <v>0</v>
      </c>
      <c r="AO647" s="60">
        <v>282.39</v>
      </c>
      <c r="AP647" s="60">
        <v>297.75</v>
      </c>
      <c r="AQ647" s="60">
        <v>303.86</v>
      </c>
      <c r="AR647" s="61">
        <v>303.86</v>
      </c>
    </row>
    <row r="648" spans="1:44" x14ac:dyDescent="0.35">
      <c r="A648" s="49" t="str">
        <f t="shared" si="52"/>
        <v>54</v>
      </c>
      <c r="B648" s="27">
        <v>72207</v>
      </c>
      <c r="C648" s="25" t="str">
        <f t="shared" si="54"/>
        <v>0000000</v>
      </c>
      <c r="D648" s="26" t="s">
        <v>3663</v>
      </c>
      <c r="E648" s="25" t="s">
        <v>3386</v>
      </c>
      <c r="F648" s="25" t="s">
        <v>3311</v>
      </c>
      <c r="G648" s="59" t="s">
        <v>3387</v>
      </c>
      <c r="H648" s="60">
        <v>81.83</v>
      </c>
      <c r="I648" s="60">
        <v>87.89</v>
      </c>
      <c r="J648" s="60">
        <v>94.42</v>
      </c>
      <c r="K648" s="60">
        <v>0</v>
      </c>
      <c r="L648" s="60">
        <v>0</v>
      </c>
      <c r="M648" s="60">
        <v>0</v>
      </c>
      <c r="N648" s="60">
        <v>0</v>
      </c>
      <c r="O648" s="60">
        <v>0</v>
      </c>
      <c r="P648" s="60">
        <v>0</v>
      </c>
      <c r="Q648" s="60">
        <v>0</v>
      </c>
      <c r="R648" s="60">
        <v>0</v>
      </c>
      <c r="S648" s="60">
        <v>0</v>
      </c>
      <c r="T648" s="60">
        <v>0</v>
      </c>
      <c r="U648" s="60">
        <v>0</v>
      </c>
      <c r="V648" s="60">
        <v>0</v>
      </c>
      <c r="W648" s="60">
        <v>0</v>
      </c>
      <c r="X648" s="60">
        <v>0</v>
      </c>
      <c r="Y648" s="60">
        <v>0</v>
      </c>
      <c r="Z648" s="60">
        <v>0</v>
      </c>
      <c r="AA648" s="60">
        <v>0</v>
      </c>
      <c r="AB648" s="60">
        <v>0</v>
      </c>
      <c r="AC648" s="60">
        <v>0</v>
      </c>
      <c r="AD648" s="60">
        <v>0</v>
      </c>
      <c r="AE648" s="60">
        <v>0</v>
      </c>
      <c r="AF648" s="60">
        <v>0</v>
      </c>
      <c r="AG648" s="60">
        <v>0</v>
      </c>
      <c r="AH648" s="60">
        <v>0</v>
      </c>
      <c r="AI648" s="60">
        <v>81.83</v>
      </c>
      <c r="AJ648" s="60">
        <v>87.89</v>
      </c>
      <c r="AK648" s="60">
        <v>94.42</v>
      </c>
      <c r="AL648" s="60">
        <v>0</v>
      </c>
      <c r="AM648" s="60">
        <v>0</v>
      </c>
      <c r="AN648" s="60">
        <v>0</v>
      </c>
      <c r="AO648" s="60">
        <v>81.83</v>
      </c>
      <c r="AP648" s="60">
        <v>87.89</v>
      </c>
      <c r="AQ648" s="60">
        <v>94.42</v>
      </c>
      <c r="AR648" s="61">
        <v>94.42</v>
      </c>
    </row>
    <row r="649" spans="1:44" x14ac:dyDescent="0.35">
      <c r="A649" s="49" t="str">
        <f t="shared" si="52"/>
        <v>54</v>
      </c>
      <c r="B649" s="27">
        <v>72215</v>
      </c>
      <c r="C649" s="25" t="str">
        <f t="shared" si="54"/>
        <v>0000000</v>
      </c>
      <c r="D649" s="26" t="s">
        <v>3663</v>
      </c>
      <c r="E649" s="25" t="s">
        <v>3388</v>
      </c>
      <c r="F649" s="25" t="s">
        <v>3311</v>
      </c>
      <c r="G649" s="59" t="s">
        <v>3389</v>
      </c>
      <c r="H649" s="60">
        <v>468.64</v>
      </c>
      <c r="I649" s="60">
        <v>485.38</v>
      </c>
      <c r="J649" s="60">
        <v>492.62</v>
      </c>
      <c r="K649" s="60">
        <v>0</v>
      </c>
      <c r="L649" s="60">
        <v>0</v>
      </c>
      <c r="M649" s="60">
        <v>0</v>
      </c>
      <c r="N649" s="60">
        <v>0</v>
      </c>
      <c r="O649" s="60">
        <v>0</v>
      </c>
      <c r="P649" s="60">
        <v>0</v>
      </c>
      <c r="Q649" s="60">
        <v>0</v>
      </c>
      <c r="R649" s="60">
        <v>0</v>
      </c>
      <c r="S649" s="60">
        <v>0</v>
      </c>
      <c r="T649" s="60">
        <v>0</v>
      </c>
      <c r="U649" s="60">
        <v>0</v>
      </c>
      <c r="V649" s="60">
        <v>0</v>
      </c>
      <c r="W649" s="60">
        <v>0</v>
      </c>
      <c r="X649" s="60">
        <v>0</v>
      </c>
      <c r="Y649" s="60">
        <v>0</v>
      </c>
      <c r="Z649" s="60">
        <v>0</v>
      </c>
      <c r="AA649" s="60">
        <v>0</v>
      </c>
      <c r="AB649" s="60">
        <v>0</v>
      </c>
      <c r="AC649" s="60">
        <v>0</v>
      </c>
      <c r="AD649" s="60">
        <v>0</v>
      </c>
      <c r="AE649" s="60">
        <v>0</v>
      </c>
      <c r="AF649" s="60">
        <v>0</v>
      </c>
      <c r="AG649" s="60">
        <v>0</v>
      </c>
      <c r="AH649" s="60">
        <v>0</v>
      </c>
      <c r="AI649" s="60">
        <v>468.64</v>
      </c>
      <c r="AJ649" s="60">
        <v>485.38</v>
      </c>
      <c r="AK649" s="60">
        <v>492.62</v>
      </c>
      <c r="AL649" s="60">
        <v>0</v>
      </c>
      <c r="AM649" s="60">
        <v>0</v>
      </c>
      <c r="AN649" s="60">
        <v>0</v>
      </c>
      <c r="AO649" s="60">
        <v>468.64</v>
      </c>
      <c r="AP649" s="60">
        <v>485.38</v>
      </c>
      <c r="AQ649" s="60">
        <v>492.62</v>
      </c>
      <c r="AR649" s="61">
        <v>492.62</v>
      </c>
    </row>
    <row r="650" spans="1:44" x14ac:dyDescent="0.35">
      <c r="A650" s="49" t="str">
        <f t="shared" si="52"/>
        <v>54</v>
      </c>
      <c r="B650" s="27">
        <v>72223</v>
      </c>
      <c r="C650" s="25" t="str">
        <f t="shared" si="54"/>
        <v>0000000</v>
      </c>
      <c r="D650" s="26" t="s">
        <v>3663</v>
      </c>
      <c r="E650" s="25" t="s">
        <v>3390</v>
      </c>
      <c r="F650" s="25" t="s">
        <v>3311</v>
      </c>
      <c r="G650" s="59" t="s">
        <v>3391</v>
      </c>
      <c r="H650" s="60">
        <v>229.08</v>
      </c>
      <c r="I650" s="60">
        <v>208.22</v>
      </c>
      <c r="J650" s="60">
        <v>194.54</v>
      </c>
      <c r="K650" s="60">
        <v>0</v>
      </c>
      <c r="L650" s="60">
        <v>0</v>
      </c>
      <c r="M650" s="60">
        <v>0</v>
      </c>
      <c r="N650" s="60">
        <v>0</v>
      </c>
      <c r="O650" s="60">
        <v>0</v>
      </c>
      <c r="P650" s="60">
        <v>0</v>
      </c>
      <c r="Q650" s="60">
        <v>0</v>
      </c>
      <c r="R650" s="60">
        <v>0</v>
      </c>
      <c r="S650" s="60">
        <v>0</v>
      </c>
      <c r="T650" s="60">
        <v>0</v>
      </c>
      <c r="U650" s="60">
        <v>0</v>
      </c>
      <c r="V650" s="60">
        <v>0</v>
      </c>
      <c r="W650" s="60">
        <v>0</v>
      </c>
      <c r="X650" s="60">
        <v>0</v>
      </c>
      <c r="Y650" s="60">
        <v>0</v>
      </c>
      <c r="Z650" s="60">
        <v>0</v>
      </c>
      <c r="AA650" s="60">
        <v>0</v>
      </c>
      <c r="AB650" s="60">
        <v>0</v>
      </c>
      <c r="AC650" s="60">
        <v>0</v>
      </c>
      <c r="AD650" s="60">
        <v>0</v>
      </c>
      <c r="AE650" s="60">
        <v>0</v>
      </c>
      <c r="AF650" s="60">
        <v>0</v>
      </c>
      <c r="AG650" s="60">
        <v>0</v>
      </c>
      <c r="AH650" s="60">
        <v>0</v>
      </c>
      <c r="AI650" s="60">
        <v>229.08</v>
      </c>
      <c r="AJ650" s="60">
        <v>208.22</v>
      </c>
      <c r="AK650" s="60">
        <v>194.54</v>
      </c>
      <c r="AL650" s="60">
        <v>0</v>
      </c>
      <c r="AM650" s="60">
        <v>0</v>
      </c>
      <c r="AN650" s="60">
        <v>0</v>
      </c>
      <c r="AO650" s="60">
        <v>229.08</v>
      </c>
      <c r="AP650" s="60">
        <v>208.22</v>
      </c>
      <c r="AQ650" s="60">
        <v>194.54</v>
      </c>
      <c r="AR650" s="61">
        <v>229.08</v>
      </c>
    </row>
    <row r="651" spans="1:44" x14ac:dyDescent="0.35">
      <c r="A651" s="49" t="str">
        <f t="shared" si="52"/>
        <v>54</v>
      </c>
      <c r="B651" s="27">
        <v>72264</v>
      </c>
      <c r="C651" s="25" t="str">
        <f t="shared" si="54"/>
        <v>0000000</v>
      </c>
      <c r="D651" s="26" t="s">
        <v>3663</v>
      </c>
      <c r="E651" s="25" t="s">
        <v>3398</v>
      </c>
      <c r="F651" s="25" t="s">
        <v>3311</v>
      </c>
      <c r="G651" s="59" t="s">
        <v>3399</v>
      </c>
      <c r="H651" s="60">
        <v>204.38</v>
      </c>
      <c r="I651" s="60">
        <v>205.78</v>
      </c>
      <c r="J651" s="60">
        <v>199.12</v>
      </c>
      <c r="K651" s="60">
        <v>0</v>
      </c>
      <c r="L651" s="60">
        <v>0</v>
      </c>
      <c r="M651" s="60">
        <v>0</v>
      </c>
      <c r="N651" s="60">
        <v>0</v>
      </c>
      <c r="O651" s="60">
        <v>0</v>
      </c>
      <c r="P651" s="60">
        <v>0</v>
      </c>
      <c r="Q651" s="60">
        <v>0</v>
      </c>
      <c r="R651" s="60">
        <v>0</v>
      </c>
      <c r="S651" s="60">
        <v>0</v>
      </c>
      <c r="T651" s="60">
        <v>0</v>
      </c>
      <c r="U651" s="60">
        <v>0</v>
      </c>
      <c r="V651" s="60">
        <v>0</v>
      </c>
      <c r="W651" s="60">
        <v>0</v>
      </c>
      <c r="X651" s="60">
        <v>0</v>
      </c>
      <c r="Y651" s="60">
        <v>0</v>
      </c>
      <c r="Z651" s="60">
        <v>0</v>
      </c>
      <c r="AA651" s="60">
        <v>0</v>
      </c>
      <c r="AB651" s="60">
        <v>0</v>
      </c>
      <c r="AC651" s="60">
        <v>0</v>
      </c>
      <c r="AD651" s="60">
        <v>0</v>
      </c>
      <c r="AE651" s="60">
        <v>0</v>
      </c>
      <c r="AF651" s="60">
        <v>0</v>
      </c>
      <c r="AG651" s="60">
        <v>0</v>
      </c>
      <c r="AH651" s="60">
        <v>0</v>
      </c>
      <c r="AI651" s="60">
        <v>204.38</v>
      </c>
      <c r="AJ651" s="60">
        <v>205.78</v>
      </c>
      <c r="AK651" s="60">
        <v>199.12</v>
      </c>
      <c r="AL651" s="60">
        <v>0</v>
      </c>
      <c r="AM651" s="60">
        <v>0</v>
      </c>
      <c r="AN651" s="60">
        <v>0</v>
      </c>
      <c r="AO651" s="60">
        <v>204.38</v>
      </c>
      <c r="AP651" s="60">
        <v>205.78</v>
      </c>
      <c r="AQ651" s="60">
        <v>199.12</v>
      </c>
      <c r="AR651" s="61">
        <v>205.78</v>
      </c>
    </row>
    <row r="652" spans="1:44" x14ac:dyDescent="0.35">
      <c r="A652" s="49" t="str">
        <f t="shared" si="52"/>
        <v>54</v>
      </c>
      <c r="B652" s="27">
        <v>76794</v>
      </c>
      <c r="C652" s="25" t="str">
        <f t="shared" si="54"/>
        <v>0000000</v>
      </c>
      <c r="D652" s="26" t="s">
        <v>3663</v>
      </c>
      <c r="E652" s="25" t="s">
        <v>3408</v>
      </c>
      <c r="F652" s="25" t="s">
        <v>3311</v>
      </c>
      <c r="G652" s="59" t="s">
        <v>3409</v>
      </c>
      <c r="H652" s="60">
        <v>1969.24</v>
      </c>
      <c r="I652" s="60">
        <v>1959.34</v>
      </c>
      <c r="J652" s="60">
        <v>1920.6</v>
      </c>
      <c r="K652" s="60">
        <v>0</v>
      </c>
      <c r="L652" s="60">
        <v>0</v>
      </c>
      <c r="M652" s="60">
        <v>0</v>
      </c>
      <c r="N652" s="60">
        <v>0</v>
      </c>
      <c r="O652" s="60">
        <v>0</v>
      </c>
      <c r="P652" s="60">
        <v>0</v>
      </c>
      <c r="Q652" s="60">
        <v>0</v>
      </c>
      <c r="R652" s="60">
        <v>0</v>
      </c>
      <c r="S652" s="60">
        <v>0</v>
      </c>
      <c r="T652" s="60">
        <v>0</v>
      </c>
      <c r="U652" s="60">
        <v>0</v>
      </c>
      <c r="V652" s="60">
        <v>0</v>
      </c>
      <c r="W652" s="60">
        <v>0</v>
      </c>
      <c r="X652" s="60">
        <v>0</v>
      </c>
      <c r="Y652" s="60">
        <v>0</v>
      </c>
      <c r="Z652" s="60">
        <v>0</v>
      </c>
      <c r="AA652" s="60">
        <v>0</v>
      </c>
      <c r="AB652" s="60">
        <v>0</v>
      </c>
      <c r="AC652" s="60">
        <v>0</v>
      </c>
      <c r="AD652" s="60">
        <v>0</v>
      </c>
      <c r="AE652" s="60">
        <v>0</v>
      </c>
      <c r="AF652" s="60">
        <v>0</v>
      </c>
      <c r="AG652" s="60">
        <v>0</v>
      </c>
      <c r="AH652" s="60">
        <v>0</v>
      </c>
      <c r="AI652" s="60">
        <v>1969.24</v>
      </c>
      <c r="AJ652" s="60">
        <v>1959.34</v>
      </c>
      <c r="AK652" s="60">
        <v>1920.6</v>
      </c>
      <c r="AL652" s="60">
        <v>0</v>
      </c>
      <c r="AM652" s="60">
        <v>0</v>
      </c>
      <c r="AN652" s="60">
        <v>0</v>
      </c>
      <c r="AO652" s="60">
        <v>1969.24</v>
      </c>
      <c r="AP652" s="60">
        <v>1959.34</v>
      </c>
      <c r="AQ652" s="60">
        <v>1920.6</v>
      </c>
      <c r="AR652" s="61">
        <v>1969.24</v>
      </c>
    </row>
    <row r="653" spans="1:44" x14ac:dyDescent="0.35">
      <c r="A653" s="49" t="str">
        <f t="shared" si="52"/>
        <v>54</v>
      </c>
      <c r="B653" s="27">
        <v>76836</v>
      </c>
      <c r="C653" s="25" t="str">
        <f t="shared" si="54"/>
        <v>0000000</v>
      </c>
      <c r="D653" s="26" t="s">
        <v>3663</v>
      </c>
      <c r="E653" s="25" t="s">
        <v>3410</v>
      </c>
      <c r="F653" s="25" t="s">
        <v>3311</v>
      </c>
      <c r="G653" s="59" t="s">
        <v>3411</v>
      </c>
      <c r="H653" s="60">
        <v>2466.63</v>
      </c>
      <c r="I653" s="60">
        <v>2473.4699999999998</v>
      </c>
      <c r="J653" s="60">
        <v>2406.34</v>
      </c>
      <c r="K653" s="60">
        <v>0</v>
      </c>
      <c r="L653" s="60">
        <v>0</v>
      </c>
      <c r="M653" s="60">
        <v>0</v>
      </c>
      <c r="N653" s="60">
        <v>0</v>
      </c>
      <c r="O653" s="60">
        <v>0</v>
      </c>
      <c r="P653" s="60">
        <v>0</v>
      </c>
      <c r="Q653" s="60">
        <v>0</v>
      </c>
      <c r="R653" s="60">
        <v>0</v>
      </c>
      <c r="S653" s="60">
        <v>0</v>
      </c>
      <c r="T653" s="60">
        <v>0</v>
      </c>
      <c r="U653" s="60">
        <v>0</v>
      </c>
      <c r="V653" s="60">
        <v>0</v>
      </c>
      <c r="W653" s="60">
        <v>0</v>
      </c>
      <c r="X653" s="60">
        <v>0</v>
      </c>
      <c r="Y653" s="60">
        <v>0</v>
      </c>
      <c r="Z653" s="60">
        <v>0</v>
      </c>
      <c r="AA653" s="60">
        <v>0</v>
      </c>
      <c r="AB653" s="60">
        <v>0</v>
      </c>
      <c r="AC653" s="60">
        <v>0</v>
      </c>
      <c r="AD653" s="60">
        <v>0</v>
      </c>
      <c r="AE653" s="60">
        <v>0</v>
      </c>
      <c r="AF653" s="60">
        <v>0</v>
      </c>
      <c r="AG653" s="60">
        <v>0</v>
      </c>
      <c r="AH653" s="60">
        <v>0</v>
      </c>
      <c r="AI653" s="60">
        <v>2466.63</v>
      </c>
      <c r="AJ653" s="60">
        <v>2473.4699999999998</v>
      </c>
      <c r="AK653" s="60">
        <v>2406.34</v>
      </c>
      <c r="AL653" s="60">
        <v>0</v>
      </c>
      <c r="AM653" s="60">
        <v>0</v>
      </c>
      <c r="AN653" s="60">
        <v>0</v>
      </c>
      <c r="AO653" s="60">
        <v>2466.63</v>
      </c>
      <c r="AP653" s="60">
        <v>2473.4699999999998</v>
      </c>
      <c r="AQ653" s="60">
        <v>2406.34</v>
      </c>
      <c r="AR653" s="61">
        <v>2473.4699999999998</v>
      </c>
    </row>
    <row r="654" spans="1:44" x14ac:dyDescent="0.35">
      <c r="A654" s="49" t="str">
        <f t="shared" si="52"/>
        <v>54</v>
      </c>
      <c r="B654" s="27">
        <v>10546</v>
      </c>
      <c r="C654" s="25" t="str">
        <f>TEXT(135459,"0000000")</f>
        <v>0135459</v>
      </c>
      <c r="D654" s="27">
        <v>1860</v>
      </c>
      <c r="E654" s="25" t="s">
        <v>3316</v>
      </c>
      <c r="F654" s="25" t="s">
        <v>3311</v>
      </c>
      <c r="G654" s="59" t="s">
        <v>3317</v>
      </c>
      <c r="H654" s="60">
        <v>0</v>
      </c>
      <c r="I654" s="60">
        <v>0</v>
      </c>
      <c r="J654" s="60">
        <v>0</v>
      </c>
      <c r="K654" s="60">
        <v>0</v>
      </c>
      <c r="L654" s="60">
        <v>0</v>
      </c>
      <c r="M654" s="60">
        <v>0</v>
      </c>
      <c r="N654" s="60">
        <v>0</v>
      </c>
      <c r="O654" s="60">
        <v>0</v>
      </c>
      <c r="P654" s="60">
        <v>0</v>
      </c>
      <c r="Q654" s="60">
        <v>0</v>
      </c>
      <c r="R654" s="60">
        <v>0</v>
      </c>
      <c r="S654" s="60">
        <v>0</v>
      </c>
      <c r="T654" s="60">
        <v>0</v>
      </c>
      <c r="U654" s="60">
        <v>0</v>
      </c>
      <c r="V654" s="60">
        <v>0</v>
      </c>
      <c r="W654" s="60">
        <v>0</v>
      </c>
      <c r="X654" s="60">
        <v>0</v>
      </c>
      <c r="Y654" s="60">
        <v>0</v>
      </c>
      <c r="Z654" s="60">
        <v>0</v>
      </c>
      <c r="AA654" s="60">
        <v>0</v>
      </c>
      <c r="AB654" s="60">
        <v>0</v>
      </c>
      <c r="AC654" s="60">
        <v>389.94</v>
      </c>
      <c r="AD654" s="60">
        <v>319.92</v>
      </c>
      <c r="AE654" s="60">
        <v>278.33999999999997</v>
      </c>
      <c r="AF654" s="60">
        <v>0</v>
      </c>
      <c r="AG654" s="60">
        <v>0</v>
      </c>
      <c r="AH654" s="60">
        <v>0</v>
      </c>
      <c r="AI654" s="60">
        <v>389.94</v>
      </c>
      <c r="AJ654" s="60">
        <v>319.92</v>
      </c>
      <c r="AK654" s="60">
        <v>278.33999999999997</v>
      </c>
      <c r="AL654" s="60">
        <v>0</v>
      </c>
      <c r="AM654" s="60">
        <v>0</v>
      </c>
      <c r="AN654" s="60">
        <v>0</v>
      </c>
      <c r="AO654" s="60">
        <v>389.94</v>
      </c>
      <c r="AP654" s="60">
        <v>319.92</v>
      </c>
      <c r="AQ654" s="60">
        <v>278.33999999999997</v>
      </c>
      <c r="AR654" s="61">
        <v>389.94</v>
      </c>
    </row>
    <row r="655" spans="1:44" x14ac:dyDescent="0.35">
      <c r="A655" s="49" t="str">
        <f t="shared" si="52"/>
        <v>54</v>
      </c>
      <c r="B655" s="27">
        <v>10546</v>
      </c>
      <c r="C655" s="25" t="str">
        <f>TEXT(125542,"0000000")</f>
        <v>0125542</v>
      </c>
      <c r="D655" s="27">
        <v>1382</v>
      </c>
      <c r="E655" s="25" t="s">
        <v>3314</v>
      </c>
      <c r="F655" s="25" t="s">
        <v>3311</v>
      </c>
      <c r="G655" s="59" t="s">
        <v>3315</v>
      </c>
      <c r="H655" s="60">
        <v>0</v>
      </c>
      <c r="I655" s="60">
        <v>0</v>
      </c>
      <c r="J655" s="60">
        <v>0</v>
      </c>
      <c r="K655" s="60">
        <v>0</v>
      </c>
      <c r="L655" s="60">
        <v>0</v>
      </c>
      <c r="M655" s="60">
        <v>0</v>
      </c>
      <c r="N655" s="60">
        <v>0</v>
      </c>
      <c r="O655" s="60">
        <v>0</v>
      </c>
      <c r="P655" s="60">
        <v>0</v>
      </c>
      <c r="Q655" s="60">
        <v>0</v>
      </c>
      <c r="R655" s="60">
        <v>0</v>
      </c>
      <c r="S655" s="60">
        <v>0</v>
      </c>
      <c r="T655" s="60">
        <v>0</v>
      </c>
      <c r="U655" s="60">
        <v>0</v>
      </c>
      <c r="V655" s="60">
        <v>0</v>
      </c>
      <c r="W655" s="60">
        <v>0</v>
      </c>
      <c r="X655" s="60">
        <v>0</v>
      </c>
      <c r="Y655" s="60">
        <v>0</v>
      </c>
      <c r="Z655" s="60">
        <v>0</v>
      </c>
      <c r="AA655" s="60">
        <v>0</v>
      </c>
      <c r="AB655" s="60">
        <v>0</v>
      </c>
      <c r="AC655" s="60">
        <v>381.42</v>
      </c>
      <c r="AD655" s="60">
        <v>354.9</v>
      </c>
      <c r="AE655" s="60">
        <v>356.41</v>
      </c>
      <c r="AF655" s="60">
        <v>0</v>
      </c>
      <c r="AG655" s="60">
        <v>0</v>
      </c>
      <c r="AH655" s="60">
        <v>0</v>
      </c>
      <c r="AI655" s="60">
        <v>381.42</v>
      </c>
      <c r="AJ655" s="60">
        <v>354.9</v>
      </c>
      <c r="AK655" s="60">
        <v>356.41</v>
      </c>
      <c r="AL655" s="60">
        <v>0</v>
      </c>
      <c r="AM655" s="60">
        <v>0</v>
      </c>
      <c r="AN655" s="60">
        <v>0</v>
      </c>
      <c r="AO655" s="60">
        <v>381.42</v>
      </c>
      <c r="AP655" s="60">
        <v>354.9</v>
      </c>
      <c r="AQ655" s="60">
        <v>356.41</v>
      </c>
      <c r="AR655" s="61">
        <v>381.42</v>
      </c>
    </row>
    <row r="656" spans="1:44" x14ac:dyDescent="0.35">
      <c r="A656" s="49" t="str">
        <f t="shared" si="52"/>
        <v>54</v>
      </c>
      <c r="B656" s="27">
        <v>10546</v>
      </c>
      <c r="C656" s="25" t="str">
        <f>TEXT(124057,"0000000")</f>
        <v>0124057</v>
      </c>
      <c r="D656" s="27">
        <v>1293</v>
      </c>
      <c r="E656" s="25" t="s">
        <v>3312</v>
      </c>
      <c r="F656" s="25" t="s">
        <v>3311</v>
      </c>
      <c r="G656" s="59" t="s">
        <v>3313</v>
      </c>
      <c r="H656" s="60">
        <v>0</v>
      </c>
      <c r="I656" s="60">
        <v>0</v>
      </c>
      <c r="J656" s="60">
        <v>0</v>
      </c>
      <c r="K656" s="60">
        <v>0</v>
      </c>
      <c r="L656" s="60">
        <v>0</v>
      </c>
      <c r="M656" s="60">
        <v>0</v>
      </c>
      <c r="N656" s="60">
        <v>0</v>
      </c>
      <c r="O656" s="60">
        <v>0</v>
      </c>
      <c r="P656" s="60">
        <v>0</v>
      </c>
      <c r="Q656" s="60">
        <v>0</v>
      </c>
      <c r="R656" s="60">
        <v>0</v>
      </c>
      <c r="S656" s="60">
        <v>0</v>
      </c>
      <c r="T656" s="60">
        <v>0</v>
      </c>
      <c r="U656" s="60">
        <v>0</v>
      </c>
      <c r="V656" s="60">
        <v>0</v>
      </c>
      <c r="W656" s="60">
        <v>0</v>
      </c>
      <c r="X656" s="60">
        <v>0</v>
      </c>
      <c r="Y656" s="60">
        <v>0</v>
      </c>
      <c r="Z656" s="60">
        <v>0</v>
      </c>
      <c r="AA656" s="60">
        <v>0</v>
      </c>
      <c r="AB656" s="60">
        <v>0</v>
      </c>
      <c r="AC656" s="60">
        <v>643.94000000000005</v>
      </c>
      <c r="AD656" s="60">
        <v>626.91999999999996</v>
      </c>
      <c r="AE656" s="60">
        <v>611.26</v>
      </c>
      <c r="AF656" s="60">
        <v>0</v>
      </c>
      <c r="AG656" s="60">
        <v>0</v>
      </c>
      <c r="AH656" s="60">
        <v>0</v>
      </c>
      <c r="AI656" s="60">
        <v>643.94000000000005</v>
      </c>
      <c r="AJ656" s="60">
        <v>626.91999999999996</v>
      </c>
      <c r="AK656" s="60">
        <v>611.26</v>
      </c>
      <c r="AL656" s="60">
        <v>0</v>
      </c>
      <c r="AM656" s="60">
        <v>0</v>
      </c>
      <c r="AN656" s="60">
        <v>0</v>
      </c>
      <c r="AO656" s="60">
        <v>643.94000000000005</v>
      </c>
      <c r="AP656" s="60">
        <v>626.91999999999996</v>
      </c>
      <c r="AQ656" s="60">
        <v>611.26</v>
      </c>
      <c r="AR656" s="61">
        <v>643.94000000000005</v>
      </c>
    </row>
    <row r="657" spans="1:44" x14ac:dyDescent="0.35">
      <c r="A657" s="49" t="str">
        <f>TEXT(33,"00")</f>
        <v>33</v>
      </c>
      <c r="B657" s="27">
        <v>67215</v>
      </c>
      <c r="C657" s="25" t="str">
        <f t="shared" ref="C657:C666" si="55">TEXT(,"0000000")</f>
        <v>0000000</v>
      </c>
      <c r="D657" s="26" t="s">
        <v>3663</v>
      </c>
      <c r="E657" s="25" t="s">
        <v>1759</v>
      </c>
      <c r="F657" s="25" t="s">
        <v>1760</v>
      </c>
      <c r="G657" s="59" t="s">
        <v>1760</v>
      </c>
      <c r="H657" s="60">
        <v>36350.26</v>
      </c>
      <c r="I657" s="60">
        <v>36391.79</v>
      </c>
      <c r="J657" s="60">
        <v>36439.839999999997</v>
      </c>
      <c r="K657" s="60">
        <v>0</v>
      </c>
      <c r="L657" s="60">
        <v>0</v>
      </c>
      <c r="M657" s="60">
        <v>0</v>
      </c>
      <c r="N657" s="60">
        <v>0</v>
      </c>
      <c r="O657" s="60">
        <v>0</v>
      </c>
      <c r="P657" s="60">
        <v>0</v>
      </c>
      <c r="Q657" s="60">
        <v>0</v>
      </c>
      <c r="R657" s="60">
        <v>0</v>
      </c>
      <c r="S657" s="60">
        <v>0</v>
      </c>
      <c r="T657" s="60">
        <v>0</v>
      </c>
      <c r="U657" s="60">
        <v>0</v>
      </c>
      <c r="V657" s="60">
        <v>0</v>
      </c>
      <c r="W657" s="60">
        <v>0</v>
      </c>
      <c r="X657" s="60">
        <v>0</v>
      </c>
      <c r="Y657" s="60">
        <v>0</v>
      </c>
      <c r="Z657" s="60">
        <v>0</v>
      </c>
      <c r="AA657" s="60">
        <v>0</v>
      </c>
      <c r="AB657" s="60">
        <v>0</v>
      </c>
      <c r="AC657" s="60">
        <v>0</v>
      </c>
      <c r="AD657" s="60">
        <v>0</v>
      </c>
      <c r="AE657" s="60">
        <v>0</v>
      </c>
      <c r="AF657" s="60">
        <v>0</v>
      </c>
      <c r="AG657" s="60">
        <v>0</v>
      </c>
      <c r="AH657" s="60">
        <v>0</v>
      </c>
      <c r="AI657" s="60">
        <v>36350.26</v>
      </c>
      <c r="AJ657" s="60">
        <v>36391.79</v>
      </c>
      <c r="AK657" s="60">
        <v>36439.839999999997</v>
      </c>
      <c r="AL657" s="60">
        <v>0</v>
      </c>
      <c r="AM657" s="60">
        <v>0</v>
      </c>
      <c r="AN657" s="60">
        <v>0</v>
      </c>
      <c r="AO657" s="60">
        <v>36350.26</v>
      </c>
      <c r="AP657" s="60">
        <v>36391.79</v>
      </c>
      <c r="AQ657" s="60">
        <v>36439.839999999997</v>
      </c>
      <c r="AR657" s="61">
        <v>36439.839999999997</v>
      </c>
    </row>
    <row r="658" spans="1:44" x14ac:dyDescent="0.35">
      <c r="A658" s="49" t="str">
        <f t="shared" ref="A658:A667" si="56">TEXT(11,"00")</f>
        <v>11</v>
      </c>
      <c r="B658" s="27">
        <v>10116</v>
      </c>
      <c r="C658" s="25" t="str">
        <f t="shared" si="55"/>
        <v>0000000</v>
      </c>
      <c r="D658" s="26" t="s">
        <v>3663</v>
      </c>
      <c r="E658" s="25" t="s">
        <v>496</v>
      </c>
      <c r="F658" s="25" t="s">
        <v>497</v>
      </c>
      <c r="G658" s="59" t="s">
        <v>497</v>
      </c>
      <c r="H658" s="60">
        <v>0</v>
      </c>
      <c r="I658" s="60">
        <v>0</v>
      </c>
      <c r="J658" s="60">
        <v>0</v>
      </c>
      <c r="K658" s="60">
        <v>0</v>
      </c>
      <c r="L658" s="60">
        <v>0</v>
      </c>
      <c r="M658" s="60">
        <v>0</v>
      </c>
      <c r="N658" s="60">
        <v>0</v>
      </c>
      <c r="O658" s="60">
        <v>0</v>
      </c>
      <c r="P658" s="60">
        <v>0</v>
      </c>
      <c r="Q658" s="60">
        <v>0</v>
      </c>
      <c r="R658" s="60">
        <v>0</v>
      </c>
      <c r="S658" s="60">
        <v>0</v>
      </c>
      <c r="T658" s="60">
        <v>0.71</v>
      </c>
      <c r="U658" s="60">
        <v>0.88</v>
      </c>
      <c r="V658" s="60">
        <v>4.57</v>
      </c>
      <c r="W658" s="60">
        <v>204.36</v>
      </c>
      <c r="X658" s="60">
        <v>214.7</v>
      </c>
      <c r="Y658" s="60">
        <v>219.49</v>
      </c>
      <c r="Z658" s="60">
        <v>64.77</v>
      </c>
      <c r="AA658" s="60">
        <v>68</v>
      </c>
      <c r="AB658" s="60">
        <v>55.19</v>
      </c>
      <c r="AC658" s="60">
        <v>0</v>
      </c>
      <c r="AD658" s="60">
        <v>0</v>
      </c>
      <c r="AE658" s="60">
        <v>0</v>
      </c>
      <c r="AF658" s="60">
        <v>0</v>
      </c>
      <c r="AG658" s="60">
        <v>0</v>
      </c>
      <c r="AH658" s="60">
        <v>0</v>
      </c>
      <c r="AI658" s="60">
        <v>269.83999999999997</v>
      </c>
      <c r="AJ658" s="60">
        <v>283.58</v>
      </c>
      <c r="AK658" s="60">
        <v>279.25</v>
      </c>
      <c r="AL658" s="60">
        <v>0</v>
      </c>
      <c r="AM658" s="60">
        <v>0</v>
      </c>
      <c r="AN658" s="60">
        <v>0</v>
      </c>
      <c r="AO658" s="60">
        <v>269.83999999999997</v>
      </c>
      <c r="AP658" s="60">
        <v>283.58</v>
      </c>
      <c r="AQ658" s="60">
        <v>279.25</v>
      </c>
      <c r="AR658" s="61">
        <v>283.58</v>
      </c>
    </row>
    <row r="659" spans="1:44" x14ac:dyDescent="0.35">
      <c r="A659" s="49" t="str">
        <f t="shared" si="56"/>
        <v>11</v>
      </c>
      <c r="B659" s="27">
        <v>62661</v>
      </c>
      <c r="C659" s="25" t="str">
        <f t="shared" si="55"/>
        <v>0000000</v>
      </c>
      <c r="D659" s="26" t="s">
        <v>3663</v>
      </c>
      <c r="E659" s="25" t="s">
        <v>514</v>
      </c>
      <c r="F659" s="25" t="s">
        <v>497</v>
      </c>
      <c r="G659" s="59" t="s">
        <v>515</v>
      </c>
      <c r="H659" s="60">
        <v>1283.54</v>
      </c>
      <c r="I659" s="60">
        <v>1295.2</v>
      </c>
      <c r="J659" s="60">
        <v>1280.31</v>
      </c>
      <c r="K659" s="60">
        <v>0</v>
      </c>
      <c r="L659" s="60">
        <v>0</v>
      </c>
      <c r="M659" s="60">
        <v>0</v>
      </c>
      <c r="N659" s="60">
        <v>0</v>
      </c>
      <c r="O659" s="60">
        <v>0</v>
      </c>
      <c r="P659" s="60">
        <v>0</v>
      </c>
      <c r="Q659" s="60">
        <v>0</v>
      </c>
      <c r="R659" s="60">
        <v>0</v>
      </c>
      <c r="S659" s="60">
        <v>0</v>
      </c>
      <c r="T659" s="60">
        <v>0</v>
      </c>
      <c r="U659" s="60">
        <v>0</v>
      </c>
      <c r="V659" s="60">
        <v>0</v>
      </c>
      <c r="W659" s="60">
        <v>0</v>
      </c>
      <c r="X659" s="60">
        <v>0</v>
      </c>
      <c r="Y659" s="60">
        <v>0</v>
      </c>
      <c r="Z659" s="60">
        <v>0</v>
      </c>
      <c r="AA659" s="60">
        <v>0</v>
      </c>
      <c r="AB659" s="60">
        <v>0</v>
      </c>
      <c r="AC659" s="60">
        <v>0</v>
      </c>
      <c r="AD659" s="60">
        <v>0</v>
      </c>
      <c r="AE659" s="60">
        <v>162.59</v>
      </c>
      <c r="AF659" s="60">
        <v>0</v>
      </c>
      <c r="AG659" s="60">
        <v>0</v>
      </c>
      <c r="AH659" s="60">
        <v>0</v>
      </c>
      <c r="AI659" s="60">
        <v>1283.54</v>
      </c>
      <c r="AJ659" s="60">
        <v>1295.2</v>
      </c>
      <c r="AK659" s="60">
        <v>1442.9</v>
      </c>
      <c r="AL659" s="60">
        <v>0</v>
      </c>
      <c r="AM659" s="60">
        <v>0</v>
      </c>
      <c r="AN659" s="60">
        <v>-162.59</v>
      </c>
      <c r="AO659" s="60">
        <v>1283.54</v>
      </c>
      <c r="AP659" s="60">
        <v>1295.2</v>
      </c>
      <c r="AQ659" s="60">
        <v>1280.31</v>
      </c>
      <c r="AR659" s="61">
        <v>1295.2</v>
      </c>
    </row>
    <row r="660" spans="1:44" x14ac:dyDescent="0.35">
      <c r="A660" s="49" t="str">
        <f t="shared" si="56"/>
        <v>11</v>
      </c>
      <c r="B660" s="27">
        <v>75481</v>
      </c>
      <c r="C660" s="25" t="str">
        <f t="shared" si="55"/>
        <v>0000000</v>
      </c>
      <c r="D660" s="26" t="s">
        <v>3663</v>
      </c>
      <c r="E660" s="25" t="s">
        <v>516</v>
      </c>
      <c r="F660" s="25" t="s">
        <v>497</v>
      </c>
      <c r="G660" s="59" t="s">
        <v>517</v>
      </c>
      <c r="H660" s="60">
        <v>2112.04</v>
      </c>
      <c r="I660" s="60">
        <v>2095.87</v>
      </c>
      <c r="J660" s="60">
        <v>2046.57</v>
      </c>
      <c r="K660" s="60">
        <v>0</v>
      </c>
      <c r="L660" s="60">
        <v>0</v>
      </c>
      <c r="M660" s="60">
        <v>0</v>
      </c>
      <c r="N660" s="60">
        <v>0</v>
      </c>
      <c r="O660" s="60">
        <v>0</v>
      </c>
      <c r="P660" s="60">
        <v>0</v>
      </c>
      <c r="Q660" s="60">
        <v>0</v>
      </c>
      <c r="R660" s="60">
        <v>0</v>
      </c>
      <c r="S660" s="60">
        <v>0</v>
      </c>
      <c r="T660" s="60">
        <v>0</v>
      </c>
      <c r="U660" s="60">
        <v>0</v>
      </c>
      <c r="V660" s="60">
        <v>0</v>
      </c>
      <c r="W660" s="60">
        <v>0</v>
      </c>
      <c r="X660" s="60">
        <v>0</v>
      </c>
      <c r="Y660" s="60">
        <v>0</v>
      </c>
      <c r="Z660" s="60">
        <v>0</v>
      </c>
      <c r="AA660" s="60">
        <v>0</v>
      </c>
      <c r="AB660" s="60">
        <v>0</v>
      </c>
      <c r="AC660" s="60">
        <v>0</v>
      </c>
      <c r="AD660" s="60">
        <v>0</v>
      </c>
      <c r="AE660" s="60">
        <v>0</v>
      </c>
      <c r="AF660" s="60">
        <v>0</v>
      </c>
      <c r="AG660" s="60">
        <v>0</v>
      </c>
      <c r="AH660" s="60">
        <v>0</v>
      </c>
      <c r="AI660" s="60">
        <v>2112.04</v>
      </c>
      <c r="AJ660" s="60">
        <v>2095.87</v>
      </c>
      <c r="AK660" s="60">
        <v>2046.57</v>
      </c>
      <c r="AL660" s="60">
        <v>0</v>
      </c>
      <c r="AM660" s="60">
        <v>0</v>
      </c>
      <c r="AN660" s="60">
        <v>0</v>
      </c>
      <c r="AO660" s="60">
        <v>2112.04</v>
      </c>
      <c r="AP660" s="60">
        <v>2095.87</v>
      </c>
      <c r="AQ660" s="60">
        <v>2046.57</v>
      </c>
      <c r="AR660" s="61">
        <v>2112.04</v>
      </c>
    </row>
    <row r="661" spans="1:44" x14ac:dyDescent="0.35">
      <c r="A661" s="49" t="str">
        <f t="shared" si="56"/>
        <v>11</v>
      </c>
      <c r="B661" s="27">
        <v>62554</v>
      </c>
      <c r="C661" s="25" t="str">
        <f t="shared" si="55"/>
        <v>0000000</v>
      </c>
      <c r="D661" s="26" t="s">
        <v>3663</v>
      </c>
      <c r="E661" s="25" t="s">
        <v>500</v>
      </c>
      <c r="F661" s="25" t="s">
        <v>497</v>
      </c>
      <c r="G661" s="59" t="s">
        <v>501</v>
      </c>
      <c r="H661" s="60">
        <v>183.42</v>
      </c>
      <c r="I661" s="60">
        <v>179.33</v>
      </c>
      <c r="J661" s="60">
        <v>186.47</v>
      </c>
      <c r="K661" s="60">
        <v>0</v>
      </c>
      <c r="L661" s="60">
        <v>0</v>
      </c>
      <c r="M661" s="60">
        <v>0</v>
      </c>
      <c r="N661" s="60">
        <v>0</v>
      </c>
      <c r="O661" s="60">
        <v>0</v>
      </c>
      <c r="P661" s="60">
        <v>0</v>
      </c>
      <c r="Q661" s="60">
        <v>0</v>
      </c>
      <c r="R661" s="60">
        <v>0</v>
      </c>
      <c r="S661" s="60">
        <v>0</v>
      </c>
      <c r="T661" s="60">
        <v>0</v>
      </c>
      <c r="U661" s="60">
        <v>0</v>
      </c>
      <c r="V661" s="60">
        <v>0</v>
      </c>
      <c r="W661" s="60">
        <v>0</v>
      </c>
      <c r="X661" s="60">
        <v>0</v>
      </c>
      <c r="Y661" s="60">
        <v>0</v>
      </c>
      <c r="Z661" s="60">
        <v>0</v>
      </c>
      <c r="AA661" s="60">
        <v>0</v>
      </c>
      <c r="AB661" s="60">
        <v>0</v>
      </c>
      <c r="AC661" s="60">
        <v>0</v>
      </c>
      <c r="AD661" s="60">
        <v>0</v>
      </c>
      <c r="AE661" s="60">
        <v>0</v>
      </c>
      <c r="AF661" s="60">
        <v>0</v>
      </c>
      <c r="AG661" s="60">
        <v>0</v>
      </c>
      <c r="AH661" s="60">
        <v>0</v>
      </c>
      <c r="AI661" s="60">
        <v>183.42</v>
      </c>
      <c r="AJ661" s="60">
        <v>179.33</v>
      </c>
      <c r="AK661" s="60">
        <v>186.47</v>
      </c>
      <c r="AL661" s="60">
        <v>0</v>
      </c>
      <c r="AM661" s="60">
        <v>0</v>
      </c>
      <c r="AN661" s="60">
        <v>0</v>
      </c>
      <c r="AO661" s="60">
        <v>183.42</v>
      </c>
      <c r="AP661" s="60">
        <v>179.33</v>
      </c>
      <c r="AQ661" s="60">
        <v>186.47</v>
      </c>
      <c r="AR661" s="61">
        <v>186.47</v>
      </c>
    </row>
    <row r="662" spans="1:44" x14ac:dyDescent="0.35">
      <c r="A662" s="49" t="str">
        <f t="shared" si="56"/>
        <v>11</v>
      </c>
      <c r="B662" s="27">
        <v>62596</v>
      </c>
      <c r="C662" s="25" t="str">
        <f t="shared" si="55"/>
        <v>0000000</v>
      </c>
      <c r="D662" s="26" t="s">
        <v>3663</v>
      </c>
      <c r="E662" s="25" t="s">
        <v>502</v>
      </c>
      <c r="F662" s="25" t="s">
        <v>497</v>
      </c>
      <c r="G662" s="59" t="s">
        <v>503</v>
      </c>
      <c r="H662" s="60">
        <v>187.6</v>
      </c>
      <c r="I662" s="60">
        <v>177.25</v>
      </c>
      <c r="J662" s="60">
        <v>176.07</v>
      </c>
      <c r="K662" s="60">
        <v>0</v>
      </c>
      <c r="L662" s="60">
        <v>0</v>
      </c>
      <c r="M662" s="60">
        <v>0</v>
      </c>
      <c r="N662" s="60">
        <v>0</v>
      </c>
      <c r="O662" s="60">
        <v>0</v>
      </c>
      <c r="P662" s="60">
        <v>0</v>
      </c>
      <c r="Q662" s="60">
        <v>0</v>
      </c>
      <c r="R662" s="60">
        <v>0</v>
      </c>
      <c r="S662" s="60">
        <v>0</v>
      </c>
      <c r="T662" s="60">
        <v>0</v>
      </c>
      <c r="U662" s="60">
        <v>0</v>
      </c>
      <c r="V662" s="60">
        <v>0</v>
      </c>
      <c r="W662" s="60">
        <v>0</v>
      </c>
      <c r="X662" s="60">
        <v>0</v>
      </c>
      <c r="Y662" s="60">
        <v>0</v>
      </c>
      <c r="Z662" s="60">
        <v>0</v>
      </c>
      <c r="AA662" s="60">
        <v>0</v>
      </c>
      <c r="AB662" s="60">
        <v>0</v>
      </c>
      <c r="AC662" s="60">
        <v>0</v>
      </c>
      <c r="AD662" s="60">
        <v>0</v>
      </c>
      <c r="AE662" s="60">
        <v>0</v>
      </c>
      <c r="AF662" s="60">
        <v>0</v>
      </c>
      <c r="AG662" s="60">
        <v>0</v>
      </c>
      <c r="AH662" s="60">
        <v>0</v>
      </c>
      <c r="AI662" s="60">
        <v>187.6</v>
      </c>
      <c r="AJ662" s="60">
        <v>177.25</v>
      </c>
      <c r="AK662" s="60">
        <v>176.07</v>
      </c>
      <c r="AL662" s="60">
        <v>0</v>
      </c>
      <c r="AM662" s="60">
        <v>0</v>
      </c>
      <c r="AN662" s="60">
        <v>0</v>
      </c>
      <c r="AO662" s="60">
        <v>187.6</v>
      </c>
      <c r="AP662" s="60">
        <v>177.25</v>
      </c>
      <c r="AQ662" s="60">
        <v>176.07</v>
      </c>
      <c r="AR662" s="61">
        <v>187.6</v>
      </c>
    </row>
    <row r="663" spans="1:44" x14ac:dyDescent="0.35">
      <c r="A663" s="49" t="str">
        <f t="shared" si="56"/>
        <v>11</v>
      </c>
      <c r="B663" s="27">
        <v>62638</v>
      </c>
      <c r="C663" s="25" t="str">
        <f t="shared" si="55"/>
        <v>0000000</v>
      </c>
      <c r="D663" s="26" t="s">
        <v>3663</v>
      </c>
      <c r="E663" s="25" t="s">
        <v>508</v>
      </c>
      <c r="F663" s="25" t="s">
        <v>497</v>
      </c>
      <c r="G663" s="59" t="s">
        <v>509</v>
      </c>
      <c r="H663" s="60">
        <v>186.72</v>
      </c>
      <c r="I663" s="60">
        <v>193.12</v>
      </c>
      <c r="J663" s="60">
        <v>185</v>
      </c>
      <c r="K663" s="60">
        <v>0</v>
      </c>
      <c r="L663" s="60">
        <v>0</v>
      </c>
      <c r="M663" s="60">
        <v>0</v>
      </c>
      <c r="N663" s="60">
        <v>0</v>
      </c>
      <c r="O663" s="60">
        <v>0</v>
      </c>
      <c r="P663" s="60">
        <v>0</v>
      </c>
      <c r="Q663" s="60">
        <v>0</v>
      </c>
      <c r="R663" s="60">
        <v>0</v>
      </c>
      <c r="S663" s="60">
        <v>0</v>
      </c>
      <c r="T663" s="60">
        <v>0</v>
      </c>
      <c r="U663" s="60">
        <v>0</v>
      </c>
      <c r="V663" s="60">
        <v>0</v>
      </c>
      <c r="W663" s="60">
        <v>0</v>
      </c>
      <c r="X663" s="60">
        <v>0</v>
      </c>
      <c r="Y663" s="60">
        <v>0</v>
      </c>
      <c r="Z663" s="60">
        <v>0</v>
      </c>
      <c r="AA663" s="60">
        <v>0</v>
      </c>
      <c r="AB663" s="60">
        <v>0</v>
      </c>
      <c r="AC663" s="60">
        <v>0</v>
      </c>
      <c r="AD663" s="60">
        <v>0</v>
      </c>
      <c r="AE663" s="60">
        <v>0</v>
      </c>
      <c r="AF663" s="60">
        <v>0</v>
      </c>
      <c r="AG663" s="60">
        <v>0</v>
      </c>
      <c r="AH663" s="60">
        <v>0</v>
      </c>
      <c r="AI663" s="60">
        <v>186.72</v>
      </c>
      <c r="AJ663" s="60">
        <v>193.12</v>
      </c>
      <c r="AK663" s="60">
        <v>185</v>
      </c>
      <c r="AL663" s="60">
        <v>0</v>
      </c>
      <c r="AM663" s="60">
        <v>0</v>
      </c>
      <c r="AN663" s="60">
        <v>0</v>
      </c>
      <c r="AO663" s="60">
        <v>186.72</v>
      </c>
      <c r="AP663" s="60">
        <v>193.12</v>
      </c>
      <c r="AQ663" s="60">
        <v>185</v>
      </c>
      <c r="AR663" s="61">
        <v>193.12</v>
      </c>
    </row>
    <row r="664" spans="1:44" x14ac:dyDescent="0.35">
      <c r="A664" s="49" t="str">
        <f t="shared" si="56"/>
        <v>11</v>
      </c>
      <c r="B664" s="27">
        <v>62646</v>
      </c>
      <c r="C664" s="25" t="str">
        <f t="shared" si="55"/>
        <v>0000000</v>
      </c>
      <c r="D664" s="26" t="s">
        <v>3663</v>
      </c>
      <c r="E664" s="25" t="s">
        <v>510</v>
      </c>
      <c r="F664" s="25" t="s">
        <v>497</v>
      </c>
      <c r="G664" s="59" t="s">
        <v>511</v>
      </c>
      <c r="H664" s="60">
        <v>109.89</v>
      </c>
      <c r="I664" s="60">
        <v>125.27</v>
      </c>
      <c r="J664" s="60">
        <v>140.26</v>
      </c>
      <c r="K664" s="60">
        <v>0</v>
      </c>
      <c r="L664" s="60">
        <v>0</v>
      </c>
      <c r="M664" s="60">
        <v>0</v>
      </c>
      <c r="N664" s="60">
        <v>0</v>
      </c>
      <c r="O664" s="60">
        <v>0</v>
      </c>
      <c r="P664" s="60">
        <v>0</v>
      </c>
      <c r="Q664" s="60">
        <v>0</v>
      </c>
      <c r="R664" s="60">
        <v>0</v>
      </c>
      <c r="S664" s="60">
        <v>0</v>
      </c>
      <c r="T664" s="60">
        <v>0</v>
      </c>
      <c r="U664" s="60">
        <v>0</v>
      </c>
      <c r="V664" s="60">
        <v>0</v>
      </c>
      <c r="W664" s="60">
        <v>0</v>
      </c>
      <c r="X664" s="60">
        <v>0</v>
      </c>
      <c r="Y664" s="60">
        <v>0</v>
      </c>
      <c r="Z664" s="60">
        <v>0</v>
      </c>
      <c r="AA664" s="60">
        <v>0</v>
      </c>
      <c r="AB664" s="60">
        <v>0</v>
      </c>
      <c r="AC664" s="60">
        <v>0</v>
      </c>
      <c r="AD664" s="60">
        <v>0</v>
      </c>
      <c r="AE664" s="60">
        <v>0</v>
      </c>
      <c r="AF664" s="60">
        <v>0</v>
      </c>
      <c r="AG664" s="60">
        <v>0</v>
      </c>
      <c r="AH664" s="60">
        <v>0</v>
      </c>
      <c r="AI664" s="60">
        <v>109.89</v>
      </c>
      <c r="AJ664" s="60">
        <v>125.27</v>
      </c>
      <c r="AK664" s="60">
        <v>140.26</v>
      </c>
      <c r="AL664" s="60">
        <v>0</v>
      </c>
      <c r="AM664" s="60">
        <v>0</v>
      </c>
      <c r="AN664" s="60">
        <v>0</v>
      </c>
      <c r="AO664" s="60">
        <v>109.89</v>
      </c>
      <c r="AP664" s="60">
        <v>125.27</v>
      </c>
      <c r="AQ664" s="60">
        <v>140.26</v>
      </c>
      <c r="AR664" s="61">
        <v>140.26</v>
      </c>
    </row>
    <row r="665" spans="1:44" x14ac:dyDescent="0.35">
      <c r="A665" s="49" t="str">
        <f t="shared" si="56"/>
        <v>11</v>
      </c>
      <c r="B665" s="27">
        <v>62653</v>
      </c>
      <c r="C665" s="25" t="str">
        <f t="shared" si="55"/>
        <v>0000000</v>
      </c>
      <c r="D665" s="26" t="s">
        <v>3663</v>
      </c>
      <c r="E665" s="25" t="s">
        <v>512</v>
      </c>
      <c r="F665" s="25" t="s">
        <v>497</v>
      </c>
      <c r="G665" s="59" t="s">
        <v>513</v>
      </c>
      <c r="H665" s="60">
        <v>59.14</v>
      </c>
      <c r="I665" s="60">
        <v>77.239999999999995</v>
      </c>
      <c r="J665" s="60">
        <v>77.260000000000005</v>
      </c>
      <c r="K665" s="60">
        <v>0</v>
      </c>
      <c r="L665" s="60">
        <v>0</v>
      </c>
      <c r="M665" s="60">
        <v>0</v>
      </c>
      <c r="N665" s="60">
        <v>0</v>
      </c>
      <c r="O665" s="60">
        <v>0</v>
      </c>
      <c r="P665" s="60">
        <v>0</v>
      </c>
      <c r="Q665" s="60">
        <v>0</v>
      </c>
      <c r="R665" s="60">
        <v>0</v>
      </c>
      <c r="S665" s="60">
        <v>0</v>
      </c>
      <c r="T665" s="60">
        <v>0</v>
      </c>
      <c r="U665" s="60">
        <v>0</v>
      </c>
      <c r="V665" s="60">
        <v>0</v>
      </c>
      <c r="W665" s="60">
        <v>0</v>
      </c>
      <c r="X665" s="60">
        <v>0</v>
      </c>
      <c r="Y665" s="60">
        <v>0</v>
      </c>
      <c r="Z665" s="60">
        <v>0</v>
      </c>
      <c r="AA665" s="60">
        <v>0</v>
      </c>
      <c r="AB665" s="60">
        <v>0</v>
      </c>
      <c r="AC665" s="60">
        <v>0</v>
      </c>
      <c r="AD665" s="60">
        <v>0</v>
      </c>
      <c r="AE665" s="60">
        <v>0</v>
      </c>
      <c r="AF665" s="60">
        <v>0</v>
      </c>
      <c r="AG665" s="60">
        <v>0</v>
      </c>
      <c r="AH665" s="60">
        <v>0</v>
      </c>
      <c r="AI665" s="60">
        <v>59.14</v>
      </c>
      <c r="AJ665" s="60">
        <v>77.239999999999995</v>
      </c>
      <c r="AK665" s="60">
        <v>77.260000000000005</v>
      </c>
      <c r="AL665" s="60">
        <v>0</v>
      </c>
      <c r="AM665" s="60">
        <v>0</v>
      </c>
      <c r="AN665" s="60">
        <v>0</v>
      </c>
      <c r="AO665" s="60">
        <v>59.14</v>
      </c>
      <c r="AP665" s="60">
        <v>77.239999999999995</v>
      </c>
      <c r="AQ665" s="60">
        <v>77.260000000000005</v>
      </c>
      <c r="AR665" s="61">
        <v>77.260000000000005</v>
      </c>
    </row>
    <row r="666" spans="1:44" x14ac:dyDescent="0.35">
      <c r="A666" s="49" t="str">
        <f t="shared" si="56"/>
        <v>11</v>
      </c>
      <c r="B666" s="27">
        <v>76562</v>
      </c>
      <c r="C666" s="25" t="str">
        <f t="shared" si="55"/>
        <v>0000000</v>
      </c>
      <c r="D666" s="26" t="s">
        <v>3663</v>
      </c>
      <c r="E666" s="25" t="s">
        <v>518</v>
      </c>
      <c r="F666" s="25" t="s">
        <v>497</v>
      </c>
      <c r="G666" s="59" t="s">
        <v>519</v>
      </c>
      <c r="H666" s="60">
        <v>681.35</v>
      </c>
      <c r="I666" s="60">
        <v>678.57</v>
      </c>
      <c r="J666" s="60">
        <v>659.72</v>
      </c>
      <c r="K666" s="60">
        <v>0</v>
      </c>
      <c r="L666" s="60">
        <v>0</v>
      </c>
      <c r="M666" s="60">
        <v>0</v>
      </c>
      <c r="N666" s="60">
        <v>0</v>
      </c>
      <c r="O666" s="60">
        <v>0</v>
      </c>
      <c r="P666" s="60">
        <v>0</v>
      </c>
      <c r="Q666" s="60">
        <v>0</v>
      </c>
      <c r="R666" s="60">
        <v>0</v>
      </c>
      <c r="S666" s="60">
        <v>0</v>
      </c>
      <c r="T666" s="60">
        <v>0</v>
      </c>
      <c r="U666" s="60">
        <v>0</v>
      </c>
      <c r="V666" s="60">
        <v>0</v>
      </c>
      <c r="W666" s="60">
        <v>0</v>
      </c>
      <c r="X666" s="60">
        <v>0</v>
      </c>
      <c r="Y666" s="60">
        <v>0</v>
      </c>
      <c r="Z666" s="60">
        <v>0</v>
      </c>
      <c r="AA666" s="60">
        <v>0</v>
      </c>
      <c r="AB666" s="60">
        <v>0</v>
      </c>
      <c r="AC666" s="60">
        <v>0</v>
      </c>
      <c r="AD666" s="60">
        <v>0</v>
      </c>
      <c r="AE666" s="60">
        <v>0</v>
      </c>
      <c r="AF666" s="60">
        <v>0</v>
      </c>
      <c r="AG666" s="60">
        <v>0</v>
      </c>
      <c r="AH666" s="60">
        <v>0</v>
      </c>
      <c r="AI666" s="60">
        <v>681.35</v>
      </c>
      <c r="AJ666" s="60">
        <v>678.57</v>
      </c>
      <c r="AK666" s="60">
        <v>659.72</v>
      </c>
      <c r="AL666" s="60">
        <v>0</v>
      </c>
      <c r="AM666" s="60">
        <v>0</v>
      </c>
      <c r="AN666" s="60">
        <v>0</v>
      </c>
      <c r="AO666" s="60">
        <v>681.35</v>
      </c>
      <c r="AP666" s="60">
        <v>678.57</v>
      </c>
      <c r="AQ666" s="60">
        <v>659.72</v>
      </c>
      <c r="AR666" s="61">
        <v>681.35</v>
      </c>
    </row>
    <row r="667" spans="1:44" x14ac:dyDescent="0.35">
      <c r="A667" s="49" t="str">
        <f t="shared" si="56"/>
        <v>11</v>
      </c>
      <c r="B667" s="27">
        <v>10116</v>
      </c>
      <c r="C667" s="25" t="str">
        <f>TEXT(124909,"0000000")</f>
        <v>0124909</v>
      </c>
      <c r="D667" s="27">
        <v>1350</v>
      </c>
      <c r="E667" s="25" t="s">
        <v>498</v>
      </c>
      <c r="F667" s="25" t="s">
        <v>497</v>
      </c>
      <c r="G667" s="59" t="s">
        <v>499</v>
      </c>
      <c r="H667" s="60">
        <v>0</v>
      </c>
      <c r="I667" s="60">
        <v>0</v>
      </c>
      <c r="J667" s="60">
        <v>0</v>
      </c>
      <c r="K667" s="60">
        <v>0</v>
      </c>
      <c r="L667" s="60">
        <v>0</v>
      </c>
      <c r="M667" s="60">
        <v>0</v>
      </c>
      <c r="N667" s="60">
        <v>0</v>
      </c>
      <c r="O667" s="60">
        <v>0</v>
      </c>
      <c r="P667" s="60">
        <v>0</v>
      </c>
      <c r="Q667" s="60">
        <v>0</v>
      </c>
      <c r="R667" s="60">
        <v>0</v>
      </c>
      <c r="S667" s="60">
        <v>0</v>
      </c>
      <c r="T667" s="60">
        <v>0</v>
      </c>
      <c r="U667" s="60">
        <v>0</v>
      </c>
      <c r="V667" s="60">
        <v>0</v>
      </c>
      <c r="W667" s="60">
        <v>0</v>
      </c>
      <c r="X667" s="60">
        <v>0</v>
      </c>
      <c r="Y667" s="60">
        <v>0</v>
      </c>
      <c r="Z667" s="60">
        <v>0</v>
      </c>
      <c r="AA667" s="60">
        <v>0</v>
      </c>
      <c r="AB667" s="60">
        <v>0</v>
      </c>
      <c r="AC667" s="60">
        <v>172.84</v>
      </c>
      <c r="AD667" s="60">
        <v>175.88</v>
      </c>
      <c r="AE667" s="60">
        <v>0</v>
      </c>
      <c r="AF667" s="60">
        <v>0</v>
      </c>
      <c r="AG667" s="60">
        <v>0</v>
      </c>
      <c r="AH667" s="60">
        <v>0</v>
      </c>
      <c r="AI667" s="60">
        <v>172.84</v>
      </c>
      <c r="AJ667" s="60">
        <v>175.88</v>
      </c>
      <c r="AK667" s="60">
        <v>0</v>
      </c>
      <c r="AL667" s="60">
        <v>0</v>
      </c>
      <c r="AM667" s="60">
        <v>0</v>
      </c>
      <c r="AN667" s="60">
        <v>162.59</v>
      </c>
      <c r="AO667" s="60">
        <v>172.84</v>
      </c>
      <c r="AP667" s="60">
        <v>175.88</v>
      </c>
      <c r="AQ667" s="60">
        <v>162.59</v>
      </c>
      <c r="AR667" s="61">
        <v>175.88</v>
      </c>
    </row>
    <row r="668" spans="1:44" x14ac:dyDescent="0.35">
      <c r="A668" s="49" t="str">
        <f>TEXT(19,"00")</f>
        <v>19</v>
      </c>
      <c r="B668" s="27">
        <v>64733</v>
      </c>
      <c r="C668" s="25" t="str">
        <f t="shared" ref="C668:C703" si="57">TEXT(,"0000000")</f>
        <v>0000000</v>
      </c>
      <c r="D668" s="26" t="s">
        <v>3663</v>
      </c>
      <c r="E668" s="25" t="s">
        <v>1028</v>
      </c>
      <c r="F668" s="25" t="s">
        <v>1029</v>
      </c>
      <c r="G668" s="59" t="s">
        <v>1029</v>
      </c>
      <c r="H668" s="60">
        <v>345571.02</v>
      </c>
      <c r="I668" s="60">
        <v>347990.94</v>
      </c>
      <c r="J668" s="60">
        <v>344367.25</v>
      </c>
      <c r="K668" s="60">
        <v>0</v>
      </c>
      <c r="L668" s="60">
        <v>0</v>
      </c>
      <c r="M668" s="60">
        <v>0</v>
      </c>
      <c r="N668" s="60">
        <v>0</v>
      </c>
      <c r="O668" s="60">
        <v>0</v>
      </c>
      <c r="P668" s="60">
        <v>0</v>
      </c>
      <c r="Q668" s="60">
        <v>0</v>
      </c>
      <c r="R668" s="60">
        <v>0</v>
      </c>
      <c r="S668" s="60">
        <v>0</v>
      </c>
      <c r="T668" s="60">
        <v>232.21</v>
      </c>
      <c r="U668" s="60">
        <v>214.84</v>
      </c>
      <c r="V668" s="60">
        <v>191.27</v>
      </c>
      <c r="W668" s="60">
        <v>397.78</v>
      </c>
      <c r="X668" s="60">
        <v>393.54</v>
      </c>
      <c r="Y668" s="60">
        <v>372.8</v>
      </c>
      <c r="Z668" s="60">
        <v>0</v>
      </c>
      <c r="AA668" s="60">
        <v>0</v>
      </c>
      <c r="AB668" s="60">
        <v>0</v>
      </c>
      <c r="AC668" s="60">
        <v>131302.71</v>
      </c>
      <c r="AD668" s="60">
        <v>130760.19</v>
      </c>
      <c r="AE668" s="60">
        <v>131045.29</v>
      </c>
      <c r="AF668" s="60">
        <v>0</v>
      </c>
      <c r="AG668" s="60">
        <v>0</v>
      </c>
      <c r="AH668" s="60">
        <v>0</v>
      </c>
      <c r="AI668" s="60">
        <v>477503.72</v>
      </c>
      <c r="AJ668" s="60">
        <v>479359.51</v>
      </c>
      <c r="AK668" s="60">
        <v>475976.61</v>
      </c>
      <c r="AL668" s="60">
        <v>0</v>
      </c>
      <c r="AM668" s="60">
        <v>0</v>
      </c>
      <c r="AN668" s="60">
        <v>-72.849999999999994</v>
      </c>
      <c r="AO668" s="60">
        <v>477503.72</v>
      </c>
      <c r="AP668" s="60">
        <v>479359.51</v>
      </c>
      <c r="AQ668" s="60">
        <v>475903.76</v>
      </c>
      <c r="AR668" s="61">
        <v>479359.51</v>
      </c>
    </row>
    <row r="669" spans="1:44" x14ac:dyDescent="0.35">
      <c r="A669" s="49" t="str">
        <f>TEXT(19,"00")</f>
        <v>19</v>
      </c>
      <c r="B669" s="27">
        <v>73452</v>
      </c>
      <c r="C669" s="25" t="str">
        <f t="shared" si="57"/>
        <v>0000000</v>
      </c>
      <c r="D669" s="26" t="s">
        <v>3663</v>
      </c>
      <c r="E669" s="25" t="s">
        <v>1160</v>
      </c>
      <c r="F669" s="25" t="s">
        <v>1161</v>
      </c>
      <c r="G669" s="59" t="s">
        <v>1161</v>
      </c>
      <c r="H669" s="60">
        <v>11012.02</v>
      </c>
      <c r="I669" s="60">
        <v>11083.43</v>
      </c>
      <c r="J669" s="60">
        <v>10707.25</v>
      </c>
      <c r="K669" s="60">
        <v>0</v>
      </c>
      <c r="L669" s="60">
        <v>0</v>
      </c>
      <c r="M669" s="60">
        <v>0</v>
      </c>
      <c r="N669" s="60">
        <v>0</v>
      </c>
      <c r="O669" s="60">
        <v>0</v>
      </c>
      <c r="P669" s="60">
        <v>0</v>
      </c>
      <c r="Q669" s="60">
        <v>0</v>
      </c>
      <c r="R669" s="60">
        <v>0</v>
      </c>
      <c r="S669" s="60">
        <v>0</v>
      </c>
      <c r="T669" s="60">
        <v>5.37</v>
      </c>
      <c r="U669" s="60">
        <v>5.55</v>
      </c>
      <c r="V669" s="60">
        <v>4.3099999999999996</v>
      </c>
      <c r="W669" s="60">
        <v>64.31</v>
      </c>
      <c r="X669" s="60">
        <v>59.56</v>
      </c>
      <c r="Y669" s="60">
        <v>55.07</v>
      </c>
      <c r="Z669" s="60">
        <v>0</v>
      </c>
      <c r="AA669" s="60">
        <v>0</v>
      </c>
      <c r="AB669" s="60">
        <v>0</v>
      </c>
      <c r="AC669" s="60">
        <v>0</v>
      </c>
      <c r="AD669" s="60">
        <v>0</v>
      </c>
      <c r="AE669" s="60">
        <v>0</v>
      </c>
      <c r="AF669" s="60">
        <v>0</v>
      </c>
      <c r="AG669" s="60">
        <v>0</v>
      </c>
      <c r="AH669" s="60">
        <v>0</v>
      </c>
      <c r="AI669" s="60">
        <v>11081.7</v>
      </c>
      <c r="AJ669" s="60">
        <v>11148.54</v>
      </c>
      <c r="AK669" s="60">
        <v>10766.63</v>
      </c>
      <c r="AL669" s="60">
        <v>0</v>
      </c>
      <c r="AM669" s="60">
        <v>0</v>
      </c>
      <c r="AN669" s="60">
        <v>0</v>
      </c>
      <c r="AO669" s="60">
        <v>11081.7</v>
      </c>
      <c r="AP669" s="60">
        <v>11148.54</v>
      </c>
      <c r="AQ669" s="60">
        <v>10766.63</v>
      </c>
      <c r="AR669" s="61">
        <v>11148.54</v>
      </c>
    </row>
    <row r="670" spans="1:44" x14ac:dyDescent="0.35">
      <c r="A670" s="49" t="str">
        <f>TEXT(1,"00")</f>
        <v>01</v>
      </c>
      <c r="B670" s="27">
        <v>61259</v>
      </c>
      <c r="C670" s="25" t="str">
        <f t="shared" si="57"/>
        <v>0000000</v>
      </c>
      <c r="D670" s="26" t="s">
        <v>3663</v>
      </c>
      <c r="E670" s="25" t="s">
        <v>74</v>
      </c>
      <c r="F670" s="25" t="s">
        <v>75</v>
      </c>
      <c r="G670" s="59" t="s">
        <v>75</v>
      </c>
      <c r="H670" s="60">
        <v>30249.61</v>
      </c>
      <c r="I670" s="60">
        <v>29882.87</v>
      </c>
      <c r="J670" s="60">
        <v>29367.33</v>
      </c>
      <c r="K670" s="60">
        <v>0</v>
      </c>
      <c r="L670" s="60">
        <v>0</v>
      </c>
      <c r="M670" s="60">
        <v>0</v>
      </c>
      <c r="N670" s="60">
        <v>0</v>
      </c>
      <c r="O670" s="60">
        <v>0</v>
      </c>
      <c r="P670" s="60">
        <v>0</v>
      </c>
      <c r="Q670" s="60">
        <v>0</v>
      </c>
      <c r="R670" s="60">
        <v>0</v>
      </c>
      <c r="S670" s="60">
        <v>0</v>
      </c>
      <c r="T670" s="60">
        <v>0</v>
      </c>
      <c r="U670" s="60">
        <v>0</v>
      </c>
      <c r="V670" s="60">
        <v>0</v>
      </c>
      <c r="W670" s="60">
        <v>0</v>
      </c>
      <c r="X670" s="60">
        <v>0</v>
      </c>
      <c r="Y670" s="60">
        <v>0</v>
      </c>
      <c r="Z670" s="60">
        <v>0</v>
      </c>
      <c r="AA670" s="60">
        <v>0</v>
      </c>
      <c r="AB670" s="60">
        <v>0</v>
      </c>
      <c r="AC670" s="60">
        <v>105.9</v>
      </c>
      <c r="AD670" s="60">
        <v>107.8</v>
      </c>
      <c r="AE670" s="60">
        <v>1272.02</v>
      </c>
      <c r="AF670" s="60">
        <v>0</v>
      </c>
      <c r="AG670" s="60">
        <v>0</v>
      </c>
      <c r="AH670" s="60">
        <v>0</v>
      </c>
      <c r="AI670" s="60">
        <v>30355.51</v>
      </c>
      <c r="AJ670" s="60">
        <v>29990.67</v>
      </c>
      <c r="AK670" s="60">
        <v>30639.35</v>
      </c>
      <c r="AL670" s="60">
        <v>0</v>
      </c>
      <c r="AM670" s="60">
        <v>0</v>
      </c>
      <c r="AN670" s="60">
        <v>-1272.02</v>
      </c>
      <c r="AO670" s="60">
        <v>30355.51</v>
      </c>
      <c r="AP670" s="60">
        <v>29990.67</v>
      </c>
      <c r="AQ670" s="60">
        <v>29367.33</v>
      </c>
      <c r="AR670" s="61">
        <v>30355.51</v>
      </c>
    </row>
    <row r="671" spans="1:44" x14ac:dyDescent="0.35">
      <c r="A671" s="49" t="str">
        <f>TEXT(25,"00")</f>
        <v>25</v>
      </c>
      <c r="B671" s="27">
        <v>10256</v>
      </c>
      <c r="C671" s="25" t="str">
        <f t="shared" si="57"/>
        <v>0000000</v>
      </c>
      <c r="D671" s="26" t="s">
        <v>3663</v>
      </c>
      <c r="E671" s="25" t="s">
        <v>1365</v>
      </c>
      <c r="F671" s="25" t="s">
        <v>1366</v>
      </c>
      <c r="G671" s="59" t="s">
        <v>1366</v>
      </c>
      <c r="H671" s="60">
        <v>0</v>
      </c>
      <c r="I671" s="60">
        <v>0</v>
      </c>
      <c r="J671" s="60">
        <v>0</v>
      </c>
      <c r="K671" s="60">
        <v>0</v>
      </c>
      <c r="L671" s="60">
        <v>0</v>
      </c>
      <c r="M671" s="60">
        <v>0</v>
      </c>
      <c r="N671" s="60">
        <v>0</v>
      </c>
      <c r="O671" s="60">
        <v>0</v>
      </c>
      <c r="P671" s="60">
        <v>0</v>
      </c>
      <c r="Q671" s="60">
        <v>0</v>
      </c>
      <c r="R671" s="60">
        <v>0</v>
      </c>
      <c r="S671" s="60">
        <v>0</v>
      </c>
      <c r="T671" s="60">
        <v>0</v>
      </c>
      <c r="U671" s="60">
        <v>0</v>
      </c>
      <c r="V671" s="60">
        <v>0</v>
      </c>
      <c r="W671" s="60">
        <v>8.81</v>
      </c>
      <c r="X671" s="60">
        <v>11.74</v>
      </c>
      <c r="Y671" s="60">
        <v>9.06</v>
      </c>
      <c r="Z671" s="60">
        <v>0</v>
      </c>
      <c r="AA671" s="60">
        <v>0</v>
      </c>
      <c r="AB671" s="60">
        <v>0</v>
      </c>
      <c r="AC671" s="60">
        <v>0</v>
      </c>
      <c r="AD671" s="60">
        <v>0</v>
      </c>
      <c r="AE671" s="60">
        <v>0</v>
      </c>
      <c r="AF671" s="60">
        <v>0</v>
      </c>
      <c r="AG671" s="60">
        <v>0</v>
      </c>
      <c r="AH671" s="60">
        <v>0</v>
      </c>
      <c r="AI671" s="60">
        <v>8.81</v>
      </c>
      <c r="AJ671" s="60">
        <v>11.74</v>
      </c>
      <c r="AK671" s="60">
        <v>9.06</v>
      </c>
      <c r="AL671" s="60">
        <v>0</v>
      </c>
      <c r="AM671" s="60">
        <v>0</v>
      </c>
      <c r="AN671" s="60">
        <v>0</v>
      </c>
      <c r="AO671" s="60">
        <v>8.81</v>
      </c>
      <c r="AP671" s="60">
        <v>11.74</v>
      </c>
      <c r="AQ671" s="60">
        <v>9.06</v>
      </c>
      <c r="AR671" s="61">
        <v>11.74</v>
      </c>
    </row>
    <row r="672" spans="1:44" x14ac:dyDescent="0.35">
      <c r="A672" s="49" t="str">
        <f>TEXT(25,"00")</f>
        <v>25</v>
      </c>
      <c r="B672" s="27">
        <v>65896</v>
      </c>
      <c r="C672" s="25" t="str">
        <f t="shared" si="57"/>
        <v>0000000</v>
      </c>
      <c r="D672" s="26" t="s">
        <v>3663</v>
      </c>
      <c r="E672" s="25" t="s">
        <v>1367</v>
      </c>
      <c r="F672" s="25" t="s">
        <v>1366</v>
      </c>
      <c r="G672" s="59" t="s">
        <v>1368</v>
      </c>
      <c r="H672" s="60">
        <v>83.46</v>
      </c>
      <c r="I672" s="60">
        <v>83.56</v>
      </c>
      <c r="J672" s="60">
        <v>100.41</v>
      </c>
      <c r="K672" s="60">
        <v>0</v>
      </c>
      <c r="L672" s="60">
        <v>0</v>
      </c>
      <c r="M672" s="60">
        <v>0</v>
      </c>
      <c r="N672" s="60">
        <v>0</v>
      </c>
      <c r="O672" s="60">
        <v>0</v>
      </c>
      <c r="P672" s="60">
        <v>0</v>
      </c>
      <c r="Q672" s="60">
        <v>0</v>
      </c>
      <c r="R672" s="60">
        <v>0</v>
      </c>
      <c r="S672" s="60">
        <v>0</v>
      </c>
      <c r="T672" s="60">
        <v>0</v>
      </c>
      <c r="U672" s="60">
        <v>0</v>
      </c>
      <c r="V672" s="60">
        <v>0</v>
      </c>
      <c r="W672" s="60">
        <v>0</v>
      </c>
      <c r="X672" s="60">
        <v>0</v>
      </c>
      <c r="Y672" s="60">
        <v>0</v>
      </c>
      <c r="Z672" s="60">
        <v>0</v>
      </c>
      <c r="AA672" s="60">
        <v>0</v>
      </c>
      <c r="AB672" s="60">
        <v>0</v>
      </c>
      <c r="AC672" s="60">
        <v>0</v>
      </c>
      <c r="AD672" s="60">
        <v>0</v>
      </c>
      <c r="AE672" s="60">
        <v>0</v>
      </c>
      <c r="AF672" s="60">
        <v>0</v>
      </c>
      <c r="AG672" s="60">
        <v>0</v>
      </c>
      <c r="AH672" s="60">
        <v>0</v>
      </c>
      <c r="AI672" s="60">
        <v>83.46</v>
      </c>
      <c r="AJ672" s="60">
        <v>83.56</v>
      </c>
      <c r="AK672" s="60">
        <v>100.41</v>
      </c>
      <c r="AL672" s="60">
        <v>0</v>
      </c>
      <c r="AM672" s="60">
        <v>0</v>
      </c>
      <c r="AN672" s="60">
        <v>0</v>
      </c>
      <c r="AO672" s="60">
        <v>83.46</v>
      </c>
      <c r="AP672" s="60">
        <v>83.56</v>
      </c>
      <c r="AQ672" s="60">
        <v>100.41</v>
      </c>
      <c r="AR672" s="61">
        <v>100.41</v>
      </c>
    </row>
    <row r="673" spans="1:44" x14ac:dyDescent="0.35">
      <c r="A673" s="49" t="str">
        <f>TEXT(25,"00")</f>
        <v>25</v>
      </c>
      <c r="B673" s="27">
        <v>73585</v>
      </c>
      <c r="C673" s="25" t="str">
        <f t="shared" si="57"/>
        <v>0000000</v>
      </c>
      <c r="D673" s="26" t="s">
        <v>3663</v>
      </c>
      <c r="E673" s="25" t="s">
        <v>1369</v>
      </c>
      <c r="F673" s="25" t="s">
        <v>1366</v>
      </c>
      <c r="G673" s="59" t="s">
        <v>1370</v>
      </c>
      <c r="H673" s="60">
        <v>743.4</v>
      </c>
      <c r="I673" s="60">
        <v>750.53</v>
      </c>
      <c r="J673" s="60">
        <v>751.92</v>
      </c>
      <c r="K673" s="60">
        <v>0</v>
      </c>
      <c r="L673" s="60">
        <v>0</v>
      </c>
      <c r="M673" s="60">
        <v>0</v>
      </c>
      <c r="N673" s="60">
        <v>0</v>
      </c>
      <c r="O673" s="60">
        <v>0</v>
      </c>
      <c r="P673" s="60">
        <v>0</v>
      </c>
      <c r="Q673" s="60">
        <v>0</v>
      </c>
      <c r="R673" s="60">
        <v>0</v>
      </c>
      <c r="S673" s="60">
        <v>0</v>
      </c>
      <c r="T673" s="60">
        <v>0</v>
      </c>
      <c r="U673" s="60">
        <v>0</v>
      </c>
      <c r="V673" s="60">
        <v>0</v>
      </c>
      <c r="W673" s="60">
        <v>0</v>
      </c>
      <c r="X673" s="60">
        <v>0</v>
      </c>
      <c r="Y673" s="60">
        <v>0</v>
      </c>
      <c r="Z673" s="60">
        <v>0</v>
      </c>
      <c r="AA673" s="60">
        <v>0</v>
      </c>
      <c r="AB673" s="60">
        <v>0</v>
      </c>
      <c r="AC673" s="60">
        <v>0</v>
      </c>
      <c r="AD673" s="60">
        <v>0</v>
      </c>
      <c r="AE673" s="60">
        <v>0</v>
      </c>
      <c r="AF673" s="60">
        <v>0</v>
      </c>
      <c r="AG673" s="60">
        <v>0</v>
      </c>
      <c r="AH673" s="60">
        <v>0</v>
      </c>
      <c r="AI673" s="60">
        <v>743.4</v>
      </c>
      <c r="AJ673" s="60">
        <v>750.53</v>
      </c>
      <c r="AK673" s="60">
        <v>751.92</v>
      </c>
      <c r="AL673" s="60">
        <v>0</v>
      </c>
      <c r="AM673" s="60">
        <v>0</v>
      </c>
      <c r="AN673" s="60">
        <v>0</v>
      </c>
      <c r="AO673" s="60">
        <v>743.4</v>
      </c>
      <c r="AP673" s="60">
        <v>750.53</v>
      </c>
      <c r="AQ673" s="60">
        <v>751.92</v>
      </c>
      <c r="AR673" s="61">
        <v>751.92</v>
      </c>
    </row>
    <row r="674" spans="1:44" x14ac:dyDescent="0.35">
      <c r="A674" s="49" t="str">
        <f>TEXT(25,"00")</f>
        <v>25</v>
      </c>
      <c r="B674" s="27">
        <v>73593</v>
      </c>
      <c r="C674" s="25" t="str">
        <f t="shared" si="57"/>
        <v>0000000</v>
      </c>
      <c r="D674" s="26" t="s">
        <v>3663</v>
      </c>
      <c r="E674" s="25" t="s">
        <v>1371</v>
      </c>
      <c r="F674" s="25" t="s">
        <v>1366</v>
      </c>
      <c r="G674" s="59" t="s">
        <v>1372</v>
      </c>
      <c r="H674" s="60">
        <v>388.28</v>
      </c>
      <c r="I674" s="60">
        <v>366.43</v>
      </c>
      <c r="J674" s="60">
        <v>364.07</v>
      </c>
      <c r="K674" s="60">
        <v>0</v>
      </c>
      <c r="L674" s="60">
        <v>0</v>
      </c>
      <c r="M674" s="60">
        <v>0</v>
      </c>
      <c r="N674" s="60">
        <v>0</v>
      </c>
      <c r="O674" s="60">
        <v>0</v>
      </c>
      <c r="P674" s="60">
        <v>0</v>
      </c>
      <c r="Q674" s="60">
        <v>0</v>
      </c>
      <c r="R674" s="60">
        <v>0</v>
      </c>
      <c r="S674" s="60">
        <v>0</v>
      </c>
      <c r="T674" s="60">
        <v>0</v>
      </c>
      <c r="U674" s="60">
        <v>0</v>
      </c>
      <c r="V674" s="60">
        <v>0</v>
      </c>
      <c r="W674" s="60">
        <v>0</v>
      </c>
      <c r="X674" s="60">
        <v>0</v>
      </c>
      <c r="Y674" s="60">
        <v>0</v>
      </c>
      <c r="Z674" s="60">
        <v>0</v>
      </c>
      <c r="AA674" s="60">
        <v>0</v>
      </c>
      <c r="AB674" s="60">
        <v>0</v>
      </c>
      <c r="AC674" s="60">
        <v>0</v>
      </c>
      <c r="AD674" s="60">
        <v>0</v>
      </c>
      <c r="AE674" s="60">
        <v>0</v>
      </c>
      <c r="AF674" s="60">
        <v>0</v>
      </c>
      <c r="AG674" s="60">
        <v>0</v>
      </c>
      <c r="AH674" s="60">
        <v>0</v>
      </c>
      <c r="AI674" s="60">
        <v>388.28</v>
      </c>
      <c r="AJ674" s="60">
        <v>366.43</v>
      </c>
      <c r="AK674" s="60">
        <v>364.07</v>
      </c>
      <c r="AL674" s="60">
        <v>0</v>
      </c>
      <c r="AM674" s="60">
        <v>0</v>
      </c>
      <c r="AN674" s="60">
        <v>0</v>
      </c>
      <c r="AO674" s="60">
        <v>388.28</v>
      </c>
      <c r="AP674" s="60">
        <v>366.43</v>
      </c>
      <c r="AQ674" s="60">
        <v>364.07</v>
      </c>
      <c r="AR674" s="61">
        <v>388.28</v>
      </c>
    </row>
    <row r="675" spans="1:44" x14ac:dyDescent="0.35">
      <c r="A675" s="49" t="str">
        <f>TEXT(34,"00")</f>
        <v>34</v>
      </c>
      <c r="B675" s="27">
        <v>67447</v>
      </c>
      <c r="C675" s="25" t="str">
        <f t="shared" si="57"/>
        <v>0000000</v>
      </c>
      <c r="D675" s="26" t="s">
        <v>3663</v>
      </c>
      <c r="E675" s="25" t="s">
        <v>1844</v>
      </c>
      <c r="F675" s="25" t="s">
        <v>1845</v>
      </c>
      <c r="G675" s="59" t="s">
        <v>1845</v>
      </c>
      <c r="H675" s="60">
        <v>35466.129999999997</v>
      </c>
      <c r="I675" s="60">
        <v>34592.410000000003</v>
      </c>
      <c r="J675" s="60">
        <v>33980.519999999997</v>
      </c>
      <c r="K675" s="60">
        <v>0</v>
      </c>
      <c r="L675" s="60">
        <v>0</v>
      </c>
      <c r="M675" s="60">
        <v>0</v>
      </c>
      <c r="N675" s="60">
        <v>0</v>
      </c>
      <c r="O675" s="60">
        <v>0</v>
      </c>
      <c r="P675" s="60">
        <v>0</v>
      </c>
      <c r="Q675" s="60">
        <v>0</v>
      </c>
      <c r="R675" s="60">
        <v>0</v>
      </c>
      <c r="S675" s="60">
        <v>0</v>
      </c>
      <c r="T675" s="60">
        <v>0</v>
      </c>
      <c r="U675" s="60">
        <v>0</v>
      </c>
      <c r="V675" s="60">
        <v>0</v>
      </c>
      <c r="W675" s="60">
        <v>0</v>
      </c>
      <c r="X675" s="60">
        <v>0</v>
      </c>
      <c r="Y675" s="60">
        <v>0</v>
      </c>
      <c r="Z675" s="60">
        <v>0</v>
      </c>
      <c r="AA675" s="60">
        <v>0</v>
      </c>
      <c r="AB675" s="60">
        <v>0</v>
      </c>
      <c r="AC675" s="60">
        <v>8603.9699999999993</v>
      </c>
      <c r="AD675" s="60">
        <v>7999.65</v>
      </c>
      <c r="AE675" s="60">
        <v>8082.01</v>
      </c>
      <c r="AF675" s="60">
        <v>0</v>
      </c>
      <c r="AG675" s="60">
        <v>0</v>
      </c>
      <c r="AH675" s="60">
        <v>0</v>
      </c>
      <c r="AI675" s="60">
        <v>44070.1</v>
      </c>
      <c r="AJ675" s="60">
        <v>42592.06</v>
      </c>
      <c r="AK675" s="60">
        <v>42062.53</v>
      </c>
      <c r="AL675" s="60">
        <v>0</v>
      </c>
      <c r="AM675" s="60">
        <v>0</v>
      </c>
      <c r="AN675" s="60">
        <v>0</v>
      </c>
      <c r="AO675" s="60">
        <v>44070.1</v>
      </c>
      <c r="AP675" s="60">
        <v>42592.06</v>
      </c>
      <c r="AQ675" s="60">
        <v>42062.53</v>
      </c>
      <c r="AR675" s="61">
        <v>44070.1</v>
      </c>
    </row>
    <row r="676" spans="1:44" x14ac:dyDescent="0.35">
      <c r="A676" s="49" t="str">
        <f>TEXT(30,"00")</f>
        <v>30</v>
      </c>
      <c r="B676" s="27">
        <v>66464</v>
      </c>
      <c r="C676" s="25" t="str">
        <f t="shared" si="57"/>
        <v>0000000</v>
      </c>
      <c r="D676" s="26" t="s">
        <v>3663</v>
      </c>
      <c r="E676" s="25" t="s">
        <v>1547</v>
      </c>
      <c r="F676" s="25" t="s">
        <v>1548</v>
      </c>
      <c r="G676" s="59" t="s">
        <v>1548</v>
      </c>
      <c r="H676" s="60">
        <v>38540.78</v>
      </c>
      <c r="I676" s="60">
        <v>39032.33</v>
      </c>
      <c r="J676" s="60">
        <v>39692.32</v>
      </c>
      <c r="K676" s="60">
        <v>134.28</v>
      </c>
      <c r="L676" s="60">
        <v>125.76</v>
      </c>
      <c r="M676" s="60">
        <v>113.65</v>
      </c>
      <c r="N676" s="60">
        <v>0</v>
      </c>
      <c r="O676" s="60">
        <v>0</v>
      </c>
      <c r="P676" s="60">
        <v>0</v>
      </c>
      <c r="Q676" s="60">
        <v>0</v>
      </c>
      <c r="R676" s="60">
        <v>0</v>
      </c>
      <c r="S676" s="60">
        <v>0</v>
      </c>
      <c r="T676" s="60">
        <v>0</v>
      </c>
      <c r="U676" s="60">
        <v>0</v>
      </c>
      <c r="V676" s="60">
        <v>0</v>
      </c>
      <c r="W676" s="60">
        <v>0</v>
      </c>
      <c r="X676" s="60">
        <v>0</v>
      </c>
      <c r="Y676" s="60">
        <v>0</v>
      </c>
      <c r="Z676" s="60">
        <v>0</v>
      </c>
      <c r="AA676" s="60">
        <v>0</v>
      </c>
      <c r="AB676" s="60">
        <v>0</v>
      </c>
      <c r="AC676" s="60">
        <v>549.71</v>
      </c>
      <c r="AD676" s="60">
        <v>533.24</v>
      </c>
      <c r="AE676" s="60">
        <v>480.4</v>
      </c>
      <c r="AF676" s="60">
        <v>0</v>
      </c>
      <c r="AG676" s="60">
        <v>0</v>
      </c>
      <c r="AH676" s="60">
        <v>0</v>
      </c>
      <c r="AI676" s="60">
        <v>39224.769999999997</v>
      </c>
      <c r="AJ676" s="60">
        <v>39691.33</v>
      </c>
      <c r="AK676" s="60">
        <v>40286.370000000003</v>
      </c>
      <c r="AL676" s="60">
        <v>0</v>
      </c>
      <c r="AM676" s="60">
        <v>0</v>
      </c>
      <c r="AN676" s="60">
        <v>0</v>
      </c>
      <c r="AO676" s="60">
        <v>39224.769999999997</v>
      </c>
      <c r="AP676" s="60">
        <v>39691.33</v>
      </c>
      <c r="AQ676" s="60">
        <v>40286.370000000003</v>
      </c>
      <c r="AR676" s="61">
        <v>40286.370000000003</v>
      </c>
    </row>
    <row r="677" spans="1:44" x14ac:dyDescent="0.35">
      <c r="A677" s="49" t="str">
        <f>TEXT(9,"00")</f>
        <v>09</v>
      </c>
      <c r="B677" s="27">
        <v>61903</v>
      </c>
      <c r="C677" s="25" t="str">
        <f t="shared" si="57"/>
        <v>0000000</v>
      </c>
      <c r="D677" s="26" t="s">
        <v>3663</v>
      </c>
      <c r="E677" s="25" t="s">
        <v>165</v>
      </c>
      <c r="F677" s="25" t="s">
        <v>166</v>
      </c>
      <c r="G677" s="59" t="s">
        <v>166</v>
      </c>
      <c r="H677" s="60">
        <v>3282.76</v>
      </c>
      <c r="I677" s="60">
        <v>3221.76</v>
      </c>
      <c r="J677" s="60">
        <v>3216.23</v>
      </c>
      <c r="K677" s="60">
        <v>0</v>
      </c>
      <c r="L677" s="60">
        <v>0</v>
      </c>
      <c r="M677" s="60">
        <v>0</v>
      </c>
      <c r="N677" s="60">
        <v>0</v>
      </c>
      <c r="O677" s="60">
        <v>0</v>
      </c>
      <c r="P677" s="60">
        <v>0</v>
      </c>
      <c r="Q677" s="60">
        <v>0</v>
      </c>
      <c r="R677" s="60">
        <v>0</v>
      </c>
      <c r="S677" s="60">
        <v>0</v>
      </c>
      <c r="T677" s="60">
        <v>0</v>
      </c>
      <c r="U677" s="60">
        <v>0</v>
      </c>
      <c r="V677" s="60">
        <v>0</v>
      </c>
      <c r="W677" s="60">
        <v>0</v>
      </c>
      <c r="X677" s="60">
        <v>0</v>
      </c>
      <c r="Y677" s="60">
        <v>0</v>
      </c>
      <c r="Z677" s="60">
        <v>0</v>
      </c>
      <c r="AA677" s="60">
        <v>0</v>
      </c>
      <c r="AB677" s="60">
        <v>0</v>
      </c>
      <c r="AC677" s="60">
        <v>0</v>
      </c>
      <c r="AD677" s="60">
        <v>0</v>
      </c>
      <c r="AE677" s="60">
        <v>0</v>
      </c>
      <c r="AF677" s="60">
        <v>0</v>
      </c>
      <c r="AG677" s="60">
        <v>0</v>
      </c>
      <c r="AH677" s="60">
        <v>0</v>
      </c>
      <c r="AI677" s="60">
        <v>3282.76</v>
      </c>
      <c r="AJ677" s="60">
        <v>3221.76</v>
      </c>
      <c r="AK677" s="60">
        <v>3216.23</v>
      </c>
      <c r="AL677" s="60">
        <v>0</v>
      </c>
      <c r="AM677" s="60">
        <v>0</v>
      </c>
      <c r="AN677" s="60">
        <v>0</v>
      </c>
      <c r="AO677" s="60">
        <v>3282.76</v>
      </c>
      <c r="AP677" s="60">
        <v>3221.76</v>
      </c>
      <c r="AQ677" s="60">
        <v>3216.23</v>
      </c>
      <c r="AR677" s="61">
        <v>3282.76</v>
      </c>
    </row>
    <row r="678" spans="1:44" x14ac:dyDescent="0.35">
      <c r="A678" s="49" t="str">
        <f>TEXT(2,"00")</f>
        <v>02</v>
      </c>
      <c r="B678" s="27">
        <v>61333</v>
      </c>
      <c r="C678" s="25" t="str">
        <f t="shared" si="57"/>
        <v>0000000</v>
      </c>
      <c r="D678" s="26" t="s">
        <v>3663</v>
      </c>
      <c r="E678" s="25" t="s">
        <v>169</v>
      </c>
      <c r="F678" s="25" t="s">
        <v>166</v>
      </c>
      <c r="G678" s="59" t="s">
        <v>170</v>
      </c>
      <c r="H678" s="60">
        <v>58.33</v>
      </c>
      <c r="I678" s="60">
        <v>55.78</v>
      </c>
      <c r="J678" s="60">
        <v>56.7</v>
      </c>
      <c r="K678" s="60">
        <v>0</v>
      </c>
      <c r="L678" s="60">
        <v>0</v>
      </c>
      <c r="M678" s="60">
        <v>0</v>
      </c>
      <c r="N678" s="60">
        <v>0</v>
      </c>
      <c r="O678" s="60">
        <v>0</v>
      </c>
      <c r="P678" s="60">
        <v>0</v>
      </c>
      <c r="Q678" s="60">
        <v>0</v>
      </c>
      <c r="R678" s="60">
        <v>0</v>
      </c>
      <c r="S678" s="60">
        <v>0</v>
      </c>
      <c r="T678" s="60">
        <v>0</v>
      </c>
      <c r="U678" s="60">
        <v>0</v>
      </c>
      <c r="V678" s="60">
        <v>0</v>
      </c>
      <c r="W678" s="60">
        <v>0</v>
      </c>
      <c r="X678" s="60">
        <v>0</v>
      </c>
      <c r="Y678" s="60">
        <v>0</v>
      </c>
      <c r="Z678" s="60">
        <v>0</v>
      </c>
      <c r="AA678" s="60">
        <v>0</v>
      </c>
      <c r="AB678" s="60">
        <v>0</v>
      </c>
      <c r="AC678" s="60">
        <v>0</v>
      </c>
      <c r="AD678" s="60">
        <v>0</v>
      </c>
      <c r="AE678" s="60">
        <v>0</v>
      </c>
      <c r="AF678" s="60">
        <v>0</v>
      </c>
      <c r="AG678" s="60">
        <v>0</v>
      </c>
      <c r="AH678" s="60">
        <v>0</v>
      </c>
      <c r="AI678" s="60">
        <v>58.33</v>
      </c>
      <c r="AJ678" s="60">
        <v>55.78</v>
      </c>
      <c r="AK678" s="60">
        <v>56.7</v>
      </c>
      <c r="AL678" s="60">
        <v>0</v>
      </c>
      <c r="AM678" s="60">
        <v>0</v>
      </c>
      <c r="AN678" s="60">
        <v>0</v>
      </c>
      <c r="AO678" s="60">
        <v>58.33</v>
      </c>
      <c r="AP678" s="60">
        <v>55.78</v>
      </c>
      <c r="AQ678" s="60">
        <v>56.7</v>
      </c>
      <c r="AR678" s="61">
        <v>58.33</v>
      </c>
    </row>
    <row r="679" spans="1:44" x14ac:dyDescent="0.35">
      <c r="A679" s="49" t="str">
        <f>TEXT(2,"00")</f>
        <v>02</v>
      </c>
      <c r="B679" s="27">
        <v>10025</v>
      </c>
      <c r="C679" s="25" t="str">
        <f t="shared" si="57"/>
        <v>0000000</v>
      </c>
      <c r="D679" s="26" t="s">
        <v>3663</v>
      </c>
      <c r="E679" s="25" t="s">
        <v>167</v>
      </c>
      <c r="F679" s="25" t="s">
        <v>166</v>
      </c>
      <c r="G679" s="59" t="s">
        <v>168</v>
      </c>
      <c r="H679" s="60">
        <v>0</v>
      </c>
      <c r="I679" s="60">
        <v>0</v>
      </c>
      <c r="J679" s="60">
        <v>0</v>
      </c>
      <c r="K679" s="60">
        <v>0</v>
      </c>
      <c r="L679" s="60">
        <v>0</v>
      </c>
      <c r="M679" s="60">
        <v>0</v>
      </c>
      <c r="N679" s="60">
        <v>0</v>
      </c>
      <c r="O679" s="60">
        <v>0</v>
      </c>
      <c r="P679" s="60">
        <v>0</v>
      </c>
      <c r="Q679" s="60">
        <v>0</v>
      </c>
      <c r="R679" s="60">
        <v>0</v>
      </c>
      <c r="S679" s="60">
        <v>0</v>
      </c>
      <c r="T679" s="60">
        <v>0</v>
      </c>
      <c r="U679" s="60">
        <v>0</v>
      </c>
      <c r="V679" s="60">
        <v>0</v>
      </c>
      <c r="W679" s="60">
        <v>21.6</v>
      </c>
      <c r="X679" s="60">
        <v>22.22</v>
      </c>
      <c r="Y679" s="60">
        <v>30.69</v>
      </c>
      <c r="Z679" s="60">
        <v>0</v>
      </c>
      <c r="AA679" s="60">
        <v>0</v>
      </c>
      <c r="AB679" s="60">
        <v>0</v>
      </c>
      <c r="AC679" s="60">
        <v>0</v>
      </c>
      <c r="AD679" s="60">
        <v>0</v>
      </c>
      <c r="AE679" s="60">
        <v>0</v>
      </c>
      <c r="AF679" s="60">
        <v>0</v>
      </c>
      <c r="AG679" s="60">
        <v>0</v>
      </c>
      <c r="AH679" s="60">
        <v>0</v>
      </c>
      <c r="AI679" s="60">
        <v>21.6</v>
      </c>
      <c r="AJ679" s="60">
        <v>22.22</v>
      </c>
      <c r="AK679" s="60">
        <v>30.69</v>
      </c>
      <c r="AL679" s="60">
        <v>0</v>
      </c>
      <c r="AM679" s="60">
        <v>0</v>
      </c>
      <c r="AN679" s="60">
        <v>0</v>
      </c>
      <c r="AO679" s="60">
        <v>21.6</v>
      </c>
      <c r="AP679" s="60">
        <v>22.22</v>
      </c>
      <c r="AQ679" s="60">
        <v>30.69</v>
      </c>
      <c r="AR679" s="61">
        <v>30.69</v>
      </c>
    </row>
    <row r="680" spans="1:44" x14ac:dyDescent="0.35">
      <c r="A680" s="49" t="str">
        <f>TEXT(19,"00")</f>
        <v>19</v>
      </c>
      <c r="B680" s="27">
        <v>73445</v>
      </c>
      <c r="C680" s="25" t="str">
        <f t="shared" si="57"/>
        <v>0000000</v>
      </c>
      <c r="D680" s="26" t="s">
        <v>3663</v>
      </c>
      <c r="E680" s="25" t="s">
        <v>1158</v>
      </c>
      <c r="F680" s="25" t="s">
        <v>1159</v>
      </c>
      <c r="G680" s="59" t="s">
        <v>1159</v>
      </c>
      <c r="H680" s="60">
        <v>14830.34</v>
      </c>
      <c r="I680" s="60">
        <v>14947.59</v>
      </c>
      <c r="J680" s="60">
        <v>14957.38</v>
      </c>
      <c r="K680" s="60">
        <v>0</v>
      </c>
      <c r="L680" s="60">
        <v>0</v>
      </c>
      <c r="M680" s="60">
        <v>0</v>
      </c>
      <c r="N680" s="60">
        <v>0</v>
      </c>
      <c r="O680" s="60">
        <v>0</v>
      </c>
      <c r="P680" s="60">
        <v>0</v>
      </c>
      <c r="Q680" s="60">
        <v>0</v>
      </c>
      <c r="R680" s="60">
        <v>0</v>
      </c>
      <c r="S680" s="60">
        <v>0</v>
      </c>
      <c r="T680" s="60">
        <v>7.22</v>
      </c>
      <c r="U680" s="60">
        <v>6.71</v>
      </c>
      <c r="V680" s="60">
        <v>6.02</v>
      </c>
      <c r="W680" s="60">
        <v>34.69</v>
      </c>
      <c r="X680" s="60">
        <v>30.7</v>
      </c>
      <c r="Y680" s="60">
        <v>32.44</v>
      </c>
      <c r="Z680" s="60">
        <v>0</v>
      </c>
      <c r="AA680" s="60">
        <v>0</v>
      </c>
      <c r="AB680" s="60">
        <v>0</v>
      </c>
      <c r="AC680" s="60">
        <v>0</v>
      </c>
      <c r="AD680" s="60">
        <v>0</v>
      </c>
      <c r="AE680" s="60">
        <v>0</v>
      </c>
      <c r="AF680" s="60">
        <v>0</v>
      </c>
      <c r="AG680" s="60">
        <v>0</v>
      </c>
      <c r="AH680" s="60">
        <v>0</v>
      </c>
      <c r="AI680" s="60">
        <v>14872.25</v>
      </c>
      <c r="AJ680" s="60">
        <v>14985</v>
      </c>
      <c r="AK680" s="60">
        <v>14995.84</v>
      </c>
      <c r="AL680" s="60">
        <v>0</v>
      </c>
      <c r="AM680" s="60">
        <v>0</v>
      </c>
      <c r="AN680" s="60">
        <v>0</v>
      </c>
      <c r="AO680" s="60">
        <v>14872.25</v>
      </c>
      <c r="AP680" s="60">
        <v>14985</v>
      </c>
      <c r="AQ680" s="60">
        <v>14995.84</v>
      </c>
      <c r="AR680" s="61">
        <v>14995.84</v>
      </c>
    </row>
    <row r="681" spans="1:44" x14ac:dyDescent="0.35">
      <c r="A681" s="49" t="str">
        <f t="shared" ref="A681:A698" si="58">TEXT(1,"00")</f>
        <v>01</v>
      </c>
      <c r="B681" s="27">
        <v>61127</v>
      </c>
      <c r="C681" s="25" t="str">
        <f t="shared" si="57"/>
        <v>0000000</v>
      </c>
      <c r="D681" s="26" t="s">
        <v>3663</v>
      </c>
      <c r="E681" s="25" t="s">
        <v>35</v>
      </c>
      <c r="F681" s="25" t="s">
        <v>36</v>
      </c>
      <c r="G681" s="59" t="s">
        <v>36</v>
      </c>
      <c r="H681" s="60">
        <v>3426.89</v>
      </c>
      <c r="I681" s="60">
        <v>3363.11</v>
      </c>
      <c r="J681" s="60">
        <v>3394.35</v>
      </c>
      <c r="K681" s="60">
        <v>0</v>
      </c>
      <c r="L681" s="60">
        <v>0</v>
      </c>
      <c r="M681" s="60">
        <v>0</v>
      </c>
      <c r="N681" s="60">
        <v>0</v>
      </c>
      <c r="O681" s="60">
        <v>0</v>
      </c>
      <c r="P681" s="60">
        <v>0</v>
      </c>
      <c r="Q681" s="60">
        <v>0</v>
      </c>
      <c r="R681" s="60">
        <v>0</v>
      </c>
      <c r="S681" s="60">
        <v>0</v>
      </c>
      <c r="T681" s="60">
        <v>0</v>
      </c>
      <c r="U681" s="60">
        <v>0</v>
      </c>
      <c r="V681" s="60">
        <v>0</v>
      </c>
      <c r="W681" s="60">
        <v>0</v>
      </c>
      <c r="X681" s="60">
        <v>0</v>
      </c>
      <c r="Y681" s="60">
        <v>0</v>
      </c>
      <c r="Z681" s="60">
        <v>0</v>
      </c>
      <c r="AA681" s="60">
        <v>0</v>
      </c>
      <c r="AB681" s="60">
        <v>0</v>
      </c>
      <c r="AC681" s="60">
        <v>0</v>
      </c>
      <c r="AD681" s="60">
        <v>0</v>
      </c>
      <c r="AE681" s="60">
        <v>0</v>
      </c>
      <c r="AF681" s="60">
        <v>0</v>
      </c>
      <c r="AG681" s="60">
        <v>0</v>
      </c>
      <c r="AH681" s="60">
        <v>0</v>
      </c>
      <c r="AI681" s="60">
        <v>3426.89</v>
      </c>
      <c r="AJ681" s="60">
        <v>3363.11</v>
      </c>
      <c r="AK681" s="60">
        <v>3394.35</v>
      </c>
      <c r="AL681" s="60">
        <v>0</v>
      </c>
      <c r="AM681" s="60">
        <v>0</v>
      </c>
      <c r="AN681" s="60">
        <v>0</v>
      </c>
      <c r="AO681" s="60">
        <v>3426.89</v>
      </c>
      <c r="AP681" s="60">
        <v>3363.11</v>
      </c>
      <c r="AQ681" s="60">
        <v>3394.35</v>
      </c>
      <c r="AR681" s="61">
        <v>3426.89</v>
      </c>
    </row>
    <row r="682" spans="1:44" x14ac:dyDescent="0.35">
      <c r="A682" s="49" t="str">
        <f t="shared" si="58"/>
        <v>01</v>
      </c>
      <c r="B682" s="27">
        <v>61143</v>
      </c>
      <c r="C682" s="25" t="str">
        <f t="shared" si="57"/>
        <v>0000000</v>
      </c>
      <c r="D682" s="26" t="s">
        <v>3663</v>
      </c>
      <c r="E682" s="25" t="s">
        <v>46</v>
      </c>
      <c r="F682" s="25" t="s">
        <v>36</v>
      </c>
      <c r="G682" s="59" t="s">
        <v>47</v>
      </c>
      <c r="H682" s="60">
        <v>8603.16</v>
      </c>
      <c r="I682" s="60">
        <v>8538.5300000000007</v>
      </c>
      <c r="J682" s="60">
        <v>8844.2099999999991</v>
      </c>
      <c r="K682" s="60">
        <v>0</v>
      </c>
      <c r="L682" s="60">
        <v>0</v>
      </c>
      <c r="M682" s="60">
        <v>0</v>
      </c>
      <c r="N682" s="60">
        <v>0</v>
      </c>
      <c r="O682" s="60">
        <v>0</v>
      </c>
      <c r="P682" s="60">
        <v>0</v>
      </c>
      <c r="Q682" s="60">
        <v>0</v>
      </c>
      <c r="R682" s="60">
        <v>0</v>
      </c>
      <c r="S682" s="60">
        <v>0</v>
      </c>
      <c r="T682" s="60">
        <v>0</v>
      </c>
      <c r="U682" s="60">
        <v>0</v>
      </c>
      <c r="V682" s="60">
        <v>0</v>
      </c>
      <c r="W682" s="60">
        <v>0</v>
      </c>
      <c r="X682" s="60">
        <v>0</v>
      </c>
      <c r="Y682" s="60">
        <v>0</v>
      </c>
      <c r="Z682" s="60">
        <v>0</v>
      </c>
      <c r="AA682" s="60">
        <v>0</v>
      </c>
      <c r="AB682" s="60">
        <v>0</v>
      </c>
      <c r="AC682" s="60">
        <v>0</v>
      </c>
      <c r="AD682" s="60">
        <v>0</v>
      </c>
      <c r="AE682" s="60">
        <v>0</v>
      </c>
      <c r="AF682" s="60">
        <v>0</v>
      </c>
      <c r="AG682" s="60">
        <v>0</v>
      </c>
      <c r="AH682" s="60">
        <v>0</v>
      </c>
      <c r="AI682" s="60">
        <v>8603.16</v>
      </c>
      <c r="AJ682" s="60">
        <v>8538.5300000000007</v>
      </c>
      <c r="AK682" s="60">
        <v>8844.2099999999991</v>
      </c>
      <c r="AL682" s="60">
        <v>0</v>
      </c>
      <c r="AM682" s="60">
        <v>0</v>
      </c>
      <c r="AN682" s="60">
        <v>0</v>
      </c>
      <c r="AO682" s="60">
        <v>8603.16</v>
      </c>
      <c r="AP682" s="60">
        <v>8538.5300000000007</v>
      </c>
      <c r="AQ682" s="60">
        <v>8844.2099999999991</v>
      </c>
      <c r="AR682" s="61">
        <v>8844.2099999999991</v>
      </c>
    </row>
    <row r="683" spans="1:44" x14ac:dyDescent="0.35">
      <c r="A683" s="49" t="str">
        <f t="shared" si="58"/>
        <v>01</v>
      </c>
      <c r="B683" s="27">
        <v>61168</v>
      </c>
      <c r="C683" s="25" t="str">
        <f t="shared" si="57"/>
        <v>0000000</v>
      </c>
      <c r="D683" s="26" t="s">
        <v>3663</v>
      </c>
      <c r="E683" s="25" t="s">
        <v>50</v>
      </c>
      <c r="F683" s="25" t="s">
        <v>36</v>
      </c>
      <c r="G683" s="59" t="s">
        <v>51</v>
      </c>
      <c r="H683" s="60">
        <v>557.37</v>
      </c>
      <c r="I683" s="60">
        <v>565.66999999999996</v>
      </c>
      <c r="J683" s="60">
        <v>569.63</v>
      </c>
      <c r="K683" s="60">
        <v>0</v>
      </c>
      <c r="L683" s="60">
        <v>0</v>
      </c>
      <c r="M683" s="60">
        <v>0</v>
      </c>
      <c r="N683" s="60">
        <v>0</v>
      </c>
      <c r="O683" s="60">
        <v>0</v>
      </c>
      <c r="P683" s="60">
        <v>0</v>
      </c>
      <c r="Q683" s="60">
        <v>0</v>
      </c>
      <c r="R683" s="60">
        <v>0</v>
      </c>
      <c r="S683" s="60">
        <v>0</v>
      </c>
      <c r="T683" s="60">
        <v>0</v>
      </c>
      <c r="U683" s="60">
        <v>0</v>
      </c>
      <c r="V683" s="60">
        <v>0</v>
      </c>
      <c r="W683" s="60">
        <v>0</v>
      </c>
      <c r="X683" s="60">
        <v>0</v>
      </c>
      <c r="Y683" s="60">
        <v>0</v>
      </c>
      <c r="Z683" s="60">
        <v>0</v>
      </c>
      <c r="AA683" s="60">
        <v>0</v>
      </c>
      <c r="AB683" s="60">
        <v>0</v>
      </c>
      <c r="AC683" s="60">
        <v>0</v>
      </c>
      <c r="AD683" s="60">
        <v>0</v>
      </c>
      <c r="AE683" s="60">
        <v>0</v>
      </c>
      <c r="AF683" s="60">
        <v>0</v>
      </c>
      <c r="AG683" s="60">
        <v>0</v>
      </c>
      <c r="AH683" s="60">
        <v>0</v>
      </c>
      <c r="AI683" s="60">
        <v>557.37</v>
      </c>
      <c r="AJ683" s="60">
        <v>565.66999999999996</v>
      </c>
      <c r="AK683" s="60">
        <v>569.63</v>
      </c>
      <c r="AL683" s="60">
        <v>0</v>
      </c>
      <c r="AM683" s="60">
        <v>0</v>
      </c>
      <c r="AN683" s="60">
        <v>0</v>
      </c>
      <c r="AO683" s="60">
        <v>557.37</v>
      </c>
      <c r="AP683" s="60">
        <v>565.66999999999996</v>
      </c>
      <c r="AQ683" s="60">
        <v>569.63</v>
      </c>
      <c r="AR683" s="61">
        <v>569.63</v>
      </c>
    </row>
    <row r="684" spans="1:44" x14ac:dyDescent="0.35">
      <c r="A684" s="49" t="str">
        <f t="shared" si="58"/>
        <v>01</v>
      </c>
      <c r="B684" s="27">
        <v>61275</v>
      </c>
      <c r="C684" s="25" t="str">
        <f t="shared" si="57"/>
        <v>0000000</v>
      </c>
      <c r="D684" s="26" t="s">
        <v>3663</v>
      </c>
      <c r="E684" s="25" t="s">
        <v>147</v>
      </c>
      <c r="F684" s="25" t="s">
        <v>36</v>
      </c>
      <c r="G684" s="59" t="s">
        <v>148</v>
      </c>
      <c r="H684" s="60">
        <v>2223.48</v>
      </c>
      <c r="I684" s="60">
        <v>2213.52</v>
      </c>
      <c r="J684" s="60">
        <v>2258.16</v>
      </c>
      <c r="K684" s="60">
        <v>0</v>
      </c>
      <c r="L684" s="60">
        <v>0</v>
      </c>
      <c r="M684" s="60">
        <v>0</v>
      </c>
      <c r="N684" s="60">
        <v>0</v>
      </c>
      <c r="O684" s="60">
        <v>0</v>
      </c>
      <c r="P684" s="60">
        <v>0</v>
      </c>
      <c r="Q684" s="60">
        <v>0</v>
      </c>
      <c r="R684" s="60">
        <v>0</v>
      </c>
      <c r="S684" s="60">
        <v>0</v>
      </c>
      <c r="T684" s="60">
        <v>0</v>
      </c>
      <c r="U684" s="60">
        <v>0</v>
      </c>
      <c r="V684" s="60">
        <v>0</v>
      </c>
      <c r="W684" s="60">
        <v>0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0">
        <v>0</v>
      </c>
      <c r="AD684" s="60">
        <v>0</v>
      </c>
      <c r="AE684" s="60">
        <v>0</v>
      </c>
      <c r="AF684" s="60">
        <v>0</v>
      </c>
      <c r="AG684" s="60">
        <v>0</v>
      </c>
      <c r="AH684" s="60">
        <v>0</v>
      </c>
      <c r="AI684" s="60">
        <v>2223.48</v>
      </c>
      <c r="AJ684" s="60">
        <v>2213.52</v>
      </c>
      <c r="AK684" s="60">
        <v>2258.16</v>
      </c>
      <c r="AL684" s="60">
        <v>0</v>
      </c>
      <c r="AM684" s="60">
        <v>0</v>
      </c>
      <c r="AN684" s="60">
        <v>0</v>
      </c>
      <c r="AO684" s="60">
        <v>2223.48</v>
      </c>
      <c r="AP684" s="60">
        <v>2213.52</v>
      </c>
      <c r="AQ684" s="60">
        <v>2258.16</v>
      </c>
      <c r="AR684" s="61">
        <v>2258.16</v>
      </c>
    </row>
    <row r="685" spans="1:44" x14ac:dyDescent="0.35">
      <c r="A685" s="49" t="str">
        <f t="shared" si="58"/>
        <v>01</v>
      </c>
      <c r="B685" s="27">
        <v>61119</v>
      </c>
      <c r="C685" s="25" t="str">
        <f t="shared" si="57"/>
        <v>0000000</v>
      </c>
      <c r="D685" s="26" t="s">
        <v>3663</v>
      </c>
      <c r="E685" s="25" t="s">
        <v>37</v>
      </c>
      <c r="F685" s="25" t="s">
        <v>36</v>
      </c>
      <c r="G685" s="59" t="s">
        <v>38</v>
      </c>
      <c r="H685" s="60">
        <v>8563.64</v>
      </c>
      <c r="I685" s="60">
        <v>8301.99</v>
      </c>
      <c r="J685" s="60">
        <v>8298.68</v>
      </c>
      <c r="K685" s="60">
        <v>0</v>
      </c>
      <c r="L685" s="60">
        <v>0</v>
      </c>
      <c r="M685" s="60">
        <v>0</v>
      </c>
      <c r="N685" s="60">
        <v>0</v>
      </c>
      <c r="O685" s="60">
        <v>0</v>
      </c>
      <c r="P685" s="60">
        <v>0</v>
      </c>
      <c r="Q685" s="60">
        <v>0</v>
      </c>
      <c r="R685" s="60">
        <v>0</v>
      </c>
      <c r="S685" s="60">
        <v>0</v>
      </c>
      <c r="T685" s="60">
        <v>0</v>
      </c>
      <c r="U685" s="60">
        <v>0</v>
      </c>
      <c r="V685" s="60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60">
        <v>0</v>
      </c>
      <c r="AE685" s="60">
        <v>0</v>
      </c>
      <c r="AF685" s="60">
        <v>0</v>
      </c>
      <c r="AG685" s="60">
        <v>0</v>
      </c>
      <c r="AH685" s="60">
        <v>0</v>
      </c>
      <c r="AI685" s="60">
        <v>8563.64</v>
      </c>
      <c r="AJ685" s="60">
        <v>8301.99</v>
      </c>
      <c r="AK685" s="60">
        <v>8298.68</v>
      </c>
      <c r="AL685" s="60">
        <v>0</v>
      </c>
      <c r="AM685" s="60">
        <v>0</v>
      </c>
      <c r="AN685" s="60">
        <v>0</v>
      </c>
      <c r="AO685" s="60">
        <v>8563.64</v>
      </c>
      <c r="AP685" s="60">
        <v>8301.99</v>
      </c>
      <c r="AQ685" s="60">
        <v>8298.68</v>
      </c>
      <c r="AR685" s="61">
        <v>8563.64</v>
      </c>
    </row>
    <row r="686" spans="1:44" x14ac:dyDescent="0.35">
      <c r="A686" s="49" t="str">
        <f t="shared" si="58"/>
        <v>01</v>
      </c>
      <c r="B686" s="27">
        <v>61150</v>
      </c>
      <c r="C686" s="25" t="str">
        <f t="shared" si="57"/>
        <v>0000000</v>
      </c>
      <c r="D686" s="26" t="s">
        <v>3663</v>
      </c>
      <c r="E686" s="25" t="s">
        <v>48</v>
      </c>
      <c r="F686" s="25" t="s">
        <v>49</v>
      </c>
      <c r="G686" s="59" t="s">
        <v>49</v>
      </c>
      <c r="H686" s="60">
        <v>9006.1</v>
      </c>
      <c r="I686" s="60">
        <v>8660.5300000000007</v>
      </c>
      <c r="J686" s="60">
        <v>8463.83</v>
      </c>
      <c r="K686" s="60">
        <v>0</v>
      </c>
      <c r="L686" s="60">
        <v>0</v>
      </c>
      <c r="M686" s="60">
        <v>0</v>
      </c>
      <c r="N686" s="60">
        <v>0</v>
      </c>
      <c r="O686" s="60">
        <v>0</v>
      </c>
      <c r="P686" s="60">
        <v>0</v>
      </c>
      <c r="Q686" s="60">
        <v>0</v>
      </c>
      <c r="R686" s="60">
        <v>0</v>
      </c>
      <c r="S686" s="60">
        <v>0</v>
      </c>
      <c r="T686" s="60">
        <v>0</v>
      </c>
      <c r="U686" s="60">
        <v>0</v>
      </c>
      <c r="V686" s="60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0">
        <v>0</v>
      </c>
      <c r="AD686" s="60">
        <v>0</v>
      </c>
      <c r="AE686" s="60">
        <v>0</v>
      </c>
      <c r="AF686" s="60">
        <v>0</v>
      </c>
      <c r="AG686" s="60">
        <v>0</v>
      </c>
      <c r="AH686" s="60">
        <v>0</v>
      </c>
      <c r="AI686" s="60">
        <v>9006.1</v>
      </c>
      <c r="AJ686" s="60">
        <v>8660.5300000000007</v>
      </c>
      <c r="AK686" s="60">
        <v>8463.83</v>
      </c>
      <c r="AL686" s="60">
        <v>0</v>
      </c>
      <c r="AM686" s="60">
        <v>0</v>
      </c>
      <c r="AN686" s="60">
        <v>0</v>
      </c>
      <c r="AO686" s="60">
        <v>9006.1</v>
      </c>
      <c r="AP686" s="60">
        <v>8660.5300000000007</v>
      </c>
      <c r="AQ686" s="60">
        <v>8463.83</v>
      </c>
      <c r="AR686" s="61">
        <v>9006.1</v>
      </c>
    </row>
    <row r="687" spans="1:44" x14ac:dyDescent="0.35">
      <c r="A687" s="49" t="str">
        <f t="shared" si="58"/>
        <v>01</v>
      </c>
      <c r="B687" s="27">
        <v>61291</v>
      </c>
      <c r="C687" s="25" t="str">
        <f t="shared" si="57"/>
        <v>0000000</v>
      </c>
      <c r="D687" s="26" t="s">
        <v>3663</v>
      </c>
      <c r="E687" s="25" t="s">
        <v>149</v>
      </c>
      <c r="F687" s="25" t="s">
        <v>49</v>
      </c>
      <c r="G687" s="59" t="s">
        <v>150</v>
      </c>
      <c r="H687" s="60">
        <v>8126.16</v>
      </c>
      <c r="I687" s="60">
        <v>7903.57</v>
      </c>
      <c r="J687" s="60">
        <v>7728.59</v>
      </c>
      <c r="K687" s="60">
        <v>0</v>
      </c>
      <c r="L687" s="60">
        <v>0</v>
      </c>
      <c r="M687" s="60">
        <v>0</v>
      </c>
      <c r="N687" s="60">
        <v>0</v>
      </c>
      <c r="O687" s="60">
        <v>0</v>
      </c>
      <c r="P687" s="60">
        <v>0</v>
      </c>
      <c r="Q687" s="60">
        <v>0</v>
      </c>
      <c r="R687" s="60">
        <v>0</v>
      </c>
      <c r="S687" s="60">
        <v>0</v>
      </c>
      <c r="T687" s="60">
        <v>0</v>
      </c>
      <c r="U687" s="60">
        <v>0</v>
      </c>
      <c r="V687" s="60">
        <v>0</v>
      </c>
      <c r="W687" s="60">
        <v>0</v>
      </c>
      <c r="X687" s="60">
        <v>0</v>
      </c>
      <c r="Y687" s="60">
        <v>0</v>
      </c>
      <c r="Z687" s="60">
        <v>0</v>
      </c>
      <c r="AA687" s="60">
        <v>0</v>
      </c>
      <c r="AB687" s="60">
        <v>0</v>
      </c>
      <c r="AC687" s="60">
        <v>0</v>
      </c>
      <c r="AD687" s="60">
        <v>0</v>
      </c>
      <c r="AE687" s="60">
        <v>0</v>
      </c>
      <c r="AF687" s="60">
        <v>0</v>
      </c>
      <c r="AG687" s="60">
        <v>0</v>
      </c>
      <c r="AH687" s="60">
        <v>0</v>
      </c>
      <c r="AI687" s="60">
        <v>8126.16</v>
      </c>
      <c r="AJ687" s="60">
        <v>7903.57</v>
      </c>
      <c r="AK687" s="60">
        <v>7728.59</v>
      </c>
      <c r="AL687" s="60">
        <v>0</v>
      </c>
      <c r="AM687" s="60">
        <v>0</v>
      </c>
      <c r="AN687" s="60">
        <v>0</v>
      </c>
      <c r="AO687" s="60">
        <v>8126.16</v>
      </c>
      <c r="AP687" s="60">
        <v>7903.57</v>
      </c>
      <c r="AQ687" s="60">
        <v>7728.59</v>
      </c>
      <c r="AR687" s="61">
        <v>8126.16</v>
      </c>
    </row>
    <row r="688" spans="1:44" x14ac:dyDescent="0.35">
      <c r="A688" s="49" t="str">
        <f t="shared" si="58"/>
        <v>01</v>
      </c>
      <c r="B688" s="27">
        <v>61309</v>
      </c>
      <c r="C688" s="25" t="str">
        <f t="shared" si="57"/>
        <v>0000000</v>
      </c>
      <c r="D688" s="26" t="s">
        <v>3663</v>
      </c>
      <c r="E688" s="25" t="s">
        <v>151</v>
      </c>
      <c r="F688" s="25" t="s">
        <v>49</v>
      </c>
      <c r="G688" s="59" t="s">
        <v>152</v>
      </c>
      <c r="H688" s="60">
        <v>7526.5</v>
      </c>
      <c r="I688" s="60">
        <v>7599.74</v>
      </c>
      <c r="J688" s="60">
        <v>7743.27</v>
      </c>
      <c r="K688" s="60">
        <v>0</v>
      </c>
      <c r="L688" s="60">
        <v>0</v>
      </c>
      <c r="M688" s="60">
        <v>0</v>
      </c>
      <c r="N688" s="60">
        <v>0</v>
      </c>
      <c r="O688" s="60">
        <v>0</v>
      </c>
      <c r="P688" s="60">
        <v>0</v>
      </c>
      <c r="Q688" s="60">
        <v>0</v>
      </c>
      <c r="R688" s="60">
        <v>0</v>
      </c>
      <c r="S688" s="60">
        <v>0</v>
      </c>
      <c r="T688" s="60">
        <v>0</v>
      </c>
      <c r="U688" s="60">
        <v>0</v>
      </c>
      <c r="V688" s="60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0">
        <v>0</v>
      </c>
      <c r="AD688" s="60">
        <v>0</v>
      </c>
      <c r="AE688" s="60">
        <v>0</v>
      </c>
      <c r="AF688" s="60">
        <v>0</v>
      </c>
      <c r="AG688" s="60">
        <v>0</v>
      </c>
      <c r="AH688" s="60">
        <v>0</v>
      </c>
      <c r="AI688" s="60">
        <v>7526.5</v>
      </c>
      <c r="AJ688" s="60">
        <v>7599.74</v>
      </c>
      <c r="AK688" s="60">
        <v>7743.27</v>
      </c>
      <c r="AL688" s="60">
        <v>0</v>
      </c>
      <c r="AM688" s="60">
        <v>0</v>
      </c>
      <c r="AN688" s="60">
        <v>0</v>
      </c>
      <c r="AO688" s="60">
        <v>7526.5</v>
      </c>
      <c r="AP688" s="60">
        <v>7599.74</v>
      </c>
      <c r="AQ688" s="60">
        <v>7743.27</v>
      </c>
      <c r="AR688" s="61">
        <v>7743.27</v>
      </c>
    </row>
    <row r="689" spans="1:44" x14ac:dyDescent="0.35">
      <c r="A689" s="49" t="str">
        <f t="shared" si="58"/>
        <v>01</v>
      </c>
      <c r="B689" s="27">
        <v>61192</v>
      </c>
      <c r="C689" s="25" t="str">
        <f t="shared" si="57"/>
        <v>0000000</v>
      </c>
      <c r="D689" s="26" t="s">
        <v>3663</v>
      </c>
      <c r="E689" s="25" t="s">
        <v>54</v>
      </c>
      <c r="F689" s="25" t="s">
        <v>49</v>
      </c>
      <c r="G689" s="59" t="s">
        <v>55</v>
      </c>
      <c r="H689" s="60">
        <v>16158.91</v>
      </c>
      <c r="I689" s="60">
        <v>16041.76</v>
      </c>
      <c r="J689" s="60">
        <v>15500.48</v>
      </c>
      <c r="K689" s="60">
        <v>0</v>
      </c>
      <c r="L689" s="60">
        <v>0</v>
      </c>
      <c r="M689" s="60">
        <v>0</v>
      </c>
      <c r="N689" s="60">
        <v>0</v>
      </c>
      <c r="O689" s="60">
        <v>0</v>
      </c>
      <c r="P689" s="60">
        <v>0</v>
      </c>
      <c r="Q689" s="60">
        <v>0</v>
      </c>
      <c r="R689" s="60">
        <v>0</v>
      </c>
      <c r="S689" s="60">
        <v>0</v>
      </c>
      <c r="T689" s="60">
        <v>0</v>
      </c>
      <c r="U689" s="60">
        <v>0</v>
      </c>
      <c r="V689" s="60">
        <v>0</v>
      </c>
      <c r="W689" s="60">
        <v>0</v>
      </c>
      <c r="X689" s="60">
        <v>0</v>
      </c>
      <c r="Y689" s="60">
        <v>0</v>
      </c>
      <c r="Z689" s="60">
        <v>0</v>
      </c>
      <c r="AA689" s="60">
        <v>0</v>
      </c>
      <c r="AB689" s="60">
        <v>0</v>
      </c>
      <c r="AC689" s="60">
        <v>0</v>
      </c>
      <c r="AD689" s="60">
        <v>0</v>
      </c>
      <c r="AE689" s="60">
        <v>0</v>
      </c>
      <c r="AF689" s="60">
        <v>0</v>
      </c>
      <c r="AG689" s="60">
        <v>0</v>
      </c>
      <c r="AH689" s="60">
        <v>0</v>
      </c>
      <c r="AI689" s="60">
        <v>16158.91</v>
      </c>
      <c r="AJ689" s="60">
        <v>16041.76</v>
      </c>
      <c r="AK689" s="60">
        <v>15500.48</v>
      </c>
      <c r="AL689" s="60">
        <v>0</v>
      </c>
      <c r="AM689" s="60">
        <v>0</v>
      </c>
      <c r="AN689" s="60">
        <v>0</v>
      </c>
      <c r="AO689" s="60">
        <v>16158.91</v>
      </c>
      <c r="AP689" s="60">
        <v>16041.76</v>
      </c>
      <c r="AQ689" s="60">
        <v>15500.48</v>
      </c>
      <c r="AR689" s="61">
        <v>16158.91</v>
      </c>
    </row>
    <row r="690" spans="1:44" x14ac:dyDescent="0.35">
      <c r="A690" s="49" t="str">
        <f t="shared" si="58"/>
        <v>01</v>
      </c>
      <c r="B690" s="27">
        <v>61176</v>
      </c>
      <c r="C690" s="25" t="str">
        <f t="shared" si="57"/>
        <v>0000000</v>
      </c>
      <c r="D690" s="26" t="s">
        <v>3663</v>
      </c>
      <c r="E690" s="25" t="s">
        <v>52</v>
      </c>
      <c r="F690" s="25" t="s">
        <v>53</v>
      </c>
      <c r="G690" s="59" t="s">
        <v>53</v>
      </c>
      <c r="H690" s="60">
        <v>31163.35</v>
      </c>
      <c r="I690" s="60">
        <v>31005.03</v>
      </c>
      <c r="J690" s="60">
        <v>32226.7</v>
      </c>
      <c r="K690" s="60">
        <v>0</v>
      </c>
      <c r="L690" s="60">
        <v>0</v>
      </c>
      <c r="M690" s="60">
        <v>0</v>
      </c>
      <c r="N690" s="60">
        <v>0</v>
      </c>
      <c r="O690" s="60">
        <v>0</v>
      </c>
      <c r="P690" s="60">
        <v>0</v>
      </c>
      <c r="Q690" s="60">
        <v>0</v>
      </c>
      <c r="R690" s="60">
        <v>0</v>
      </c>
      <c r="S690" s="60">
        <v>0</v>
      </c>
      <c r="T690" s="60">
        <v>0</v>
      </c>
      <c r="U690" s="60">
        <v>0</v>
      </c>
      <c r="V690" s="60">
        <v>0</v>
      </c>
      <c r="W690" s="60">
        <v>0</v>
      </c>
      <c r="X690" s="60">
        <v>0</v>
      </c>
      <c r="Y690" s="60">
        <v>0</v>
      </c>
      <c r="Z690" s="60">
        <v>0</v>
      </c>
      <c r="AA690" s="60">
        <v>0</v>
      </c>
      <c r="AB690" s="60">
        <v>0</v>
      </c>
      <c r="AC690" s="60">
        <v>401.7</v>
      </c>
      <c r="AD690" s="60">
        <v>398.62</v>
      </c>
      <c r="AE690" s="60">
        <v>400.2</v>
      </c>
      <c r="AF690" s="60">
        <v>0</v>
      </c>
      <c r="AG690" s="60">
        <v>0</v>
      </c>
      <c r="AH690" s="60">
        <v>0</v>
      </c>
      <c r="AI690" s="60">
        <v>31565.05</v>
      </c>
      <c r="AJ690" s="60">
        <v>31403.65</v>
      </c>
      <c r="AK690" s="60">
        <v>32626.9</v>
      </c>
      <c r="AL690" s="60">
        <v>0</v>
      </c>
      <c r="AM690" s="60">
        <v>0</v>
      </c>
      <c r="AN690" s="60">
        <v>0</v>
      </c>
      <c r="AO690" s="60">
        <v>31565.05</v>
      </c>
      <c r="AP690" s="60">
        <v>31403.65</v>
      </c>
      <c r="AQ690" s="60">
        <v>32626.9</v>
      </c>
      <c r="AR690" s="61">
        <v>32626.9</v>
      </c>
    </row>
    <row r="691" spans="1:44" x14ac:dyDescent="0.35">
      <c r="A691" s="49" t="str">
        <f t="shared" si="58"/>
        <v>01</v>
      </c>
      <c r="B691" s="27">
        <v>61242</v>
      </c>
      <c r="C691" s="25" t="str">
        <f t="shared" si="57"/>
        <v>0000000</v>
      </c>
      <c r="D691" s="26" t="s">
        <v>3663</v>
      </c>
      <c r="E691" s="25" t="s">
        <v>72</v>
      </c>
      <c r="F691" s="25" t="s">
        <v>53</v>
      </c>
      <c r="G691" s="59" t="s">
        <v>73</v>
      </c>
      <c r="H691" s="60">
        <v>9309.81</v>
      </c>
      <c r="I691" s="60">
        <v>9393.01</v>
      </c>
      <c r="J691" s="60">
        <v>9351.6299999999992</v>
      </c>
      <c r="K691" s="60">
        <v>0</v>
      </c>
      <c r="L691" s="60">
        <v>0</v>
      </c>
      <c r="M691" s="60">
        <v>0</v>
      </c>
      <c r="N691" s="60">
        <v>0</v>
      </c>
      <c r="O691" s="60">
        <v>0</v>
      </c>
      <c r="P691" s="60">
        <v>0</v>
      </c>
      <c r="Q691" s="60">
        <v>0</v>
      </c>
      <c r="R691" s="60">
        <v>0</v>
      </c>
      <c r="S691" s="60">
        <v>0</v>
      </c>
      <c r="T691" s="60">
        <v>0</v>
      </c>
      <c r="U691" s="60">
        <v>0</v>
      </c>
      <c r="V691" s="60">
        <v>0</v>
      </c>
      <c r="W691" s="60">
        <v>0</v>
      </c>
      <c r="X691" s="60">
        <v>0</v>
      </c>
      <c r="Y691" s="60">
        <v>0</v>
      </c>
      <c r="Z691" s="60">
        <v>0</v>
      </c>
      <c r="AA691" s="60">
        <v>0</v>
      </c>
      <c r="AB691" s="60">
        <v>0</v>
      </c>
      <c r="AC691" s="60">
        <v>0</v>
      </c>
      <c r="AD691" s="60">
        <v>0</v>
      </c>
      <c r="AE691" s="60">
        <v>0</v>
      </c>
      <c r="AF691" s="60">
        <v>0</v>
      </c>
      <c r="AG691" s="60">
        <v>0</v>
      </c>
      <c r="AH691" s="60">
        <v>0</v>
      </c>
      <c r="AI691" s="60">
        <v>9309.81</v>
      </c>
      <c r="AJ691" s="60">
        <v>9393.01</v>
      </c>
      <c r="AK691" s="60">
        <v>9351.6299999999992</v>
      </c>
      <c r="AL691" s="60">
        <v>0</v>
      </c>
      <c r="AM691" s="60">
        <v>0</v>
      </c>
      <c r="AN691" s="60">
        <v>0</v>
      </c>
      <c r="AO691" s="60">
        <v>9309.81</v>
      </c>
      <c r="AP691" s="60">
        <v>9393.01</v>
      </c>
      <c r="AQ691" s="60">
        <v>9351.6299999999992</v>
      </c>
      <c r="AR691" s="61">
        <v>9393.01</v>
      </c>
    </row>
    <row r="692" spans="1:44" x14ac:dyDescent="0.35">
      <c r="A692" s="49" t="str">
        <f t="shared" si="58"/>
        <v>01</v>
      </c>
      <c r="B692" s="27">
        <v>61234</v>
      </c>
      <c r="C692" s="25" t="str">
        <f t="shared" si="57"/>
        <v>0000000</v>
      </c>
      <c r="D692" s="26" t="s">
        <v>3663</v>
      </c>
      <c r="E692" s="25" t="s">
        <v>70</v>
      </c>
      <c r="F692" s="25" t="s">
        <v>53</v>
      </c>
      <c r="G692" s="59" t="s">
        <v>71</v>
      </c>
      <c r="H692" s="60">
        <v>4520.22</v>
      </c>
      <c r="I692" s="60">
        <v>4574.3900000000003</v>
      </c>
      <c r="J692" s="60">
        <v>4721.33</v>
      </c>
      <c r="K692" s="60">
        <v>0</v>
      </c>
      <c r="L692" s="60">
        <v>0</v>
      </c>
      <c r="M692" s="60">
        <v>0</v>
      </c>
      <c r="N692" s="60">
        <v>0</v>
      </c>
      <c r="O692" s="60">
        <v>0</v>
      </c>
      <c r="P692" s="60">
        <v>0</v>
      </c>
      <c r="Q692" s="60">
        <v>0</v>
      </c>
      <c r="R692" s="60">
        <v>0</v>
      </c>
      <c r="S692" s="60">
        <v>0</v>
      </c>
      <c r="T692" s="60">
        <v>0</v>
      </c>
      <c r="U692" s="60">
        <v>0</v>
      </c>
      <c r="V692" s="60">
        <v>0</v>
      </c>
      <c r="W692" s="60">
        <v>0</v>
      </c>
      <c r="X692" s="60">
        <v>0</v>
      </c>
      <c r="Y692" s="60">
        <v>0</v>
      </c>
      <c r="Z692" s="60">
        <v>0</v>
      </c>
      <c r="AA692" s="60">
        <v>0</v>
      </c>
      <c r="AB692" s="60">
        <v>0</v>
      </c>
      <c r="AC692" s="60">
        <v>0</v>
      </c>
      <c r="AD692" s="60">
        <v>0</v>
      </c>
      <c r="AE692" s="60">
        <v>0</v>
      </c>
      <c r="AF692" s="60">
        <v>0</v>
      </c>
      <c r="AG692" s="60">
        <v>0</v>
      </c>
      <c r="AH692" s="60">
        <v>0</v>
      </c>
      <c r="AI692" s="60">
        <v>4520.22</v>
      </c>
      <c r="AJ692" s="60">
        <v>4574.3900000000003</v>
      </c>
      <c r="AK692" s="60">
        <v>4721.33</v>
      </c>
      <c r="AL692" s="60">
        <v>0</v>
      </c>
      <c r="AM692" s="60">
        <v>0</v>
      </c>
      <c r="AN692" s="60">
        <v>0</v>
      </c>
      <c r="AO692" s="60">
        <v>4520.22</v>
      </c>
      <c r="AP692" s="60">
        <v>4574.3900000000003</v>
      </c>
      <c r="AQ692" s="60">
        <v>4721.33</v>
      </c>
      <c r="AR692" s="61">
        <v>4721.33</v>
      </c>
    </row>
    <row r="693" spans="1:44" x14ac:dyDescent="0.35">
      <c r="A693" s="49" t="str">
        <f t="shared" si="58"/>
        <v>01</v>
      </c>
      <c r="B693" s="27">
        <v>75101</v>
      </c>
      <c r="C693" s="25" t="str">
        <f t="shared" si="57"/>
        <v>0000000</v>
      </c>
      <c r="D693" s="26" t="s">
        <v>3663</v>
      </c>
      <c r="E693" s="25" t="s">
        <v>0</v>
      </c>
      <c r="F693" s="25" t="s">
        <v>1</v>
      </c>
      <c r="G693" s="59" t="s">
        <v>1</v>
      </c>
      <c r="H693" s="60">
        <v>13012.15</v>
      </c>
      <c r="I693" s="60">
        <v>13434.08</v>
      </c>
      <c r="J693" s="60">
        <v>13437.81</v>
      </c>
      <c r="K693" s="60">
        <v>0</v>
      </c>
      <c r="L693" s="60">
        <v>0</v>
      </c>
      <c r="M693" s="60">
        <v>0</v>
      </c>
      <c r="N693" s="60">
        <v>0</v>
      </c>
      <c r="O693" s="60">
        <v>0</v>
      </c>
      <c r="P693" s="60">
        <v>0</v>
      </c>
      <c r="Q693" s="60">
        <v>0</v>
      </c>
      <c r="R693" s="60">
        <v>0</v>
      </c>
      <c r="S693" s="60">
        <v>0</v>
      </c>
      <c r="T693" s="60">
        <v>0</v>
      </c>
      <c r="U693" s="60">
        <v>0</v>
      </c>
      <c r="V693" s="60">
        <v>0</v>
      </c>
      <c r="W693" s="60">
        <v>0</v>
      </c>
      <c r="X693" s="60">
        <v>0</v>
      </c>
      <c r="Y693" s="60">
        <v>0</v>
      </c>
      <c r="Z693" s="60">
        <v>0</v>
      </c>
      <c r="AA693" s="60">
        <v>0</v>
      </c>
      <c r="AB693" s="60">
        <v>0</v>
      </c>
      <c r="AC693" s="60">
        <v>0</v>
      </c>
      <c r="AD693" s="60">
        <v>0</v>
      </c>
      <c r="AE693" s="60">
        <v>0</v>
      </c>
      <c r="AF693" s="60">
        <v>0</v>
      </c>
      <c r="AG693" s="60">
        <v>0</v>
      </c>
      <c r="AH693" s="60">
        <v>0</v>
      </c>
      <c r="AI693" s="60">
        <v>13012.15</v>
      </c>
      <c r="AJ693" s="60">
        <v>13434.08</v>
      </c>
      <c r="AK693" s="60">
        <v>13437.81</v>
      </c>
      <c r="AL693" s="60">
        <v>0</v>
      </c>
      <c r="AM693" s="60">
        <v>0</v>
      </c>
      <c r="AN693" s="60">
        <v>0</v>
      </c>
      <c r="AO693" s="60">
        <v>13012.15</v>
      </c>
      <c r="AP693" s="60">
        <v>13434.08</v>
      </c>
      <c r="AQ693" s="60">
        <v>13437.81</v>
      </c>
      <c r="AR693" s="61">
        <v>13437.81</v>
      </c>
    </row>
    <row r="694" spans="1:44" x14ac:dyDescent="0.35">
      <c r="A694" s="49" t="str">
        <f t="shared" si="58"/>
        <v>01</v>
      </c>
      <c r="B694" s="27">
        <v>61200</v>
      </c>
      <c r="C694" s="25" t="str">
        <f t="shared" si="57"/>
        <v>0000000</v>
      </c>
      <c r="D694" s="26" t="s">
        <v>3663</v>
      </c>
      <c r="E694" s="25" t="s">
        <v>66</v>
      </c>
      <c r="F694" s="25" t="s">
        <v>1</v>
      </c>
      <c r="G694" s="59" t="s">
        <v>67</v>
      </c>
      <c r="H694" s="60">
        <v>12265.33</v>
      </c>
      <c r="I694" s="60">
        <v>12164.64</v>
      </c>
      <c r="J694" s="60">
        <v>12050.83</v>
      </c>
      <c r="K694" s="60">
        <v>0</v>
      </c>
      <c r="L694" s="60">
        <v>0</v>
      </c>
      <c r="M694" s="60">
        <v>0</v>
      </c>
      <c r="N694" s="60">
        <v>0</v>
      </c>
      <c r="O694" s="60">
        <v>0</v>
      </c>
      <c r="P694" s="60">
        <v>0</v>
      </c>
      <c r="Q694" s="60">
        <v>0</v>
      </c>
      <c r="R694" s="60">
        <v>0</v>
      </c>
      <c r="S694" s="60">
        <v>0</v>
      </c>
      <c r="T694" s="60">
        <v>0</v>
      </c>
      <c r="U694" s="60">
        <v>0</v>
      </c>
      <c r="V694" s="60">
        <v>0</v>
      </c>
      <c r="W694" s="60">
        <v>0</v>
      </c>
      <c r="X694" s="60">
        <v>0</v>
      </c>
      <c r="Y694" s="60">
        <v>0</v>
      </c>
      <c r="Z694" s="60">
        <v>0</v>
      </c>
      <c r="AA694" s="60">
        <v>0</v>
      </c>
      <c r="AB694" s="60">
        <v>0</v>
      </c>
      <c r="AC694" s="60">
        <v>0</v>
      </c>
      <c r="AD694" s="60">
        <v>0</v>
      </c>
      <c r="AE694" s="60">
        <v>0</v>
      </c>
      <c r="AF694" s="60">
        <v>0</v>
      </c>
      <c r="AG694" s="60">
        <v>0</v>
      </c>
      <c r="AH694" s="60">
        <v>0</v>
      </c>
      <c r="AI694" s="60">
        <v>12265.33</v>
      </c>
      <c r="AJ694" s="60">
        <v>12164.64</v>
      </c>
      <c r="AK694" s="60">
        <v>12050.83</v>
      </c>
      <c r="AL694" s="60">
        <v>0</v>
      </c>
      <c r="AM694" s="60">
        <v>0</v>
      </c>
      <c r="AN694" s="60">
        <v>0</v>
      </c>
      <c r="AO694" s="60">
        <v>12265.33</v>
      </c>
      <c r="AP694" s="60">
        <v>12164.64</v>
      </c>
      <c r="AQ694" s="60">
        <v>12050.83</v>
      </c>
      <c r="AR694" s="61">
        <v>12265.33</v>
      </c>
    </row>
    <row r="695" spans="1:44" x14ac:dyDescent="0.35">
      <c r="A695" s="49" t="str">
        <f t="shared" si="58"/>
        <v>01</v>
      </c>
      <c r="B695" s="27">
        <v>10017</v>
      </c>
      <c r="C695" s="25" t="str">
        <f t="shared" si="57"/>
        <v>0000000</v>
      </c>
      <c r="D695" s="26" t="s">
        <v>3663</v>
      </c>
      <c r="E695" s="25" t="s">
        <v>2</v>
      </c>
      <c r="F695" s="25" t="s">
        <v>1</v>
      </c>
      <c r="G695" s="59" t="s">
        <v>3</v>
      </c>
      <c r="H695" s="60">
        <v>0</v>
      </c>
      <c r="I695" s="60">
        <v>0</v>
      </c>
      <c r="J695" s="60">
        <v>0</v>
      </c>
      <c r="K695" s="60">
        <v>0</v>
      </c>
      <c r="L695" s="60">
        <v>0</v>
      </c>
      <c r="M695" s="60">
        <v>0</v>
      </c>
      <c r="N695" s="60">
        <v>0</v>
      </c>
      <c r="O695" s="60">
        <v>0</v>
      </c>
      <c r="P695" s="60">
        <v>0</v>
      </c>
      <c r="Q695" s="60">
        <v>0</v>
      </c>
      <c r="R695" s="60">
        <v>0</v>
      </c>
      <c r="S695" s="60">
        <v>0</v>
      </c>
      <c r="T695" s="60">
        <v>108.13</v>
      </c>
      <c r="U695" s="60">
        <v>115.3</v>
      </c>
      <c r="V695" s="60">
        <v>118.64</v>
      </c>
      <c r="W695" s="60">
        <v>131.91999999999999</v>
      </c>
      <c r="X695" s="60">
        <v>154.08000000000001</v>
      </c>
      <c r="Y695" s="60">
        <v>144.06</v>
      </c>
      <c r="Z695" s="60">
        <v>0</v>
      </c>
      <c r="AA695" s="60">
        <v>0</v>
      </c>
      <c r="AB695" s="60">
        <v>0</v>
      </c>
      <c r="AC695" s="60">
        <v>0</v>
      </c>
      <c r="AD695" s="60">
        <v>0</v>
      </c>
      <c r="AE695" s="60">
        <v>0</v>
      </c>
      <c r="AF695" s="60">
        <v>0</v>
      </c>
      <c r="AG695" s="60">
        <v>0</v>
      </c>
      <c r="AH695" s="60">
        <v>0</v>
      </c>
      <c r="AI695" s="60">
        <v>240.05</v>
      </c>
      <c r="AJ695" s="60">
        <v>269.38</v>
      </c>
      <c r="AK695" s="60">
        <v>262.7</v>
      </c>
      <c r="AL695" s="60">
        <v>0</v>
      </c>
      <c r="AM695" s="60">
        <v>0</v>
      </c>
      <c r="AN695" s="60">
        <v>0</v>
      </c>
      <c r="AO695" s="60">
        <v>240.05</v>
      </c>
      <c r="AP695" s="60">
        <v>269.38</v>
      </c>
      <c r="AQ695" s="60">
        <v>262.7</v>
      </c>
      <c r="AR695" s="61">
        <v>269.38</v>
      </c>
    </row>
    <row r="696" spans="1:44" x14ac:dyDescent="0.35">
      <c r="A696" s="49" t="str">
        <f t="shared" si="58"/>
        <v>01</v>
      </c>
      <c r="B696" s="27">
        <v>75093</v>
      </c>
      <c r="C696" s="25" t="str">
        <f t="shared" si="57"/>
        <v>0000000</v>
      </c>
      <c r="D696" s="26" t="s">
        <v>3663</v>
      </c>
      <c r="E696" s="25" t="s">
        <v>159</v>
      </c>
      <c r="F696" s="25" t="s">
        <v>1</v>
      </c>
      <c r="G696" s="59" t="s">
        <v>160</v>
      </c>
      <c r="H696" s="60">
        <v>12284.44</v>
      </c>
      <c r="I696" s="60">
        <v>11987.97</v>
      </c>
      <c r="J696" s="60">
        <v>11933.57</v>
      </c>
      <c r="K696" s="60">
        <v>0</v>
      </c>
      <c r="L696" s="60">
        <v>0</v>
      </c>
      <c r="M696" s="60">
        <v>0</v>
      </c>
      <c r="N696" s="60">
        <v>0</v>
      </c>
      <c r="O696" s="60">
        <v>0</v>
      </c>
      <c r="P696" s="60">
        <v>0</v>
      </c>
      <c r="Q696" s="60">
        <v>0</v>
      </c>
      <c r="R696" s="60">
        <v>0</v>
      </c>
      <c r="S696" s="60">
        <v>0</v>
      </c>
      <c r="T696" s="60">
        <v>0</v>
      </c>
      <c r="U696" s="60">
        <v>0</v>
      </c>
      <c r="V696" s="60">
        <v>0</v>
      </c>
      <c r="W696" s="60">
        <v>0</v>
      </c>
      <c r="X696" s="60">
        <v>0</v>
      </c>
      <c r="Y696" s="60">
        <v>0</v>
      </c>
      <c r="Z696" s="60">
        <v>0</v>
      </c>
      <c r="AA696" s="60">
        <v>0</v>
      </c>
      <c r="AB696" s="60">
        <v>0</v>
      </c>
      <c r="AC696" s="60">
        <v>0</v>
      </c>
      <c r="AD696" s="60">
        <v>0</v>
      </c>
      <c r="AE696" s="60">
        <v>0</v>
      </c>
      <c r="AF696" s="60">
        <v>0</v>
      </c>
      <c r="AG696" s="60">
        <v>0</v>
      </c>
      <c r="AH696" s="60">
        <v>0</v>
      </c>
      <c r="AI696" s="60">
        <v>12284.44</v>
      </c>
      <c r="AJ696" s="60">
        <v>11987.97</v>
      </c>
      <c r="AK696" s="60">
        <v>11933.57</v>
      </c>
      <c r="AL696" s="60">
        <v>0</v>
      </c>
      <c r="AM696" s="60">
        <v>0</v>
      </c>
      <c r="AN696" s="60">
        <v>0</v>
      </c>
      <c r="AO696" s="60">
        <v>12284.44</v>
      </c>
      <c r="AP696" s="60">
        <v>11987.97</v>
      </c>
      <c r="AQ696" s="60">
        <v>11933.57</v>
      </c>
      <c r="AR696" s="61">
        <v>12284.44</v>
      </c>
    </row>
    <row r="697" spans="1:44" x14ac:dyDescent="0.35">
      <c r="A697" s="49" t="str">
        <f t="shared" si="58"/>
        <v>01</v>
      </c>
      <c r="B697" s="27">
        <v>61218</v>
      </c>
      <c r="C697" s="25" t="str">
        <f t="shared" si="57"/>
        <v>0000000</v>
      </c>
      <c r="D697" s="26" t="s">
        <v>3663</v>
      </c>
      <c r="E697" s="25" t="s">
        <v>68</v>
      </c>
      <c r="F697" s="25" t="s">
        <v>1</v>
      </c>
      <c r="G697" s="59" t="s">
        <v>69</v>
      </c>
      <c r="H697" s="60">
        <v>12.05</v>
      </c>
      <c r="I697" s="60">
        <v>19.47</v>
      </c>
      <c r="J697" s="60">
        <v>17.62</v>
      </c>
      <c r="K697" s="60">
        <v>0</v>
      </c>
      <c r="L697" s="60">
        <v>0</v>
      </c>
      <c r="M697" s="60">
        <v>0</v>
      </c>
      <c r="N697" s="60">
        <v>0</v>
      </c>
      <c r="O697" s="60">
        <v>0</v>
      </c>
      <c r="P697" s="60">
        <v>0</v>
      </c>
      <c r="Q697" s="60">
        <v>0</v>
      </c>
      <c r="R697" s="60">
        <v>0</v>
      </c>
      <c r="S697" s="60">
        <v>0</v>
      </c>
      <c r="T697" s="60">
        <v>0</v>
      </c>
      <c r="U697" s="60">
        <v>0</v>
      </c>
      <c r="V697" s="60">
        <v>0</v>
      </c>
      <c r="W697" s="60">
        <v>0</v>
      </c>
      <c r="X697" s="60">
        <v>0</v>
      </c>
      <c r="Y697" s="60">
        <v>0</v>
      </c>
      <c r="Z697" s="60">
        <v>0</v>
      </c>
      <c r="AA697" s="60">
        <v>0</v>
      </c>
      <c r="AB697" s="60">
        <v>0</v>
      </c>
      <c r="AC697" s="60">
        <v>0</v>
      </c>
      <c r="AD697" s="60">
        <v>0</v>
      </c>
      <c r="AE697" s="60">
        <v>0</v>
      </c>
      <c r="AF697" s="60">
        <v>0</v>
      </c>
      <c r="AG697" s="60">
        <v>0</v>
      </c>
      <c r="AH697" s="60">
        <v>0</v>
      </c>
      <c r="AI697" s="60">
        <v>12.05</v>
      </c>
      <c r="AJ697" s="60">
        <v>19.47</v>
      </c>
      <c r="AK697" s="60">
        <v>17.62</v>
      </c>
      <c r="AL697" s="60">
        <v>0</v>
      </c>
      <c r="AM697" s="60">
        <v>0</v>
      </c>
      <c r="AN697" s="60">
        <v>0</v>
      </c>
      <c r="AO697" s="60">
        <v>12.05</v>
      </c>
      <c r="AP697" s="60">
        <v>19.47</v>
      </c>
      <c r="AQ697" s="60">
        <v>17.62</v>
      </c>
      <c r="AR697" s="61">
        <v>19.47</v>
      </c>
    </row>
    <row r="698" spans="1:44" x14ac:dyDescent="0.35">
      <c r="A698" s="49" t="str">
        <f t="shared" si="58"/>
        <v>01</v>
      </c>
      <c r="B698" s="27">
        <v>75119</v>
      </c>
      <c r="C698" s="25" t="str">
        <f t="shared" si="57"/>
        <v>0000000</v>
      </c>
      <c r="D698" s="26" t="s">
        <v>3663</v>
      </c>
      <c r="E698" s="25" t="s">
        <v>161</v>
      </c>
      <c r="F698" s="25" t="s">
        <v>1</v>
      </c>
      <c r="G698" s="59" t="s">
        <v>162</v>
      </c>
      <c r="H698" s="60">
        <v>255.33</v>
      </c>
      <c r="I698" s="60">
        <v>257.41000000000003</v>
      </c>
      <c r="J698" s="60">
        <v>253.91</v>
      </c>
      <c r="K698" s="60">
        <v>0</v>
      </c>
      <c r="L698" s="60">
        <v>0</v>
      </c>
      <c r="M698" s="60">
        <v>0</v>
      </c>
      <c r="N698" s="60">
        <v>0</v>
      </c>
      <c r="O698" s="60">
        <v>0</v>
      </c>
      <c r="P698" s="60">
        <v>0</v>
      </c>
      <c r="Q698" s="60">
        <v>0</v>
      </c>
      <c r="R698" s="60">
        <v>0</v>
      </c>
      <c r="S698" s="60">
        <v>0</v>
      </c>
      <c r="T698" s="60">
        <v>0</v>
      </c>
      <c r="U698" s="60">
        <v>0</v>
      </c>
      <c r="V698" s="60">
        <v>0</v>
      </c>
      <c r="W698" s="60">
        <v>0</v>
      </c>
      <c r="X698" s="60">
        <v>0</v>
      </c>
      <c r="Y698" s="60">
        <v>0</v>
      </c>
      <c r="Z698" s="60">
        <v>0</v>
      </c>
      <c r="AA698" s="60">
        <v>0</v>
      </c>
      <c r="AB698" s="60">
        <v>0</v>
      </c>
      <c r="AC698" s="60">
        <v>0</v>
      </c>
      <c r="AD698" s="60">
        <v>0</v>
      </c>
      <c r="AE698" s="60">
        <v>0</v>
      </c>
      <c r="AF698" s="60">
        <v>0</v>
      </c>
      <c r="AG698" s="60">
        <v>0</v>
      </c>
      <c r="AH698" s="60">
        <v>0</v>
      </c>
      <c r="AI698" s="60">
        <v>255.33</v>
      </c>
      <c r="AJ698" s="60">
        <v>257.41000000000003</v>
      </c>
      <c r="AK698" s="60">
        <v>253.91</v>
      </c>
      <c r="AL698" s="60">
        <v>0</v>
      </c>
      <c r="AM698" s="60">
        <v>0</v>
      </c>
      <c r="AN698" s="60">
        <v>0</v>
      </c>
      <c r="AO698" s="60">
        <v>255.33</v>
      </c>
      <c r="AP698" s="60">
        <v>257.41000000000003</v>
      </c>
      <c r="AQ698" s="60">
        <v>253.91</v>
      </c>
      <c r="AR698" s="61">
        <v>257.41000000000003</v>
      </c>
    </row>
    <row r="699" spans="1:44" x14ac:dyDescent="0.35">
      <c r="A699" s="49" t="str">
        <f t="shared" ref="A699:A704" si="59">TEXT(5,"00")</f>
        <v>05</v>
      </c>
      <c r="B699" s="27">
        <v>10058</v>
      </c>
      <c r="C699" s="25" t="str">
        <f t="shared" si="57"/>
        <v>0000000</v>
      </c>
      <c r="D699" s="26" t="s">
        <v>3663</v>
      </c>
      <c r="E699" s="25" t="s">
        <v>232</v>
      </c>
      <c r="F699" s="25" t="s">
        <v>233</v>
      </c>
      <c r="G699" s="59" t="s">
        <v>233</v>
      </c>
      <c r="H699" s="60">
        <v>0</v>
      </c>
      <c r="I699" s="60">
        <v>0</v>
      </c>
      <c r="J699" s="60">
        <v>0</v>
      </c>
      <c r="K699" s="60">
        <v>0</v>
      </c>
      <c r="L699" s="60">
        <v>0</v>
      </c>
      <c r="M699" s="60">
        <v>0</v>
      </c>
      <c r="N699" s="60">
        <v>0</v>
      </c>
      <c r="O699" s="60">
        <v>0</v>
      </c>
      <c r="P699" s="60">
        <v>0</v>
      </c>
      <c r="Q699" s="60">
        <v>0</v>
      </c>
      <c r="R699" s="60">
        <v>0</v>
      </c>
      <c r="S699" s="60">
        <v>0</v>
      </c>
      <c r="T699" s="60">
        <v>24.14</v>
      </c>
      <c r="U699" s="60">
        <v>29.42</v>
      </c>
      <c r="V699" s="60">
        <v>23.09</v>
      </c>
      <c r="W699" s="60">
        <v>33.89</v>
      </c>
      <c r="X699" s="60">
        <v>28.73</v>
      </c>
      <c r="Y699" s="60">
        <v>20.62</v>
      </c>
      <c r="Z699" s="60">
        <v>0</v>
      </c>
      <c r="AA699" s="60">
        <v>0</v>
      </c>
      <c r="AB699" s="60">
        <v>0</v>
      </c>
      <c r="AC699" s="60">
        <v>0</v>
      </c>
      <c r="AD699" s="60">
        <v>0</v>
      </c>
      <c r="AE699" s="60">
        <v>0</v>
      </c>
      <c r="AF699" s="60">
        <v>0</v>
      </c>
      <c r="AG699" s="60">
        <v>0</v>
      </c>
      <c r="AH699" s="60">
        <v>0</v>
      </c>
      <c r="AI699" s="60">
        <v>58.03</v>
      </c>
      <c r="AJ699" s="60">
        <v>58.15</v>
      </c>
      <c r="AK699" s="60">
        <v>43.71</v>
      </c>
      <c r="AL699" s="60">
        <v>0</v>
      </c>
      <c r="AM699" s="60">
        <v>0</v>
      </c>
      <c r="AN699" s="60">
        <v>0</v>
      </c>
      <c r="AO699" s="60">
        <v>58.03</v>
      </c>
      <c r="AP699" s="60">
        <v>58.15</v>
      </c>
      <c r="AQ699" s="60">
        <v>43.71</v>
      </c>
      <c r="AR699" s="61">
        <v>58.15</v>
      </c>
    </row>
    <row r="700" spans="1:44" x14ac:dyDescent="0.35">
      <c r="A700" s="49" t="str">
        <f t="shared" si="59"/>
        <v>05</v>
      </c>
      <c r="B700" s="27">
        <v>61556</v>
      </c>
      <c r="C700" s="25" t="str">
        <f t="shared" si="57"/>
        <v>0000000</v>
      </c>
      <c r="D700" s="26" t="s">
        <v>3663</v>
      </c>
      <c r="E700" s="25" t="s">
        <v>237</v>
      </c>
      <c r="F700" s="25" t="s">
        <v>233</v>
      </c>
      <c r="G700" s="59" t="s">
        <v>238</v>
      </c>
      <c r="H700" s="60">
        <v>556.38</v>
      </c>
      <c r="I700" s="60">
        <v>575.87</v>
      </c>
      <c r="J700" s="60">
        <v>580.48</v>
      </c>
      <c r="K700" s="60">
        <v>0</v>
      </c>
      <c r="L700" s="60">
        <v>0</v>
      </c>
      <c r="M700" s="60">
        <v>0</v>
      </c>
      <c r="N700" s="60">
        <v>0</v>
      </c>
      <c r="O700" s="60">
        <v>0</v>
      </c>
      <c r="P700" s="60">
        <v>0</v>
      </c>
      <c r="Q700" s="60">
        <v>0</v>
      </c>
      <c r="R700" s="60">
        <v>0</v>
      </c>
      <c r="S700" s="60">
        <v>0</v>
      </c>
      <c r="T700" s="60">
        <v>0</v>
      </c>
      <c r="U700" s="60">
        <v>0</v>
      </c>
      <c r="V700" s="60">
        <v>0</v>
      </c>
      <c r="W700" s="60">
        <v>0</v>
      </c>
      <c r="X700" s="60">
        <v>0</v>
      </c>
      <c r="Y700" s="60">
        <v>0</v>
      </c>
      <c r="Z700" s="60">
        <v>0</v>
      </c>
      <c r="AA700" s="60">
        <v>0</v>
      </c>
      <c r="AB700" s="60">
        <v>0</v>
      </c>
      <c r="AC700" s="60">
        <v>0</v>
      </c>
      <c r="AD700" s="60">
        <v>0</v>
      </c>
      <c r="AE700" s="60">
        <v>0</v>
      </c>
      <c r="AF700" s="60">
        <v>0</v>
      </c>
      <c r="AG700" s="60">
        <v>0</v>
      </c>
      <c r="AH700" s="60">
        <v>0</v>
      </c>
      <c r="AI700" s="60">
        <v>556.38</v>
      </c>
      <c r="AJ700" s="60">
        <v>575.87</v>
      </c>
      <c r="AK700" s="60">
        <v>580.48</v>
      </c>
      <c r="AL700" s="60">
        <v>0</v>
      </c>
      <c r="AM700" s="60">
        <v>0</v>
      </c>
      <c r="AN700" s="60">
        <v>0</v>
      </c>
      <c r="AO700" s="60">
        <v>556.38</v>
      </c>
      <c r="AP700" s="60">
        <v>575.87</v>
      </c>
      <c r="AQ700" s="60">
        <v>580.48</v>
      </c>
      <c r="AR700" s="61">
        <v>580.48</v>
      </c>
    </row>
    <row r="701" spans="1:44" x14ac:dyDescent="0.35">
      <c r="A701" s="49" t="str">
        <f t="shared" si="59"/>
        <v>05</v>
      </c>
      <c r="B701" s="27">
        <v>61564</v>
      </c>
      <c r="C701" s="25" t="str">
        <f t="shared" si="57"/>
        <v>0000000</v>
      </c>
      <c r="D701" s="26" t="s">
        <v>3663</v>
      </c>
      <c r="E701" s="25" t="s">
        <v>239</v>
      </c>
      <c r="F701" s="25" t="s">
        <v>233</v>
      </c>
      <c r="G701" s="59" t="s">
        <v>240</v>
      </c>
      <c r="H701" s="60">
        <v>2621.12</v>
      </c>
      <c r="I701" s="60">
        <v>2568.7399999999998</v>
      </c>
      <c r="J701" s="60">
        <v>2477.2600000000002</v>
      </c>
      <c r="K701" s="60">
        <v>0</v>
      </c>
      <c r="L701" s="60">
        <v>0</v>
      </c>
      <c r="M701" s="60">
        <v>0</v>
      </c>
      <c r="N701" s="60">
        <v>0</v>
      </c>
      <c r="O701" s="60">
        <v>0</v>
      </c>
      <c r="P701" s="60">
        <v>0</v>
      </c>
      <c r="Q701" s="60">
        <v>0</v>
      </c>
      <c r="R701" s="60">
        <v>0</v>
      </c>
      <c r="S701" s="60">
        <v>0</v>
      </c>
      <c r="T701" s="60">
        <v>0</v>
      </c>
      <c r="U701" s="60">
        <v>0</v>
      </c>
      <c r="V701" s="60">
        <v>0</v>
      </c>
      <c r="W701" s="60">
        <v>0</v>
      </c>
      <c r="X701" s="60">
        <v>0</v>
      </c>
      <c r="Y701" s="60">
        <v>0</v>
      </c>
      <c r="Z701" s="60">
        <v>0</v>
      </c>
      <c r="AA701" s="60">
        <v>0</v>
      </c>
      <c r="AB701" s="60">
        <v>0</v>
      </c>
      <c r="AC701" s="60">
        <v>0</v>
      </c>
      <c r="AD701" s="60">
        <v>0</v>
      </c>
      <c r="AE701" s="60">
        <v>0</v>
      </c>
      <c r="AF701" s="60">
        <v>0</v>
      </c>
      <c r="AG701" s="60">
        <v>0</v>
      </c>
      <c r="AH701" s="60">
        <v>0</v>
      </c>
      <c r="AI701" s="60">
        <v>2621.12</v>
      </c>
      <c r="AJ701" s="60">
        <v>2568.7399999999998</v>
      </c>
      <c r="AK701" s="60">
        <v>2477.2600000000002</v>
      </c>
      <c r="AL701" s="60">
        <v>0</v>
      </c>
      <c r="AM701" s="60">
        <v>0</v>
      </c>
      <c r="AN701" s="60">
        <v>0</v>
      </c>
      <c r="AO701" s="60">
        <v>2621.12</v>
      </c>
      <c r="AP701" s="60">
        <v>2568.7399999999998</v>
      </c>
      <c r="AQ701" s="60">
        <v>2477.2600000000002</v>
      </c>
      <c r="AR701" s="61">
        <v>2621.12</v>
      </c>
    </row>
    <row r="702" spans="1:44" x14ac:dyDescent="0.35">
      <c r="A702" s="49" t="str">
        <f t="shared" si="59"/>
        <v>05</v>
      </c>
      <c r="B702" s="27">
        <v>61580</v>
      </c>
      <c r="C702" s="25" t="str">
        <f t="shared" si="57"/>
        <v>0000000</v>
      </c>
      <c r="D702" s="26" t="s">
        <v>3663</v>
      </c>
      <c r="E702" s="25" t="s">
        <v>243</v>
      </c>
      <c r="F702" s="25" t="s">
        <v>233</v>
      </c>
      <c r="G702" s="59" t="s">
        <v>244</v>
      </c>
      <c r="H702" s="60">
        <v>530.07000000000005</v>
      </c>
      <c r="I702" s="60">
        <v>533.20000000000005</v>
      </c>
      <c r="J702" s="60">
        <v>491.31</v>
      </c>
      <c r="K702" s="60">
        <v>0</v>
      </c>
      <c r="L702" s="60">
        <v>0</v>
      </c>
      <c r="M702" s="60">
        <v>0</v>
      </c>
      <c r="N702" s="60">
        <v>0</v>
      </c>
      <c r="O702" s="60">
        <v>0</v>
      </c>
      <c r="P702" s="60">
        <v>0</v>
      </c>
      <c r="Q702" s="60">
        <v>0</v>
      </c>
      <c r="R702" s="60">
        <v>0</v>
      </c>
      <c r="S702" s="60">
        <v>0</v>
      </c>
      <c r="T702" s="60">
        <v>0</v>
      </c>
      <c r="U702" s="60">
        <v>0</v>
      </c>
      <c r="V702" s="60">
        <v>0</v>
      </c>
      <c r="W702" s="60">
        <v>0</v>
      </c>
      <c r="X702" s="60">
        <v>0</v>
      </c>
      <c r="Y702" s="60">
        <v>0</v>
      </c>
      <c r="Z702" s="60">
        <v>0</v>
      </c>
      <c r="AA702" s="60">
        <v>0</v>
      </c>
      <c r="AB702" s="60">
        <v>0</v>
      </c>
      <c r="AC702" s="60">
        <v>0</v>
      </c>
      <c r="AD702" s="60">
        <v>0</v>
      </c>
      <c r="AE702" s="60">
        <v>0</v>
      </c>
      <c r="AF702" s="60">
        <v>0</v>
      </c>
      <c r="AG702" s="60">
        <v>0</v>
      </c>
      <c r="AH702" s="60">
        <v>0</v>
      </c>
      <c r="AI702" s="60">
        <v>530.07000000000005</v>
      </c>
      <c r="AJ702" s="60">
        <v>533.20000000000005</v>
      </c>
      <c r="AK702" s="60">
        <v>491.31</v>
      </c>
      <c r="AL702" s="60">
        <v>0</v>
      </c>
      <c r="AM702" s="60">
        <v>0</v>
      </c>
      <c r="AN702" s="60">
        <v>0</v>
      </c>
      <c r="AO702" s="60">
        <v>530.07000000000005</v>
      </c>
      <c r="AP702" s="60">
        <v>533.20000000000005</v>
      </c>
      <c r="AQ702" s="60">
        <v>491.31</v>
      </c>
      <c r="AR702" s="61">
        <v>533.20000000000005</v>
      </c>
    </row>
    <row r="703" spans="1:44" x14ac:dyDescent="0.35">
      <c r="A703" s="49" t="str">
        <f t="shared" si="59"/>
        <v>05</v>
      </c>
      <c r="B703" s="27">
        <v>61572</v>
      </c>
      <c r="C703" s="25" t="str">
        <f t="shared" si="57"/>
        <v>0000000</v>
      </c>
      <c r="D703" s="26" t="s">
        <v>3663</v>
      </c>
      <c r="E703" s="25" t="s">
        <v>241</v>
      </c>
      <c r="F703" s="25" t="s">
        <v>233</v>
      </c>
      <c r="G703" s="59" t="s">
        <v>242</v>
      </c>
      <c r="H703" s="60">
        <v>710.41</v>
      </c>
      <c r="I703" s="60">
        <v>686.53</v>
      </c>
      <c r="J703" s="60">
        <v>662.67</v>
      </c>
      <c r="K703" s="60">
        <v>0</v>
      </c>
      <c r="L703" s="60">
        <v>0</v>
      </c>
      <c r="M703" s="60">
        <v>0</v>
      </c>
      <c r="N703" s="60">
        <v>0</v>
      </c>
      <c r="O703" s="60">
        <v>0</v>
      </c>
      <c r="P703" s="60">
        <v>0</v>
      </c>
      <c r="Q703" s="60">
        <v>0</v>
      </c>
      <c r="R703" s="60">
        <v>0</v>
      </c>
      <c r="S703" s="60">
        <v>0</v>
      </c>
      <c r="T703" s="60">
        <v>0</v>
      </c>
      <c r="U703" s="60">
        <v>0</v>
      </c>
      <c r="V703" s="60">
        <v>0</v>
      </c>
      <c r="W703" s="60">
        <v>0</v>
      </c>
      <c r="X703" s="60">
        <v>0</v>
      </c>
      <c r="Y703" s="60">
        <v>0</v>
      </c>
      <c r="Z703" s="60">
        <v>0</v>
      </c>
      <c r="AA703" s="60">
        <v>0</v>
      </c>
      <c r="AB703" s="60">
        <v>0</v>
      </c>
      <c r="AC703" s="60">
        <v>0</v>
      </c>
      <c r="AD703" s="60">
        <v>0</v>
      </c>
      <c r="AE703" s="60">
        <v>0</v>
      </c>
      <c r="AF703" s="60">
        <v>0</v>
      </c>
      <c r="AG703" s="60">
        <v>0</v>
      </c>
      <c r="AH703" s="60">
        <v>0</v>
      </c>
      <c r="AI703" s="60">
        <v>710.41</v>
      </c>
      <c r="AJ703" s="60">
        <v>686.53</v>
      </c>
      <c r="AK703" s="60">
        <v>662.67</v>
      </c>
      <c r="AL703" s="60">
        <v>0</v>
      </c>
      <c r="AM703" s="60">
        <v>0</v>
      </c>
      <c r="AN703" s="60">
        <v>0</v>
      </c>
      <c r="AO703" s="60">
        <v>710.41</v>
      </c>
      <c r="AP703" s="60">
        <v>686.53</v>
      </c>
      <c r="AQ703" s="60">
        <v>662.67</v>
      </c>
      <c r="AR703" s="61">
        <v>710.41</v>
      </c>
    </row>
    <row r="704" spans="1:44" x14ac:dyDescent="0.35">
      <c r="A704" s="49" t="str">
        <f t="shared" si="59"/>
        <v>05</v>
      </c>
      <c r="B704" s="27">
        <v>10058</v>
      </c>
      <c r="C704" s="25" t="str">
        <f>TEXT(530154,"0000000")</f>
        <v>0530154</v>
      </c>
      <c r="D704" s="26" t="s">
        <v>236</v>
      </c>
      <c r="E704" s="25" t="s">
        <v>234</v>
      </c>
      <c r="F704" s="25" t="s">
        <v>233</v>
      </c>
      <c r="G704" s="59" t="s">
        <v>235</v>
      </c>
      <c r="H704" s="60">
        <v>0</v>
      </c>
      <c r="I704" s="60">
        <v>0</v>
      </c>
      <c r="J704" s="60">
        <v>0</v>
      </c>
      <c r="K704" s="60">
        <v>0</v>
      </c>
      <c r="L704" s="60">
        <v>0</v>
      </c>
      <c r="M704" s="60">
        <v>0</v>
      </c>
      <c r="N704" s="60">
        <v>0</v>
      </c>
      <c r="O704" s="60">
        <v>0</v>
      </c>
      <c r="P704" s="60">
        <v>0</v>
      </c>
      <c r="Q704" s="60">
        <v>0</v>
      </c>
      <c r="R704" s="60">
        <v>0</v>
      </c>
      <c r="S704" s="60">
        <v>0</v>
      </c>
      <c r="T704" s="60">
        <v>0</v>
      </c>
      <c r="U704" s="60">
        <v>0</v>
      </c>
      <c r="V704" s="60">
        <v>0</v>
      </c>
      <c r="W704" s="60">
        <v>0</v>
      </c>
      <c r="X704" s="60">
        <v>0</v>
      </c>
      <c r="Y704" s="60">
        <v>0</v>
      </c>
      <c r="Z704" s="60">
        <v>389.55</v>
      </c>
      <c r="AA704" s="60">
        <v>393.7</v>
      </c>
      <c r="AB704" s="60">
        <v>416.89</v>
      </c>
      <c r="AC704" s="60">
        <v>0</v>
      </c>
      <c r="AD704" s="60">
        <v>0</v>
      </c>
      <c r="AE704" s="60">
        <v>0</v>
      </c>
      <c r="AF704" s="60">
        <v>0</v>
      </c>
      <c r="AG704" s="60">
        <v>0</v>
      </c>
      <c r="AH704" s="60">
        <v>0</v>
      </c>
      <c r="AI704" s="60">
        <v>389.55</v>
      </c>
      <c r="AJ704" s="60">
        <v>393.7</v>
      </c>
      <c r="AK704" s="60">
        <v>416.89</v>
      </c>
      <c r="AL704" s="60">
        <v>0</v>
      </c>
      <c r="AM704" s="60">
        <v>0</v>
      </c>
      <c r="AN704" s="60">
        <v>0</v>
      </c>
      <c r="AO704" s="60">
        <v>389.55</v>
      </c>
      <c r="AP704" s="60">
        <v>393.7</v>
      </c>
      <c r="AQ704" s="60">
        <v>416.89</v>
      </c>
      <c r="AR704" s="61">
        <v>416.89</v>
      </c>
    </row>
    <row r="705" spans="1:44" x14ac:dyDescent="0.35">
      <c r="A705" s="49" t="str">
        <f>TEXT(15,"00")</f>
        <v>15</v>
      </c>
      <c r="B705" s="27">
        <v>63362</v>
      </c>
      <c r="C705" s="25" t="str">
        <f t="shared" ref="C705:C738" si="60">TEXT(,"0000000")</f>
        <v>0000000</v>
      </c>
      <c r="D705" s="26" t="s">
        <v>3663</v>
      </c>
      <c r="E705" s="25" t="s">
        <v>657</v>
      </c>
      <c r="F705" s="25" t="s">
        <v>658</v>
      </c>
      <c r="G705" s="59" t="s">
        <v>658</v>
      </c>
      <c r="H705" s="60">
        <v>18094.02</v>
      </c>
      <c r="I705" s="60">
        <v>17494.7</v>
      </c>
      <c r="J705" s="60">
        <v>16226.2</v>
      </c>
      <c r="K705" s="60">
        <v>0</v>
      </c>
      <c r="L705" s="60">
        <v>0</v>
      </c>
      <c r="M705" s="60">
        <v>0</v>
      </c>
      <c r="N705" s="60">
        <v>0</v>
      </c>
      <c r="O705" s="60">
        <v>0</v>
      </c>
      <c r="P705" s="60">
        <v>0</v>
      </c>
      <c r="Q705" s="60">
        <v>0</v>
      </c>
      <c r="R705" s="60">
        <v>0</v>
      </c>
      <c r="S705" s="60">
        <v>0</v>
      </c>
      <c r="T705" s="60">
        <v>0</v>
      </c>
      <c r="U705" s="60">
        <v>0</v>
      </c>
      <c r="V705" s="60">
        <v>0</v>
      </c>
      <c r="W705" s="60">
        <v>0</v>
      </c>
      <c r="X705" s="60">
        <v>0</v>
      </c>
      <c r="Y705" s="60">
        <v>0</v>
      </c>
      <c r="Z705" s="60">
        <v>0</v>
      </c>
      <c r="AA705" s="60">
        <v>0</v>
      </c>
      <c r="AB705" s="60">
        <v>0</v>
      </c>
      <c r="AC705" s="60">
        <v>0</v>
      </c>
      <c r="AD705" s="60">
        <v>0</v>
      </c>
      <c r="AE705" s="60">
        <v>0</v>
      </c>
      <c r="AF705" s="60">
        <v>0</v>
      </c>
      <c r="AG705" s="60">
        <v>0</v>
      </c>
      <c r="AH705" s="60">
        <v>0</v>
      </c>
      <c r="AI705" s="60">
        <v>18094.02</v>
      </c>
      <c r="AJ705" s="60">
        <v>17494.7</v>
      </c>
      <c r="AK705" s="60">
        <v>16226.2</v>
      </c>
      <c r="AL705" s="60">
        <v>0</v>
      </c>
      <c r="AM705" s="60">
        <v>0</v>
      </c>
      <c r="AN705" s="60">
        <v>0</v>
      </c>
      <c r="AO705" s="60">
        <v>18094.02</v>
      </c>
      <c r="AP705" s="60">
        <v>17494.7</v>
      </c>
      <c r="AQ705" s="60">
        <v>16226.2</v>
      </c>
      <c r="AR705" s="61">
        <v>18094.02</v>
      </c>
    </row>
    <row r="706" spans="1:44" x14ac:dyDescent="0.35">
      <c r="A706" s="49" t="str">
        <f>TEXT(34,"00")</f>
        <v>34</v>
      </c>
      <c r="B706" s="27">
        <v>76505</v>
      </c>
      <c r="C706" s="25" t="str">
        <f t="shared" si="60"/>
        <v>0000000</v>
      </c>
      <c r="D706" s="26" t="s">
        <v>3663</v>
      </c>
      <c r="E706" s="25" t="s">
        <v>1865</v>
      </c>
      <c r="F706" s="25" t="s">
        <v>1866</v>
      </c>
      <c r="G706" s="59" t="s">
        <v>1866</v>
      </c>
      <c r="H706" s="60">
        <v>20235.87</v>
      </c>
      <c r="I706" s="60">
        <v>19844.87</v>
      </c>
      <c r="J706" s="60">
        <v>18784.14</v>
      </c>
      <c r="K706" s="60">
        <v>0</v>
      </c>
      <c r="L706" s="60">
        <v>0</v>
      </c>
      <c r="M706" s="60">
        <v>0</v>
      </c>
      <c r="N706" s="60">
        <v>0</v>
      </c>
      <c r="O706" s="60">
        <v>0</v>
      </c>
      <c r="P706" s="60">
        <v>0</v>
      </c>
      <c r="Q706" s="60">
        <v>0</v>
      </c>
      <c r="R706" s="60">
        <v>0</v>
      </c>
      <c r="S706" s="60">
        <v>0</v>
      </c>
      <c r="T706" s="60">
        <v>0</v>
      </c>
      <c r="U706" s="60">
        <v>0</v>
      </c>
      <c r="V706" s="60">
        <v>0</v>
      </c>
      <c r="W706" s="60">
        <v>0</v>
      </c>
      <c r="X706" s="60">
        <v>0</v>
      </c>
      <c r="Y706" s="60">
        <v>0</v>
      </c>
      <c r="Z706" s="60">
        <v>0</v>
      </c>
      <c r="AA706" s="60">
        <v>0</v>
      </c>
      <c r="AB706" s="60">
        <v>0</v>
      </c>
      <c r="AC706" s="60">
        <v>11844.97</v>
      </c>
      <c r="AD706" s="60">
        <v>10294.09</v>
      </c>
      <c r="AE706" s="60">
        <v>6718.26</v>
      </c>
      <c r="AF706" s="60">
        <v>0</v>
      </c>
      <c r="AG706" s="60">
        <v>0</v>
      </c>
      <c r="AH706" s="60">
        <v>0</v>
      </c>
      <c r="AI706" s="60">
        <v>32080.84</v>
      </c>
      <c r="AJ706" s="60">
        <v>30138.959999999999</v>
      </c>
      <c r="AK706" s="60">
        <v>25502.400000000001</v>
      </c>
      <c r="AL706" s="60">
        <v>0</v>
      </c>
      <c r="AM706" s="60">
        <v>0</v>
      </c>
      <c r="AN706" s="60">
        <v>0</v>
      </c>
      <c r="AO706" s="60">
        <v>32080.84</v>
      </c>
      <c r="AP706" s="60">
        <v>30138.959999999999</v>
      </c>
      <c r="AQ706" s="60">
        <v>25502.400000000001</v>
      </c>
      <c r="AR706" s="61">
        <v>32080.84</v>
      </c>
    </row>
    <row r="707" spans="1:44" x14ac:dyDescent="0.35">
      <c r="A707" s="49" t="str">
        <f>TEXT(34,"00")</f>
        <v>34</v>
      </c>
      <c r="B707" s="27">
        <v>75283</v>
      </c>
      <c r="C707" s="25" t="str">
        <f t="shared" si="60"/>
        <v>0000000</v>
      </c>
      <c r="D707" s="26" t="s">
        <v>3663</v>
      </c>
      <c r="E707" s="25" t="s">
        <v>1857</v>
      </c>
      <c r="F707" s="25" t="s">
        <v>1858</v>
      </c>
      <c r="G707" s="59" t="s">
        <v>1858</v>
      </c>
      <c r="H707" s="60">
        <v>10373.719999999999</v>
      </c>
      <c r="I707" s="60">
        <v>10014.280000000001</v>
      </c>
      <c r="J707" s="60">
        <v>9806.7099999999991</v>
      </c>
      <c r="K707" s="60">
        <v>0</v>
      </c>
      <c r="L707" s="60">
        <v>0</v>
      </c>
      <c r="M707" s="60">
        <v>0</v>
      </c>
      <c r="N707" s="60">
        <v>0</v>
      </c>
      <c r="O707" s="60">
        <v>0</v>
      </c>
      <c r="P707" s="60">
        <v>0</v>
      </c>
      <c r="Q707" s="60">
        <v>0</v>
      </c>
      <c r="R707" s="60">
        <v>0</v>
      </c>
      <c r="S707" s="60">
        <v>0</v>
      </c>
      <c r="T707" s="60">
        <v>0</v>
      </c>
      <c r="U707" s="60">
        <v>0</v>
      </c>
      <c r="V707" s="60">
        <v>0</v>
      </c>
      <c r="W707" s="60">
        <v>0</v>
      </c>
      <c r="X707" s="60">
        <v>0</v>
      </c>
      <c r="Y707" s="60">
        <v>0</v>
      </c>
      <c r="Z707" s="60">
        <v>0</v>
      </c>
      <c r="AA707" s="60">
        <v>0</v>
      </c>
      <c r="AB707" s="60">
        <v>0</v>
      </c>
      <c r="AC707" s="60">
        <v>2265.89</v>
      </c>
      <c r="AD707" s="60">
        <v>2215.48</v>
      </c>
      <c r="AE707" s="60">
        <v>2191.9299999999998</v>
      </c>
      <c r="AF707" s="60">
        <v>0</v>
      </c>
      <c r="AG707" s="60">
        <v>0</v>
      </c>
      <c r="AH707" s="60">
        <v>0</v>
      </c>
      <c r="AI707" s="60">
        <v>12639.61</v>
      </c>
      <c r="AJ707" s="60">
        <v>12229.76</v>
      </c>
      <c r="AK707" s="60">
        <v>11998.64</v>
      </c>
      <c r="AL707" s="60">
        <v>0</v>
      </c>
      <c r="AM707" s="60">
        <v>0</v>
      </c>
      <c r="AN707" s="60">
        <v>0</v>
      </c>
      <c r="AO707" s="60">
        <v>12639.61</v>
      </c>
      <c r="AP707" s="60">
        <v>12229.76</v>
      </c>
      <c r="AQ707" s="60">
        <v>11998.64</v>
      </c>
      <c r="AR707" s="61">
        <v>12639.61</v>
      </c>
    </row>
    <row r="708" spans="1:44" x14ac:dyDescent="0.35">
      <c r="A708" s="49" t="str">
        <f t="shared" ref="A708:A738" si="61">TEXT(19,"00")</f>
        <v>19</v>
      </c>
      <c r="B708" s="27">
        <v>64857</v>
      </c>
      <c r="C708" s="25" t="str">
        <f t="shared" si="60"/>
        <v>0000000</v>
      </c>
      <c r="D708" s="26" t="s">
        <v>3663</v>
      </c>
      <c r="E708" s="25" t="s">
        <v>894</v>
      </c>
      <c r="F708" s="25" t="s">
        <v>895</v>
      </c>
      <c r="G708" s="59" t="s">
        <v>895</v>
      </c>
      <c r="H708" s="60">
        <v>15752.98</v>
      </c>
      <c r="I708" s="60">
        <v>15594.59</v>
      </c>
      <c r="J708" s="60">
        <v>15280.59</v>
      </c>
      <c r="K708" s="60">
        <v>0</v>
      </c>
      <c r="L708" s="60">
        <v>0</v>
      </c>
      <c r="M708" s="60">
        <v>0</v>
      </c>
      <c r="N708" s="60">
        <v>0</v>
      </c>
      <c r="O708" s="60">
        <v>0</v>
      </c>
      <c r="P708" s="60">
        <v>0</v>
      </c>
      <c r="Q708" s="60">
        <v>0</v>
      </c>
      <c r="R708" s="60">
        <v>0</v>
      </c>
      <c r="S708" s="60">
        <v>0</v>
      </c>
      <c r="T708" s="60">
        <v>31.51</v>
      </c>
      <c r="U708" s="60">
        <v>28.79</v>
      </c>
      <c r="V708" s="60">
        <v>25.18</v>
      </c>
      <c r="W708" s="60">
        <v>11.02</v>
      </c>
      <c r="X708" s="60">
        <v>11.77</v>
      </c>
      <c r="Y708" s="60">
        <v>12.35</v>
      </c>
      <c r="Z708" s="60">
        <v>0</v>
      </c>
      <c r="AA708" s="60">
        <v>0</v>
      </c>
      <c r="AB708" s="60">
        <v>0</v>
      </c>
      <c r="AC708" s="60">
        <v>687.68</v>
      </c>
      <c r="AD708" s="60">
        <v>476.08</v>
      </c>
      <c r="AE708" s="60">
        <v>246.36</v>
      </c>
      <c r="AF708" s="60">
        <v>0</v>
      </c>
      <c r="AG708" s="60">
        <v>0</v>
      </c>
      <c r="AH708" s="60">
        <v>0</v>
      </c>
      <c r="AI708" s="60">
        <v>16483.189999999999</v>
      </c>
      <c r="AJ708" s="60">
        <v>16111.23</v>
      </c>
      <c r="AK708" s="60">
        <v>15564.48</v>
      </c>
      <c r="AL708" s="60">
        <v>0</v>
      </c>
      <c r="AM708" s="60">
        <v>0</v>
      </c>
      <c r="AN708" s="60">
        <v>0</v>
      </c>
      <c r="AO708" s="60">
        <v>16483.189999999999</v>
      </c>
      <c r="AP708" s="60">
        <v>16111.23</v>
      </c>
      <c r="AQ708" s="60">
        <v>15564.48</v>
      </c>
      <c r="AR708" s="61">
        <v>16483.189999999999</v>
      </c>
    </row>
    <row r="709" spans="1:44" x14ac:dyDescent="0.35">
      <c r="A709" s="49" t="str">
        <f t="shared" si="61"/>
        <v>19</v>
      </c>
      <c r="B709" s="27">
        <v>64246</v>
      </c>
      <c r="C709" s="25" t="str">
        <f t="shared" si="60"/>
        <v>0000000</v>
      </c>
      <c r="D709" s="26" t="s">
        <v>3663</v>
      </c>
      <c r="E709" s="25" t="s">
        <v>896</v>
      </c>
      <c r="F709" s="25" t="s">
        <v>895</v>
      </c>
      <c r="G709" s="59" t="s">
        <v>897</v>
      </c>
      <c r="H709" s="60">
        <v>19059.87</v>
      </c>
      <c r="I709" s="60">
        <v>19314.599999999999</v>
      </c>
      <c r="J709" s="60">
        <v>18836.759999999998</v>
      </c>
      <c r="K709" s="60">
        <v>0</v>
      </c>
      <c r="L709" s="60">
        <v>0</v>
      </c>
      <c r="M709" s="60">
        <v>0</v>
      </c>
      <c r="N709" s="60">
        <v>0</v>
      </c>
      <c r="O709" s="60">
        <v>0</v>
      </c>
      <c r="P709" s="60">
        <v>0</v>
      </c>
      <c r="Q709" s="60">
        <v>0</v>
      </c>
      <c r="R709" s="60">
        <v>0</v>
      </c>
      <c r="S709" s="60">
        <v>0</v>
      </c>
      <c r="T709" s="60">
        <v>0</v>
      </c>
      <c r="U709" s="60">
        <v>0</v>
      </c>
      <c r="V709" s="60">
        <v>0</v>
      </c>
      <c r="W709" s="60">
        <v>0</v>
      </c>
      <c r="X709" s="60">
        <v>0</v>
      </c>
      <c r="Y709" s="60">
        <v>0</v>
      </c>
      <c r="Z709" s="60">
        <v>0</v>
      </c>
      <c r="AA709" s="60">
        <v>0</v>
      </c>
      <c r="AB709" s="60">
        <v>0</v>
      </c>
      <c r="AC709" s="60">
        <v>653.16</v>
      </c>
      <c r="AD709" s="60">
        <v>628.38</v>
      </c>
      <c r="AE709" s="60">
        <v>596.19000000000005</v>
      </c>
      <c r="AF709" s="60">
        <v>0</v>
      </c>
      <c r="AG709" s="60">
        <v>0</v>
      </c>
      <c r="AH709" s="60">
        <v>0</v>
      </c>
      <c r="AI709" s="60">
        <v>19713.03</v>
      </c>
      <c r="AJ709" s="60">
        <v>19942.98</v>
      </c>
      <c r="AK709" s="60">
        <v>19432.95</v>
      </c>
      <c r="AL709" s="60">
        <v>0</v>
      </c>
      <c r="AM709" s="60">
        <v>0</v>
      </c>
      <c r="AN709" s="60">
        <v>0</v>
      </c>
      <c r="AO709" s="60">
        <v>19713.03</v>
      </c>
      <c r="AP709" s="60">
        <v>19942.98</v>
      </c>
      <c r="AQ709" s="60">
        <v>19432.95</v>
      </c>
      <c r="AR709" s="61">
        <v>19942.98</v>
      </c>
    </row>
    <row r="710" spans="1:44" x14ac:dyDescent="0.35">
      <c r="A710" s="49" t="str">
        <f t="shared" si="61"/>
        <v>19</v>
      </c>
      <c r="B710" s="27">
        <v>64477</v>
      </c>
      <c r="C710" s="25" t="str">
        <f t="shared" si="60"/>
        <v>0000000</v>
      </c>
      <c r="D710" s="26" t="s">
        <v>3663</v>
      </c>
      <c r="E710" s="25" t="s">
        <v>952</v>
      </c>
      <c r="F710" s="25" t="s">
        <v>895</v>
      </c>
      <c r="G710" s="59" t="s">
        <v>953</v>
      </c>
      <c r="H710" s="60">
        <v>2674.58</v>
      </c>
      <c r="I710" s="60">
        <v>2748.62</v>
      </c>
      <c r="J710" s="60">
        <v>2719.28</v>
      </c>
      <c r="K710" s="60">
        <v>0</v>
      </c>
      <c r="L710" s="60">
        <v>0</v>
      </c>
      <c r="M710" s="60">
        <v>0</v>
      </c>
      <c r="N710" s="60">
        <v>0</v>
      </c>
      <c r="O710" s="60">
        <v>0</v>
      </c>
      <c r="P710" s="60">
        <v>0</v>
      </c>
      <c r="Q710" s="60">
        <v>0</v>
      </c>
      <c r="R710" s="60">
        <v>0</v>
      </c>
      <c r="S710" s="60">
        <v>0</v>
      </c>
      <c r="T710" s="60">
        <v>0</v>
      </c>
      <c r="U710" s="60">
        <v>0</v>
      </c>
      <c r="V710" s="60">
        <v>0</v>
      </c>
      <c r="W710" s="60">
        <v>0</v>
      </c>
      <c r="X710" s="60">
        <v>0</v>
      </c>
      <c r="Y710" s="60">
        <v>0</v>
      </c>
      <c r="Z710" s="60">
        <v>0</v>
      </c>
      <c r="AA710" s="60">
        <v>0</v>
      </c>
      <c r="AB710" s="60">
        <v>0</v>
      </c>
      <c r="AC710" s="60">
        <v>0</v>
      </c>
      <c r="AD710" s="60">
        <v>0</v>
      </c>
      <c r="AE710" s="60">
        <v>0</v>
      </c>
      <c r="AF710" s="60">
        <v>0</v>
      </c>
      <c r="AG710" s="60">
        <v>0</v>
      </c>
      <c r="AH710" s="60">
        <v>0</v>
      </c>
      <c r="AI710" s="60">
        <v>2674.58</v>
      </c>
      <c r="AJ710" s="60">
        <v>2748.62</v>
      </c>
      <c r="AK710" s="60">
        <v>2719.28</v>
      </c>
      <c r="AL710" s="60">
        <v>0</v>
      </c>
      <c r="AM710" s="60">
        <v>0</v>
      </c>
      <c r="AN710" s="60">
        <v>0</v>
      </c>
      <c r="AO710" s="60">
        <v>2674.58</v>
      </c>
      <c r="AP710" s="60">
        <v>2748.62</v>
      </c>
      <c r="AQ710" s="60">
        <v>2719.28</v>
      </c>
      <c r="AR710" s="61">
        <v>2748.62</v>
      </c>
    </row>
    <row r="711" spans="1:44" x14ac:dyDescent="0.35">
      <c r="A711" s="49" t="str">
        <f t="shared" si="61"/>
        <v>19</v>
      </c>
      <c r="B711" s="27">
        <v>64626</v>
      </c>
      <c r="C711" s="25" t="str">
        <f t="shared" si="60"/>
        <v>0000000</v>
      </c>
      <c r="D711" s="26" t="s">
        <v>3663</v>
      </c>
      <c r="E711" s="25" t="s">
        <v>979</v>
      </c>
      <c r="F711" s="25" t="s">
        <v>895</v>
      </c>
      <c r="G711" s="59" t="s">
        <v>980</v>
      </c>
      <c r="H711" s="60">
        <v>188.93</v>
      </c>
      <c r="I711" s="60">
        <v>157.15</v>
      </c>
      <c r="J711" s="60">
        <v>149.02000000000001</v>
      </c>
      <c r="K711" s="60">
        <v>0</v>
      </c>
      <c r="L711" s="60">
        <v>0</v>
      </c>
      <c r="M711" s="60">
        <v>0</v>
      </c>
      <c r="N711" s="60">
        <v>0</v>
      </c>
      <c r="O711" s="60">
        <v>0</v>
      </c>
      <c r="P711" s="60">
        <v>0</v>
      </c>
      <c r="Q711" s="60">
        <v>0</v>
      </c>
      <c r="R711" s="60">
        <v>0</v>
      </c>
      <c r="S711" s="60">
        <v>0</v>
      </c>
      <c r="T711" s="60">
        <v>0</v>
      </c>
      <c r="U711" s="60">
        <v>0</v>
      </c>
      <c r="V711" s="60">
        <v>0</v>
      </c>
      <c r="W711" s="60">
        <v>0</v>
      </c>
      <c r="X711" s="60">
        <v>0</v>
      </c>
      <c r="Y711" s="60">
        <v>0</v>
      </c>
      <c r="Z711" s="60">
        <v>0</v>
      </c>
      <c r="AA711" s="60">
        <v>0</v>
      </c>
      <c r="AB711" s="60">
        <v>0</v>
      </c>
      <c r="AC711" s="60">
        <v>0</v>
      </c>
      <c r="AD711" s="60">
        <v>0</v>
      </c>
      <c r="AE711" s="60">
        <v>0</v>
      </c>
      <c r="AF711" s="60">
        <v>0</v>
      </c>
      <c r="AG711" s="60">
        <v>0</v>
      </c>
      <c r="AH711" s="60">
        <v>0</v>
      </c>
      <c r="AI711" s="60">
        <v>188.93</v>
      </c>
      <c r="AJ711" s="60">
        <v>157.15</v>
      </c>
      <c r="AK711" s="60">
        <v>149.02000000000001</v>
      </c>
      <c r="AL711" s="60">
        <v>0</v>
      </c>
      <c r="AM711" s="60">
        <v>0</v>
      </c>
      <c r="AN711" s="60">
        <v>0</v>
      </c>
      <c r="AO711" s="60">
        <v>188.93</v>
      </c>
      <c r="AP711" s="60">
        <v>157.15</v>
      </c>
      <c r="AQ711" s="60">
        <v>149.02000000000001</v>
      </c>
      <c r="AR711" s="61">
        <v>188.93</v>
      </c>
    </row>
    <row r="712" spans="1:44" x14ac:dyDescent="0.35">
      <c r="A712" s="49" t="str">
        <f t="shared" si="61"/>
        <v>19</v>
      </c>
      <c r="B712" s="27">
        <v>64642</v>
      </c>
      <c r="C712" s="25" t="str">
        <f t="shared" si="60"/>
        <v>0000000</v>
      </c>
      <c r="D712" s="26" t="s">
        <v>3663</v>
      </c>
      <c r="E712" s="25" t="s">
        <v>994</v>
      </c>
      <c r="F712" s="25" t="s">
        <v>895</v>
      </c>
      <c r="G712" s="59" t="s">
        <v>995</v>
      </c>
      <c r="H712" s="60">
        <v>2337.39</v>
      </c>
      <c r="I712" s="60">
        <v>2273.4899999999998</v>
      </c>
      <c r="J712" s="60">
        <v>2162.46</v>
      </c>
      <c r="K712" s="60">
        <v>0</v>
      </c>
      <c r="L712" s="60">
        <v>0</v>
      </c>
      <c r="M712" s="60">
        <v>0</v>
      </c>
      <c r="N712" s="60">
        <v>0</v>
      </c>
      <c r="O712" s="60">
        <v>0</v>
      </c>
      <c r="P712" s="60">
        <v>0</v>
      </c>
      <c r="Q712" s="60">
        <v>0</v>
      </c>
      <c r="R712" s="60">
        <v>0</v>
      </c>
      <c r="S712" s="60">
        <v>0</v>
      </c>
      <c r="T712" s="60">
        <v>0</v>
      </c>
      <c r="U712" s="60">
        <v>0</v>
      </c>
      <c r="V712" s="60">
        <v>0</v>
      </c>
      <c r="W712" s="60">
        <v>0</v>
      </c>
      <c r="X712" s="60">
        <v>0</v>
      </c>
      <c r="Y712" s="60">
        <v>0</v>
      </c>
      <c r="Z712" s="60">
        <v>0</v>
      </c>
      <c r="AA712" s="60">
        <v>0</v>
      </c>
      <c r="AB712" s="60">
        <v>0</v>
      </c>
      <c r="AC712" s="60">
        <v>0</v>
      </c>
      <c r="AD712" s="60">
        <v>0</v>
      </c>
      <c r="AE712" s="60">
        <v>0</v>
      </c>
      <c r="AF712" s="60">
        <v>0</v>
      </c>
      <c r="AG712" s="60">
        <v>0</v>
      </c>
      <c r="AH712" s="60">
        <v>0</v>
      </c>
      <c r="AI712" s="60">
        <v>2337.39</v>
      </c>
      <c r="AJ712" s="60">
        <v>2273.4899999999998</v>
      </c>
      <c r="AK712" s="60">
        <v>2162.46</v>
      </c>
      <c r="AL712" s="60">
        <v>0</v>
      </c>
      <c r="AM712" s="60">
        <v>0</v>
      </c>
      <c r="AN712" s="60">
        <v>0</v>
      </c>
      <c r="AO712" s="60">
        <v>2337.39</v>
      </c>
      <c r="AP712" s="60">
        <v>2273.4899999999998</v>
      </c>
      <c r="AQ712" s="60">
        <v>2162.46</v>
      </c>
      <c r="AR712" s="61">
        <v>2337.39</v>
      </c>
    </row>
    <row r="713" spans="1:44" x14ac:dyDescent="0.35">
      <c r="A713" s="49" t="str">
        <f t="shared" si="61"/>
        <v>19</v>
      </c>
      <c r="B713" s="27">
        <v>64667</v>
      </c>
      <c r="C713" s="25" t="str">
        <f t="shared" si="60"/>
        <v>0000000</v>
      </c>
      <c r="D713" s="26" t="s">
        <v>3663</v>
      </c>
      <c r="E713" s="25" t="s">
        <v>1000</v>
      </c>
      <c r="F713" s="25" t="s">
        <v>895</v>
      </c>
      <c r="G713" s="59" t="s">
        <v>1001</v>
      </c>
      <c r="H713" s="60">
        <v>12627.56</v>
      </c>
      <c r="I713" s="60">
        <v>12478.41</v>
      </c>
      <c r="J713" s="60">
        <v>12152.2</v>
      </c>
      <c r="K713" s="60">
        <v>0</v>
      </c>
      <c r="L713" s="60">
        <v>0</v>
      </c>
      <c r="M713" s="60">
        <v>0</v>
      </c>
      <c r="N713" s="60">
        <v>0</v>
      </c>
      <c r="O713" s="60">
        <v>0</v>
      </c>
      <c r="P713" s="60">
        <v>0</v>
      </c>
      <c r="Q713" s="60">
        <v>0</v>
      </c>
      <c r="R713" s="60">
        <v>0</v>
      </c>
      <c r="S713" s="60">
        <v>0</v>
      </c>
      <c r="T713" s="60">
        <v>0</v>
      </c>
      <c r="U713" s="60">
        <v>0</v>
      </c>
      <c r="V713" s="60">
        <v>0</v>
      </c>
      <c r="W713" s="60">
        <v>0</v>
      </c>
      <c r="X713" s="60">
        <v>0</v>
      </c>
      <c r="Y713" s="60">
        <v>0</v>
      </c>
      <c r="Z713" s="60">
        <v>0</v>
      </c>
      <c r="AA713" s="60">
        <v>0</v>
      </c>
      <c r="AB713" s="60">
        <v>0</v>
      </c>
      <c r="AC713" s="60">
        <v>0</v>
      </c>
      <c r="AD713" s="60">
        <v>0</v>
      </c>
      <c r="AE713" s="60">
        <v>0</v>
      </c>
      <c r="AF713" s="60">
        <v>0</v>
      </c>
      <c r="AG713" s="60">
        <v>0</v>
      </c>
      <c r="AH713" s="60">
        <v>0</v>
      </c>
      <c r="AI713" s="60">
        <v>12627.56</v>
      </c>
      <c r="AJ713" s="60">
        <v>12478.41</v>
      </c>
      <c r="AK713" s="60">
        <v>12152.2</v>
      </c>
      <c r="AL713" s="60">
        <v>0</v>
      </c>
      <c r="AM713" s="60">
        <v>0</v>
      </c>
      <c r="AN713" s="60">
        <v>0</v>
      </c>
      <c r="AO713" s="60">
        <v>12627.56</v>
      </c>
      <c r="AP713" s="60">
        <v>12478.41</v>
      </c>
      <c r="AQ713" s="60">
        <v>12152.2</v>
      </c>
      <c r="AR713" s="61">
        <v>12627.56</v>
      </c>
    </row>
    <row r="714" spans="1:44" x14ac:dyDescent="0.35">
      <c r="A714" s="49" t="str">
        <f t="shared" si="61"/>
        <v>19</v>
      </c>
      <c r="B714" s="27">
        <v>65102</v>
      </c>
      <c r="C714" s="25" t="str">
        <f t="shared" si="60"/>
        <v>0000000</v>
      </c>
      <c r="D714" s="26" t="s">
        <v>3663</v>
      </c>
      <c r="E714" s="25" t="s">
        <v>1126</v>
      </c>
      <c r="F714" s="25" t="s">
        <v>895</v>
      </c>
      <c r="G714" s="59" t="s">
        <v>1127</v>
      </c>
      <c r="H714" s="60">
        <v>8438.68</v>
      </c>
      <c r="I714" s="60">
        <v>8269.82</v>
      </c>
      <c r="J714" s="60">
        <v>7850.47</v>
      </c>
      <c r="K714" s="60">
        <v>0</v>
      </c>
      <c r="L714" s="60">
        <v>0</v>
      </c>
      <c r="M714" s="60">
        <v>0</v>
      </c>
      <c r="N714" s="60">
        <v>0</v>
      </c>
      <c r="O714" s="60">
        <v>0</v>
      </c>
      <c r="P714" s="60">
        <v>0</v>
      </c>
      <c r="Q714" s="60">
        <v>0</v>
      </c>
      <c r="R714" s="60">
        <v>0</v>
      </c>
      <c r="S714" s="60">
        <v>0</v>
      </c>
      <c r="T714" s="60">
        <v>0</v>
      </c>
      <c r="U714" s="60">
        <v>0</v>
      </c>
      <c r="V714" s="60">
        <v>0</v>
      </c>
      <c r="W714" s="60">
        <v>0</v>
      </c>
      <c r="X714" s="60">
        <v>0</v>
      </c>
      <c r="Y714" s="60">
        <v>0</v>
      </c>
      <c r="Z714" s="60">
        <v>0</v>
      </c>
      <c r="AA714" s="60">
        <v>0</v>
      </c>
      <c r="AB714" s="60">
        <v>0</v>
      </c>
      <c r="AC714" s="60">
        <v>0</v>
      </c>
      <c r="AD714" s="60">
        <v>0</v>
      </c>
      <c r="AE714" s="60">
        <v>0</v>
      </c>
      <c r="AF714" s="60">
        <v>0</v>
      </c>
      <c r="AG714" s="60">
        <v>0</v>
      </c>
      <c r="AH714" s="60">
        <v>0</v>
      </c>
      <c r="AI714" s="60">
        <v>8438.68</v>
      </c>
      <c r="AJ714" s="60">
        <v>8269.82</v>
      </c>
      <c r="AK714" s="60">
        <v>7850.47</v>
      </c>
      <c r="AL714" s="60">
        <v>0</v>
      </c>
      <c r="AM714" s="60">
        <v>0</v>
      </c>
      <c r="AN714" s="60">
        <v>0</v>
      </c>
      <c r="AO714" s="60">
        <v>8438.68</v>
      </c>
      <c r="AP714" s="60">
        <v>8269.82</v>
      </c>
      <c r="AQ714" s="60">
        <v>7850.47</v>
      </c>
      <c r="AR714" s="61">
        <v>8438.68</v>
      </c>
    </row>
    <row r="715" spans="1:44" x14ac:dyDescent="0.35">
      <c r="A715" s="49" t="str">
        <f t="shared" si="61"/>
        <v>19</v>
      </c>
      <c r="B715" s="27">
        <v>65151</v>
      </c>
      <c r="C715" s="25" t="str">
        <f t="shared" si="60"/>
        <v>0000000</v>
      </c>
      <c r="D715" s="26" t="s">
        <v>3663</v>
      </c>
      <c r="E715" s="25" t="s">
        <v>1139</v>
      </c>
      <c r="F715" s="25" t="s">
        <v>895</v>
      </c>
      <c r="G715" s="59" t="s">
        <v>1140</v>
      </c>
      <c r="H715" s="60">
        <v>1135.28</v>
      </c>
      <c r="I715" s="60">
        <v>1117.1300000000001</v>
      </c>
      <c r="J715" s="60">
        <v>1081.0899999999999</v>
      </c>
      <c r="K715" s="60">
        <v>0</v>
      </c>
      <c r="L715" s="60">
        <v>0</v>
      </c>
      <c r="M715" s="60">
        <v>0</v>
      </c>
      <c r="N715" s="60">
        <v>0</v>
      </c>
      <c r="O715" s="60">
        <v>0</v>
      </c>
      <c r="P715" s="60">
        <v>0</v>
      </c>
      <c r="Q715" s="60">
        <v>0</v>
      </c>
      <c r="R715" s="60">
        <v>0</v>
      </c>
      <c r="S715" s="60">
        <v>0</v>
      </c>
      <c r="T715" s="60">
        <v>0</v>
      </c>
      <c r="U715" s="60">
        <v>0</v>
      </c>
      <c r="V715" s="60">
        <v>0</v>
      </c>
      <c r="W715" s="60">
        <v>0</v>
      </c>
      <c r="X715" s="60">
        <v>0</v>
      </c>
      <c r="Y715" s="60">
        <v>0</v>
      </c>
      <c r="Z715" s="60">
        <v>0</v>
      </c>
      <c r="AA715" s="60">
        <v>0</v>
      </c>
      <c r="AB715" s="60">
        <v>0</v>
      </c>
      <c r="AC715" s="60">
        <v>0</v>
      </c>
      <c r="AD715" s="60">
        <v>0</v>
      </c>
      <c r="AE715" s="60">
        <v>0</v>
      </c>
      <c r="AF715" s="60">
        <v>0</v>
      </c>
      <c r="AG715" s="60">
        <v>0</v>
      </c>
      <c r="AH715" s="60">
        <v>0</v>
      </c>
      <c r="AI715" s="60">
        <v>1135.28</v>
      </c>
      <c r="AJ715" s="60">
        <v>1117.1300000000001</v>
      </c>
      <c r="AK715" s="60">
        <v>1081.0899999999999</v>
      </c>
      <c r="AL715" s="60">
        <v>0</v>
      </c>
      <c r="AM715" s="60">
        <v>0</v>
      </c>
      <c r="AN715" s="60">
        <v>0</v>
      </c>
      <c r="AO715" s="60">
        <v>1135.28</v>
      </c>
      <c r="AP715" s="60">
        <v>1117.1300000000001</v>
      </c>
      <c r="AQ715" s="60">
        <v>1081.0899999999999</v>
      </c>
      <c r="AR715" s="61">
        <v>1135.28</v>
      </c>
    </row>
    <row r="716" spans="1:44" x14ac:dyDescent="0.35">
      <c r="A716" s="49" t="str">
        <f t="shared" si="61"/>
        <v>19</v>
      </c>
      <c r="B716" s="27">
        <v>64584</v>
      </c>
      <c r="C716" s="25" t="str">
        <f t="shared" si="60"/>
        <v>0000000</v>
      </c>
      <c r="D716" s="26" t="s">
        <v>3663</v>
      </c>
      <c r="E716" s="25" t="s">
        <v>970</v>
      </c>
      <c r="F716" s="25" t="s">
        <v>895</v>
      </c>
      <c r="G716" s="59" t="s">
        <v>971</v>
      </c>
      <c r="H716" s="60">
        <v>86.84</v>
      </c>
      <c r="I716" s="60">
        <v>78.31</v>
      </c>
      <c r="J716" s="60">
        <v>56.04</v>
      </c>
      <c r="K716" s="60">
        <v>0</v>
      </c>
      <c r="L716" s="60">
        <v>0</v>
      </c>
      <c r="M716" s="60">
        <v>0</v>
      </c>
      <c r="N716" s="60">
        <v>0</v>
      </c>
      <c r="O716" s="60">
        <v>0</v>
      </c>
      <c r="P716" s="60">
        <v>0</v>
      </c>
      <c r="Q716" s="60">
        <v>0</v>
      </c>
      <c r="R716" s="60">
        <v>0</v>
      </c>
      <c r="S716" s="60">
        <v>0</v>
      </c>
      <c r="T716" s="60">
        <v>0</v>
      </c>
      <c r="U716" s="60">
        <v>0</v>
      </c>
      <c r="V716" s="60">
        <v>0</v>
      </c>
      <c r="W716" s="60">
        <v>0</v>
      </c>
      <c r="X716" s="60">
        <v>0</v>
      </c>
      <c r="Y716" s="60">
        <v>0</v>
      </c>
      <c r="Z716" s="60">
        <v>0</v>
      </c>
      <c r="AA716" s="60">
        <v>0</v>
      </c>
      <c r="AB716" s="60">
        <v>0</v>
      </c>
      <c r="AC716" s="60">
        <v>0</v>
      </c>
      <c r="AD716" s="60">
        <v>0</v>
      </c>
      <c r="AE716" s="60">
        <v>0</v>
      </c>
      <c r="AF716" s="60">
        <v>0</v>
      </c>
      <c r="AG716" s="60">
        <v>0</v>
      </c>
      <c r="AH716" s="60">
        <v>0</v>
      </c>
      <c r="AI716" s="60">
        <v>86.84</v>
      </c>
      <c r="AJ716" s="60">
        <v>78.31</v>
      </c>
      <c r="AK716" s="60">
        <v>56.04</v>
      </c>
      <c r="AL716" s="60">
        <v>0</v>
      </c>
      <c r="AM716" s="60">
        <v>0</v>
      </c>
      <c r="AN716" s="60">
        <v>0</v>
      </c>
      <c r="AO716" s="60">
        <v>86.84</v>
      </c>
      <c r="AP716" s="60">
        <v>78.31</v>
      </c>
      <c r="AQ716" s="60">
        <v>56.04</v>
      </c>
      <c r="AR716" s="61">
        <v>86.84</v>
      </c>
    </row>
    <row r="717" spans="1:44" x14ac:dyDescent="0.35">
      <c r="A717" s="49" t="str">
        <f t="shared" si="61"/>
        <v>19</v>
      </c>
      <c r="B717" s="27">
        <v>75309</v>
      </c>
      <c r="C717" s="25" t="str">
        <f t="shared" si="60"/>
        <v>0000000</v>
      </c>
      <c r="D717" s="26" t="s">
        <v>3663</v>
      </c>
      <c r="E717" s="25" t="s">
        <v>1168</v>
      </c>
      <c r="F717" s="25" t="s">
        <v>895</v>
      </c>
      <c r="G717" s="59" t="s">
        <v>1169</v>
      </c>
      <c r="H717" s="60">
        <v>966.02</v>
      </c>
      <c r="I717" s="60">
        <v>890.81</v>
      </c>
      <c r="J717" s="60">
        <v>835.42</v>
      </c>
      <c r="K717" s="60">
        <v>0</v>
      </c>
      <c r="L717" s="60">
        <v>0</v>
      </c>
      <c r="M717" s="60">
        <v>0</v>
      </c>
      <c r="N717" s="60">
        <v>0</v>
      </c>
      <c r="O717" s="60">
        <v>0</v>
      </c>
      <c r="P717" s="60">
        <v>0</v>
      </c>
      <c r="Q717" s="60">
        <v>0</v>
      </c>
      <c r="R717" s="60">
        <v>0</v>
      </c>
      <c r="S717" s="60">
        <v>0</v>
      </c>
      <c r="T717" s="60">
        <v>0</v>
      </c>
      <c r="U717" s="60">
        <v>0</v>
      </c>
      <c r="V717" s="60">
        <v>0</v>
      </c>
      <c r="W717" s="60">
        <v>0</v>
      </c>
      <c r="X717" s="60">
        <v>0</v>
      </c>
      <c r="Y717" s="60">
        <v>0</v>
      </c>
      <c r="Z717" s="60">
        <v>0</v>
      </c>
      <c r="AA717" s="60">
        <v>0</v>
      </c>
      <c r="AB717" s="60">
        <v>0</v>
      </c>
      <c r="AC717" s="60">
        <v>120.02</v>
      </c>
      <c r="AD717" s="60">
        <v>108.09</v>
      </c>
      <c r="AE717" s="60">
        <v>315.52</v>
      </c>
      <c r="AF717" s="60">
        <v>0</v>
      </c>
      <c r="AG717" s="60">
        <v>0</v>
      </c>
      <c r="AH717" s="60">
        <v>0</v>
      </c>
      <c r="AI717" s="60">
        <v>1086.04</v>
      </c>
      <c r="AJ717" s="60">
        <v>998.9</v>
      </c>
      <c r="AK717" s="60">
        <v>1150.94</v>
      </c>
      <c r="AL717" s="60">
        <v>0</v>
      </c>
      <c r="AM717" s="60">
        <v>0</v>
      </c>
      <c r="AN717" s="60">
        <v>-198.37</v>
      </c>
      <c r="AO717" s="60">
        <v>1086.04</v>
      </c>
      <c r="AP717" s="60">
        <v>998.9</v>
      </c>
      <c r="AQ717" s="60">
        <v>952.57</v>
      </c>
      <c r="AR717" s="61">
        <v>1086.04</v>
      </c>
    </row>
    <row r="718" spans="1:44" x14ac:dyDescent="0.35">
      <c r="A718" s="49" t="str">
        <f t="shared" si="61"/>
        <v>19</v>
      </c>
      <c r="B718" s="27">
        <v>64212</v>
      </c>
      <c r="C718" s="25" t="str">
        <f t="shared" si="60"/>
        <v>0000000</v>
      </c>
      <c r="D718" s="26" t="s">
        <v>3663</v>
      </c>
      <c r="E718" s="25" t="s">
        <v>892</v>
      </c>
      <c r="F718" s="25" t="s">
        <v>893</v>
      </c>
      <c r="G718" s="59" t="s">
        <v>893</v>
      </c>
      <c r="H718" s="60">
        <v>17170.09</v>
      </c>
      <c r="I718" s="60">
        <v>17357.490000000002</v>
      </c>
      <c r="J718" s="60">
        <v>17556.64</v>
      </c>
      <c r="K718" s="60">
        <v>0</v>
      </c>
      <c r="L718" s="60">
        <v>0</v>
      </c>
      <c r="M718" s="60">
        <v>0</v>
      </c>
      <c r="N718" s="60">
        <v>0</v>
      </c>
      <c r="O718" s="60">
        <v>0</v>
      </c>
      <c r="P718" s="60">
        <v>0</v>
      </c>
      <c r="Q718" s="60">
        <v>0</v>
      </c>
      <c r="R718" s="60">
        <v>0</v>
      </c>
      <c r="S718" s="60">
        <v>0</v>
      </c>
      <c r="T718" s="60">
        <v>8.36</v>
      </c>
      <c r="U718" s="60">
        <v>7.79</v>
      </c>
      <c r="V718" s="60">
        <v>7.06</v>
      </c>
      <c r="W718" s="60">
        <v>5.67</v>
      </c>
      <c r="X718" s="60">
        <v>3.72</v>
      </c>
      <c r="Y718" s="60">
        <v>2.5499999999999998</v>
      </c>
      <c r="Z718" s="60">
        <v>0</v>
      </c>
      <c r="AA718" s="60">
        <v>0</v>
      </c>
      <c r="AB718" s="60">
        <v>0</v>
      </c>
      <c r="AC718" s="60">
        <v>0</v>
      </c>
      <c r="AD718" s="60">
        <v>0</v>
      </c>
      <c r="AE718" s="60">
        <v>0</v>
      </c>
      <c r="AF718" s="60">
        <v>0</v>
      </c>
      <c r="AG718" s="60">
        <v>0</v>
      </c>
      <c r="AH718" s="60">
        <v>0</v>
      </c>
      <c r="AI718" s="60">
        <v>17184.12</v>
      </c>
      <c r="AJ718" s="60">
        <v>17369</v>
      </c>
      <c r="AK718" s="60">
        <v>17566.25</v>
      </c>
      <c r="AL718" s="60">
        <v>0</v>
      </c>
      <c r="AM718" s="60">
        <v>0</v>
      </c>
      <c r="AN718" s="60">
        <v>0</v>
      </c>
      <c r="AO718" s="60">
        <v>17184.12</v>
      </c>
      <c r="AP718" s="60">
        <v>17369</v>
      </c>
      <c r="AQ718" s="60">
        <v>17566.25</v>
      </c>
      <c r="AR718" s="61">
        <v>17566.25</v>
      </c>
    </row>
    <row r="719" spans="1:44" x14ac:dyDescent="0.35">
      <c r="A719" s="49" t="str">
        <f t="shared" si="61"/>
        <v>19</v>
      </c>
      <c r="B719" s="27">
        <v>64303</v>
      </c>
      <c r="C719" s="25" t="str">
        <f t="shared" si="60"/>
        <v>0000000</v>
      </c>
      <c r="D719" s="26" t="s">
        <v>3663</v>
      </c>
      <c r="E719" s="25" t="s">
        <v>916</v>
      </c>
      <c r="F719" s="25" t="s">
        <v>917</v>
      </c>
      <c r="G719" s="59" t="s">
        <v>917</v>
      </c>
      <c r="H719" s="60">
        <v>9199.0300000000007</v>
      </c>
      <c r="I719" s="60">
        <v>9301.86</v>
      </c>
      <c r="J719" s="60">
        <v>9362.18</v>
      </c>
      <c r="K719" s="60">
        <v>0</v>
      </c>
      <c r="L719" s="60">
        <v>0</v>
      </c>
      <c r="M719" s="60">
        <v>0</v>
      </c>
      <c r="N719" s="60">
        <v>0</v>
      </c>
      <c r="O719" s="60">
        <v>0</v>
      </c>
      <c r="P719" s="60">
        <v>0</v>
      </c>
      <c r="Q719" s="60">
        <v>0</v>
      </c>
      <c r="R719" s="60">
        <v>0</v>
      </c>
      <c r="S719" s="60">
        <v>0</v>
      </c>
      <c r="T719" s="60">
        <v>14.94</v>
      </c>
      <c r="U719" s="60">
        <v>14.28</v>
      </c>
      <c r="V719" s="60">
        <v>12.81</v>
      </c>
      <c r="W719" s="60">
        <v>14.32</v>
      </c>
      <c r="X719" s="60">
        <v>10.44</v>
      </c>
      <c r="Y719" s="60">
        <v>9.65</v>
      </c>
      <c r="Z719" s="60">
        <v>0</v>
      </c>
      <c r="AA719" s="60">
        <v>0</v>
      </c>
      <c r="AB719" s="60">
        <v>0</v>
      </c>
      <c r="AC719" s="60">
        <v>0</v>
      </c>
      <c r="AD719" s="60">
        <v>0</v>
      </c>
      <c r="AE719" s="60">
        <v>0</v>
      </c>
      <c r="AF719" s="60">
        <v>0</v>
      </c>
      <c r="AG719" s="60">
        <v>0</v>
      </c>
      <c r="AH719" s="60">
        <v>0</v>
      </c>
      <c r="AI719" s="60">
        <v>9228.2900000000009</v>
      </c>
      <c r="AJ719" s="60">
        <v>9326.58</v>
      </c>
      <c r="AK719" s="60">
        <v>9384.64</v>
      </c>
      <c r="AL719" s="60">
        <v>0</v>
      </c>
      <c r="AM719" s="60">
        <v>0</v>
      </c>
      <c r="AN719" s="60">
        <v>0</v>
      </c>
      <c r="AO719" s="60">
        <v>9228.2900000000009</v>
      </c>
      <c r="AP719" s="60">
        <v>9326.58</v>
      </c>
      <c r="AQ719" s="60">
        <v>9384.64</v>
      </c>
      <c r="AR719" s="61">
        <v>9384.64</v>
      </c>
    </row>
    <row r="720" spans="1:44" x14ac:dyDescent="0.35">
      <c r="A720" s="49" t="str">
        <f t="shared" si="61"/>
        <v>19</v>
      </c>
      <c r="B720" s="27">
        <v>64774</v>
      </c>
      <c r="C720" s="25" t="str">
        <f t="shared" si="60"/>
        <v>0000000</v>
      </c>
      <c r="D720" s="26" t="s">
        <v>3663</v>
      </c>
      <c r="E720" s="25" t="s">
        <v>1059</v>
      </c>
      <c r="F720" s="25" t="s">
        <v>917</v>
      </c>
      <c r="G720" s="59" t="s">
        <v>1060</v>
      </c>
      <c r="H720" s="60">
        <v>10316.1</v>
      </c>
      <c r="I720" s="60">
        <v>10638.44</v>
      </c>
      <c r="J720" s="60">
        <v>10175.35</v>
      </c>
      <c r="K720" s="60">
        <v>0</v>
      </c>
      <c r="L720" s="60">
        <v>0</v>
      </c>
      <c r="M720" s="60">
        <v>0</v>
      </c>
      <c r="N720" s="60">
        <v>0</v>
      </c>
      <c r="O720" s="60">
        <v>0</v>
      </c>
      <c r="P720" s="60">
        <v>0</v>
      </c>
      <c r="Q720" s="60">
        <v>0</v>
      </c>
      <c r="R720" s="60">
        <v>0</v>
      </c>
      <c r="S720" s="60">
        <v>0</v>
      </c>
      <c r="T720" s="60">
        <v>0</v>
      </c>
      <c r="U720" s="60">
        <v>0</v>
      </c>
      <c r="V720" s="60">
        <v>0</v>
      </c>
      <c r="W720" s="60">
        <v>0</v>
      </c>
      <c r="X720" s="60">
        <v>0</v>
      </c>
      <c r="Y720" s="60">
        <v>0</v>
      </c>
      <c r="Z720" s="60">
        <v>0</v>
      </c>
      <c r="AA720" s="60">
        <v>0</v>
      </c>
      <c r="AB720" s="60">
        <v>0</v>
      </c>
      <c r="AC720" s="60">
        <v>0</v>
      </c>
      <c r="AD720" s="60">
        <v>0</v>
      </c>
      <c r="AE720" s="60">
        <v>0</v>
      </c>
      <c r="AF720" s="60">
        <v>0</v>
      </c>
      <c r="AG720" s="60">
        <v>0</v>
      </c>
      <c r="AH720" s="60">
        <v>0</v>
      </c>
      <c r="AI720" s="60">
        <v>10316.1</v>
      </c>
      <c r="AJ720" s="60">
        <v>10638.44</v>
      </c>
      <c r="AK720" s="60">
        <v>10175.35</v>
      </c>
      <c r="AL720" s="60">
        <v>0</v>
      </c>
      <c r="AM720" s="60">
        <v>0</v>
      </c>
      <c r="AN720" s="60">
        <v>0</v>
      </c>
      <c r="AO720" s="60">
        <v>10316.1</v>
      </c>
      <c r="AP720" s="60">
        <v>10638.44</v>
      </c>
      <c r="AQ720" s="60">
        <v>10175.35</v>
      </c>
      <c r="AR720" s="61">
        <v>10638.44</v>
      </c>
    </row>
    <row r="721" spans="1:44" x14ac:dyDescent="0.35">
      <c r="A721" s="49" t="str">
        <f t="shared" si="61"/>
        <v>19</v>
      </c>
      <c r="B721" s="27">
        <v>64873</v>
      </c>
      <c r="C721" s="25" t="str">
        <f t="shared" si="60"/>
        <v>0000000</v>
      </c>
      <c r="D721" s="26" t="s">
        <v>3663</v>
      </c>
      <c r="E721" s="25" t="s">
        <v>1078</v>
      </c>
      <c r="F721" s="25" t="s">
        <v>917</v>
      </c>
      <c r="G721" s="59" t="s">
        <v>1079</v>
      </c>
      <c r="H721" s="60">
        <v>11156.01</v>
      </c>
      <c r="I721" s="60">
        <v>11749.78</v>
      </c>
      <c r="J721" s="60">
        <v>11702.8</v>
      </c>
      <c r="K721" s="60">
        <v>0</v>
      </c>
      <c r="L721" s="60">
        <v>0</v>
      </c>
      <c r="M721" s="60">
        <v>0</v>
      </c>
      <c r="N721" s="60">
        <v>0</v>
      </c>
      <c r="O721" s="60">
        <v>0</v>
      </c>
      <c r="P721" s="60">
        <v>0</v>
      </c>
      <c r="Q721" s="60">
        <v>0</v>
      </c>
      <c r="R721" s="60">
        <v>0</v>
      </c>
      <c r="S721" s="60">
        <v>0</v>
      </c>
      <c r="T721" s="60">
        <v>0</v>
      </c>
      <c r="U721" s="60">
        <v>0</v>
      </c>
      <c r="V721" s="60">
        <v>0</v>
      </c>
      <c r="W721" s="60">
        <v>0</v>
      </c>
      <c r="X721" s="60">
        <v>0</v>
      </c>
      <c r="Y721" s="60">
        <v>0</v>
      </c>
      <c r="Z721" s="60">
        <v>0</v>
      </c>
      <c r="AA721" s="60">
        <v>0</v>
      </c>
      <c r="AB721" s="60">
        <v>0</v>
      </c>
      <c r="AC721" s="60">
        <v>0</v>
      </c>
      <c r="AD721" s="60">
        <v>0</v>
      </c>
      <c r="AE721" s="60">
        <v>0</v>
      </c>
      <c r="AF721" s="60">
        <v>0</v>
      </c>
      <c r="AG721" s="60">
        <v>0</v>
      </c>
      <c r="AH721" s="60">
        <v>0</v>
      </c>
      <c r="AI721" s="60">
        <v>11156.01</v>
      </c>
      <c r="AJ721" s="60">
        <v>11749.78</v>
      </c>
      <c r="AK721" s="60">
        <v>11702.8</v>
      </c>
      <c r="AL721" s="60">
        <v>0</v>
      </c>
      <c r="AM721" s="60">
        <v>0</v>
      </c>
      <c r="AN721" s="60">
        <v>0</v>
      </c>
      <c r="AO721" s="60">
        <v>11156.01</v>
      </c>
      <c r="AP721" s="60">
        <v>11749.78</v>
      </c>
      <c r="AQ721" s="60">
        <v>11702.8</v>
      </c>
      <c r="AR721" s="61">
        <v>11749.78</v>
      </c>
    </row>
    <row r="722" spans="1:44" x14ac:dyDescent="0.35">
      <c r="A722" s="49" t="str">
        <f t="shared" si="61"/>
        <v>19</v>
      </c>
      <c r="B722" s="27">
        <v>64907</v>
      </c>
      <c r="C722" s="25" t="str">
        <f t="shared" si="60"/>
        <v>0000000</v>
      </c>
      <c r="D722" s="26" t="s">
        <v>3663</v>
      </c>
      <c r="E722" s="25" t="s">
        <v>1093</v>
      </c>
      <c r="F722" s="25" t="s">
        <v>1094</v>
      </c>
      <c r="G722" s="59" t="s">
        <v>1094</v>
      </c>
      <c r="H722" s="60">
        <v>17971.98</v>
      </c>
      <c r="I722" s="60">
        <v>18163.32</v>
      </c>
      <c r="J722" s="60">
        <v>18486.310000000001</v>
      </c>
      <c r="K722" s="60">
        <v>0</v>
      </c>
      <c r="L722" s="60">
        <v>0</v>
      </c>
      <c r="M722" s="60">
        <v>0</v>
      </c>
      <c r="N722" s="60">
        <v>0</v>
      </c>
      <c r="O722" s="60">
        <v>0</v>
      </c>
      <c r="P722" s="60">
        <v>0</v>
      </c>
      <c r="Q722" s="60">
        <v>0</v>
      </c>
      <c r="R722" s="60">
        <v>0</v>
      </c>
      <c r="S722" s="60">
        <v>0</v>
      </c>
      <c r="T722" s="60">
        <v>9.42</v>
      </c>
      <c r="U722" s="60">
        <v>8.69</v>
      </c>
      <c r="V722" s="60">
        <v>7.82</v>
      </c>
      <c r="W722" s="60">
        <v>107.18</v>
      </c>
      <c r="X722" s="60">
        <v>107.07</v>
      </c>
      <c r="Y722" s="60">
        <v>102.86</v>
      </c>
      <c r="Z722" s="60">
        <v>0</v>
      </c>
      <c r="AA722" s="60">
        <v>0</v>
      </c>
      <c r="AB722" s="60">
        <v>0</v>
      </c>
      <c r="AC722" s="60">
        <v>1361.9</v>
      </c>
      <c r="AD722" s="60">
        <v>1197.27</v>
      </c>
      <c r="AE722" s="60">
        <v>946.85</v>
      </c>
      <c r="AF722" s="60">
        <v>0</v>
      </c>
      <c r="AG722" s="60">
        <v>0</v>
      </c>
      <c r="AH722" s="60">
        <v>0</v>
      </c>
      <c r="AI722" s="60">
        <v>19450.48</v>
      </c>
      <c r="AJ722" s="60">
        <v>19476.349999999999</v>
      </c>
      <c r="AK722" s="60">
        <v>19543.84</v>
      </c>
      <c r="AL722" s="60">
        <v>0</v>
      </c>
      <c r="AM722" s="60">
        <v>0</v>
      </c>
      <c r="AN722" s="60">
        <v>0</v>
      </c>
      <c r="AO722" s="60">
        <v>19450.48</v>
      </c>
      <c r="AP722" s="60">
        <v>19476.349999999999</v>
      </c>
      <c r="AQ722" s="60">
        <v>19543.84</v>
      </c>
      <c r="AR722" s="61">
        <v>19543.84</v>
      </c>
    </row>
    <row r="723" spans="1:44" x14ac:dyDescent="0.35">
      <c r="A723" s="49" t="str">
        <f t="shared" si="61"/>
        <v>19</v>
      </c>
      <c r="B723" s="27">
        <v>65136</v>
      </c>
      <c r="C723" s="25" t="str">
        <f t="shared" si="60"/>
        <v>0000000</v>
      </c>
      <c r="D723" s="26" t="s">
        <v>3663</v>
      </c>
      <c r="E723" s="25" t="s">
        <v>928</v>
      </c>
      <c r="F723" s="25" t="s">
        <v>929</v>
      </c>
      <c r="G723" s="59" t="s">
        <v>929</v>
      </c>
      <c r="H723" s="60">
        <v>19467.04</v>
      </c>
      <c r="I723" s="60">
        <v>19593.47</v>
      </c>
      <c r="J723" s="60">
        <v>20067.05</v>
      </c>
      <c r="K723" s="60">
        <v>0</v>
      </c>
      <c r="L723" s="60">
        <v>0</v>
      </c>
      <c r="M723" s="60">
        <v>0</v>
      </c>
      <c r="N723" s="60">
        <v>0</v>
      </c>
      <c r="O723" s="60">
        <v>0</v>
      </c>
      <c r="P723" s="60">
        <v>0</v>
      </c>
      <c r="Q723" s="60">
        <v>0</v>
      </c>
      <c r="R723" s="60">
        <v>0</v>
      </c>
      <c r="S723" s="60">
        <v>0</v>
      </c>
      <c r="T723" s="60">
        <v>19.86</v>
      </c>
      <c r="U723" s="60">
        <v>18.190000000000001</v>
      </c>
      <c r="V723" s="60">
        <v>16.489999999999998</v>
      </c>
      <c r="W723" s="60">
        <v>20.85</v>
      </c>
      <c r="X723" s="60">
        <v>24.55</v>
      </c>
      <c r="Y723" s="60">
        <v>21.62</v>
      </c>
      <c r="Z723" s="60">
        <v>0</v>
      </c>
      <c r="AA723" s="60">
        <v>0</v>
      </c>
      <c r="AB723" s="60">
        <v>0</v>
      </c>
      <c r="AC723" s="60">
        <v>0</v>
      </c>
      <c r="AD723" s="60">
        <v>0</v>
      </c>
      <c r="AE723" s="60">
        <v>0</v>
      </c>
      <c r="AF723" s="60">
        <v>0</v>
      </c>
      <c r="AG723" s="60">
        <v>0</v>
      </c>
      <c r="AH723" s="60">
        <v>0</v>
      </c>
      <c r="AI723" s="60">
        <v>19507.75</v>
      </c>
      <c r="AJ723" s="60">
        <v>19636.21</v>
      </c>
      <c r="AK723" s="60">
        <v>20105.16</v>
      </c>
      <c r="AL723" s="60">
        <v>0</v>
      </c>
      <c r="AM723" s="60">
        <v>0</v>
      </c>
      <c r="AN723" s="60">
        <v>0</v>
      </c>
      <c r="AO723" s="60">
        <v>19507.75</v>
      </c>
      <c r="AP723" s="60">
        <v>19636.21</v>
      </c>
      <c r="AQ723" s="60">
        <v>20105.16</v>
      </c>
      <c r="AR723" s="61">
        <v>20105.16</v>
      </c>
    </row>
    <row r="724" spans="1:44" x14ac:dyDescent="0.35">
      <c r="A724" s="49" t="str">
        <f t="shared" si="61"/>
        <v>19</v>
      </c>
      <c r="B724" s="27">
        <v>64345</v>
      </c>
      <c r="C724" s="25" t="str">
        <f t="shared" si="60"/>
        <v>0000000</v>
      </c>
      <c r="D724" s="26" t="s">
        <v>3663</v>
      </c>
      <c r="E724" s="25" t="s">
        <v>930</v>
      </c>
      <c r="F724" s="25" t="s">
        <v>929</v>
      </c>
      <c r="G724" s="59" t="s">
        <v>931</v>
      </c>
      <c r="H724" s="60">
        <v>1836.14</v>
      </c>
      <c r="I724" s="60">
        <v>1763.03</v>
      </c>
      <c r="J724" s="60">
        <v>1766.28</v>
      </c>
      <c r="K724" s="60">
        <v>0</v>
      </c>
      <c r="L724" s="60">
        <v>0</v>
      </c>
      <c r="M724" s="60">
        <v>0</v>
      </c>
      <c r="N724" s="60">
        <v>0</v>
      </c>
      <c r="O724" s="60">
        <v>0</v>
      </c>
      <c r="P724" s="60">
        <v>0</v>
      </c>
      <c r="Q724" s="60">
        <v>0</v>
      </c>
      <c r="R724" s="60">
        <v>0</v>
      </c>
      <c r="S724" s="60">
        <v>0</v>
      </c>
      <c r="T724" s="60">
        <v>0</v>
      </c>
      <c r="U724" s="60">
        <v>0</v>
      </c>
      <c r="V724" s="60">
        <v>0</v>
      </c>
      <c r="W724" s="60">
        <v>0</v>
      </c>
      <c r="X724" s="60">
        <v>0</v>
      </c>
      <c r="Y724" s="60">
        <v>0</v>
      </c>
      <c r="Z724" s="60">
        <v>0</v>
      </c>
      <c r="AA724" s="60">
        <v>0</v>
      </c>
      <c r="AB724" s="60">
        <v>0</v>
      </c>
      <c r="AC724" s="60">
        <v>0</v>
      </c>
      <c r="AD724" s="60">
        <v>0</v>
      </c>
      <c r="AE724" s="60">
        <v>0</v>
      </c>
      <c r="AF724" s="60">
        <v>0</v>
      </c>
      <c r="AG724" s="60">
        <v>0</v>
      </c>
      <c r="AH724" s="60">
        <v>0</v>
      </c>
      <c r="AI724" s="60">
        <v>1836.14</v>
      </c>
      <c r="AJ724" s="60">
        <v>1763.03</v>
      </c>
      <c r="AK724" s="60">
        <v>1766.28</v>
      </c>
      <c r="AL724" s="60">
        <v>0</v>
      </c>
      <c r="AM724" s="60">
        <v>0</v>
      </c>
      <c r="AN724" s="60">
        <v>0</v>
      </c>
      <c r="AO724" s="60">
        <v>1836.14</v>
      </c>
      <c r="AP724" s="60">
        <v>1763.03</v>
      </c>
      <c r="AQ724" s="60">
        <v>1766.28</v>
      </c>
      <c r="AR724" s="61">
        <v>1836.14</v>
      </c>
    </row>
    <row r="725" spans="1:44" x14ac:dyDescent="0.35">
      <c r="A725" s="49" t="str">
        <f t="shared" si="61"/>
        <v>19</v>
      </c>
      <c r="B725" s="27">
        <v>64832</v>
      </c>
      <c r="C725" s="25" t="str">
        <f t="shared" si="60"/>
        <v>0000000</v>
      </c>
      <c r="D725" s="26" t="s">
        <v>3663</v>
      </c>
      <c r="E725" s="25" t="s">
        <v>1067</v>
      </c>
      <c r="F725" s="25" t="s">
        <v>929</v>
      </c>
      <c r="G725" s="59" t="s">
        <v>1068</v>
      </c>
      <c r="H725" s="60">
        <v>5665.84</v>
      </c>
      <c r="I725" s="60">
        <v>5601.11</v>
      </c>
      <c r="J725" s="60">
        <v>5551.52</v>
      </c>
      <c r="K725" s="60">
        <v>0</v>
      </c>
      <c r="L725" s="60">
        <v>0</v>
      </c>
      <c r="M725" s="60">
        <v>0</v>
      </c>
      <c r="N725" s="60">
        <v>0</v>
      </c>
      <c r="O725" s="60">
        <v>0</v>
      </c>
      <c r="P725" s="60">
        <v>0</v>
      </c>
      <c r="Q725" s="60">
        <v>0</v>
      </c>
      <c r="R725" s="60">
        <v>0</v>
      </c>
      <c r="S725" s="60">
        <v>0</v>
      </c>
      <c r="T725" s="60">
        <v>0</v>
      </c>
      <c r="U725" s="60">
        <v>0</v>
      </c>
      <c r="V725" s="60">
        <v>0</v>
      </c>
      <c r="W725" s="60">
        <v>0</v>
      </c>
      <c r="X725" s="60">
        <v>0</v>
      </c>
      <c r="Y725" s="60">
        <v>0</v>
      </c>
      <c r="Z725" s="60">
        <v>0</v>
      </c>
      <c r="AA725" s="60">
        <v>0</v>
      </c>
      <c r="AB725" s="60">
        <v>0</v>
      </c>
      <c r="AC725" s="60">
        <v>0</v>
      </c>
      <c r="AD725" s="60">
        <v>0</v>
      </c>
      <c r="AE725" s="60">
        <v>0</v>
      </c>
      <c r="AF725" s="60">
        <v>0</v>
      </c>
      <c r="AG725" s="60">
        <v>0</v>
      </c>
      <c r="AH725" s="60">
        <v>0</v>
      </c>
      <c r="AI725" s="60">
        <v>5665.84</v>
      </c>
      <c r="AJ725" s="60">
        <v>5601.11</v>
      </c>
      <c r="AK725" s="60">
        <v>5551.52</v>
      </c>
      <c r="AL725" s="60">
        <v>0</v>
      </c>
      <c r="AM725" s="60">
        <v>0</v>
      </c>
      <c r="AN725" s="60">
        <v>0</v>
      </c>
      <c r="AO725" s="60">
        <v>5665.84</v>
      </c>
      <c r="AP725" s="60">
        <v>5601.11</v>
      </c>
      <c r="AQ725" s="60">
        <v>5551.52</v>
      </c>
      <c r="AR725" s="61">
        <v>5665.84</v>
      </c>
    </row>
    <row r="726" spans="1:44" x14ac:dyDescent="0.35">
      <c r="A726" s="49" t="str">
        <f t="shared" si="61"/>
        <v>19</v>
      </c>
      <c r="B726" s="27">
        <v>65045</v>
      </c>
      <c r="C726" s="25" t="str">
        <f t="shared" si="60"/>
        <v>0000000</v>
      </c>
      <c r="D726" s="26" t="s">
        <v>3663</v>
      </c>
      <c r="E726" s="25" t="s">
        <v>1110</v>
      </c>
      <c r="F726" s="25" t="s">
        <v>929</v>
      </c>
      <c r="G726" s="59" t="s">
        <v>1111</v>
      </c>
      <c r="H726" s="60">
        <v>4950.09</v>
      </c>
      <c r="I726" s="60">
        <v>4896.1000000000004</v>
      </c>
      <c r="J726" s="60">
        <v>4824.76</v>
      </c>
      <c r="K726" s="60">
        <v>0</v>
      </c>
      <c r="L726" s="60">
        <v>0</v>
      </c>
      <c r="M726" s="60">
        <v>0</v>
      </c>
      <c r="N726" s="60">
        <v>0</v>
      </c>
      <c r="O726" s="60">
        <v>0</v>
      </c>
      <c r="P726" s="60">
        <v>0</v>
      </c>
      <c r="Q726" s="60">
        <v>0</v>
      </c>
      <c r="R726" s="60">
        <v>0</v>
      </c>
      <c r="S726" s="60">
        <v>0</v>
      </c>
      <c r="T726" s="60">
        <v>0</v>
      </c>
      <c r="U726" s="60">
        <v>0</v>
      </c>
      <c r="V726" s="60">
        <v>0</v>
      </c>
      <c r="W726" s="60">
        <v>0</v>
      </c>
      <c r="X726" s="60">
        <v>0</v>
      </c>
      <c r="Y726" s="60">
        <v>0</v>
      </c>
      <c r="Z726" s="60">
        <v>0</v>
      </c>
      <c r="AA726" s="60">
        <v>0</v>
      </c>
      <c r="AB726" s="60">
        <v>0</v>
      </c>
      <c r="AC726" s="60">
        <v>0</v>
      </c>
      <c r="AD726" s="60">
        <v>0</v>
      </c>
      <c r="AE726" s="60">
        <v>0</v>
      </c>
      <c r="AF726" s="60">
        <v>0</v>
      </c>
      <c r="AG726" s="60">
        <v>0</v>
      </c>
      <c r="AH726" s="60">
        <v>0</v>
      </c>
      <c r="AI726" s="60">
        <v>4950.09</v>
      </c>
      <c r="AJ726" s="60">
        <v>4896.1000000000004</v>
      </c>
      <c r="AK726" s="60">
        <v>4824.76</v>
      </c>
      <c r="AL726" s="60">
        <v>0</v>
      </c>
      <c r="AM726" s="60">
        <v>0</v>
      </c>
      <c r="AN726" s="60">
        <v>0</v>
      </c>
      <c r="AO726" s="60">
        <v>4950.09</v>
      </c>
      <c r="AP726" s="60">
        <v>4896.1000000000004</v>
      </c>
      <c r="AQ726" s="60">
        <v>4824.76</v>
      </c>
      <c r="AR726" s="61">
        <v>4950.09</v>
      </c>
    </row>
    <row r="727" spans="1:44" x14ac:dyDescent="0.35">
      <c r="A727" s="49" t="str">
        <f t="shared" si="61"/>
        <v>19</v>
      </c>
      <c r="B727" s="27">
        <v>64998</v>
      </c>
      <c r="C727" s="25" t="str">
        <f t="shared" si="60"/>
        <v>0000000</v>
      </c>
      <c r="D727" s="26" t="s">
        <v>3663</v>
      </c>
      <c r="E727" s="25" t="s">
        <v>1104</v>
      </c>
      <c r="F727" s="25" t="s">
        <v>929</v>
      </c>
      <c r="G727" s="59" t="s">
        <v>1105</v>
      </c>
      <c r="H727" s="60">
        <v>8864.77</v>
      </c>
      <c r="I727" s="60">
        <v>8673.61</v>
      </c>
      <c r="J727" s="60">
        <v>8760.86</v>
      </c>
      <c r="K727" s="60">
        <v>0</v>
      </c>
      <c r="L727" s="60">
        <v>0</v>
      </c>
      <c r="M727" s="60">
        <v>0</v>
      </c>
      <c r="N727" s="60">
        <v>0</v>
      </c>
      <c r="O727" s="60">
        <v>0</v>
      </c>
      <c r="P727" s="60">
        <v>0</v>
      </c>
      <c r="Q727" s="60">
        <v>0</v>
      </c>
      <c r="R727" s="60">
        <v>0</v>
      </c>
      <c r="S727" s="60">
        <v>0</v>
      </c>
      <c r="T727" s="60">
        <v>0</v>
      </c>
      <c r="U727" s="60">
        <v>0</v>
      </c>
      <c r="V727" s="60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60">
        <v>0</v>
      </c>
      <c r="AE727" s="60">
        <v>0</v>
      </c>
      <c r="AF727" s="60">
        <v>0</v>
      </c>
      <c r="AG727" s="60">
        <v>0</v>
      </c>
      <c r="AH727" s="60">
        <v>0</v>
      </c>
      <c r="AI727" s="60">
        <v>8864.77</v>
      </c>
      <c r="AJ727" s="60">
        <v>8673.61</v>
      </c>
      <c r="AK727" s="60">
        <v>8760.86</v>
      </c>
      <c r="AL727" s="60">
        <v>0</v>
      </c>
      <c r="AM727" s="60">
        <v>0</v>
      </c>
      <c r="AN727" s="60">
        <v>0</v>
      </c>
      <c r="AO727" s="60">
        <v>8864.77</v>
      </c>
      <c r="AP727" s="60">
        <v>8673.61</v>
      </c>
      <c r="AQ727" s="60">
        <v>8760.86</v>
      </c>
      <c r="AR727" s="61">
        <v>8864.77</v>
      </c>
    </row>
    <row r="728" spans="1:44" x14ac:dyDescent="0.35">
      <c r="A728" s="49" t="str">
        <f t="shared" si="61"/>
        <v>19</v>
      </c>
      <c r="B728" s="27">
        <v>64691</v>
      </c>
      <c r="C728" s="25" t="str">
        <f t="shared" si="60"/>
        <v>0000000</v>
      </c>
      <c r="D728" s="26" t="s">
        <v>3663</v>
      </c>
      <c r="E728" s="25" t="s">
        <v>932</v>
      </c>
      <c r="F728" s="25" t="s">
        <v>933</v>
      </c>
      <c r="G728" s="59" t="s">
        <v>933</v>
      </c>
      <c r="H728" s="60">
        <v>4151.3500000000004</v>
      </c>
      <c r="I728" s="60">
        <v>4164.95</v>
      </c>
      <c r="J728" s="60">
        <v>4282.59</v>
      </c>
      <c r="K728" s="60">
        <v>0</v>
      </c>
      <c r="L728" s="60">
        <v>0</v>
      </c>
      <c r="M728" s="60">
        <v>0</v>
      </c>
      <c r="N728" s="60">
        <v>0</v>
      </c>
      <c r="O728" s="60">
        <v>0</v>
      </c>
      <c r="P728" s="60">
        <v>0</v>
      </c>
      <c r="Q728" s="60">
        <v>0</v>
      </c>
      <c r="R728" s="60">
        <v>0</v>
      </c>
      <c r="S728" s="60">
        <v>0</v>
      </c>
      <c r="T728" s="60">
        <v>38.29</v>
      </c>
      <c r="U728" s="60">
        <v>36.130000000000003</v>
      </c>
      <c r="V728" s="60">
        <v>32.6</v>
      </c>
      <c r="W728" s="60">
        <v>69.61</v>
      </c>
      <c r="X728" s="60">
        <v>56.39</v>
      </c>
      <c r="Y728" s="60">
        <v>55.51</v>
      </c>
      <c r="Z728" s="60">
        <v>0</v>
      </c>
      <c r="AA728" s="60">
        <v>0</v>
      </c>
      <c r="AB728" s="60">
        <v>0</v>
      </c>
      <c r="AC728" s="60">
        <v>0</v>
      </c>
      <c r="AD728" s="60">
        <v>0</v>
      </c>
      <c r="AE728" s="60">
        <v>0</v>
      </c>
      <c r="AF728" s="60">
        <v>0</v>
      </c>
      <c r="AG728" s="60">
        <v>0</v>
      </c>
      <c r="AH728" s="60">
        <v>0</v>
      </c>
      <c r="AI728" s="60">
        <v>4259.25</v>
      </c>
      <c r="AJ728" s="60">
        <v>4257.47</v>
      </c>
      <c r="AK728" s="60">
        <v>4370.7</v>
      </c>
      <c r="AL728" s="60">
        <v>0</v>
      </c>
      <c r="AM728" s="60">
        <v>0</v>
      </c>
      <c r="AN728" s="60">
        <v>0</v>
      </c>
      <c r="AO728" s="60">
        <v>4259.25</v>
      </c>
      <c r="AP728" s="60">
        <v>4257.47</v>
      </c>
      <c r="AQ728" s="60">
        <v>4370.7</v>
      </c>
      <c r="AR728" s="61">
        <v>4370.7</v>
      </c>
    </row>
    <row r="729" spans="1:44" x14ac:dyDescent="0.35">
      <c r="A729" s="49" t="str">
        <f t="shared" si="61"/>
        <v>19</v>
      </c>
      <c r="B729" s="27">
        <v>64352</v>
      </c>
      <c r="C729" s="25" t="str">
        <f t="shared" si="60"/>
        <v>0000000</v>
      </c>
      <c r="D729" s="26" t="s">
        <v>3663</v>
      </c>
      <c r="E729" s="25" t="s">
        <v>934</v>
      </c>
      <c r="F729" s="25" t="s">
        <v>933</v>
      </c>
      <c r="G729" s="59" t="s">
        <v>935</v>
      </c>
      <c r="H729" s="60">
        <v>5165.54</v>
      </c>
      <c r="I729" s="60">
        <v>5333.08</v>
      </c>
      <c r="J729" s="60">
        <v>5351.05</v>
      </c>
      <c r="K729" s="60">
        <v>0</v>
      </c>
      <c r="L729" s="60">
        <v>0</v>
      </c>
      <c r="M729" s="60">
        <v>0</v>
      </c>
      <c r="N729" s="60">
        <v>0</v>
      </c>
      <c r="O729" s="60">
        <v>0</v>
      </c>
      <c r="P729" s="60">
        <v>0</v>
      </c>
      <c r="Q729" s="60">
        <v>0</v>
      </c>
      <c r="R729" s="60">
        <v>0</v>
      </c>
      <c r="S729" s="60">
        <v>0</v>
      </c>
      <c r="T729" s="60">
        <v>0</v>
      </c>
      <c r="U729" s="60">
        <v>0</v>
      </c>
      <c r="V729" s="60">
        <v>0</v>
      </c>
      <c r="W729" s="60">
        <v>0</v>
      </c>
      <c r="X729" s="60">
        <v>0</v>
      </c>
      <c r="Y729" s="60">
        <v>0</v>
      </c>
      <c r="Z729" s="60">
        <v>0</v>
      </c>
      <c r="AA729" s="60">
        <v>0</v>
      </c>
      <c r="AB729" s="60">
        <v>0</v>
      </c>
      <c r="AC729" s="60">
        <v>0</v>
      </c>
      <c r="AD729" s="60">
        <v>0</v>
      </c>
      <c r="AE729" s="60">
        <v>0</v>
      </c>
      <c r="AF729" s="60">
        <v>0</v>
      </c>
      <c r="AG729" s="60">
        <v>0</v>
      </c>
      <c r="AH729" s="60">
        <v>0</v>
      </c>
      <c r="AI729" s="60">
        <v>5165.54</v>
      </c>
      <c r="AJ729" s="60">
        <v>5333.08</v>
      </c>
      <c r="AK729" s="60">
        <v>5351.05</v>
      </c>
      <c r="AL729" s="60">
        <v>0</v>
      </c>
      <c r="AM729" s="60">
        <v>0</v>
      </c>
      <c r="AN729" s="60">
        <v>0</v>
      </c>
      <c r="AO729" s="60">
        <v>5165.54</v>
      </c>
      <c r="AP729" s="60">
        <v>5333.08</v>
      </c>
      <c r="AQ729" s="60">
        <v>5351.05</v>
      </c>
      <c r="AR729" s="61">
        <v>5351.05</v>
      </c>
    </row>
    <row r="730" spans="1:44" x14ac:dyDescent="0.35">
      <c r="A730" s="49" t="str">
        <f t="shared" si="61"/>
        <v>19</v>
      </c>
      <c r="B730" s="27">
        <v>64535</v>
      </c>
      <c r="C730" s="25" t="str">
        <f t="shared" si="60"/>
        <v>0000000</v>
      </c>
      <c r="D730" s="26" t="s">
        <v>3663</v>
      </c>
      <c r="E730" s="25" t="s">
        <v>964</v>
      </c>
      <c r="F730" s="25" t="s">
        <v>933</v>
      </c>
      <c r="G730" s="59" t="s">
        <v>965</v>
      </c>
      <c r="H730" s="60">
        <v>3397.03</v>
      </c>
      <c r="I730" s="60">
        <v>3328.66</v>
      </c>
      <c r="J730" s="60">
        <v>3306.48</v>
      </c>
      <c r="K730" s="60">
        <v>0</v>
      </c>
      <c r="L730" s="60">
        <v>0</v>
      </c>
      <c r="M730" s="60">
        <v>0</v>
      </c>
      <c r="N730" s="60">
        <v>0</v>
      </c>
      <c r="O730" s="60">
        <v>0</v>
      </c>
      <c r="P730" s="60">
        <v>0</v>
      </c>
      <c r="Q730" s="60">
        <v>0</v>
      </c>
      <c r="R730" s="60">
        <v>0</v>
      </c>
      <c r="S730" s="60">
        <v>0</v>
      </c>
      <c r="T730" s="60">
        <v>0</v>
      </c>
      <c r="U730" s="60">
        <v>0</v>
      </c>
      <c r="V730" s="60">
        <v>0</v>
      </c>
      <c r="W730" s="60">
        <v>0</v>
      </c>
      <c r="X730" s="60">
        <v>0</v>
      </c>
      <c r="Y730" s="60">
        <v>0</v>
      </c>
      <c r="Z730" s="60">
        <v>0</v>
      </c>
      <c r="AA730" s="60">
        <v>0</v>
      </c>
      <c r="AB730" s="60">
        <v>0</v>
      </c>
      <c r="AC730" s="60">
        <v>0</v>
      </c>
      <c r="AD730" s="60">
        <v>0</v>
      </c>
      <c r="AE730" s="60">
        <v>0</v>
      </c>
      <c r="AF730" s="60">
        <v>0</v>
      </c>
      <c r="AG730" s="60">
        <v>0</v>
      </c>
      <c r="AH730" s="60">
        <v>0</v>
      </c>
      <c r="AI730" s="60">
        <v>3397.03</v>
      </c>
      <c r="AJ730" s="60">
        <v>3328.66</v>
      </c>
      <c r="AK730" s="60">
        <v>3306.48</v>
      </c>
      <c r="AL730" s="60">
        <v>0</v>
      </c>
      <c r="AM730" s="60">
        <v>0</v>
      </c>
      <c r="AN730" s="60">
        <v>0</v>
      </c>
      <c r="AO730" s="60">
        <v>3397.03</v>
      </c>
      <c r="AP730" s="60">
        <v>3328.66</v>
      </c>
      <c r="AQ730" s="60">
        <v>3306.48</v>
      </c>
      <c r="AR730" s="61">
        <v>3397.03</v>
      </c>
    </row>
    <row r="731" spans="1:44" x14ac:dyDescent="0.35">
      <c r="A731" s="49" t="str">
        <f t="shared" si="61"/>
        <v>19</v>
      </c>
      <c r="B731" s="27">
        <v>64592</v>
      </c>
      <c r="C731" s="25" t="str">
        <f t="shared" si="60"/>
        <v>0000000</v>
      </c>
      <c r="D731" s="26" t="s">
        <v>3663</v>
      </c>
      <c r="E731" s="25" t="s">
        <v>975</v>
      </c>
      <c r="F731" s="25" t="s">
        <v>933</v>
      </c>
      <c r="G731" s="59" t="s">
        <v>976</v>
      </c>
      <c r="H731" s="60">
        <v>6008.34</v>
      </c>
      <c r="I731" s="60">
        <v>5985.92</v>
      </c>
      <c r="J731" s="60">
        <v>5941.15</v>
      </c>
      <c r="K731" s="60">
        <v>0</v>
      </c>
      <c r="L731" s="60">
        <v>0</v>
      </c>
      <c r="M731" s="60">
        <v>0</v>
      </c>
      <c r="N731" s="60">
        <v>0</v>
      </c>
      <c r="O731" s="60">
        <v>0</v>
      </c>
      <c r="P731" s="60">
        <v>0</v>
      </c>
      <c r="Q731" s="60">
        <v>0</v>
      </c>
      <c r="R731" s="60">
        <v>0</v>
      </c>
      <c r="S731" s="60">
        <v>0</v>
      </c>
      <c r="T731" s="60">
        <v>0</v>
      </c>
      <c r="U731" s="60">
        <v>0</v>
      </c>
      <c r="V731" s="60">
        <v>0</v>
      </c>
      <c r="W731" s="60">
        <v>0</v>
      </c>
      <c r="X731" s="60">
        <v>0</v>
      </c>
      <c r="Y731" s="60">
        <v>0</v>
      </c>
      <c r="Z731" s="60">
        <v>0</v>
      </c>
      <c r="AA731" s="60">
        <v>0</v>
      </c>
      <c r="AB731" s="60">
        <v>0</v>
      </c>
      <c r="AC731" s="60">
        <v>524.89</v>
      </c>
      <c r="AD731" s="60">
        <v>507.77</v>
      </c>
      <c r="AE731" s="60">
        <v>520.29999999999995</v>
      </c>
      <c r="AF731" s="60">
        <v>0</v>
      </c>
      <c r="AG731" s="60">
        <v>0</v>
      </c>
      <c r="AH731" s="60">
        <v>0</v>
      </c>
      <c r="AI731" s="60">
        <v>6533.23</v>
      </c>
      <c r="AJ731" s="60">
        <v>6493.69</v>
      </c>
      <c r="AK731" s="60">
        <v>6461.45</v>
      </c>
      <c r="AL731" s="60">
        <v>0</v>
      </c>
      <c r="AM731" s="60">
        <v>0</v>
      </c>
      <c r="AN731" s="60">
        <v>0</v>
      </c>
      <c r="AO731" s="60">
        <v>6533.23</v>
      </c>
      <c r="AP731" s="60">
        <v>6493.69</v>
      </c>
      <c r="AQ731" s="60">
        <v>6461.45</v>
      </c>
      <c r="AR731" s="61">
        <v>6533.23</v>
      </c>
    </row>
    <row r="732" spans="1:44" x14ac:dyDescent="0.35">
      <c r="A732" s="49" t="str">
        <f t="shared" si="61"/>
        <v>19</v>
      </c>
      <c r="B732" s="27">
        <v>64600</v>
      </c>
      <c r="C732" s="25" t="str">
        <f t="shared" si="60"/>
        <v>0000000</v>
      </c>
      <c r="D732" s="26" t="s">
        <v>3663</v>
      </c>
      <c r="E732" s="25" t="s">
        <v>977</v>
      </c>
      <c r="F732" s="25" t="s">
        <v>933</v>
      </c>
      <c r="G732" s="59" t="s">
        <v>978</v>
      </c>
      <c r="H732" s="60">
        <v>1267.06</v>
      </c>
      <c r="I732" s="60">
        <v>1194.55</v>
      </c>
      <c r="J732" s="60">
        <v>1176.99</v>
      </c>
      <c r="K732" s="60">
        <v>0</v>
      </c>
      <c r="L732" s="60">
        <v>0</v>
      </c>
      <c r="M732" s="60">
        <v>0</v>
      </c>
      <c r="N732" s="60">
        <v>0</v>
      </c>
      <c r="O732" s="60">
        <v>0</v>
      </c>
      <c r="P732" s="60">
        <v>0</v>
      </c>
      <c r="Q732" s="60">
        <v>0</v>
      </c>
      <c r="R732" s="60">
        <v>0</v>
      </c>
      <c r="S732" s="60">
        <v>0</v>
      </c>
      <c r="T732" s="60">
        <v>0</v>
      </c>
      <c r="U732" s="60">
        <v>0</v>
      </c>
      <c r="V732" s="60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60">
        <v>0</v>
      </c>
      <c r="AD732" s="60">
        <v>0</v>
      </c>
      <c r="AE732" s="60">
        <v>0</v>
      </c>
      <c r="AF732" s="60">
        <v>0</v>
      </c>
      <c r="AG732" s="60">
        <v>0</v>
      </c>
      <c r="AH732" s="60">
        <v>0</v>
      </c>
      <c r="AI732" s="60">
        <v>1267.06</v>
      </c>
      <c r="AJ732" s="60">
        <v>1194.55</v>
      </c>
      <c r="AK732" s="60">
        <v>1176.99</v>
      </c>
      <c r="AL732" s="60">
        <v>0</v>
      </c>
      <c r="AM732" s="60">
        <v>0</v>
      </c>
      <c r="AN732" s="60">
        <v>0</v>
      </c>
      <c r="AO732" s="60">
        <v>1267.06</v>
      </c>
      <c r="AP732" s="60">
        <v>1194.55</v>
      </c>
      <c r="AQ732" s="60">
        <v>1176.99</v>
      </c>
      <c r="AR732" s="61">
        <v>1267.06</v>
      </c>
    </row>
    <row r="733" spans="1:44" x14ac:dyDescent="0.35">
      <c r="A733" s="49" t="str">
        <f t="shared" si="61"/>
        <v>19</v>
      </c>
      <c r="B733" s="27">
        <v>64634</v>
      </c>
      <c r="C733" s="25" t="str">
        <f t="shared" si="60"/>
        <v>0000000</v>
      </c>
      <c r="D733" s="26" t="s">
        <v>3663</v>
      </c>
      <c r="E733" s="25" t="s">
        <v>981</v>
      </c>
      <c r="F733" s="25" t="s">
        <v>933</v>
      </c>
      <c r="G733" s="59" t="s">
        <v>982</v>
      </c>
      <c r="H733" s="60">
        <v>5389</v>
      </c>
      <c r="I733" s="60">
        <v>5695.37</v>
      </c>
      <c r="J733" s="60">
        <v>5779.38</v>
      </c>
      <c r="K733" s="60">
        <v>0</v>
      </c>
      <c r="L733" s="60">
        <v>0</v>
      </c>
      <c r="M733" s="60">
        <v>0</v>
      </c>
      <c r="N733" s="60">
        <v>0</v>
      </c>
      <c r="O733" s="60">
        <v>0</v>
      </c>
      <c r="P733" s="60">
        <v>0</v>
      </c>
      <c r="Q733" s="60">
        <v>0</v>
      </c>
      <c r="R733" s="60">
        <v>0</v>
      </c>
      <c r="S733" s="60">
        <v>0</v>
      </c>
      <c r="T733" s="60">
        <v>0</v>
      </c>
      <c r="U733" s="60">
        <v>0</v>
      </c>
      <c r="V733" s="60">
        <v>0</v>
      </c>
      <c r="W733" s="60">
        <v>0</v>
      </c>
      <c r="X733" s="60">
        <v>0</v>
      </c>
      <c r="Y733" s="60">
        <v>0</v>
      </c>
      <c r="Z733" s="60">
        <v>0</v>
      </c>
      <c r="AA733" s="60">
        <v>0</v>
      </c>
      <c r="AB733" s="60">
        <v>0</v>
      </c>
      <c r="AC733" s="60">
        <v>827.53</v>
      </c>
      <c r="AD733" s="60">
        <v>904.83</v>
      </c>
      <c r="AE733" s="60">
        <v>1278.78</v>
      </c>
      <c r="AF733" s="60">
        <v>0</v>
      </c>
      <c r="AG733" s="60">
        <v>0</v>
      </c>
      <c r="AH733" s="60">
        <v>0</v>
      </c>
      <c r="AI733" s="60">
        <v>6216.53</v>
      </c>
      <c r="AJ733" s="60">
        <v>6600.2</v>
      </c>
      <c r="AK733" s="60">
        <v>7058.16</v>
      </c>
      <c r="AL733" s="60">
        <v>0</v>
      </c>
      <c r="AM733" s="60">
        <v>-66.34</v>
      </c>
      <c r="AN733" s="60">
        <v>-424.21</v>
      </c>
      <c r="AO733" s="60">
        <v>6216.53</v>
      </c>
      <c r="AP733" s="60">
        <v>6533.86</v>
      </c>
      <c r="AQ733" s="60">
        <v>6633.95</v>
      </c>
      <c r="AR733" s="61">
        <v>6633.95</v>
      </c>
    </row>
    <row r="734" spans="1:44" x14ac:dyDescent="0.35">
      <c r="A734" s="49" t="str">
        <f t="shared" si="61"/>
        <v>19</v>
      </c>
      <c r="B734" s="27">
        <v>64709</v>
      </c>
      <c r="C734" s="25" t="str">
        <f t="shared" si="60"/>
        <v>0000000</v>
      </c>
      <c r="D734" s="26" t="s">
        <v>3663</v>
      </c>
      <c r="E734" s="25" t="s">
        <v>1013</v>
      </c>
      <c r="F734" s="25" t="s">
        <v>933</v>
      </c>
      <c r="G734" s="59" t="s">
        <v>1014</v>
      </c>
      <c r="H734" s="60">
        <v>3764.39</v>
      </c>
      <c r="I734" s="60">
        <v>3819.64</v>
      </c>
      <c r="J734" s="60">
        <v>3888.09</v>
      </c>
      <c r="K734" s="60">
        <v>0</v>
      </c>
      <c r="L734" s="60">
        <v>0</v>
      </c>
      <c r="M734" s="60">
        <v>0</v>
      </c>
      <c r="N734" s="60">
        <v>0</v>
      </c>
      <c r="O734" s="60">
        <v>0</v>
      </c>
      <c r="P734" s="60">
        <v>0</v>
      </c>
      <c r="Q734" s="60">
        <v>0</v>
      </c>
      <c r="R734" s="60">
        <v>0</v>
      </c>
      <c r="S734" s="60">
        <v>0</v>
      </c>
      <c r="T734" s="60">
        <v>0</v>
      </c>
      <c r="U734" s="60">
        <v>0</v>
      </c>
      <c r="V734" s="60">
        <v>0</v>
      </c>
      <c r="W734" s="60">
        <v>0</v>
      </c>
      <c r="X734" s="60">
        <v>0</v>
      </c>
      <c r="Y734" s="60">
        <v>0</v>
      </c>
      <c r="Z734" s="60">
        <v>0</v>
      </c>
      <c r="AA734" s="60">
        <v>0</v>
      </c>
      <c r="AB734" s="60">
        <v>0</v>
      </c>
      <c r="AC734" s="60">
        <v>0</v>
      </c>
      <c r="AD734" s="60">
        <v>0</v>
      </c>
      <c r="AE734" s="60">
        <v>411.29</v>
      </c>
      <c r="AF734" s="60">
        <v>0</v>
      </c>
      <c r="AG734" s="60">
        <v>0</v>
      </c>
      <c r="AH734" s="60">
        <v>0</v>
      </c>
      <c r="AI734" s="60">
        <v>3764.39</v>
      </c>
      <c r="AJ734" s="60">
        <v>3819.64</v>
      </c>
      <c r="AK734" s="60">
        <v>4299.38</v>
      </c>
      <c r="AL734" s="60">
        <v>0</v>
      </c>
      <c r="AM734" s="60">
        <v>0</v>
      </c>
      <c r="AN734" s="60">
        <v>-411.29</v>
      </c>
      <c r="AO734" s="60">
        <v>3764.39</v>
      </c>
      <c r="AP734" s="60">
        <v>3819.64</v>
      </c>
      <c r="AQ734" s="60">
        <v>3888.09</v>
      </c>
      <c r="AR734" s="61">
        <v>3888.09</v>
      </c>
    </row>
    <row r="735" spans="1:44" x14ac:dyDescent="0.35">
      <c r="A735" s="49" t="str">
        <f t="shared" si="61"/>
        <v>19</v>
      </c>
      <c r="B735" s="27">
        <v>64865</v>
      </c>
      <c r="C735" s="25" t="str">
        <f t="shared" si="60"/>
        <v>0000000</v>
      </c>
      <c r="D735" s="26" t="s">
        <v>3663</v>
      </c>
      <c r="E735" s="25" t="s">
        <v>1076</v>
      </c>
      <c r="F735" s="25" t="s">
        <v>933</v>
      </c>
      <c r="G735" s="59" t="s">
        <v>1077</v>
      </c>
      <c r="H735" s="60">
        <v>9906.2099999999991</v>
      </c>
      <c r="I735" s="60">
        <v>9924.57</v>
      </c>
      <c r="J735" s="60">
        <v>9941.19</v>
      </c>
      <c r="K735" s="60">
        <v>0</v>
      </c>
      <c r="L735" s="60">
        <v>0</v>
      </c>
      <c r="M735" s="60">
        <v>0</v>
      </c>
      <c r="N735" s="60">
        <v>0</v>
      </c>
      <c r="O735" s="60">
        <v>0</v>
      </c>
      <c r="P735" s="60">
        <v>0</v>
      </c>
      <c r="Q735" s="60">
        <v>0</v>
      </c>
      <c r="R735" s="60">
        <v>0</v>
      </c>
      <c r="S735" s="60">
        <v>0</v>
      </c>
      <c r="T735" s="60">
        <v>0</v>
      </c>
      <c r="U735" s="60">
        <v>0</v>
      </c>
      <c r="V735" s="60">
        <v>0</v>
      </c>
      <c r="W735" s="60">
        <v>0</v>
      </c>
      <c r="X735" s="60">
        <v>0</v>
      </c>
      <c r="Y735" s="60">
        <v>0</v>
      </c>
      <c r="Z735" s="60">
        <v>0</v>
      </c>
      <c r="AA735" s="60">
        <v>0</v>
      </c>
      <c r="AB735" s="60">
        <v>0</v>
      </c>
      <c r="AC735" s="60">
        <v>0</v>
      </c>
      <c r="AD735" s="60">
        <v>0</v>
      </c>
      <c r="AE735" s="60">
        <v>0</v>
      </c>
      <c r="AF735" s="60">
        <v>0</v>
      </c>
      <c r="AG735" s="60">
        <v>0</v>
      </c>
      <c r="AH735" s="60">
        <v>0</v>
      </c>
      <c r="AI735" s="60">
        <v>9906.2099999999991</v>
      </c>
      <c r="AJ735" s="60">
        <v>9924.57</v>
      </c>
      <c r="AK735" s="60">
        <v>9941.19</v>
      </c>
      <c r="AL735" s="60">
        <v>0</v>
      </c>
      <c r="AM735" s="60">
        <v>0</v>
      </c>
      <c r="AN735" s="60">
        <v>0</v>
      </c>
      <c r="AO735" s="60">
        <v>9906.2099999999991</v>
      </c>
      <c r="AP735" s="60">
        <v>9924.57</v>
      </c>
      <c r="AQ735" s="60">
        <v>9941.19</v>
      </c>
      <c r="AR735" s="61">
        <v>9941.19</v>
      </c>
    </row>
    <row r="736" spans="1:44" x14ac:dyDescent="0.35">
      <c r="A736" s="49" t="str">
        <f t="shared" si="61"/>
        <v>19</v>
      </c>
      <c r="B736" s="27">
        <v>65060</v>
      </c>
      <c r="C736" s="25" t="str">
        <f t="shared" si="60"/>
        <v>0000000</v>
      </c>
      <c r="D736" s="26" t="s">
        <v>3663</v>
      </c>
      <c r="E736" s="25" t="s">
        <v>1114</v>
      </c>
      <c r="F736" s="25" t="s">
        <v>933</v>
      </c>
      <c r="G736" s="59" t="s">
        <v>1115</v>
      </c>
      <c r="H736" s="60">
        <v>20982.17</v>
      </c>
      <c r="I736" s="60">
        <v>20533.650000000001</v>
      </c>
      <c r="J736" s="60">
        <v>20708.07</v>
      </c>
      <c r="K736" s="60">
        <v>0</v>
      </c>
      <c r="L736" s="60">
        <v>0</v>
      </c>
      <c r="M736" s="60">
        <v>0</v>
      </c>
      <c r="N736" s="60">
        <v>0</v>
      </c>
      <c r="O736" s="60">
        <v>0</v>
      </c>
      <c r="P736" s="60">
        <v>0</v>
      </c>
      <c r="Q736" s="60">
        <v>0</v>
      </c>
      <c r="R736" s="60">
        <v>0</v>
      </c>
      <c r="S736" s="60">
        <v>0</v>
      </c>
      <c r="T736" s="60">
        <v>0</v>
      </c>
      <c r="U736" s="60">
        <v>0</v>
      </c>
      <c r="V736" s="60">
        <v>0</v>
      </c>
      <c r="W736" s="60">
        <v>0</v>
      </c>
      <c r="X736" s="60">
        <v>0</v>
      </c>
      <c r="Y736" s="60">
        <v>0</v>
      </c>
      <c r="Z736" s="60">
        <v>0</v>
      </c>
      <c r="AA736" s="60">
        <v>0</v>
      </c>
      <c r="AB736" s="60">
        <v>0</v>
      </c>
      <c r="AC736" s="60">
        <v>0</v>
      </c>
      <c r="AD736" s="60">
        <v>0</v>
      </c>
      <c r="AE736" s="60">
        <v>0</v>
      </c>
      <c r="AF736" s="60">
        <v>0</v>
      </c>
      <c r="AG736" s="60">
        <v>0</v>
      </c>
      <c r="AH736" s="60">
        <v>0</v>
      </c>
      <c r="AI736" s="60">
        <v>20982.17</v>
      </c>
      <c r="AJ736" s="60">
        <v>20533.650000000001</v>
      </c>
      <c r="AK736" s="60">
        <v>20708.07</v>
      </c>
      <c r="AL736" s="60">
        <v>0</v>
      </c>
      <c r="AM736" s="60">
        <v>0</v>
      </c>
      <c r="AN736" s="60">
        <v>0</v>
      </c>
      <c r="AO736" s="60">
        <v>20982.17</v>
      </c>
      <c r="AP736" s="60">
        <v>20533.650000000001</v>
      </c>
      <c r="AQ736" s="60">
        <v>20708.07</v>
      </c>
      <c r="AR736" s="61">
        <v>20982.17</v>
      </c>
    </row>
    <row r="737" spans="1:44" x14ac:dyDescent="0.35">
      <c r="A737" s="49" t="str">
        <f t="shared" si="61"/>
        <v>19</v>
      </c>
      <c r="B737" s="27">
        <v>75333</v>
      </c>
      <c r="C737" s="25" t="str">
        <f t="shared" si="60"/>
        <v>0000000</v>
      </c>
      <c r="D737" s="26" t="s">
        <v>3663</v>
      </c>
      <c r="E737" s="25" t="s">
        <v>1190</v>
      </c>
      <c r="F737" s="25" t="s">
        <v>933</v>
      </c>
      <c r="G737" s="59" t="s">
        <v>1191</v>
      </c>
      <c r="H737" s="60">
        <v>5672.27</v>
      </c>
      <c r="I737" s="60">
        <v>5616.47</v>
      </c>
      <c r="J737" s="60">
        <v>5576.07</v>
      </c>
      <c r="K737" s="60">
        <v>0</v>
      </c>
      <c r="L737" s="60">
        <v>0</v>
      </c>
      <c r="M737" s="60">
        <v>0</v>
      </c>
      <c r="N737" s="60">
        <v>0</v>
      </c>
      <c r="O737" s="60">
        <v>0</v>
      </c>
      <c r="P737" s="60">
        <v>0</v>
      </c>
      <c r="Q737" s="60">
        <v>0</v>
      </c>
      <c r="R737" s="60">
        <v>0</v>
      </c>
      <c r="S737" s="60">
        <v>0</v>
      </c>
      <c r="T737" s="60">
        <v>0</v>
      </c>
      <c r="U737" s="60">
        <v>0</v>
      </c>
      <c r="V737" s="60">
        <v>0</v>
      </c>
      <c r="W737" s="60">
        <v>0</v>
      </c>
      <c r="X737" s="60">
        <v>0</v>
      </c>
      <c r="Y737" s="60">
        <v>0</v>
      </c>
      <c r="Z737" s="60">
        <v>0</v>
      </c>
      <c r="AA737" s="60">
        <v>0</v>
      </c>
      <c r="AB737" s="60">
        <v>0</v>
      </c>
      <c r="AC737" s="60">
        <v>0</v>
      </c>
      <c r="AD737" s="60">
        <v>0</v>
      </c>
      <c r="AE737" s="60">
        <v>0</v>
      </c>
      <c r="AF737" s="60">
        <v>0</v>
      </c>
      <c r="AG737" s="60">
        <v>0</v>
      </c>
      <c r="AH737" s="60">
        <v>0</v>
      </c>
      <c r="AI737" s="60">
        <v>5672.27</v>
      </c>
      <c r="AJ737" s="60">
        <v>5616.47</v>
      </c>
      <c r="AK737" s="60">
        <v>5576.07</v>
      </c>
      <c r="AL737" s="60">
        <v>0</v>
      </c>
      <c r="AM737" s="60">
        <v>0</v>
      </c>
      <c r="AN737" s="60">
        <v>0</v>
      </c>
      <c r="AO737" s="60">
        <v>5672.27</v>
      </c>
      <c r="AP737" s="60">
        <v>5616.47</v>
      </c>
      <c r="AQ737" s="60">
        <v>5576.07</v>
      </c>
      <c r="AR737" s="61">
        <v>5672.27</v>
      </c>
    </row>
    <row r="738" spans="1:44" x14ac:dyDescent="0.35">
      <c r="A738" s="49" t="str">
        <f t="shared" si="61"/>
        <v>19</v>
      </c>
      <c r="B738" s="27">
        <v>75341</v>
      </c>
      <c r="C738" s="25" t="str">
        <f t="shared" si="60"/>
        <v>0000000</v>
      </c>
      <c r="D738" s="26" t="s">
        <v>3663</v>
      </c>
      <c r="E738" s="25" t="s">
        <v>1192</v>
      </c>
      <c r="F738" s="25" t="s">
        <v>933</v>
      </c>
      <c r="G738" s="59" t="s">
        <v>1193</v>
      </c>
      <c r="H738" s="60">
        <v>9057.23</v>
      </c>
      <c r="I738" s="60">
        <v>9021.4</v>
      </c>
      <c r="J738" s="60">
        <v>9011.25</v>
      </c>
      <c r="K738" s="60">
        <v>0</v>
      </c>
      <c r="L738" s="60">
        <v>0</v>
      </c>
      <c r="M738" s="60">
        <v>0</v>
      </c>
      <c r="N738" s="60">
        <v>0</v>
      </c>
      <c r="O738" s="60">
        <v>0</v>
      </c>
      <c r="P738" s="60">
        <v>0</v>
      </c>
      <c r="Q738" s="60">
        <v>0</v>
      </c>
      <c r="R738" s="60">
        <v>0</v>
      </c>
      <c r="S738" s="60">
        <v>0</v>
      </c>
      <c r="T738" s="60">
        <v>0</v>
      </c>
      <c r="U738" s="60">
        <v>0</v>
      </c>
      <c r="V738" s="60">
        <v>0</v>
      </c>
      <c r="W738" s="60">
        <v>0</v>
      </c>
      <c r="X738" s="60">
        <v>0</v>
      </c>
      <c r="Y738" s="60">
        <v>0</v>
      </c>
      <c r="Z738" s="60">
        <v>0</v>
      </c>
      <c r="AA738" s="60">
        <v>0</v>
      </c>
      <c r="AB738" s="60">
        <v>0</v>
      </c>
      <c r="AC738" s="60">
        <v>0</v>
      </c>
      <c r="AD738" s="60">
        <v>0</v>
      </c>
      <c r="AE738" s="60">
        <v>0</v>
      </c>
      <c r="AF738" s="60">
        <v>0</v>
      </c>
      <c r="AG738" s="60">
        <v>0</v>
      </c>
      <c r="AH738" s="60">
        <v>0</v>
      </c>
      <c r="AI738" s="60">
        <v>9057.23</v>
      </c>
      <c r="AJ738" s="60">
        <v>9021.4</v>
      </c>
      <c r="AK738" s="60">
        <v>9011.25</v>
      </c>
      <c r="AL738" s="60">
        <v>0</v>
      </c>
      <c r="AM738" s="60">
        <v>0</v>
      </c>
      <c r="AN738" s="60">
        <v>0</v>
      </c>
      <c r="AO738" s="60">
        <v>9057.23</v>
      </c>
      <c r="AP738" s="60">
        <v>9021.4</v>
      </c>
      <c r="AQ738" s="60">
        <v>9011.25</v>
      </c>
      <c r="AR738" s="61">
        <v>9057.23</v>
      </c>
    </row>
    <row r="739" spans="1:44" x14ac:dyDescent="0.35">
      <c r="A739" s="49" t="str">
        <f>TEXT(30,"00")</f>
        <v>30</v>
      </c>
      <c r="B739" s="27">
        <v>66464</v>
      </c>
      <c r="C739" s="25" t="str">
        <f>TEXT(6120356,"0000000")</f>
        <v>6120356</v>
      </c>
      <c r="D739" s="26" t="s">
        <v>1560</v>
      </c>
      <c r="E739" s="25" t="s">
        <v>1558</v>
      </c>
      <c r="F739" s="25" t="s">
        <v>933</v>
      </c>
      <c r="G739" s="59" t="s">
        <v>1559</v>
      </c>
      <c r="H739" s="60">
        <v>0</v>
      </c>
      <c r="I739" s="60">
        <v>0</v>
      </c>
      <c r="J739" s="60">
        <v>0</v>
      </c>
      <c r="K739" s="60">
        <v>0</v>
      </c>
      <c r="L739" s="60">
        <v>0</v>
      </c>
      <c r="M739" s="60">
        <v>0</v>
      </c>
      <c r="N739" s="60">
        <v>0</v>
      </c>
      <c r="O739" s="60">
        <v>0</v>
      </c>
      <c r="P739" s="60">
        <v>0</v>
      </c>
      <c r="Q739" s="60">
        <v>0</v>
      </c>
      <c r="R739" s="60">
        <v>0</v>
      </c>
      <c r="S739" s="60">
        <v>0</v>
      </c>
      <c r="T739" s="60">
        <v>0</v>
      </c>
      <c r="U739" s="60">
        <v>0</v>
      </c>
      <c r="V739" s="60">
        <v>0</v>
      </c>
      <c r="W739" s="60">
        <v>0</v>
      </c>
      <c r="X739" s="60">
        <v>0</v>
      </c>
      <c r="Y739" s="60">
        <v>0</v>
      </c>
      <c r="Z739" s="60">
        <v>0</v>
      </c>
      <c r="AA739" s="60">
        <v>0</v>
      </c>
      <c r="AB739" s="60">
        <v>0</v>
      </c>
      <c r="AC739" s="60">
        <v>289.98</v>
      </c>
      <c r="AD739" s="60">
        <v>178.22</v>
      </c>
      <c r="AE739" s="60">
        <v>158.28</v>
      </c>
      <c r="AF739" s="60">
        <v>0</v>
      </c>
      <c r="AG739" s="60">
        <v>0</v>
      </c>
      <c r="AH739" s="60">
        <v>0</v>
      </c>
      <c r="AI739" s="60">
        <v>289.98</v>
      </c>
      <c r="AJ739" s="60">
        <v>178.22</v>
      </c>
      <c r="AK739" s="60">
        <v>158.28</v>
      </c>
      <c r="AL739" s="60">
        <v>0</v>
      </c>
      <c r="AM739" s="60">
        <v>0</v>
      </c>
      <c r="AN739" s="60">
        <v>0</v>
      </c>
      <c r="AO739" s="60">
        <v>289.98</v>
      </c>
      <c r="AP739" s="60">
        <v>178.22</v>
      </c>
      <c r="AQ739" s="60">
        <v>158.28</v>
      </c>
      <c r="AR739" s="61">
        <v>289.98</v>
      </c>
    </row>
    <row r="740" spans="1:44" x14ac:dyDescent="0.35">
      <c r="A740" s="49" t="str">
        <f t="shared" ref="A740:A752" si="62">TEXT(19,"00")</f>
        <v>19</v>
      </c>
      <c r="B740" s="27">
        <v>76869</v>
      </c>
      <c r="C740" s="25" t="str">
        <f>TEXT(,"0000000")</f>
        <v>0000000</v>
      </c>
      <c r="D740" s="26" t="s">
        <v>3663</v>
      </c>
      <c r="E740" s="25" t="s">
        <v>1197</v>
      </c>
      <c r="F740" s="25" t="s">
        <v>933</v>
      </c>
      <c r="G740" s="59" t="s">
        <v>1198</v>
      </c>
      <c r="H740" s="60">
        <v>2412.04</v>
      </c>
      <c r="I740" s="60">
        <v>2343.2800000000002</v>
      </c>
      <c r="J740" s="60">
        <v>2357.13</v>
      </c>
      <c r="K740" s="60">
        <v>0</v>
      </c>
      <c r="L740" s="60">
        <v>0</v>
      </c>
      <c r="M740" s="60">
        <v>0</v>
      </c>
      <c r="N740" s="60">
        <v>0</v>
      </c>
      <c r="O740" s="60">
        <v>0</v>
      </c>
      <c r="P740" s="60">
        <v>0</v>
      </c>
      <c r="Q740" s="60">
        <v>0</v>
      </c>
      <c r="R740" s="60">
        <v>0</v>
      </c>
      <c r="S740" s="60">
        <v>0</v>
      </c>
      <c r="T740" s="60">
        <v>0</v>
      </c>
      <c r="U740" s="60">
        <v>0</v>
      </c>
      <c r="V740" s="60">
        <v>0</v>
      </c>
      <c r="W740" s="60">
        <v>0</v>
      </c>
      <c r="X740" s="60">
        <v>0</v>
      </c>
      <c r="Y740" s="60">
        <v>0</v>
      </c>
      <c r="Z740" s="60">
        <v>0</v>
      </c>
      <c r="AA740" s="60">
        <v>0</v>
      </c>
      <c r="AB740" s="60">
        <v>0</v>
      </c>
      <c r="AC740" s="60">
        <v>0</v>
      </c>
      <c r="AD740" s="60">
        <v>0</v>
      </c>
      <c r="AE740" s="60">
        <v>0</v>
      </c>
      <c r="AF740" s="60">
        <v>0</v>
      </c>
      <c r="AG740" s="60">
        <v>0</v>
      </c>
      <c r="AH740" s="60">
        <v>0</v>
      </c>
      <c r="AI740" s="60">
        <v>2412.04</v>
      </c>
      <c r="AJ740" s="60">
        <v>2343.2800000000002</v>
      </c>
      <c r="AK740" s="60">
        <v>2357.13</v>
      </c>
      <c r="AL740" s="60">
        <v>0</v>
      </c>
      <c r="AM740" s="60">
        <v>0</v>
      </c>
      <c r="AN740" s="60">
        <v>0</v>
      </c>
      <c r="AO740" s="60">
        <v>2412.04</v>
      </c>
      <c r="AP740" s="60">
        <v>2343.2800000000002</v>
      </c>
      <c r="AQ740" s="60">
        <v>2357.13</v>
      </c>
      <c r="AR740" s="61">
        <v>2412.04</v>
      </c>
    </row>
    <row r="741" spans="1:44" ht="31" x14ac:dyDescent="0.35">
      <c r="A741" s="49" t="str">
        <f t="shared" si="62"/>
        <v>19</v>
      </c>
      <c r="B741" s="27">
        <v>64709</v>
      </c>
      <c r="C741" s="25" t="str">
        <f>TEXT(100602,"0000000")</f>
        <v>0100602</v>
      </c>
      <c r="D741" s="26" t="s">
        <v>1017</v>
      </c>
      <c r="E741" s="25" t="s">
        <v>1015</v>
      </c>
      <c r="F741" s="25" t="s">
        <v>933</v>
      </c>
      <c r="G741" s="59" t="s">
        <v>1016</v>
      </c>
      <c r="H741" s="60">
        <v>0</v>
      </c>
      <c r="I741" s="60">
        <v>0</v>
      </c>
      <c r="J741" s="60">
        <v>0</v>
      </c>
      <c r="K741" s="60">
        <v>0</v>
      </c>
      <c r="L741" s="60">
        <v>0</v>
      </c>
      <c r="M741" s="60">
        <v>0</v>
      </c>
      <c r="N741" s="60">
        <v>0</v>
      </c>
      <c r="O741" s="60">
        <v>0</v>
      </c>
      <c r="P741" s="60">
        <v>0</v>
      </c>
      <c r="Q741" s="60">
        <v>0</v>
      </c>
      <c r="R741" s="60">
        <v>0</v>
      </c>
      <c r="S741" s="60">
        <v>0</v>
      </c>
      <c r="T741" s="60">
        <v>0</v>
      </c>
      <c r="U741" s="60">
        <v>0</v>
      </c>
      <c r="V741" s="60">
        <v>0</v>
      </c>
      <c r="W741" s="60">
        <v>0</v>
      </c>
      <c r="X741" s="60">
        <v>0</v>
      </c>
      <c r="Y741" s="60">
        <v>0</v>
      </c>
      <c r="Z741" s="60">
        <v>0</v>
      </c>
      <c r="AA741" s="60">
        <v>0</v>
      </c>
      <c r="AB741" s="60">
        <v>0</v>
      </c>
      <c r="AC741" s="60">
        <v>559.51</v>
      </c>
      <c r="AD741" s="60">
        <v>561.86</v>
      </c>
      <c r="AE741" s="60">
        <v>550.5</v>
      </c>
      <c r="AF741" s="60">
        <v>0</v>
      </c>
      <c r="AG741" s="60">
        <v>0</v>
      </c>
      <c r="AH741" s="60">
        <v>0</v>
      </c>
      <c r="AI741" s="60">
        <v>559.51</v>
      </c>
      <c r="AJ741" s="60">
        <v>561.86</v>
      </c>
      <c r="AK741" s="60">
        <v>550.5</v>
      </c>
      <c r="AL741" s="60">
        <v>0</v>
      </c>
      <c r="AM741" s="60">
        <v>0</v>
      </c>
      <c r="AN741" s="60">
        <v>0</v>
      </c>
      <c r="AO741" s="60">
        <v>559.51</v>
      </c>
      <c r="AP741" s="60">
        <v>561.86</v>
      </c>
      <c r="AQ741" s="60">
        <v>550.5</v>
      </c>
      <c r="AR741" s="61">
        <v>561.86</v>
      </c>
    </row>
    <row r="742" spans="1:44" x14ac:dyDescent="0.35">
      <c r="A742" s="49" t="str">
        <f t="shared" si="62"/>
        <v>19</v>
      </c>
      <c r="B742" s="27">
        <v>64352</v>
      </c>
      <c r="C742" s="25" t="str">
        <f>TEXT(128488,"0000000")</f>
        <v>0128488</v>
      </c>
      <c r="D742" s="27">
        <v>1558</v>
      </c>
      <c r="E742" s="25" t="s">
        <v>936</v>
      </c>
      <c r="F742" s="25" t="s">
        <v>933</v>
      </c>
      <c r="G742" s="59" t="s">
        <v>937</v>
      </c>
      <c r="H742" s="60">
        <v>0</v>
      </c>
      <c r="I742" s="60">
        <v>0</v>
      </c>
      <c r="J742" s="60">
        <v>0</v>
      </c>
      <c r="K742" s="60">
        <v>0</v>
      </c>
      <c r="L742" s="60">
        <v>0</v>
      </c>
      <c r="M742" s="60">
        <v>0</v>
      </c>
      <c r="N742" s="60">
        <v>0</v>
      </c>
      <c r="O742" s="60">
        <v>0</v>
      </c>
      <c r="P742" s="60">
        <v>0</v>
      </c>
      <c r="Q742" s="60">
        <v>0</v>
      </c>
      <c r="R742" s="60">
        <v>0</v>
      </c>
      <c r="S742" s="60">
        <v>0</v>
      </c>
      <c r="T742" s="60">
        <v>0</v>
      </c>
      <c r="U742" s="60">
        <v>0</v>
      </c>
      <c r="V742" s="60">
        <v>0</v>
      </c>
      <c r="W742" s="60">
        <v>0</v>
      </c>
      <c r="X742" s="60">
        <v>0</v>
      </c>
      <c r="Y742" s="60">
        <v>0</v>
      </c>
      <c r="Z742" s="60">
        <v>0</v>
      </c>
      <c r="AA742" s="60">
        <v>0</v>
      </c>
      <c r="AB742" s="60">
        <v>0</v>
      </c>
      <c r="AC742" s="60">
        <v>337.59</v>
      </c>
      <c r="AD742" s="60">
        <v>275.74</v>
      </c>
      <c r="AE742" s="60">
        <v>199.67</v>
      </c>
      <c r="AF742" s="60">
        <v>0</v>
      </c>
      <c r="AG742" s="60">
        <v>0</v>
      </c>
      <c r="AH742" s="60">
        <v>0</v>
      </c>
      <c r="AI742" s="60">
        <v>337.59</v>
      </c>
      <c r="AJ742" s="60">
        <v>275.74</v>
      </c>
      <c r="AK742" s="60">
        <v>199.67</v>
      </c>
      <c r="AL742" s="60">
        <v>0</v>
      </c>
      <c r="AM742" s="60">
        <v>0</v>
      </c>
      <c r="AN742" s="60">
        <v>0</v>
      </c>
      <c r="AO742" s="60">
        <v>337.59</v>
      </c>
      <c r="AP742" s="60">
        <v>275.74</v>
      </c>
      <c r="AQ742" s="60">
        <v>199.67</v>
      </c>
      <c r="AR742" s="61">
        <v>337.59</v>
      </c>
    </row>
    <row r="743" spans="1:44" x14ac:dyDescent="0.35">
      <c r="A743" s="49" t="str">
        <f t="shared" si="62"/>
        <v>19</v>
      </c>
      <c r="B743" s="27">
        <v>64352</v>
      </c>
      <c r="C743" s="25" t="str">
        <f>TEXT(128496,"0000000")</f>
        <v>0128496</v>
      </c>
      <c r="D743" s="27">
        <v>1557</v>
      </c>
      <c r="E743" s="25" t="s">
        <v>938</v>
      </c>
      <c r="F743" s="25" t="s">
        <v>933</v>
      </c>
      <c r="G743" s="59" t="s">
        <v>939</v>
      </c>
      <c r="H743" s="60">
        <v>0</v>
      </c>
      <c r="I743" s="60">
        <v>0</v>
      </c>
      <c r="J743" s="60">
        <v>0</v>
      </c>
      <c r="K743" s="60">
        <v>0</v>
      </c>
      <c r="L743" s="60">
        <v>0</v>
      </c>
      <c r="M743" s="60">
        <v>0</v>
      </c>
      <c r="N743" s="60">
        <v>0</v>
      </c>
      <c r="O743" s="60">
        <v>0</v>
      </c>
      <c r="P743" s="60">
        <v>0</v>
      </c>
      <c r="Q743" s="60">
        <v>0</v>
      </c>
      <c r="R743" s="60">
        <v>0</v>
      </c>
      <c r="S743" s="60">
        <v>0</v>
      </c>
      <c r="T743" s="60">
        <v>0</v>
      </c>
      <c r="U743" s="60">
        <v>0</v>
      </c>
      <c r="V743" s="60">
        <v>0</v>
      </c>
      <c r="W743" s="60">
        <v>0</v>
      </c>
      <c r="X743" s="60">
        <v>0</v>
      </c>
      <c r="Y743" s="60">
        <v>0</v>
      </c>
      <c r="Z743" s="60">
        <v>0</v>
      </c>
      <c r="AA743" s="60">
        <v>0</v>
      </c>
      <c r="AB743" s="60">
        <v>0</v>
      </c>
      <c r="AC743" s="60">
        <v>238.77</v>
      </c>
      <c r="AD743" s="60">
        <v>249.68</v>
      </c>
      <c r="AE743" s="60">
        <v>181.42</v>
      </c>
      <c r="AF743" s="60">
        <v>0</v>
      </c>
      <c r="AG743" s="60">
        <v>0</v>
      </c>
      <c r="AH743" s="60">
        <v>0</v>
      </c>
      <c r="AI743" s="60">
        <v>238.77</v>
      </c>
      <c r="AJ743" s="60">
        <v>249.68</v>
      </c>
      <c r="AK743" s="60">
        <v>181.42</v>
      </c>
      <c r="AL743" s="60">
        <v>0</v>
      </c>
      <c r="AM743" s="60">
        <v>0</v>
      </c>
      <c r="AN743" s="60">
        <v>0</v>
      </c>
      <c r="AO743" s="60">
        <v>238.77</v>
      </c>
      <c r="AP743" s="60">
        <v>249.68</v>
      </c>
      <c r="AQ743" s="60">
        <v>181.42</v>
      </c>
      <c r="AR743" s="61">
        <v>249.68</v>
      </c>
    </row>
    <row r="744" spans="1:44" x14ac:dyDescent="0.35">
      <c r="A744" s="49" t="str">
        <f t="shared" si="62"/>
        <v>19</v>
      </c>
      <c r="B744" s="27">
        <v>64709</v>
      </c>
      <c r="C744" s="25" t="str">
        <f>TEXT(107508,"0000000")</f>
        <v>0107508</v>
      </c>
      <c r="D744" s="26" t="s">
        <v>1020</v>
      </c>
      <c r="E744" s="25" t="s">
        <v>1018</v>
      </c>
      <c r="F744" s="25" t="s">
        <v>933</v>
      </c>
      <c r="G744" s="59" t="s">
        <v>1019</v>
      </c>
      <c r="H744" s="60">
        <v>0</v>
      </c>
      <c r="I744" s="60">
        <v>0</v>
      </c>
      <c r="J744" s="60">
        <v>0</v>
      </c>
      <c r="K744" s="60">
        <v>0</v>
      </c>
      <c r="L744" s="60">
        <v>0</v>
      </c>
      <c r="M744" s="60">
        <v>0</v>
      </c>
      <c r="N744" s="60">
        <v>0</v>
      </c>
      <c r="O744" s="60">
        <v>0</v>
      </c>
      <c r="P744" s="60">
        <v>0</v>
      </c>
      <c r="Q744" s="60">
        <v>0</v>
      </c>
      <c r="R744" s="60">
        <v>0</v>
      </c>
      <c r="S744" s="60">
        <v>0</v>
      </c>
      <c r="T744" s="60">
        <v>0</v>
      </c>
      <c r="U744" s="60">
        <v>0</v>
      </c>
      <c r="V744" s="60">
        <v>0</v>
      </c>
      <c r="W744" s="60">
        <v>0</v>
      </c>
      <c r="X744" s="60">
        <v>0</v>
      </c>
      <c r="Y744" s="60">
        <v>0</v>
      </c>
      <c r="Z744" s="60">
        <v>0</v>
      </c>
      <c r="AA744" s="60">
        <v>0</v>
      </c>
      <c r="AB744" s="60">
        <v>0</v>
      </c>
      <c r="AC744" s="60">
        <v>421.8</v>
      </c>
      <c r="AD744" s="60">
        <v>429.9</v>
      </c>
      <c r="AE744" s="60">
        <v>0</v>
      </c>
      <c r="AF744" s="60">
        <v>0</v>
      </c>
      <c r="AG744" s="60">
        <v>0</v>
      </c>
      <c r="AH744" s="60">
        <v>0</v>
      </c>
      <c r="AI744" s="60">
        <v>421.8</v>
      </c>
      <c r="AJ744" s="60">
        <v>429.9</v>
      </c>
      <c r="AK744" s="60">
        <v>0</v>
      </c>
      <c r="AL744" s="60">
        <v>0</v>
      </c>
      <c r="AM744" s="60">
        <v>0</v>
      </c>
      <c r="AN744" s="60">
        <v>411.29</v>
      </c>
      <c r="AO744" s="60">
        <v>421.8</v>
      </c>
      <c r="AP744" s="60">
        <v>429.9</v>
      </c>
      <c r="AQ744" s="60">
        <v>411.29</v>
      </c>
      <c r="AR744" s="61">
        <v>429.9</v>
      </c>
    </row>
    <row r="745" spans="1:44" x14ac:dyDescent="0.35">
      <c r="A745" s="49" t="str">
        <f t="shared" si="62"/>
        <v>19</v>
      </c>
      <c r="B745" s="27">
        <v>64568</v>
      </c>
      <c r="C745" s="25" t="str">
        <f t="shared" ref="C745:C755" si="63">TEXT(,"0000000")</f>
        <v>0000000</v>
      </c>
      <c r="D745" s="26" t="s">
        <v>3663</v>
      </c>
      <c r="E745" s="25" t="s">
        <v>924</v>
      </c>
      <c r="F745" s="25" t="s">
        <v>925</v>
      </c>
      <c r="G745" s="59" t="s">
        <v>925</v>
      </c>
      <c r="H745" s="60">
        <v>23746.86</v>
      </c>
      <c r="I745" s="60">
        <v>23071.95</v>
      </c>
      <c r="J745" s="60">
        <v>22742.58</v>
      </c>
      <c r="K745" s="60">
        <v>0</v>
      </c>
      <c r="L745" s="60">
        <v>0</v>
      </c>
      <c r="M745" s="60">
        <v>0</v>
      </c>
      <c r="N745" s="60">
        <v>0</v>
      </c>
      <c r="O745" s="60">
        <v>0</v>
      </c>
      <c r="P745" s="60">
        <v>0</v>
      </c>
      <c r="Q745" s="60">
        <v>0</v>
      </c>
      <c r="R745" s="60">
        <v>0</v>
      </c>
      <c r="S745" s="60">
        <v>0</v>
      </c>
      <c r="T745" s="60">
        <v>19.97</v>
      </c>
      <c r="U745" s="60">
        <v>18.07</v>
      </c>
      <c r="V745" s="60">
        <v>16.02</v>
      </c>
      <c r="W745" s="60">
        <v>33.409999999999997</v>
      </c>
      <c r="X745" s="60">
        <v>35.74</v>
      </c>
      <c r="Y745" s="60">
        <v>33.76</v>
      </c>
      <c r="Z745" s="60">
        <v>0</v>
      </c>
      <c r="AA745" s="60">
        <v>0</v>
      </c>
      <c r="AB745" s="60">
        <v>0</v>
      </c>
      <c r="AC745" s="60">
        <v>0</v>
      </c>
      <c r="AD745" s="60">
        <v>0</v>
      </c>
      <c r="AE745" s="60">
        <v>0</v>
      </c>
      <c r="AF745" s="60">
        <v>0</v>
      </c>
      <c r="AG745" s="60">
        <v>0</v>
      </c>
      <c r="AH745" s="60">
        <v>0</v>
      </c>
      <c r="AI745" s="60">
        <v>23800.240000000002</v>
      </c>
      <c r="AJ745" s="60">
        <v>23125.759999999998</v>
      </c>
      <c r="AK745" s="60">
        <v>22792.36</v>
      </c>
      <c r="AL745" s="60">
        <v>0</v>
      </c>
      <c r="AM745" s="60">
        <v>0</v>
      </c>
      <c r="AN745" s="60">
        <v>0</v>
      </c>
      <c r="AO745" s="60">
        <v>23800.240000000002</v>
      </c>
      <c r="AP745" s="60">
        <v>23125.759999999998</v>
      </c>
      <c r="AQ745" s="60">
        <v>22792.36</v>
      </c>
      <c r="AR745" s="61">
        <v>23800.240000000002</v>
      </c>
    </row>
    <row r="746" spans="1:44" x14ac:dyDescent="0.35">
      <c r="A746" s="49" t="str">
        <f t="shared" si="62"/>
        <v>19</v>
      </c>
      <c r="B746" s="27">
        <v>64337</v>
      </c>
      <c r="C746" s="25" t="str">
        <f t="shared" si="63"/>
        <v>0000000</v>
      </c>
      <c r="D746" s="26" t="s">
        <v>3663</v>
      </c>
      <c r="E746" s="25" t="s">
        <v>926</v>
      </c>
      <c r="F746" s="25" t="s">
        <v>925</v>
      </c>
      <c r="G746" s="59" t="s">
        <v>927</v>
      </c>
      <c r="H746" s="60">
        <v>13455.84</v>
      </c>
      <c r="I746" s="60">
        <v>13447.7</v>
      </c>
      <c r="J746" s="60">
        <v>13272.57</v>
      </c>
      <c r="K746" s="60">
        <v>0</v>
      </c>
      <c r="L746" s="60">
        <v>0</v>
      </c>
      <c r="M746" s="60">
        <v>0</v>
      </c>
      <c r="N746" s="60">
        <v>0</v>
      </c>
      <c r="O746" s="60">
        <v>0</v>
      </c>
      <c r="P746" s="60">
        <v>0</v>
      </c>
      <c r="Q746" s="60">
        <v>0</v>
      </c>
      <c r="R746" s="60">
        <v>0</v>
      </c>
      <c r="S746" s="60">
        <v>0</v>
      </c>
      <c r="T746" s="60">
        <v>0</v>
      </c>
      <c r="U746" s="60">
        <v>0</v>
      </c>
      <c r="V746" s="60">
        <v>0</v>
      </c>
      <c r="W746" s="60">
        <v>0</v>
      </c>
      <c r="X746" s="60">
        <v>0</v>
      </c>
      <c r="Y746" s="60">
        <v>0</v>
      </c>
      <c r="Z746" s="60">
        <v>0</v>
      </c>
      <c r="AA746" s="60">
        <v>0</v>
      </c>
      <c r="AB746" s="60">
        <v>0</v>
      </c>
      <c r="AC746" s="60">
        <v>0</v>
      </c>
      <c r="AD746" s="60">
        <v>0</v>
      </c>
      <c r="AE746" s="60">
        <v>0</v>
      </c>
      <c r="AF746" s="60">
        <v>0</v>
      </c>
      <c r="AG746" s="60">
        <v>0</v>
      </c>
      <c r="AH746" s="60">
        <v>0</v>
      </c>
      <c r="AI746" s="60">
        <v>13455.84</v>
      </c>
      <c r="AJ746" s="60">
        <v>13447.7</v>
      </c>
      <c r="AK746" s="60">
        <v>13272.57</v>
      </c>
      <c r="AL746" s="60">
        <v>0</v>
      </c>
      <c r="AM746" s="60">
        <v>0</v>
      </c>
      <c r="AN746" s="60">
        <v>0</v>
      </c>
      <c r="AO746" s="60">
        <v>13455.84</v>
      </c>
      <c r="AP746" s="60">
        <v>13447.7</v>
      </c>
      <c r="AQ746" s="60">
        <v>13272.57</v>
      </c>
      <c r="AR746" s="61">
        <v>13455.84</v>
      </c>
    </row>
    <row r="747" spans="1:44" x14ac:dyDescent="0.35">
      <c r="A747" s="49" t="str">
        <f t="shared" si="62"/>
        <v>19</v>
      </c>
      <c r="B747" s="27">
        <v>64659</v>
      </c>
      <c r="C747" s="25" t="str">
        <f t="shared" si="63"/>
        <v>0000000</v>
      </c>
      <c r="D747" s="26" t="s">
        <v>3663</v>
      </c>
      <c r="E747" s="25" t="s">
        <v>998</v>
      </c>
      <c r="F747" s="25" t="s">
        <v>925</v>
      </c>
      <c r="G747" s="59" t="s">
        <v>999</v>
      </c>
      <c r="H747" s="60">
        <v>3804.37</v>
      </c>
      <c r="I747" s="60">
        <v>3737.88</v>
      </c>
      <c r="J747" s="60">
        <v>3771.55</v>
      </c>
      <c r="K747" s="60">
        <v>0</v>
      </c>
      <c r="L747" s="60">
        <v>0</v>
      </c>
      <c r="M747" s="60">
        <v>0</v>
      </c>
      <c r="N747" s="60">
        <v>0</v>
      </c>
      <c r="O747" s="60">
        <v>0</v>
      </c>
      <c r="P747" s="60">
        <v>0</v>
      </c>
      <c r="Q747" s="60">
        <v>0</v>
      </c>
      <c r="R747" s="60">
        <v>0</v>
      </c>
      <c r="S747" s="60">
        <v>0</v>
      </c>
      <c r="T747" s="60">
        <v>0</v>
      </c>
      <c r="U747" s="60">
        <v>0</v>
      </c>
      <c r="V747" s="60">
        <v>0</v>
      </c>
      <c r="W747" s="60">
        <v>0</v>
      </c>
      <c r="X747" s="60">
        <v>0</v>
      </c>
      <c r="Y747" s="60">
        <v>0</v>
      </c>
      <c r="Z747" s="60">
        <v>0</v>
      </c>
      <c r="AA747" s="60">
        <v>0</v>
      </c>
      <c r="AB747" s="60">
        <v>0</v>
      </c>
      <c r="AC747" s="60">
        <v>0</v>
      </c>
      <c r="AD747" s="60">
        <v>0</v>
      </c>
      <c r="AE747" s="60">
        <v>0</v>
      </c>
      <c r="AF747" s="60">
        <v>0</v>
      </c>
      <c r="AG747" s="60">
        <v>0</v>
      </c>
      <c r="AH747" s="60">
        <v>0</v>
      </c>
      <c r="AI747" s="60">
        <v>3804.37</v>
      </c>
      <c r="AJ747" s="60">
        <v>3737.88</v>
      </c>
      <c r="AK747" s="60">
        <v>3771.55</v>
      </c>
      <c r="AL747" s="60">
        <v>0</v>
      </c>
      <c r="AM747" s="60">
        <v>0</v>
      </c>
      <c r="AN747" s="60">
        <v>0</v>
      </c>
      <c r="AO747" s="60">
        <v>3804.37</v>
      </c>
      <c r="AP747" s="60">
        <v>3737.88</v>
      </c>
      <c r="AQ747" s="60">
        <v>3771.55</v>
      </c>
      <c r="AR747" s="61">
        <v>3804.37</v>
      </c>
    </row>
    <row r="748" spans="1:44" x14ac:dyDescent="0.35">
      <c r="A748" s="49" t="str">
        <f t="shared" si="62"/>
        <v>19</v>
      </c>
      <c r="B748" s="27">
        <v>64725</v>
      </c>
      <c r="C748" s="25" t="str">
        <f t="shared" si="63"/>
        <v>0000000</v>
      </c>
      <c r="D748" s="26" t="s">
        <v>3663</v>
      </c>
      <c r="E748" s="25" t="s">
        <v>1026</v>
      </c>
      <c r="F748" s="25" t="s">
        <v>1027</v>
      </c>
      <c r="G748" s="59" t="s">
        <v>1027</v>
      </c>
      <c r="H748" s="60">
        <v>58734.58</v>
      </c>
      <c r="I748" s="60">
        <v>59288.7</v>
      </c>
      <c r="J748" s="60">
        <v>59862.14</v>
      </c>
      <c r="K748" s="60">
        <v>0</v>
      </c>
      <c r="L748" s="60">
        <v>0</v>
      </c>
      <c r="M748" s="60">
        <v>0</v>
      </c>
      <c r="N748" s="60">
        <v>0</v>
      </c>
      <c r="O748" s="60">
        <v>0</v>
      </c>
      <c r="P748" s="60">
        <v>0</v>
      </c>
      <c r="Q748" s="60">
        <v>0</v>
      </c>
      <c r="R748" s="60">
        <v>0</v>
      </c>
      <c r="S748" s="60">
        <v>0</v>
      </c>
      <c r="T748" s="60">
        <v>28.74</v>
      </c>
      <c r="U748" s="60">
        <v>26.74</v>
      </c>
      <c r="V748" s="60">
        <v>24.23</v>
      </c>
      <c r="W748" s="60">
        <v>11.67</v>
      </c>
      <c r="X748" s="60">
        <v>13.58</v>
      </c>
      <c r="Y748" s="60">
        <v>14.9</v>
      </c>
      <c r="Z748" s="60">
        <v>0</v>
      </c>
      <c r="AA748" s="60">
        <v>0</v>
      </c>
      <c r="AB748" s="60">
        <v>0</v>
      </c>
      <c r="AC748" s="60">
        <v>286.60000000000002</v>
      </c>
      <c r="AD748" s="60">
        <v>265.62</v>
      </c>
      <c r="AE748" s="60">
        <v>270.61</v>
      </c>
      <c r="AF748" s="60">
        <v>0</v>
      </c>
      <c r="AG748" s="60">
        <v>0</v>
      </c>
      <c r="AH748" s="60">
        <v>0</v>
      </c>
      <c r="AI748" s="60">
        <v>59061.59</v>
      </c>
      <c r="AJ748" s="60">
        <v>59594.64</v>
      </c>
      <c r="AK748" s="60">
        <v>60171.88</v>
      </c>
      <c r="AL748" s="60">
        <v>0</v>
      </c>
      <c r="AM748" s="60">
        <v>0</v>
      </c>
      <c r="AN748" s="60">
        <v>0</v>
      </c>
      <c r="AO748" s="60">
        <v>59061.59</v>
      </c>
      <c r="AP748" s="60">
        <v>59594.64</v>
      </c>
      <c r="AQ748" s="60">
        <v>60171.88</v>
      </c>
      <c r="AR748" s="61">
        <v>60171.88</v>
      </c>
    </row>
    <row r="749" spans="1:44" x14ac:dyDescent="0.35">
      <c r="A749" s="49" t="str">
        <f t="shared" si="62"/>
        <v>19</v>
      </c>
      <c r="B749" s="27">
        <v>64451</v>
      </c>
      <c r="C749" s="25" t="str">
        <f t="shared" si="63"/>
        <v>0000000</v>
      </c>
      <c r="D749" s="26" t="s">
        <v>3663</v>
      </c>
      <c r="E749" s="25" t="s">
        <v>944</v>
      </c>
      <c r="F749" s="25" t="s">
        <v>945</v>
      </c>
      <c r="G749" s="59" t="s">
        <v>945</v>
      </c>
      <c r="H749" s="60">
        <v>20918.830000000002</v>
      </c>
      <c r="I749" s="60">
        <v>20602.64</v>
      </c>
      <c r="J749" s="60">
        <v>19770.8</v>
      </c>
      <c r="K749" s="60">
        <v>0</v>
      </c>
      <c r="L749" s="60">
        <v>0</v>
      </c>
      <c r="M749" s="60">
        <v>0</v>
      </c>
      <c r="N749" s="60">
        <v>0</v>
      </c>
      <c r="O749" s="60">
        <v>0</v>
      </c>
      <c r="P749" s="60">
        <v>0</v>
      </c>
      <c r="Q749" s="60">
        <v>0</v>
      </c>
      <c r="R749" s="60">
        <v>0</v>
      </c>
      <c r="S749" s="60">
        <v>0</v>
      </c>
      <c r="T749" s="60">
        <v>19.12</v>
      </c>
      <c r="U749" s="60">
        <v>17.63</v>
      </c>
      <c r="V749" s="60">
        <v>15.89</v>
      </c>
      <c r="W749" s="60">
        <v>21.38</v>
      </c>
      <c r="X749" s="60">
        <v>22.45</v>
      </c>
      <c r="Y749" s="60">
        <v>18.7</v>
      </c>
      <c r="Z749" s="60">
        <v>0</v>
      </c>
      <c r="AA749" s="60">
        <v>0</v>
      </c>
      <c r="AB749" s="60">
        <v>0</v>
      </c>
      <c r="AC749" s="60">
        <v>0</v>
      </c>
      <c r="AD749" s="60">
        <v>0</v>
      </c>
      <c r="AE749" s="60">
        <v>0</v>
      </c>
      <c r="AF749" s="60">
        <v>0</v>
      </c>
      <c r="AG749" s="60">
        <v>0</v>
      </c>
      <c r="AH749" s="60">
        <v>0</v>
      </c>
      <c r="AI749" s="60">
        <v>20959.330000000002</v>
      </c>
      <c r="AJ749" s="60">
        <v>20642.72</v>
      </c>
      <c r="AK749" s="60">
        <v>19805.39</v>
      </c>
      <c r="AL749" s="60">
        <v>0</v>
      </c>
      <c r="AM749" s="60">
        <v>0</v>
      </c>
      <c r="AN749" s="60">
        <v>0</v>
      </c>
      <c r="AO749" s="60">
        <v>20959.330000000002</v>
      </c>
      <c r="AP749" s="60">
        <v>20642.72</v>
      </c>
      <c r="AQ749" s="60">
        <v>19805.39</v>
      </c>
      <c r="AR749" s="61">
        <v>20959.330000000002</v>
      </c>
    </row>
    <row r="750" spans="1:44" x14ac:dyDescent="0.35">
      <c r="A750" s="49" t="str">
        <f t="shared" si="62"/>
        <v>19</v>
      </c>
      <c r="B750" s="27">
        <v>64808</v>
      </c>
      <c r="C750" s="25" t="str">
        <f t="shared" si="63"/>
        <v>0000000</v>
      </c>
      <c r="D750" s="26" t="s">
        <v>3663</v>
      </c>
      <c r="E750" s="25" t="s">
        <v>1063</v>
      </c>
      <c r="F750" s="25" t="s">
        <v>945</v>
      </c>
      <c r="G750" s="59" t="s">
        <v>1064</v>
      </c>
      <c r="H750" s="60">
        <v>18336.400000000001</v>
      </c>
      <c r="I750" s="60">
        <v>18665.97</v>
      </c>
      <c r="J750" s="60">
        <v>19711.39</v>
      </c>
      <c r="K750" s="60">
        <v>0</v>
      </c>
      <c r="L750" s="60">
        <v>0</v>
      </c>
      <c r="M750" s="60">
        <v>0</v>
      </c>
      <c r="N750" s="60">
        <v>0</v>
      </c>
      <c r="O750" s="60">
        <v>0</v>
      </c>
      <c r="P750" s="60">
        <v>0</v>
      </c>
      <c r="Q750" s="60">
        <v>0</v>
      </c>
      <c r="R750" s="60">
        <v>0</v>
      </c>
      <c r="S750" s="60">
        <v>0</v>
      </c>
      <c r="T750" s="60">
        <v>0</v>
      </c>
      <c r="U750" s="60">
        <v>0</v>
      </c>
      <c r="V750" s="60">
        <v>0</v>
      </c>
      <c r="W750" s="60">
        <v>0</v>
      </c>
      <c r="X750" s="60">
        <v>0</v>
      </c>
      <c r="Y750" s="60">
        <v>0</v>
      </c>
      <c r="Z750" s="60">
        <v>0</v>
      </c>
      <c r="AA750" s="60">
        <v>0</v>
      </c>
      <c r="AB750" s="60">
        <v>0</v>
      </c>
      <c r="AC750" s="60">
        <v>0</v>
      </c>
      <c r="AD750" s="60">
        <v>0</v>
      </c>
      <c r="AE750" s="60">
        <v>0</v>
      </c>
      <c r="AF750" s="60">
        <v>0</v>
      </c>
      <c r="AG750" s="60">
        <v>0</v>
      </c>
      <c r="AH750" s="60">
        <v>0</v>
      </c>
      <c r="AI750" s="60">
        <v>18336.400000000001</v>
      </c>
      <c r="AJ750" s="60">
        <v>18665.97</v>
      </c>
      <c r="AK750" s="60">
        <v>19711.39</v>
      </c>
      <c r="AL750" s="60">
        <v>0</v>
      </c>
      <c r="AM750" s="60">
        <v>0</v>
      </c>
      <c r="AN750" s="60">
        <v>0</v>
      </c>
      <c r="AO750" s="60">
        <v>18336.400000000001</v>
      </c>
      <c r="AP750" s="60">
        <v>18665.97</v>
      </c>
      <c r="AQ750" s="60">
        <v>19711.39</v>
      </c>
      <c r="AR750" s="61">
        <v>19711.39</v>
      </c>
    </row>
    <row r="751" spans="1:44" x14ac:dyDescent="0.35">
      <c r="A751" s="49" t="str">
        <f t="shared" si="62"/>
        <v>19</v>
      </c>
      <c r="B751" s="27">
        <v>64881</v>
      </c>
      <c r="C751" s="25" t="str">
        <f t="shared" si="63"/>
        <v>0000000</v>
      </c>
      <c r="D751" s="26" t="s">
        <v>3663</v>
      </c>
      <c r="E751" s="25" t="s">
        <v>1080</v>
      </c>
      <c r="F751" s="25" t="s">
        <v>1081</v>
      </c>
      <c r="G751" s="59" t="s">
        <v>1081</v>
      </c>
      <c r="H751" s="60">
        <v>12916.14</v>
      </c>
      <c r="I751" s="60">
        <v>12920.45</v>
      </c>
      <c r="J751" s="60">
        <v>12999.94</v>
      </c>
      <c r="K751" s="60">
        <v>0</v>
      </c>
      <c r="L751" s="60">
        <v>0</v>
      </c>
      <c r="M751" s="60">
        <v>0</v>
      </c>
      <c r="N751" s="60">
        <v>0</v>
      </c>
      <c r="O751" s="60">
        <v>0</v>
      </c>
      <c r="P751" s="60">
        <v>0</v>
      </c>
      <c r="Q751" s="60">
        <v>0</v>
      </c>
      <c r="R751" s="60">
        <v>0</v>
      </c>
      <c r="S751" s="60">
        <v>0</v>
      </c>
      <c r="T751" s="60">
        <v>6.38</v>
      </c>
      <c r="U751" s="60">
        <v>5.88</v>
      </c>
      <c r="V751" s="60">
        <v>5.31</v>
      </c>
      <c r="W751" s="60">
        <v>39.520000000000003</v>
      </c>
      <c r="X751" s="60">
        <v>39.94</v>
      </c>
      <c r="Y751" s="60">
        <v>35.92</v>
      </c>
      <c r="Z751" s="60">
        <v>0</v>
      </c>
      <c r="AA751" s="60">
        <v>0</v>
      </c>
      <c r="AB751" s="60">
        <v>0</v>
      </c>
      <c r="AC751" s="60">
        <v>178.58</v>
      </c>
      <c r="AD751" s="60">
        <v>173.2</v>
      </c>
      <c r="AE751" s="60">
        <v>181.64</v>
      </c>
      <c r="AF751" s="60">
        <v>0</v>
      </c>
      <c r="AG751" s="60">
        <v>0</v>
      </c>
      <c r="AH751" s="60">
        <v>0</v>
      </c>
      <c r="AI751" s="60">
        <v>13140.62</v>
      </c>
      <c r="AJ751" s="60">
        <v>13139.47</v>
      </c>
      <c r="AK751" s="60">
        <v>13222.81</v>
      </c>
      <c r="AL751" s="60">
        <v>0</v>
      </c>
      <c r="AM751" s="60">
        <v>0</v>
      </c>
      <c r="AN751" s="60">
        <v>0</v>
      </c>
      <c r="AO751" s="60">
        <v>13140.62</v>
      </c>
      <c r="AP751" s="60">
        <v>13139.47</v>
      </c>
      <c r="AQ751" s="60">
        <v>13222.81</v>
      </c>
      <c r="AR751" s="61">
        <v>13222.81</v>
      </c>
    </row>
    <row r="752" spans="1:44" x14ac:dyDescent="0.35">
      <c r="A752" s="49" t="str">
        <f t="shared" si="62"/>
        <v>19</v>
      </c>
      <c r="B752" s="27">
        <v>10199</v>
      </c>
      <c r="C752" s="25" t="str">
        <f t="shared" si="63"/>
        <v>0000000</v>
      </c>
      <c r="D752" s="26" t="s">
        <v>3663</v>
      </c>
      <c r="E752" s="25" t="s">
        <v>827</v>
      </c>
      <c r="F752" s="25" t="s">
        <v>3511</v>
      </c>
      <c r="G752" s="59" t="s">
        <v>3511</v>
      </c>
      <c r="H752" s="60">
        <v>0</v>
      </c>
      <c r="I752" s="60">
        <v>0</v>
      </c>
      <c r="J752" s="60">
        <v>0</v>
      </c>
      <c r="K752" s="60">
        <v>0</v>
      </c>
      <c r="L752" s="60">
        <v>0</v>
      </c>
      <c r="M752" s="60">
        <v>0</v>
      </c>
      <c r="N752" s="60">
        <v>0</v>
      </c>
      <c r="O752" s="60">
        <v>0</v>
      </c>
      <c r="P752" s="60">
        <v>0</v>
      </c>
      <c r="Q752" s="60">
        <v>0</v>
      </c>
      <c r="R752" s="60">
        <v>0</v>
      </c>
      <c r="S752" s="60">
        <v>0</v>
      </c>
      <c r="T752" s="60">
        <v>0</v>
      </c>
      <c r="U752" s="60">
        <v>0</v>
      </c>
      <c r="V752" s="60">
        <v>0</v>
      </c>
      <c r="W752" s="60">
        <v>0</v>
      </c>
      <c r="X752" s="60">
        <v>0</v>
      </c>
      <c r="Y752" s="60">
        <v>0</v>
      </c>
      <c r="Z752" s="60">
        <v>0</v>
      </c>
      <c r="AA752" s="60">
        <v>0</v>
      </c>
      <c r="AB752" s="60">
        <v>0</v>
      </c>
      <c r="AC752" s="60">
        <v>0</v>
      </c>
      <c r="AD752" s="60">
        <v>0</v>
      </c>
      <c r="AE752" s="60">
        <v>0</v>
      </c>
      <c r="AF752" s="60">
        <v>0</v>
      </c>
      <c r="AG752" s="60">
        <v>0</v>
      </c>
      <c r="AH752" s="60">
        <v>0</v>
      </c>
      <c r="AI752" s="60">
        <v>1208242.02</v>
      </c>
      <c r="AJ752" s="60">
        <v>1208647.43</v>
      </c>
      <c r="AK752" s="60">
        <v>1184418.8700000001</v>
      </c>
      <c r="AL752" s="60">
        <v>0</v>
      </c>
      <c r="AM752" s="60">
        <v>0</v>
      </c>
      <c r="AN752" s="60">
        <v>0</v>
      </c>
      <c r="AO752" s="60">
        <v>1208242.02</v>
      </c>
      <c r="AP752" s="60">
        <v>1208647.43</v>
      </c>
      <c r="AQ752" s="60">
        <v>1184418.8700000001</v>
      </c>
      <c r="AR752" s="61">
        <v>1208647.43</v>
      </c>
    </row>
    <row r="753" spans="1:44" x14ac:dyDescent="0.35">
      <c r="A753" s="49" t="str">
        <f>TEXT(39,"00")</f>
        <v>39</v>
      </c>
      <c r="B753" s="27">
        <v>68585</v>
      </c>
      <c r="C753" s="25" t="str">
        <f t="shared" si="63"/>
        <v>0000000</v>
      </c>
      <c r="D753" s="26" t="s">
        <v>3663</v>
      </c>
      <c r="E753" s="25" t="s">
        <v>2419</v>
      </c>
      <c r="F753" s="25" t="s">
        <v>2420</v>
      </c>
      <c r="G753" s="59" t="s">
        <v>2420</v>
      </c>
      <c r="H753" s="60">
        <v>24697.040000000001</v>
      </c>
      <c r="I753" s="60">
        <v>24428.39</v>
      </c>
      <c r="J753" s="60">
        <v>24123.03</v>
      </c>
      <c r="K753" s="60">
        <v>0</v>
      </c>
      <c r="L753" s="60">
        <v>0</v>
      </c>
      <c r="M753" s="60">
        <v>0</v>
      </c>
      <c r="N753" s="60">
        <v>0</v>
      </c>
      <c r="O753" s="60">
        <v>0</v>
      </c>
      <c r="P753" s="60">
        <v>0</v>
      </c>
      <c r="Q753" s="60">
        <v>0</v>
      </c>
      <c r="R753" s="60">
        <v>0</v>
      </c>
      <c r="S753" s="60">
        <v>0</v>
      </c>
      <c r="T753" s="60">
        <v>0</v>
      </c>
      <c r="U753" s="60">
        <v>0</v>
      </c>
      <c r="V753" s="60">
        <v>0</v>
      </c>
      <c r="W753" s="60">
        <v>0</v>
      </c>
      <c r="X753" s="60">
        <v>0</v>
      </c>
      <c r="Y753" s="60">
        <v>0</v>
      </c>
      <c r="Z753" s="60">
        <v>0</v>
      </c>
      <c r="AA753" s="60">
        <v>0</v>
      </c>
      <c r="AB753" s="60">
        <v>0</v>
      </c>
      <c r="AC753" s="60">
        <v>347.08</v>
      </c>
      <c r="AD753" s="60">
        <v>337.34</v>
      </c>
      <c r="AE753" s="60">
        <v>335</v>
      </c>
      <c r="AF753" s="60">
        <v>0</v>
      </c>
      <c r="AG753" s="60">
        <v>0</v>
      </c>
      <c r="AH753" s="60">
        <v>0</v>
      </c>
      <c r="AI753" s="60">
        <v>25044.12</v>
      </c>
      <c r="AJ753" s="60">
        <v>24765.73</v>
      </c>
      <c r="AK753" s="60">
        <v>24458.03</v>
      </c>
      <c r="AL753" s="60">
        <v>0</v>
      </c>
      <c r="AM753" s="60">
        <v>0</v>
      </c>
      <c r="AN753" s="60">
        <v>0</v>
      </c>
      <c r="AO753" s="60">
        <v>25044.12</v>
      </c>
      <c r="AP753" s="60">
        <v>24765.73</v>
      </c>
      <c r="AQ753" s="60">
        <v>24458.03</v>
      </c>
      <c r="AR753" s="61">
        <v>25044.12</v>
      </c>
    </row>
    <row r="754" spans="1:44" x14ac:dyDescent="0.35">
      <c r="A754" s="49" t="str">
        <f>TEXT(39,"00")</f>
        <v>39</v>
      </c>
      <c r="B754" s="27">
        <v>68619</v>
      </c>
      <c r="C754" s="25" t="str">
        <f t="shared" si="63"/>
        <v>0000000</v>
      </c>
      <c r="D754" s="26" t="s">
        <v>3663</v>
      </c>
      <c r="E754" s="25" t="s">
        <v>2436</v>
      </c>
      <c r="F754" s="25" t="s">
        <v>2420</v>
      </c>
      <c r="G754" s="59" t="s">
        <v>2437</v>
      </c>
      <c r="H754" s="60">
        <v>158.06</v>
      </c>
      <c r="I754" s="60">
        <v>166.34</v>
      </c>
      <c r="J754" s="60">
        <v>166.26</v>
      </c>
      <c r="K754" s="60">
        <v>0</v>
      </c>
      <c r="L754" s="60">
        <v>0</v>
      </c>
      <c r="M754" s="60">
        <v>0</v>
      </c>
      <c r="N754" s="60">
        <v>0</v>
      </c>
      <c r="O754" s="60">
        <v>0</v>
      </c>
      <c r="P754" s="60">
        <v>0</v>
      </c>
      <c r="Q754" s="60">
        <v>0</v>
      </c>
      <c r="R754" s="60">
        <v>0</v>
      </c>
      <c r="S754" s="60">
        <v>0</v>
      </c>
      <c r="T754" s="60">
        <v>0</v>
      </c>
      <c r="U754" s="60">
        <v>0</v>
      </c>
      <c r="V754" s="60">
        <v>0</v>
      </c>
      <c r="W754" s="60">
        <v>0</v>
      </c>
      <c r="X754" s="60">
        <v>0</v>
      </c>
      <c r="Y754" s="60">
        <v>0</v>
      </c>
      <c r="Z754" s="60">
        <v>0</v>
      </c>
      <c r="AA754" s="60">
        <v>0</v>
      </c>
      <c r="AB754" s="60">
        <v>0</v>
      </c>
      <c r="AC754" s="60">
        <v>0</v>
      </c>
      <c r="AD754" s="60">
        <v>0</v>
      </c>
      <c r="AE754" s="60">
        <v>0</v>
      </c>
      <c r="AF754" s="60">
        <v>0</v>
      </c>
      <c r="AG754" s="60">
        <v>0</v>
      </c>
      <c r="AH754" s="60">
        <v>0</v>
      </c>
      <c r="AI754" s="60">
        <v>158.06</v>
      </c>
      <c r="AJ754" s="60">
        <v>166.34</v>
      </c>
      <c r="AK754" s="60">
        <v>166.26</v>
      </c>
      <c r="AL754" s="60">
        <v>0</v>
      </c>
      <c r="AM754" s="60">
        <v>0</v>
      </c>
      <c r="AN754" s="60">
        <v>0</v>
      </c>
      <c r="AO754" s="60">
        <v>158.06</v>
      </c>
      <c r="AP754" s="60">
        <v>166.34</v>
      </c>
      <c r="AQ754" s="60">
        <v>166.26</v>
      </c>
      <c r="AR754" s="61">
        <v>166.34</v>
      </c>
    </row>
    <row r="755" spans="1:44" x14ac:dyDescent="0.35">
      <c r="A755" s="49" t="str">
        <f>TEXT(39,"00")</f>
        <v>39</v>
      </c>
      <c r="B755" s="27">
        <v>68635</v>
      </c>
      <c r="C755" s="25" t="str">
        <f t="shared" si="63"/>
        <v>0000000</v>
      </c>
      <c r="D755" s="26" t="s">
        <v>3663</v>
      </c>
      <c r="E755" s="25" t="s">
        <v>2461</v>
      </c>
      <c r="F755" s="25" t="s">
        <v>2420</v>
      </c>
      <c r="G755" s="59" t="s">
        <v>2462</v>
      </c>
      <c r="H755" s="60">
        <v>362.7</v>
      </c>
      <c r="I755" s="60">
        <v>357.55</v>
      </c>
      <c r="J755" s="60">
        <v>347.76</v>
      </c>
      <c r="K755" s="60">
        <v>0</v>
      </c>
      <c r="L755" s="60">
        <v>0</v>
      </c>
      <c r="M755" s="60">
        <v>0</v>
      </c>
      <c r="N755" s="60">
        <v>0</v>
      </c>
      <c r="O755" s="60">
        <v>0</v>
      </c>
      <c r="P755" s="60">
        <v>0</v>
      </c>
      <c r="Q755" s="60">
        <v>0</v>
      </c>
      <c r="R755" s="60">
        <v>0</v>
      </c>
      <c r="S755" s="60">
        <v>0</v>
      </c>
      <c r="T755" s="60">
        <v>0</v>
      </c>
      <c r="U755" s="60">
        <v>0</v>
      </c>
      <c r="V755" s="60">
        <v>0</v>
      </c>
      <c r="W755" s="60">
        <v>0</v>
      </c>
      <c r="X755" s="60">
        <v>0</v>
      </c>
      <c r="Y755" s="60">
        <v>0</v>
      </c>
      <c r="Z755" s="60">
        <v>0</v>
      </c>
      <c r="AA755" s="60">
        <v>0</v>
      </c>
      <c r="AB755" s="60">
        <v>0</v>
      </c>
      <c r="AC755" s="60">
        <v>0</v>
      </c>
      <c r="AD755" s="60">
        <v>0</v>
      </c>
      <c r="AE755" s="60">
        <v>0</v>
      </c>
      <c r="AF755" s="60">
        <v>0</v>
      </c>
      <c r="AG755" s="60">
        <v>0</v>
      </c>
      <c r="AH755" s="60">
        <v>0</v>
      </c>
      <c r="AI755" s="60">
        <v>362.7</v>
      </c>
      <c r="AJ755" s="60">
        <v>357.55</v>
      </c>
      <c r="AK755" s="60">
        <v>347.76</v>
      </c>
      <c r="AL755" s="60">
        <v>0</v>
      </c>
      <c r="AM755" s="60">
        <v>0</v>
      </c>
      <c r="AN755" s="60">
        <v>0</v>
      </c>
      <c r="AO755" s="60">
        <v>362.7</v>
      </c>
      <c r="AP755" s="60">
        <v>357.55</v>
      </c>
      <c r="AQ755" s="60">
        <v>347.76</v>
      </c>
      <c r="AR755" s="61">
        <v>362.7</v>
      </c>
    </row>
    <row r="756" spans="1:44" x14ac:dyDescent="0.35">
      <c r="A756" s="49" t="str">
        <f>TEXT(39,"00")</f>
        <v>39</v>
      </c>
      <c r="B756" s="27">
        <v>68585</v>
      </c>
      <c r="C756" s="25" t="str">
        <f>TEXT(122580,"0000000")</f>
        <v>0122580</v>
      </c>
      <c r="D756" s="27">
        <v>1229</v>
      </c>
      <c r="E756" s="25" t="s">
        <v>2424</v>
      </c>
      <c r="F756" s="25" t="s">
        <v>2420</v>
      </c>
      <c r="G756" s="59" t="s">
        <v>2425</v>
      </c>
      <c r="H756" s="60">
        <v>0</v>
      </c>
      <c r="I756" s="60">
        <v>0</v>
      </c>
      <c r="J756" s="60">
        <v>0</v>
      </c>
      <c r="K756" s="60">
        <v>0</v>
      </c>
      <c r="L756" s="60">
        <v>0</v>
      </c>
      <c r="M756" s="60">
        <v>0</v>
      </c>
      <c r="N756" s="60">
        <v>0</v>
      </c>
      <c r="O756" s="60">
        <v>0</v>
      </c>
      <c r="P756" s="60">
        <v>0</v>
      </c>
      <c r="Q756" s="60">
        <v>0</v>
      </c>
      <c r="R756" s="60">
        <v>0</v>
      </c>
      <c r="S756" s="60">
        <v>0</v>
      </c>
      <c r="T756" s="60">
        <v>0</v>
      </c>
      <c r="U756" s="60">
        <v>0</v>
      </c>
      <c r="V756" s="60">
        <v>0</v>
      </c>
      <c r="W756" s="60">
        <v>0</v>
      </c>
      <c r="X756" s="60">
        <v>0</v>
      </c>
      <c r="Y756" s="60">
        <v>0</v>
      </c>
      <c r="Z756" s="60">
        <v>0</v>
      </c>
      <c r="AA756" s="60">
        <v>0</v>
      </c>
      <c r="AB756" s="60">
        <v>0</v>
      </c>
      <c r="AC756" s="60">
        <v>723.21</v>
      </c>
      <c r="AD756" s="60">
        <v>779.5</v>
      </c>
      <c r="AE756" s="60">
        <v>786.64</v>
      </c>
      <c r="AF756" s="60">
        <v>0</v>
      </c>
      <c r="AG756" s="60">
        <v>0</v>
      </c>
      <c r="AH756" s="60">
        <v>0</v>
      </c>
      <c r="AI756" s="60">
        <v>723.21</v>
      </c>
      <c r="AJ756" s="60">
        <v>779.5</v>
      </c>
      <c r="AK756" s="60">
        <v>786.64</v>
      </c>
      <c r="AL756" s="60">
        <v>0</v>
      </c>
      <c r="AM756" s="60">
        <v>0</v>
      </c>
      <c r="AN756" s="60">
        <v>0</v>
      </c>
      <c r="AO756" s="60">
        <v>723.21</v>
      </c>
      <c r="AP756" s="60">
        <v>779.5</v>
      </c>
      <c r="AQ756" s="60">
        <v>786.64</v>
      </c>
      <c r="AR756" s="61">
        <v>786.64</v>
      </c>
    </row>
    <row r="757" spans="1:44" x14ac:dyDescent="0.35">
      <c r="A757" s="49" t="str">
        <f t="shared" ref="A757:A767" si="64">TEXT(19,"00")</f>
        <v>19</v>
      </c>
      <c r="B757" s="27">
        <v>64840</v>
      </c>
      <c r="C757" s="25" t="str">
        <f t="shared" ref="C757:C767" si="65">TEXT(,"0000000")</f>
        <v>0000000</v>
      </c>
      <c r="D757" s="26" t="s">
        <v>3663</v>
      </c>
      <c r="E757" s="25" t="s">
        <v>1069</v>
      </c>
      <c r="F757" s="25" t="s">
        <v>1070</v>
      </c>
      <c r="G757" s="59" t="s">
        <v>1070</v>
      </c>
      <c r="H757" s="60">
        <v>13953.05</v>
      </c>
      <c r="I757" s="60">
        <v>14080.86</v>
      </c>
      <c r="J757" s="60">
        <v>14221.25</v>
      </c>
      <c r="K757" s="60">
        <v>0</v>
      </c>
      <c r="L757" s="60">
        <v>0</v>
      </c>
      <c r="M757" s="60">
        <v>0</v>
      </c>
      <c r="N757" s="60">
        <v>0</v>
      </c>
      <c r="O757" s="60">
        <v>0</v>
      </c>
      <c r="P757" s="60">
        <v>0</v>
      </c>
      <c r="Q757" s="60">
        <v>0</v>
      </c>
      <c r="R757" s="60">
        <v>0</v>
      </c>
      <c r="S757" s="60">
        <v>0</v>
      </c>
      <c r="T757" s="60">
        <v>6.8</v>
      </c>
      <c r="U757" s="60">
        <v>6.32</v>
      </c>
      <c r="V757" s="60">
        <v>5.72</v>
      </c>
      <c r="W757" s="60">
        <v>2.38</v>
      </c>
      <c r="X757" s="60">
        <v>3.47</v>
      </c>
      <c r="Y757" s="60">
        <v>5.4</v>
      </c>
      <c r="Z757" s="60">
        <v>0</v>
      </c>
      <c r="AA757" s="60">
        <v>0</v>
      </c>
      <c r="AB757" s="60">
        <v>0</v>
      </c>
      <c r="AC757" s="60">
        <v>0</v>
      </c>
      <c r="AD757" s="60">
        <v>0</v>
      </c>
      <c r="AE757" s="60">
        <v>0</v>
      </c>
      <c r="AF757" s="60">
        <v>0</v>
      </c>
      <c r="AG757" s="60">
        <v>0</v>
      </c>
      <c r="AH757" s="60">
        <v>0</v>
      </c>
      <c r="AI757" s="60">
        <v>13962.23</v>
      </c>
      <c r="AJ757" s="60">
        <v>14090.65</v>
      </c>
      <c r="AK757" s="60">
        <v>14232.37</v>
      </c>
      <c r="AL757" s="60">
        <v>0</v>
      </c>
      <c r="AM757" s="60">
        <v>0</v>
      </c>
      <c r="AN757" s="60">
        <v>0</v>
      </c>
      <c r="AO757" s="60">
        <v>13962.23</v>
      </c>
      <c r="AP757" s="60">
        <v>14090.65</v>
      </c>
      <c r="AQ757" s="60">
        <v>14232.37</v>
      </c>
      <c r="AR757" s="61">
        <v>14232.37</v>
      </c>
    </row>
    <row r="758" spans="1:44" x14ac:dyDescent="0.35">
      <c r="A758" s="49" t="str">
        <f t="shared" si="64"/>
        <v>19</v>
      </c>
      <c r="B758" s="27">
        <v>64436</v>
      </c>
      <c r="C758" s="25" t="str">
        <f t="shared" si="65"/>
        <v>0000000</v>
      </c>
      <c r="D758" s="26" t="s">
        <v>3663</v>
      </c>
      <c r="E758" s="25" t="s">
        <v>905</v>
      </c>
      <c r="F758" s="25" t="s">
        <v>906</v>
      </c>
      <c r="G758" s="59" t="s">
        <v>906</v>
      </c>
      <c r="H758" s="60">
        <v>10543.98</v>
      </c>
      <c r="I758" s="60">
        <v>10377.89</v>
      </c>
      <c r="J758" s="60">
        <v>10352.629999999999</v>
      </c>
      <c r="K758" s="60">
        <v>0</v>
      </c>
      <c r="L758" s="60">
        <v>0</v>
      </c>
      <c r="M758" s="60">
        <v>0</v>
      </c>
      <c r="N758" s="60">
        <v>0</v>
      </c>
      <c r="O758" s="60">
        <v>0</v>
      </c>
      <c r="P758" s="60">
        <v>0</v>
      </c>
      <c r="Q758" s="60">
        <v>0</v>
      </c>
      <c r="R758" s="60">
        <v>0</v>
      </c>
      <c r="S758" s="60">
        <v>0</v>
      </c>
      <c r="T758" s="60">
        <v>36.26</v>
      </c>
      <c r="U758" s="60">
        <v>36.630000000000003</v>
      </c>
      <c r="V758" s="60">
        <v>34.56</v>
      </c>
      <c r="W758" s="60">
        <v>128.15</v>
      </c>
      <c r="X758" s="60">
        <v>145.87</v>
      </c>
      <c r="Y758" s="60">
        <v>152.91999999999999</v>
      </c>
      <c r="Z758" s="60">
        <v>0</v>
      </c>
      <c r="AA758" s="60">
        <v>0</v>
      </c>
      <c r="AB758" s="60">
        <v>0</v>
      </c>
      <c r="AC758" s="60">
        <v>0</v>
      </c>
      <c r="AD758" s="60">
        <v>0</v>
      </c>
      <c r="AE758" s="60">
        <v>0</v>
      </c>
      <c r="AF758" s="60">
        <v>0</v>
      </c>
      <c r="AG758" s="60">
        <v>0</v>
      </c>
      <c r="AH758" s="60">
        <v>0</v>
      </c>
      <c r="AI758" s="60">
        <v>10708.39</v>
      </c>
      <c r="AJ758" s="60">
        <v>10560.39</v>
      </c>
      <c r="AK758" s="60">
        <v>10540.11</v>
      </c>
      <c r="AL758" s="60">
        <v>0</v>
      </c>
      <c r="AM758" s="60">
        <v>0</v>
      </c>
      <c r="AN758" s="60">
        <v>0</v>
      </c>
      <c r="AO758" s="60">
        <v>10708.39</v>
      </c>
      <c r="AP758" s="60">
        <v>10560.39</v>
      </c>
      <c r="AQ758" s="60">
        <v>10540.11</v>
      </c>
      <c r="AR758" s="61">
        <v>10708.39</v>
      </c>
    </row>
    <row r="759" spans="1:44" x14ac:dyDescent="0.35">
      <c r="A759" s="49" t="str">
        <f t="shared" si="64"/>
        <v>19</v>
      </c>
      <c r="B759" s="27">
        <v>64279</v>
      </c>
      <c r="C759" s="25" t="str">
        <f t="shared" si="65"/>
        <v>0000000</v>
      </c>
      <c r="D759" s="26" t="s">
        <v>3663</v>
      </c>
      <c r="E759" s="25" t="s">
        <v>907</v>
      </c>
      <c r="F759" s="25" t="s">
        <v>906</v>
      </c>
      <c r="G759" s="59" t="s">
        <v>908</v>
      </c>
      <c r="H759" s="60">
        <v>5844.61</v>
      </c>
      <c r="I759" s="60">
        <v>6055.93</v>
      </c>
      <c r="J759" s="60">
        <v>6187.75</v>
      </c>
      <c r="K759" s="60">
        <v>0</v>
      </c>
      <c r="L759" s="60">
        <v>0</v>
      </c>
      <c r="M759" s="60">
        <v>0</v>
      </c>
      <c r="N759" s="60">
        <v>0</v>
      </c>
      <c r="O759" s="60">
        <v>0</v>
      </c>
      <c r="P759" s="60">
        <v>0</v>
      </c>
      <c r="Q759" s="60">
        <v>0</v>
      </c>
      <c r="R759" s="60">
        <v>0</v>
      </c>
      <c r="S759" s="60">
        <v>0</v>
      </c>
      <c r="T759" s="60">
        <v>0</v>
      </c>
      <c r="U759" s="60">
        <v>0</v>
      </c>
      <c r="V759" s="60">
        <v>0</v>
      </c>
      <c r="W759" s="60">
        <v>0</v>
      </c>
      <c r="X759" s="60">
        <v>0</v>
      </c>
      <c r="Y759" s="60">
        <v>0</v>
      </c>
      <c r="Z759" s="60">
        <v>0</v>
      </c>
      <c r="AA759" s="60">
        <v>0</v>
      </c>
      <c r="AB759" s="60">
        <v>0</v>
      </c>
      <c r="AC759" s="60">
        <v>0</v>
      </c>
      <c r="AD759" s="60">
        <v>0</v>
      </c>
      <c r="AE759" s="60">
        <v>0</v>
      </c>
      <c r="AF759" s="60">
        <v>0</v>
      </c>
      <c r="AG759" s="60">
        <v>0</v>
      </c>
      <c r="AH759" s="60">
        <v>0</v>
      </c>
      <c r="AI759" s="60">
        <v>5844.61</v>
      </c>
      <c r="AJ759" s="60">
        <v>6055.93</v>
      </c>
      <c r="AK759" s="60">
        <v>6187.75</v>
      </c>
      <c r="AL759" s="60">
        <v>0</v>
      </c>
      <c r="AM759" s="60">
        <v>0</v>
      </c>
      <c r="AN759" s="60">
        <v>0</v>
      </c>
      <c r="AO759" s="60">
        <v>5844.61</v>
      </c>
      <c r="AP759" s="60">
        <v>6055.93</v>
      </c>
      <c r="AQ759" s="60">
        <v>6187.75</v>
      </c>
      <c r="AR759" s="61">
        <v>6187.75</v>
      </c>
    </row>
    <row r="760" spans="1:44" x14ac:dyDescent="0.35">
      <c r="A760" s="49" t="str">
        <f t="shared" si="64"/>
        <v>19</v>
      </c>
      <c r="B760" s="27">
        <v>64287</v>
      </c>
      <c r="C760" s="25" t="str">
        <f t="shared" si="65"/>
        <v>0000000</v>
      </c>
      <c r="D760" s="26" t="s">
        <v>3663</v>
      </c>
      <c r="E760" s="25" t="s">
        <v>909</v>
      </c>
      <c r="F760" s="25" t="s">
        <v>906</v>
      </c>
      <c r="G760" s="59" t="s">
        <v>910</v>
      </c>
      <c r="H760" s="60">
        <v>9314.42</v>
      </c>
      <c r="I760" s="60">
        <v>9599.44</v>
      </c>
      <c r="J760" s="60">
        <v>9524</v>
      </c>
      <c r="K760" s="60">
        <v>0</v>
      </c>
      <c r="L760" s="60">
        <v>0</v>
      </c>
      <c r="M760" s="60">
        <v>0</v>
      </c>
      <c r="N760" s="60">
        <v>0</v>
      </c>
      <c r="O760" s="60">
        <v>0</v>
      </c>
      <c r="P760" s="60">
        <v>0</v>
      </c>
      <c r="Q760" s="60">
        <v>0</v>
      </c>
      <c r="R760" s="60">
        <v>0</v>
      </c>
      <c r="S760" s="60">
        <v>0</v>
      </c>
      <c r="T760" s="60">
        <v>0</v>
      </c>
      <c r="U760" s="60">
        <v>0</v>
      </c>
      <c r="V760" s="60">
        <v>0</v>
      </c>
      <c r="W760" s="60">
        <v>0</v>
      </c>
      <c r="X760" s="60">
        <v>0</v>
      </c>
      <c r="Y760" s="60">
        <v>0</v>
      </c>
      <c r="Z760" s="60">
        <v>0</v>
      </c>
      <c r="AA760" s="60">
        <v>0</v>
      </c>
      <c r="AB760" s="60">
        <v>0</v>
      </c>
      <c r="AC760" s="60">
        <v>0</v>
      </c>
      <c r="AD760" s="60">
        <v>0</v>
      </c>
      <c r="AE760" s="60">
        <v>2561.02</v>
      </c>
      <c r="AF760" s="60">
        <v>0</v>
      </c>
      <c r="AG760" s="60">
        <v>0</v>
      </c>
      <c r="AH760" s="60">
        <v>0</v>
      </c>
      <c r="AI760" s="60">
        <v>9314.42</v>
      </c>
      <c r="AJ760" s="60">
        <v>9599.44</v>
      </c>
      <c r="AK760" s="60">
        <v>12085.02</v>
      </c>
      <c r="AL760" s="60">
        <v>0</v>
      </c>
      <c r="AM760" s="60">
        <v>0</v>
      </c>
      <c r="AN760" s="60">
        <v>-2561.02</v>
      </c>
      <c r="AO760" s="60">
        <v>9314.42</v>
      </c>
      <c r="AP760" s="60">
        <v>9599.44</v>
      </c>
      <c r="AQ760" s="60">
        <v>9524</v>
      </c>
      <c r="AR760" s="61">
        <v>9599.44</v>
      </c>
    </row>
    <row r="761" spans="1:44" x14ac:dyDescent="0.35">
      <c r="A761" s="49" t="str">
        <f t="shared" si="64"/>
        <v>19</v>
      </c>
      <c r="B761" s="27">
        <v>64295</v>
      </c>
      <c r="C761" s="25" t="str">
        <f t="shared" si="65"/>
        <v>0000000</v>
      </c>
      <c r="D761" s="26" t="s">
        <v>3663</v>
      </c>
      <c r="E761" s="25" t="s">
        <v>914</v>
      </c>
      <c r="F761" s="25" t="s">
        <v>906</v>
      </c>
      <c r="G761" s="59" t="s">
        <v>915</v>
      </c>
      <c r="H761" s="60">
        <v>2701.04</v>
      </c>
      <c r="I761" s="60">
        <v>2629.6</v>
      </c>
      <c r="J761" s="60">
        <v>2695.84</v>
      </c>
      <c r="K761" s="60">
        <v>0</v>
      </c>
      <c r="L761" s="60">
        <v>0</v>
      </c>
      <c r="M761" s="60">
        <v>0</v>
      </c>
      <c r="N761" s="60">
        <v>0</v>
      </c>
      <c r="O761" s="60">
        <v>0</v>
      </c>
      <c r="P761" s="60">
        <v>0</v>
      </c>
      <c r="Q761" s="60">
        <v>0</v>
      </c>
      <c r="R761" s="60">
        <v>0</v>
      </c>
      <c r="S761" s="60">
        <v>0</v>
      </c>
      <c r="T761" s="60">
        <v>0</v>
      </c>
      <c r="U761" s="60">
        <v>0</v>
      </c>
      <c r="V761" s="60">
        <v>0</v>
      </c>
      <c r="W761" s="60">
        <v>0</v>
      </c>
      <c r="X761" s="60">
        <v>0</v>
      </c>
      <c r="Y761" s="60">
        <v>0</v>
      </c>
      <c r="Z761" s="60">
        <v>0</v>
      </c>
      <c r="AA761" s="60">
        <v>0</v>
      </c>
      <c r="AB761" s="60">
        <v>0</v>
      </c>
      <c r="AC761" s="60">
        <v>0</v>
      </c>
      <c r="AD761" s="60">
        <v>0</v>
      </c>
      <c r="AE761" s="60">
        <v>0</v>
      </c>
      <c r="AF761" s="60">
        <v>0</v>
      </c>
      <c r="AG761" s="60">
        <v>0</v>
      </c>
      <c r="AH761" s="60">
        <v>0</v>
      </c>
      <c r="AI761" s="60">
        <v>2701.04</v>
      </c>
      <c r="AJ761" s="60">
        <v>2629.6</v>
      </c>
      <c r="AK761" s="60">
        <v>2695.84</v>
      </c>
      <c r="AL761" s="60">
        <v>0</v>
      </c>
      <c r="AM761" s="60">
        <v>0</v>
      </c>
      <c r="AN761" s="60">
        <v>0</v>
      </c>
      <c r="AO761" s="60">
        <v>2701.04</v>
      </c>
      <c r="AP761" s="60">
        <v>2629.6</v>
      </c>
      <c r="AQ761" s="60">
        <v>2695.84</v>
      </c>
      <c r="AR761" s="61">
        <v>2701.04</v>
      </c>
    </row>
    <row r="762" spans="1:44" x14ac:dyDescent="0.35">
      <c r="A762" s="49" t="str">
        <f t="shared" si="64"/>
        <v>19</v>
      </c>
      <c r="B762" s="27">
        <v>64329</v>
      </c>
      <c r="C762" s="25" t="str">
        <f t="shared" si="65"/>
        <v>0000000</v>
      </c>
      <c r="D762" s="26" t="s">
        <v>3663</v>
      </c>
      <c r="E762" s="25" t="s">
        <v>922</v>
      </c>
      <c r="F762" s="25" t="s">
        <v>906</v>
      </c>
      <c r="G762" s="59" t="s">
        <v>923</v>
      </c>
      <c r="H762" s="60">
        <v>9303.84</v>
      </c>
      <c r="I762" s="60">
        <v>9099.9699999999993</v>
      </c>
      <c r="J762" s="60">
        <v>8902.15</v>
      </c>
      <c r="K762" s="60">
        <v>0</v>
      </c>
      <c r="L762" s="60">
        <v>0</v>
      </c>
      <c r="M762" s="60">
        <v>0</v>
      </c>
      <c r="N762" s="60">
        <v>0</v>
      </c>
      <c r="O762" s="60">
        <v>0</v>
      </c>
      <c r="P762" s="60">
        <v>0</v>
      </c>
      <c r="Q762" s="60">
        <v>0</v>
      </c>
      <c r="R762" s="60">
        <v>0</v>
      </c>
      <c r="S762" s="60">
        <v>0</v>
      </c>
      <c r="T762" s="60">
        <v>0</v>
      </c>
      <c r="U762" s="60">
        <v>0</v>
      </c>
      <c r="V762" s="60">
        <v>0</v>
      </c>
      <c r="W762" s="60">
        <v>0</v>
      </c>
      <c r="X762" s="60">
        <v>0</v>
      </c>
      <c r="Y762" s="60">
        <v>0</v>
      </c>
      <c r="Z762" s="60">
        <v>0</v>
      </c>
      <c r="AA762" s="60">
        <v>0</v>
      </c>
      <c r="AB762" s="60">
        <v>0</v>
      </c>
      <c r="AC762" s="60">
        <v>0</v>
      </c>
      <c r="AD762" s="60">
        <v>0</v>
      </c>
      <c r="AE762" s="60">
        <v>0</v>
      </c>
      <c r="AF762" s="60">
        <v>0</v>
      </c>
      <c r="AG762" s="60">
        <v>0</v>
      </c>
      <c r="AH762" s="60">
        <v>0</v>
      </c>
      <c r="AI762" s="60">
        <v>9303.84</v>
      </c>
      <c r="AJ762" s="60">
        <v>9099.9699999999993</v>
      </c>
      <c r="AK762" s="60">
        <v>8902.15</v>
      </c>
      <c r="AL762" s="60">
        <v>0</v>
      </c>
      <c r="AM762" s="60">
        <v>0</v>
      </c>
      <c r="AN762" s="60">
        <v>0</v>
      </c>
      <c r="AO762" s="60">
        <v>9303.84</v>
      </c>
      <c r="AP762" s="60">
        <v>9099.9699999999993</v>
      </c>
      <c r="AQ762" s="60">
        <v>8902.15</v>
      </c>
      <c r="AR762" s="61">
        <v>9303.84</v>
      </c>
    </row>
    <row r="763" spans="1:44" x14ac:dyDescent="0.35">
      <c r="A763" s="49" t="str">
        <f t="shared" si="64"/>
        <v>19</v>
      </c>
      <c r="B763" s="27">
        <v>64378</v>
      </c>
      <c r="C763" s="25" t="str">
        <f t="shared" si="65"/>
        <v>0000000</v>
      </c>
      <c r="D763" s="26" t="s">
        <v>3663</v>
      </c>
      <c r="E763" s="25" t="s">
        <v>940</v>
      </c>
      <c r="F763" s="25" t="s">
        <v>906</v>
      </c>
      <c r="G763" s="59" t="s">
        <v>941</v>
      </c>
      <c r="H763" s="60">
        <v>3999.69</v>
      </c>
      <c r="I763" s="60">
        <v>3958.03</v>
      </c>
      <c r="J763" s="60">
        <v>3949.94</v>
      </c>
      <c r="K763" s="60">
        <v>0</v>
      </c>
      <c r="L763" s="60">
        <v>0</v>
      </c>
      <c r="M763" s="60">
        <v>0</v>
      </c>
      <c r="N763" s="60">
        <v>0</v>
      </c>
      <c r="O763" s="60">
        <v>0</v>
      </c>
      <c r="P763" s="60">
        <v>0</v>
      </c>
      <c r="Q763" s="60">
        <v>0</v>
      </c>
      <c r="R763" s="60">
        <v>0</v>
      </c>
      <c r="S763" s="60">
        <v>0</v>
      </c>
      <c r="T763" s="60">
        <v>0</v>
      </c>
      <c r="U763" s="60">
        <v>0</v>
      </c>
      <c r="V763" s="60">
        <v>0</v>
      </c>
      <c r="W763" s="60">
        <v>0</v>
      </c>
      <c r="X763" s="60">
        <v>0</v>
      </c>
      <c r="Y763" s="60">
        <v>0</v>
      </c>
      <c r="Z763" s="60">
        <v>0</v>
      </c>
      <c r="AA763" s="60">
        <v>0</v>
      </c>
      <c r="AB763" s="60">
        <v>0</v>
      </c>
      <c r="AC763" s="60">
        <v>0</v>
      </c>
      <c r="AD763" s="60">
        <v>0</v>
      </c>
      <c r="AE763" s="60">
        <v>0</v>
      </c>
      <c r="AF763" s="60">
        <v>0</v>
      </c>
      <c r="AG763" s="60">
        <v>0</v>
      </c>
      <c r="AH763" s="60">
        <v>0</v>
      </c>
      <c r="AI763" s="60">
        <v>3999.69</v>
      </c>
      <c r="AJ763" s="60">
        <v>3958.03</v>
      </c>
      <c r="AK763" s="60">
        <v>3949.94</v>
      </c>
      <c r="AL763" s="60">
        <v>0</v>
      </c>
      <c r="AM763" s="60">
        <v>0</v>
      </c>
      <c r="AN763" s="60">
        <v>0</v>
      </c>
      <c r="AO763" s="60">
        <v>3999.69</v>
      </c>
      <c r="AP763" s="60">
        <v>3958.03</v>
      </c>
      <c r="AQ763" s="60">
        <v>3949.94</v>
      </c>
      <c r="AR763" s="61">
        <v>3999.69</v>
      </c>
    </row>
    <row r="764" spans="1:44" x14ac:dyDescent="0.35">
      <c r="A764" s="49" t="str">
        <f t="shared" si="64"/>
        <v>19</v>
      </c>
      <c r="B764" s="27">
        <v>64394</v>
      </c>
      <c r="C764" s="25" t="str">
        <f t="shared" si="65"/>
        <v>0000000</v>
      </c>
      <c r="D764" s="26" t="s">
        <v>3663</v>
      </c>
      <c r="E764" s="25" t="s">
        <v>942</v>
      </c>
      <c r="F764" s="25" t="s">
        <v>906</v>
      </c>
      <c r="G764" s="59" t="s">
        <v>943</v>
      </c>
      <c r="H764" s="60">
        <v>5886.68</v>
      </c>
      <c r="I764" s="60">
        <v>5952.66</v>
      </c>
      <c r="J764" s="60">
        <v>6068.38</v>
      </c>
      <c r="K764" s="60">
        <v>0</v>
      </c>
      <c r="L764" s="60">
        <v>0</v>
      </c>
      <c r="M764" s="60">
        <v>0</v>
      </c>
      <c r="N764" s="60">
        <v>0</v>
      </c>
      <c r="O764" s="60">
        <v>0</v>
      </c>
      <c r="P764" s="60">
        <v>0</v>
      </c>
      <c r="Q764" s="60">
        <v>0</v>
      </c>
      <c r="R764" s="60">
        <v>0</v>
      </c>
      <c r="S764" s="60">
        <v>0</v>
      </c>
      <c r="T764" s="60">
        <v>0</v>
      </c>
      <c r="U764" s="60">
        <v>0</v>
      </c>
      <c r="V764" s="60">
        <v>0</v>
      </c>
      <c r="W764" s="60">
        <v>0</v>
      </c>
      <c r="X764" s="60">
        <v>0</v>
      </c>
      <c r="Y764" s="60">
        <v>0</v>
      </c>
      <c r="Z764" s="60">
        <v>0</v>
      </c>
      <c r="AA764" s="60">
        <v>0</v>
      </c>
      <c r="AB764" s="60">
        <v>0</v>
      </c>
      <c r="AC764" s="60">
        <v>0</v>
      </c>
      <c r="AD764" s="60">
        <v>0</v>
      </c>
      <c r="AE764" s="60">
        <v>0</v>
      </c>
      <c r="AF764" s="60">
        <v>0</v>
      </c>
      <c r="AG764" s="60">
        <v>0</v>
      </c>
      <c r="AH764" s="60">
        <v>0</v>
      </c>
      <c r="AI764" s="60">
        <v>5886.68</v>
      </c>
      <c r="AJ764" s="60">
        <v>5952.66</v>
      </c>
      <c r="AK764" s="60">
        <v>6068.38</v>
      </c>
      <c r="AL764" s="60">
        <v>0</v>
      </c>
      <c r="AM764" s="60">
        <v>0</v>
      </c>
      <c r="AN764" s="60">
        <v>0</v>
      </c>
      <c r="AO764" s="60">
        <v>5886.68</v>
      </c>
      <c r="AP764" s="60">
        <v>5952.66</v>
      </c>
      <c r="AQ764" s="60">
        <v>6068.38</v>
      </c>
      <c r="AR764" s="61">
        <v>6068.38</v>
      </c>
    </row>
    <row r="765" spans="1:44" x14ac:dyDescent="0.35">
      <c r="A765" s="49" t="str">
        <f t="shared" si="64"/>
        <v>19</v>
      </c>
      <c r="B765" s="27">
        <v>64576</v>
      </c>
      <c r="C765" s="25" t="str">
        <f t="shared" si="65"/>
        <v>0000000</v>
      </c>
      <c r="D765" s="26" t="s">
        <v>3663</v>
      </c>
      <c r="E765" s="25" t="s">
        <v>968</v>
      </c>
      <c r="F765" s="25" t="s">
        <v>906</v>
      </c>
      <c r="G765" s="59" t="s">
        <v>969</v>
      </c>
      <c r="H765" s="60">
        <v>6123.89</v>
      </c>
      <c r="I765" s="60">
        <v>6156.33</v>
      </c>
      <c r="J765" s="60">
        <v>6208.04</v>
      </c>
      <c r="K765" s="60">
        <v>0</v>
      </c>
      <c r="L765" s="60">
        <v>0</v>
      </c>
      <c r="M765" s="60">
        <v>0</v>
      </c>
      <c r="N765" s="60">
        <v>0</v>
      </c>
      <c r="O765" s="60">
        <v>0</v>
      </c>
      <c r="P765" s="60">
        <v>0</v>
      </c>
      <c r="Q765" s="60">
        <v>0</v>
      </c>
      <c r="R765" s="60">
        <v>0</v>
      </c>
      <c r="S765" s="60">
        <v>0</v>
      </c>
      <c r="T765" s="60">
        <v>0</v>
      </c>
      <c r="U765" s="60">
        <v>0</v>
      </c>
      <c r="V765" s="60">
        <v>0</v>
      </c>
      <c r="W765" s="60">
        <v>0</v>
      </c>
      <c r="X765" s="60">
        <v>0</v>
      </c>
      <c r="Y765" s="60">
        <v>0</v>
      </c>
      <c r="Z765" s="60">
        <v>0</v>
      </c>
      <c r="AA765" s="60">
        <v>0</v>
      </c>
      <c r="AB765" s="60">
        <v>0</v>
      </c>
      <c r="AC765" s="60">
        <v>0</v>
      </c>
      <c r="AD765" s="60">
        <v>0</v>
      </c>
      <c r="AE765" s="60">
        <v>0</v>
      </c>
      <c r="AF765" s="60">
        <v>0</v>
      </c>
      <c r="AG765" s="60">
        <v>0</v>
      </c>
      <c r="AH765" s="60">
        <v>0</v>
      </c>
      <c r="AI765" s="60">
        <v>6123.89</v>
      </c>
      <c r="AJ765" s="60">
        <v>6156.33</v>
      </c>
      <c r="AK765" s="60">
        <v>6208.04</v>
      </c>
      <c r="AL765" s="60">
        <v>0</v>
      </c>
      <c r="AM765" s="60">
        <v>0</v>
      </c>
      <c r="AN765" s="60">
        <v>0</v>
      </c>
      <c r="AO765" s="60">
        <v>6123.89</v>
      </c>
      <c r="AP765" s="60">
        <v>6156.33</v>
      </c>
      <c r="AQ765" s="60">
        <v>6208.04</v>
      </c>
      <c r="AR765" s="61">
        <v>6208.04</v>
      </c>
    </row>
    <row r="766" spans="1:44" x14ac:dyDescent="0.35">
      <c r="A766" s="49" t="str">
        <f t="shared" si="64"/>
        <v>19</v>
      </c>
      <c r="B766" s="27">
        <v>73460</v>
      </c>
      <c r="C766" s="25" t="str">
        <f t="shared" si="65"/>
        <v>0000000</v>
      </c>
      <c r="D766" s="26" t="s">
        <v>3663</v>
      </c>
      <c r="E766" s="25" t="s">
        <v>1164</v>
      </c>
      <c r="F766" s="25" t="s">
        <v>906</v>
      </c>
      <c r="G766" s="59" t="s">
        <v>1165</v>
      </c>
      <c r="H766" s="60">
        <v>13350.23</v>
      </c>
      <c r="I766" s="60">
        <v>13001.95</v>
      </c>
      <c r="J766" s="60">
        <v>12813.64</v>
      </c>
      <c r="K766" s="60">
        <v>0</v>
      </c>
      <c r="L766" s="60">
        <v>0</v>
      </c>
      <c r="M766" s="60">
        <v>0</v>
      </c>
      <c r="N766" s="60">
        <v>0</v>
      </c>
      <c r="O766" s="60">
        <v>0</v>
      </c>
      <c r="P766" s="60">
        <v>0</v>
      </c>
      <c r="Q766" s="60">
        <v>0</v>
      </c>
      <c r="R766" s="60">
        <v>0</v>
      </c>
      <c r="S766" s="60">
        <v>0</v>
      </c>
      <c r="T766" s="60">
        <v>0</v>
      </c>
      <c r="U766" s="60">
        <v>0</v>
      </c>
      <c r="V766" s="60">
        <v>0</v>
      </c>
      <c r="W766" s="60">
        <v>0</v>
      </c>
      <c r="X766" s="60">
        <v>0</v>
      </c>
      <c r="Y766" s="60">
        <v>0</v>
      </c>
      <c r="Z766" s="60">
        <v>0</v>
      </c>
      <c r="AA766" s="60">
        <v>0</v>
      </c>
      <c r="AB766" s="60">
        <v>0</v>
      </c>
      <c r="AC766" s="60">
        <v>0</v>
      </c>
      <c r="AD766" s="60">
        <v>0</v>
      </c>
      <c r="AE766" s="60">
        <v>0</v>
      </c>
      <c r="AF766" s="60">
        <v>0</v>
      </c>
      <c r="AG766" s="60">
        <v>0</v>
      </c>
      <c r="AH766" s="60">
        <v>0</v>
      </c>
      <c r="AI766" s="60">
        <v>13350.23</v>
      </c>
      <c r="AJ766" s="60">
        <v>13001.95</v>
      </c>
      <c r="AK766" s="60">
        <v>12813.64</v>
      </c>
      <c r="AL766" s="60">
        <v>0</v>
      </c>
      <c r="AM766" s="60">
        <v>0</v>
      </c>
      <c r="AN766" s="60">
        <v>0</v>
      </c>
      <c r="AO766" s="60">
        <v>13350.23</v>
      </c>
      <c r="AP766" s="60">
        <v>13001.95</v>
      </c>
      <c r="AQ766" s="60">
        <v>12813.64</v>
      </c>
      <c r="AR766" s="61">
        <v>13350.23</v>
      </c>
    </row>
    <row r="767" spans="1:44" x14ac:dyDescent="0.35">
      <c r="A767" s="49" t="str">
        <f t="shared" si="64"/>
        <v>19</v>
      </c>
      <c r="B767" s="27">
        <v>65094</v>
      </c>
      <c r="C767" s="25" t="str">
        <f t="shared" si="65"/>
        <v>0000000</v>
      </c>
      <c r="D767" s="26" t="s">
        <v>3663</v>
      </c>
      <c r="E767" s="25" t="s">
        <v>1118</v>
      </c>
      <c r="F767" s="25" t="s">
        <v>906</v>
      </c>
      <c r="G767" s="59" t="s">
        <v>1119</v>
      </c>
      <c r="H767" s="60">
        <v>7457.14</v>
      </c>
      <c r="I767" s="60">
        <v>7446.89</v>
      </c>
      <c r="J767" s="60">
        <v>7536.38</v>
      </c>
      <c r="K767" s="60">
        <v>0</v>
      </c>
      <c r="L767" s="60">
        <v>0</v>
      </c>
      <c r="M767" s="60">
        <v>0</v>
      </c>
      <c r="N767" s="60">
        <v>0</v>
      </c>
      <c r="O767" s="60">
        <v>0</v>
      </c>
      <c r="P767" s="60">
        <v>0</v>
      </c>
      <c r="Q767" s="60">
        <v>0</v>
      </c>
      <c r="R767" s="60">
        <v>0</v>
      </c>
      <c r="S767" s="60">
        <v>0</v>
      </c>
      <c r="T767" s="60">
        <v>0</v>
      </c>
      <c r="U767" s="60">
        <v>0</v>
      </c>
      <c r="V767" s="60">
        <v>0</v>
      </c>
      <c r="W767" s="60">
        <v>0</v>
      </c>
      <c r="X767" s="60">
        <v>0</v>
      </c>
      <c r="Y767" s="60">
        <v>0</v>
      </c>
      <c r="Z767" s="60">
        <v>0</v>
      </c>
      <c r="AA767" s="60">
        <v>0</v>
      </c>
      <c r="AB767" s="60">
        <v>0</v>
      </c>
      <c r="AC767" s="60">
        <v>0</v>
      </c>
      <c r="AD767" s="60">
        <v>0</v>
      </c>
      <c r="AE767" s="60">
        <v>1186.1099999999999</v>
      </c>
      <c r="AF767" s="60">
        <v>0</v>
      </c>
      <c r="AG767" s="60">
        <v>0</v>
      </c>
      <c r="AH767" s="60">
        <v>0</v>
      </c>
      <c r="AI767" s="60">
        <v>7457.14</v>
      </c>
      <c r="AJ767" s="60">
        <v>7446.89</v>
      </c>
      <c r="AK767" s="60">
        <v>8722.49</v>
      </c>
      <c r="AL767" s="60">
        <v>0</v>
      </c>
      <c r="AM767" s="60">
        <v>0</v>
      </c>
      <c r="AN767" s="60">
        <v>-1186.1099999999999</v>
      </c>
      <c r="AO767" s="60">
        <v>7457.14</v>
      </c>
      <c r="AP767" s="60">
        <v>7446.89</v>
      </c>
      <c r="AQ767" s="60">
        <v>7536.38</v>
      </c>
      <c r="AR767" s="61">
        <v>7536.38</v>
      </c>
    </row>
    <row r="768" spans="1:44" x14ac:dyDescent="0.35">
      <c r="A768" s="49" t="str">
        <f>TEXT(36,"00")</f>
        <v>36</v>
      </c>
      <c r="B768" s="27">
        <v>67876</v>
      </c>
      <c r="C768" s="25" t="str">
        <f>TEXT(120568,"0000000")</f>
        <v>0120568</v>
      </c>
      <c r="D768" s="27">
        <v>1132</v>
      </c>
      <c r="E768" s="25" t="s">
        <v>1984</v>
      </c>
      <c r="F768" s="25" t="s">
        <v>906</v>
      </c>
      <c r="G768" s="59" t="s">
        <v>1985</v>
      </c>
      <c r="H768" s="60">
        <v>0</v>
      </c>
      <c r="I768" s="60">
        <v>0</v>
      </c>
      <c r="J768" s="60">
        <v>0</v>
      </c>
      <c r="K768" s="60">
        <v>0</v>
      </c>
      <c r="L768" s="60">
        <v>0</v>
      </c>
      <c r="M768" s="60">
        <v>0</v>
      </c>
      <c r="N768" s="60">
        <v>0</v>
      </c>
      <c r="O768" s="60">
        <v>0</v>
      </c>
      <c r="P768" s="60">
        <v>0</v>
      </c>
      <c r="Q768" s="60">
        <v>0</v>
      </c>
      <c r="R768" s="60">
        <v>0</v>
      </c>
      <c r="S768" s="60">
        <v>0</v>
      </c>
      <c r="T768" s="60">
        <v>0</v>
      </c>
      <c r="U768" s="60">
        <v>0</v>
      </c>
      <c r="V768" s="60">
        <v>0</v>
      </c>
      <c r="W768" s="60">
        <v>0</v>
      </c>
      <c r="X768" s="60">
        <v>0</v>
      </c>
      <c r="Y768" s="60">
        <v>0</v>
      </c>
      <c r="Z768" s="60">
        <v>0</v>
      </c>
      <c r="AA768" s="60">
        <v>0</v>
      </c>
      <c r="AB768" s="60">
        <v>0</v>
      </c>
      <c r="AC768" s="60">
        <v>1426.85</v>
      </c>
      <c r="AD768" s="60">
        <v>1206.18</v>
      </c>
      <c r="AE768" s="60">
        <v>1015.93</v>
      </c>
      <c r="AF768" s="60">
        <v>0</v>
      </c>
      <c r="AG768" s="60">
        <v>0</v>
      </c>
      <c r="AH768" s="60">
        <v>0</v>
      </c>
      <c r="AI768" s="60">
        <v>1426.85</v>
      </c>
      <c r="AJ768" s="60">
        <v>1206.18</v>
      </c>
      <c r="AK768" s="60">
        <v>1015.93</v>
      </c>
      <c r="AL768" s="60">
        <v>0</v>
      </c>
      <c r="AM768" s="60">
        <v>0</v>
      </c>
      <c r="AN768" s="60">
        <v>0</v>
      </c>
      <c r="AO768" s="60">
        <v>1426.85</v>
      </c>
      <c r="AP768" s="60">
        <v>1206.18</v>
      </c>
      <c r="AQ768" s="60">
        <v>1015.93</v>
      </c>
      <c r="AR768" s="61">
        <v>1426.85</v>
      </c>
    </row>
    <row r="769" spans="1:44" x14ac:dyDescent="0.35">
      <c r="A769" s="49" t="str">
        <f t="shared" ref="A769:A786" si="66">TEXT(19,"00")</f>
        <v>19</v>
      </c>
      <c r="B769" s="27">
        <v>73452</v>
      </c>
      <c r="C769" s="25" t="str">
        <f>TEXT(120600,"0000000")</f>
        <v>0120600</v>
      </c>
      <c r="D769" s="27">
        <v>1135</v>
      </c>
      <c r="E769" s="25" t="s">
        <v>1162</v>
      </c>
      <c r="F769" s="25" t="s">
        <v>906</v>
      </c>
      <c r="G769" s="59" t="s">
        <v>1163</v>
      </c>
      <c r="H769" s="60">
        <v>0</v>
      </c>
      <c r="I769" s="60">
        <v>0</v>
      </c>
      <c r="J769" s="60">
        <v>0</v>
      </c>
      <c r="K769" s="60">
        <v>0</v>
      </c>
      <c r="L769" s="60">
        <v>0</v>
      </c>
      <c r="M769" s="60">
        <v>0</v>
      </c>
      <c r="N769" s="60">
        <v>0</v>
      </c>
      <c r="O769" s="60">
        <v>0</v>
      </c>
      <c r="P769" s="60">
        <v>0</v>
      </c>
      <c r="Q769" s="60">
        <v>0</v>
      </c>
      <c r="R769" s="60">
        <v>0</v>
      </c>
      <c r="S769" s="60">
        <v>0</v>
      </c>
      <c r="T769" s="60">
        <v>0</v>
      </c>
      <c r="U769" s="60">
        <v>0</v>
      </c>
      <c r="V769" s="60">
        <v>0</v>
      </c>
      <c r="W769" s="60">
        <v>0</v>
      </c>
      <c r="X769" s="60">
        <v>0</v>
      </c>
      <c r="Y769" s="60">
        <v>0</v>
      </c>
      <c r="Z769" s="60">
        <v>0</v>
      </c>
      <c r="AA769" s="60">
        <v>0</v>
      </c>
      <c r="AB769" s="60">
        <v>0</v>
      </c>
      <c r="AC769" s="60">
        <v>1406.74</v>
      </c>
      <c r="AD769" s="60">
        <v>1274.1400000000001</v>
      </c>
      <c r="AE769" s="60">
        <v>1277.8499999999999</v>
      </c>
      <c r="AF769" s="60">
        <v>0</v>
      </c>
      <c r="AG769" s="60">
        <v>0</v>
      </c>
      <c r="AH769" s="60">
        <v>0</v>
      </c>
      <c r="AI769" s="60">
        <v>1406.74</v>
      </c>
      <c r="AJ769" s="60">
        <v>1274.1400000000001</v>
      </c>
      <c r="AK769" s="60">
        <v>1277.8499999999999</v>
      </c>
      <c r="AL769" s="60">
        <v>0</v>
      </c>
      <c r="AM769" s="60">
        <v>0</v>
      </c>
      <c r="AN769" s="60">
        <v>0</v>
      </c>
      <c r="AO769" s="60">
        <v>1406.74</v>
      </c>
      <c r="AP769" s="60">
        <v>1274.1400000000001</v>
      </c>
      <c r="AQ769" s="60">
        <v>1277.8499999999999</v>
      </c>
      <c r="AR769" s="61">
        <v>1406.74</v>
      </c>
    </row>
    <row r="770" spans="1:44" x14ac:dyDescent="0.35">
      <c r="A770" s="49" t="str">
        <f t="shared" si="66"/>
        <v>19</v>
      </c>
      <c r="B770" s="27">
        <v>65094</v>
      </c>
      <c r="C770" s="25" t="str">
        <f>TEXT(112706,"0000000")</f>
        <v>0112706</v>
      </c>
      <c r="D770" s="26" t="s">
        <v>1122</v>
      </c>
      <c r="E770" s="25" t="s">
        <v>1120</v>
      </c>
      <c r="F770" s="25" t="s">
        <v>906</v>
      </c>
      <c r="G770" s="59" t="s">
        <v>1121</v>
      </c>
      <c r="H770" s="60">
        <v>0</v>
      </c>
      <c r="I770" s="60">
        <v>0</v>
      </c>
      <c r="J770" s="60">
        <v>0</v>
      </c>
      <c r="K770" s="60">
        <v>0</v>
      </c>
      <c r="L770" s="60">
        <v>0</v>
      </c>
      <c r="M770" s="60">
        <v>0</v>
      </c>
      <c r="N770" s="60">
        <v>0</v>
      </c>
      <c r="O770" s="60">
        <v>0</v>
      </c>
      <c r="P770" s="60">
        <v>0</v>
      </c>
      <c r="Q770" s="60">
        <v>0</v>
      </c>
      <c r="R770" s="60">
        <v>0</v>
      </c>
      <c r="S770" s="60">
        <v>0</v>
      </c>
      <c r="T770" s="60">
        <v>0</v>
      </c>
      <c r="U770" s="60">
        <v>0</v>
      </c>
      <c r="V770" s="60">
        <v>0</v>
      </c>
      <c r="W770" s="60">
        <v>0</v>
      </c>
      <c r="X770" s="60">
        <v>0</v>
      </c>
      <c r="Y770" s="60">
        <v>0</v>
      </c>
      <c r="Z770" s="60">
        <v>0</v>
      </c>
      <c r="AA770" s="60">
        <v>0</v>
      </c>
      <c r="AB770" s="60">
        <v>0</v>
      </c>
      <c r="AC770" s="60">
        <v>5557.81</v>
      </c>
      <c r="AD770" s="60">
        <v>5340.77</v>
      </c>
      <c r="AE770" s="60">
        <v>5709.8</v>
      </c>
      <c r="AF770" s="60">
        <v>0</v>
      </c>
      <c r="AG770" s="60">
        <v>0</v>
      </c>
      <c r="AH770" s="60">
        <v>0</v>
      </c>
      <c r="AI770" s="60">
        <v>5557.81</v>
      </c>
      <c r="AJ770" s="60">
        <v>5340.77</v>
      </c>
      <c r="AK770" s="60">
        <v>5709.8</v>
      </c>
      <c r="AL770" s="60">
        <v>0</v>
      </c>
      <c r="AM770" s="60">
        <v>0</v>
      </c>
      <c r="AN770" s="60">
        <v>0</v>
      </c>
      <c r="AO770" s="60">
        <v>5557.81</v>
      </c>
      <c r="AP770" s="60">
        <v>5340.77</v>
      </c>
      <c r="AQ770" s="60">
        <v>5709.8</v>
      </c>
      <c r="AR770" s="61">
        <v>5709.8</v>
      </c>
    </row>
    <row r="771" spans="1:44" x14ac:dyDescent="0.35">
      <c r="A771" s="49" t="str">
        <f t="shared" si="66"/>
        <v>19</v>
      </c>
      <c r="B771" s="27">
        <v>64287</v>
      </c>
      <c r="C771" s="25" t="str">
        <f>TEXT(1996479,"0000000")</f>
        <v>1996479</v>
      </c>
      <c r="D771" s="26" t="s">
        <v>913</v>
      </c>
      <c r="E771" s="25" t="s">
        <v>911</v>
      </c>
      <c r="F771" s="25" t="s">
        <v>906</v>
      </c>
      <c r="G771" s="59" t="s">
        <v>912</v>
      </c>
      <c r="H771" s="60">
        <v>0</v>
      </c>
      <c r="I771" s="60">
        <v>0</v>
      </c>
      <c r="J771" s="60">
        <v>0</v>
      </c>
      <c r="K771" s="60">
        <v>0</v>
      </c>
      <c r="L771" s="60">
        <v>0</v>
      </c>
      <c r="M771" s="60">
        <v>0</v>
      </c>
      <c r="N771" s="60">
        <v>0</v>
      </c>
      <c r="O771" s="60">
        <v>0</v>
      </c>
      <c r="P771" s="60">
        <v>0</v>
      </c>
      <c r="Q771" s="60">
        <v>0</v>
      </c>
      <c r="R771" s="60">
        <v>0</v>
      </c>
      <c r="S771" s="60">
        <v>0</v>
      </c>
      <c r="T771" s="60">
        <v>0</v>
      </c>
      <c r="U771" s="60">
        <v>0</v>
      </c>
      <c r="V771" s="60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394.18</v>
      </c>
      <c r="AD771" s="60">
        <v>779.86</v>
      </c>
      <c r="AE771" s="60">
        <v>0</v>
      </c>
      <c r="AF771" s="60">
        <v>0</v>
      </c>
      <c r="AG771" s="60">
        <v>0</v>
      </c>
      <c r="AH771" s="60">
        <v>0</v>
      </c>
      <c r="AI771" s="60">
        <v>394.18</v>
      </c>
      <c r="AJ771" s="60">
        <v>779.86</v>
      </c>
      <c r="AK771" s="60">
        <v>0</v>
      </c>
      <c r="AL771" s="60">
        <v>0</v>
      </c>
      <c r="AM771" s="60">
        <v>0</v>
      </c>
      <c r="AN771" s="60">
        <v>2561.02</v>
      </c>
      <c r="AO771" s="60">
        <v>394.18</v>
      </c>
      <c r="AP771" s="60">
        <v>779.86</v>
      </c>
      <c r="AQ771" s="60">
        <v>2561.02</v>
      </c>
      <c r="AR771" s="61">
        <v>2561.02</v>
      </c>
    </row>
    <row r="772" spans="1:44" x14ac:dyDescent="0.35">
      <c r="A772" s="49" t="str">
        <f t="shared" si="66"/>
        <v>19</v>
      </c>
      <c r="B772" s="27">
        <v>65094</v>
      </c>
      <c r="C772" s="25" t="str">
        <f>TEXT(6023527,"0000000")</f>
        <v>6023527</v>
      </c>
      <c r="D772" s="26" t="s">
        <v>1125</v>
      </c>
      <c r="E772" s="25" t="s">
        <v>1123</v>
      </c>
      <c r="F772" s="25" t="s">
        <v>906</v>
      </c>
      <c r="G772" s="59" t="s">
        <v>1124</v>
      </c>
      <c r="H772" s="60">
        <v>0</v>
      </c>
      <c r="I772" s="60">
        <v>0</v>
      </c>
      <c r="J772" s="60">
        <v>0</v>
      </c>
      <c r="K772" s="60">
        <v>0</v>
      </c>
      <c r="L772" s="60">
        <v>0</v>
      </c>
      <c r="M772" s="60">
        <v>0</v>
      </c>
      <c r="N772" s="60">
        <v>0</v>
      </c>
      <c r="O772" s="60">
        <v>0</v>
      </c>
      <c r="P772" s="60">
        <v>0</v>
      </c>
      <c r="Q772" s="60">
        <v>0</v>
      </c>
      <c r="R772" s="60">
        <v>0</v>
      </c>
      <c r="S772" s="60">
        <v>0</v>
      </c>
      <c r="T772" s="60">
        <v>0</v>
      </c>
      <c r="U772" s="60">
        <v>0</v>
      </c>
      <c r="V772" s="60">
        <v>0</v>
      </c>
      <c r="W772" s="60">
        <v>0</v>
      </c>
      <c r="X772" s="60">
        <v>0</v>
      </c>
      <c r="Y772" s="60">
        <v>0</v>
      </c>
      <c r="Z772" s="60">
        <v>0</v>
      </c>
      <c r="AA772" s="60">
        <v>0</v>
      </c>
      <c r="AB772" s="60">
        <v>0</v>
      </c>
      <c r="AC772" s="60">
        <v>1207.69</v>
      </c>
      <c r="AD772" s="60">
        <v>1190.99</v>
      </c>
      <c r="AE772" s="60">
        <v>0</v>
      </c>
      <c r="AF772" s="60">
        <v>0</v>
      </c>
      <c r="AG772" s="60">
        <v>0</v>
      </c>
      <c r="AH772" s="60">
        <v>0</v>
      </c>
      <c r="AI772" s="60">
        <v>1207.69</v>
      </c>
      <c r="AJ772" s="60">
        <v>1190.99</v>
      </c>
      <c r="AK772" s="60">
        <v>0</v>
      </c>
      <c r="AL772" s="60">
        <v>0</v>
      </c>
      <c r="AM772" s="60">
        <v>0</v>
      </c>
      <c r="AN772" s="60">
        <v>1186.1099999999999</v>
      </c>
      <c r="AO772" s="60">
        <v>1207.69</v>
      </c>
      <c r="AP772" s="60">
        <v>1190.99</v>
      </c>
      <c r="AQ772" s="60">
        <v>1186.1099999999999</v>
      </c>
      <c r="AR772" s="61">
        <v>1207.69</v>
      </c>
    </row>
    <row r="773" spans="1:44" x14ac:dyDescent="0.35">
      <c r="A773" s="49" t="str">
        <f t="shared" si="66"/>
        <v>19</v>
      </c>
      <c r="B773" s="27">
        <v>75713</v>
      </c>
      <c r="C773" s="25" t="str">
        <f t="shared" ref="C773:C788" si="67">TEXT(,"0000000")</f>
        <v>0000000</v>
      </c>
      <c r="D773" s="26" t="s">
        <v>3663</v>
      </c>
      <c r="E773" s="25" t="s">
        <v>901</v>
      </c>
      <c r="F773" s="25" t="s">
        <v>902</v>
      </c>
      <c r="G773" s="59" t="s">
        <v>902</v>
      </c>
      <c r="H773" s="60">
        <v>13885.08</v>
      </c>
      <c r="I773" s="60">
        <v>13978.82</v>
      </c>
      <c r="J773" s="60">
        <v>13990.61</v>
      </c>
      <c r="K773" s="60">
        <v>0</v>
      </c>
      <c r="L773" s="60">
        <v>0</v>
      </c>
      <c r="M773" s="60">
        <v>0</v>
      </c>
      <c r="N773" s="60">
        <v>0</v>
      </c>
      <c r="O773" s="60">
        <v>0</v>
      </c>
      <c r="P773" s="60">
        <v>0</v>
      </c>
      <c r="Q773" s="60">
        <v>0</v>
      </c>
      <c r="R773" s="60">
        <v>0</v>
      </c>
      <c r="S773" s="60">
        <v>0</v>
      </c>
      <c r="T773" s="60">
        <v>37.14</v>
      </c>
      <c r="U773" s="60">
        <v>33.89</v>
      </c>
      <c r="V773" s="60">
        <v>29.95</v>
      </c>
      <c r="W773" s="60">
        <v>97.29</v>
      </c>
      <c r="X773" s="60">
        <v>105.27</v>
      </c>
      <c r="Y773" s="60">
        <v>82.89</v>
      </c>
      <c r="Z773" s="60">
        <v>0</v>
      </c>
      <c r="AA773" s="60">
        <v>0</v>
      </c>
      <c r="AB773" s="60">
        <v>0</v>
      </c>
      <c r="AC773" s="60">
        <v>0</v>
      </c>
      <c r="AD773" s="60">
        <v>0</v>
      </c>
      <c r="AE773" s="60">
        <v>0</v>
      </c>
      <c r="AF773" s="60">
        <v>0</v>
      </c>
      <c r="AG773" s="60">
        <v>0</v>
      </c>
      <c r="AH773" s="60">
        <v>0</v>
      </c>
      <c r="AI773" s="60">
        <v>14019.51</v>
      </c>
      <c r="AJ773" s="60">
        <v>14117.98</v>
      </c>
      <c r="AK773" s="60">
        <v>14103.45</v>
      </c>
      <c r="AL773" s="60">
        <v>0</v>
      </c>
      <c r="AM773" s="60">
        <v>0</v>
      </c>
      <c r="AN773" s="60">
        <v>0</v>
      </c>
      <c r="AO773" s="60">
        <v>14019.51</v>
      </c>
      <c r="AP773" s="60">
        <v>14117.98</v>
      </c>
      <c r="AQ773" s="60">
        <v>14103.45</v>
      </c>
      <c r="AR773" s="61">
        <v>14117.98</v>
      </c>
    </row>
    <row r="774" spans="1:44" x14ac:dyDescent="0.35">
      <c r="A774" s="49" t="str">
        <f t="shared" si="66"/>
        <v>19</v>
      </c>
      <c r="B774" s="27">
        <v>64261</v>
      </c>
      <c r="C774" s="25" t="str">
        <f t="shared" si="67"/>
        <v>0000000</v>
      </c>
      <c r="D774" s="26" t="s">
        <v>3663</v>
      </c>
      <c r="E774" s="25" t="s">
        <v>903</v>
      </c>
      <c r="F774" s="25" t="s">
        <v>902</v>
      </c>
      <c r="G774" s="59" t="s">
        <v>904</v>
      </c>
      <c r="H774" s="60">
        <v>8674.44</v>
      </c>
      <c r="I774" s="60">
        <v>8512.0300000000007</v>
      </c>
      <c r="J774" s="60">
        <v>8390.24</v>
      </c>
      <c r="K774" s="60">
        <v>0</v>
      </c>
      <c r="L774" s="60">
        <v>0</v>
      </c>
      <c r="M774" s="60">
        <v>0</v>
      </c>
      <c r="N774" s="60">
        <v>0</v>
      </c>
      <c r="O774" s="60">
        <v>0</v>
      </c>
      <c r="P774" s="60">
        <v>0</v>
      </c>
      <c r="Q774" s="60">
        <v>0</v>
      </c>
      <c r="R774" s="60">
        <v>0</v>
      </c>
      <c r="S774" s="60">
        <v>0</v>
      </c>
      <c r="T774" s="60">
        <v>0</v>
      </c>
      <c r="U774" s="60">
        <v>0</v>
      </c>
      <c r="V774" s="60">
        <v>0</v>
      </c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0</v>
      </c>
      <c r="AD774" s="60">
        <v>0</v>
      </c>
      <c r="AE774" s="60">
        <v>0</v>
      </c>
      <c r="AF774" s="60">
        <v>0</v>
      </c>
      <c r="AG774" s="60">
        <v>0</v>
      </c>
      <c r="AH774" s="60">
        <v>0</v>
      </c>
      <c r="AI774" s="60">
        <v>8674.44</v>
      </c>
      <c r="AJ774" s="60">
        <v>8512.0300000000007</v>
      </c>
      <c r="AK774" s="60">
        <v>8390.24</v>
      </c>
      <c r="AL774" s="60">
        <v>0</v>
      </c>
      <c r="AM774" s="60">
        <v>0</v>
      </c>
      <c r="AN774" s="60">
        <v>0</v>
      </c>
      <c r="AO774" s="60">
        <v>8674.44</v>
      </c>
      <c r="AP774" s="60">
        <v>8512.0300000000007</v>
      </c>
      <c r="AQ774" s="60">
        <v>8390.24</v>
      </c>
      <c r="AR774" s="61">
        <v>8674.44</v>
      </c>
    </row>
    <row r="775" spans="1:44" x14ac:dyDescent="0.35">
      <c r="A775" s="49" t="str">
        <f t="shared" si="66"/>
        <v>19</v>
      </c>
      <c r="B775" s="27">
        <v>64469</v>
      </c>
      <c r="C775" s="25" t="str">
        <f t="shared" si="67"/>
        <v>0000000</v>
      </c>
      <c r="D775" s="26" t="s">
        <v>3663</v>
      </c>
      <c r="E775" s="25" t="s">
        <v>946</v>
      </c>
      <c r="F775" s="25" t="s">
        <v>902</v>
      </c>
      <c r="G775" s="59" t="s">
        <v>947</v>
      </c>
      <c r="H775" s="60">
        <v>2782.64</v>
      </c>
      <c r="I775" s="60">
        <v>2808.99</v>
      </c>
      <c r="J775" s="60">
        <v>2860.79</v>
      </c>
      <c r="K775" s="60">
        <v>0</v>
      </c>
      <c r="L775" s="60">
        <v>0</v>
      </c>
      <c r="M775" s="60">
        <v>0</v>
      </c>
      <c r="N775" s="60">
        <v>0</v>
      </c>
      <c r="O775" s="60">
        <v>0</v>
      </c>
      <c r="P775" s="60">
        <v>0</v>
      </c>
      <c r="Q775" s="60">
        <v>0</v>
      </c>
      <c r="R775" s="60">
        <v>0</v>
      </c>
      <c r="S775" s="60">
        <v>0</v>
      </c>
      <c r="T775" s="60">
        <v>0</v>
      </c>
      <c r="U775" s="60">
        <v>0</v>
      </c>
      <c r="V775" s="60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4096.7299999999996</v>
      </c>
      <c r="AD775" s="60">
        <v>2911.84</v>
      </c>
      <c r="AE775" s="60">
        <v>1159.24</v>
      </c>
      <c r="AF775" s="60">
        <v>0</v>
      </c>
      <c r="AG775" s="60">
        <v>0</v>
      </c>
      <c r="AH775" s="60">
        <v>0</v>
      </c>
      <c r="AI775" s="60">
        <v>6879.37</v>
      </c>
      <c r="AJ775" s="60">
        <v>5720.83</v>
      </c>
      <c r="AK775" s="60">
        <v>4020.03</v>
      </c>
      <c r="AL775" s="60">
        <v>0</v>
      </c>
      <c r="AM775" s="60">
        <v>0</v>
      </c>
      <c r="AN775" s="60">
        <v>0</v>
      </c>
      <c r="AO775" s="60">
        <v>6879.37</v>
      </c>
      <c r="AP775" s="60">
        <v>5720.83</v>
      </c>
      <c r="AQ775" s="60">
        <v>4020.03</v>
      </c>
      <c r="AR775" s="61">
        <v>6879.37</v>
      </c>
    </row>
    <row r="776" spans="1:44" x14ac:dyDescent="0.35">
      <c r="A776" s="49" t="str">
        <f t="shared" si="66"/>
        <v>19</v>
      </c>
      <c r="B776" s="27">
        <v>64501</v>
      </c>
      <c r="C776" s="25" t="str">
        <f t="shared" si="67"/>
        <v>0000000</v>
      </c>
      <c r="D776" s="26" t="s">
        <v>3663</v>
      </c>
      <c r="E776" s="25" t="s">
        <v>958</v>
      </c>
      <c r="F776" s="25" t="s">
        <v>902</v>
      </c>
      <c r="G776" s="59" t="s">
        <v>959</v>
      </c>
      <c r="H776" s="60">
        <v>6822.39</v>
      </c>
      <c r="I776" s="60">
        <v>6817.63</v>
      </c>
      <c r="J776" s="60">
        <v>6925.83</v>
      </c>
      <c r="K776" s="60">
        <v>0</v>
      </c>
      <c r="L776" s="60">
        <v>0</v>
      </c>
      <c r="M776" s="60">
        <v>0</v>
      </c>
      <c r="N776" s="60">
        <v>0</v>
      </c>
      <c r="O776" s="60">
        <v>0</v>
      </c>
      <c r="P776" s="60">
        <v>0</v>
      </c>
      <c r="Q776" s="60">
        <v>0</v>
      </c>
      <c r="R776" s="60">
        <v>0</v>
      </c>
      <c r="S776" s="60">
        <v>0</v>
      </c>
      <c r="T776" s="60">
        <v>0</v>
      </c>
      <c r="U776" s="60">
        <v>0</v>
      </c>
      <c r="V776" s="60">
        <v>0</v>
      </c>
      <c r="W776" s="60">
        <v>0</v>
      </c>
      <c r="X776" s="60">
        <v>0</v>
      </c>
      <c r="Y776" s="60">
        <v>0</v>
      </c>
      <c r="Z776" s="60">
        <v>0</v>
      </c>
      <c r="AA776" s="60">
        <v>0</v>
      </c>
      <c r="AB776" s="60">
        <v>0</v>
      </c>
      <c r="AC776" s="60">
        <v>0</v>
      </c>
      <c r="AD776" s="60">
        <v>0</v>
      </c>
      <c r="AE776" s="60">
        <v>0</v>
      </c>
      <c r="AF776" s="60">
        <v>0</v>
      </c>
      <c r="AG776" s="60">
        <v>0</v>
      </c>
      <c r="AH776" s="60">
        <v>0</v>
      </c>
      <c r="AI776" s="60">
        <v>6822.39</v>
      </c>
      <c r="AJ776" s="60">
        <v>6817.63</v>
      </c>
      <c r="AK776" s="60">
        <v>6925.83</v>
      </c>
      <c r="AL776" s="60">
        <v>0</v>
      </c>
      <c r="AM776" s="60">
        <v>0</v>
      </c>
      <c r="AN776" s="60">
        <v>0</v>
      </c>
      <c r="AO776" s="60">
        <v>6822.39</v>
      </c>
      <c r="AP776" s="60">
        <v>6817.63</v>
      </c>
      <c r="AQ776" s="60">
        <v>6925.83</v>
      </c>
      <c r="AR776" s="61">
        <v>6925.83</v>
      </c>
    </row>
    <row r="777" spans="1:44" x14ac:dyDescent="0.35">
      <c r="A777" s="49" t="str">
        <f t="shared" si="66"/>
        <v>19</v>
      </c>
      <c r="B777" s="27">
        <v>64519</v>
      </c>
      <c r="C777" s="25" t="str">
        <f t="shared" si="67"/>
        <v>0000000</v>
      </c>
      <c r="D777" s="26" t="s">
        <v>3663</v>
      </c>
      <c r="E777" s="25" t="s">
        <v>960</v>
      </c>
      <c r="F777" s="25" t="s">
        <v>902</v>
      </c>
      <c r="G777" s="59" t="s">
        <v>961</v>
      </c>
      <c r="H777" s="60">
        <v>6719.9</v>
      </c>
      <c r="I777" s="60">
        <v>7237.99</v>
      </c>
      <c r="J777" s="60">
        <v>7426.58</v>
      </c>
      <c r="K777" s="60">
        <v>0</v>
      </c>
      <c r="L777" s="60">
        <v>0</v>
      </c>
      <c r="M777" s="60">
        <v>0</v>
      </c>
      <c r="N777" s="60">
        <v>0</v>
      </c>
      <c r="O777" s="60">
        <v>0</v>
      </c>
      <c r="P777" s="60">
        <v>0</v>
      </c>
      <c r="Q777" s="60">
        <v>0</v>
      </c>
      <c r="R777" s="60">
        <v>0</v>
      </c>
      <c r="S777" s="60">
        <v>0</v>
      </c>
      <c r="T777" s="60">
        <v>0</v>
      </c>
      <c r="U777" s="60">
        <v>0</v>
      </c>
      <c r="V777" s="60">
        <v>0</v>
      </c>
      <c r="W777" s="60">
        <v>0</v>
      </c>
      <c r="X777" s="60">
        <v>0</v>
      </c>
      <c r="Y777" s="60">
        <v>0</v>
      </c>
      <c r="Z777" s="60">
        <v>0</v>
      </c>
      <c r="AA777" s="60">
        <v>0</v>
      </c>
      <c r="AB777" s="60">
        <v>0</v>
      </c>
      <c r="AC777" s="60">
        <v>0</v>
      </c>
      <c r="AD777" s="60">
        <v>0</v>
      </c>
      <c r="AE777" s="60">
        <v>0</v>
      </c>
      <c r="AF777" s="60">
        <v>0</v>
      </c>
      <c r="AG777" s="60">
        <v>0</v>
      </c>
      <c r="AH777" s="60">
        <v>0</v>
      </c>
      <c r="AI777" s="60">
        <v>6719.9</v>
      </c>
      <c r="AJ777" s="60">
        <v>7237.99</v>
      </c>
      <c r="AK777" s="60">
        <v>7426.58</v>
      </c>
      <c r="AL777" s="60">
        <v>0</v>
      </c>
      <c r="AM777" s="60">
        <v>0</v>
      </c>
      <c r="AN777" s="60">
        <v>0</v>
      </c>
      <c r="AO777" s="60">
        <v>6719.9</v>
      </c>
      <c r="AP777" s="60">
        <v>7237.99</v>
      </c>
      <c r="AQ777" s="60">
        <v>7426.58</v>
      </c>
      <c r="AR777" s="61">
        <v>7426.58</v>
      </c>
    </row>
    <row r="778" spans="1:44" x14ac:dyDescent="0.35">
      <c r="A778" s="49" t="str">
        <f t="shared" si="66"/>
        <v>19</v>
      </c>
      <c r="B778" s="27">
        <v>64550</v>
      </c>
      <c r="C778" s="25" t="str">
        <f t="shared" si="67"/>
        <v>0000000</v>
      </c>
      <c r="D778" s="26" t="s">
        <v>3663</v>
      </c>
      <c r="E778" s="25" t="s">
        <v>966</v>
      </c>
      <c r="F778" s="25" t="s">
        <v>902</v>
      </c>
      <c r="G778" s="59" t="s">
        <v>967</v>
      </c>
      <c r="H778" s="60">
        <v>4066.04</v>
      </c>
      <c r="I778" s="60">
        <v>4023.99</v>
      </c>
      <c r="J778" s="60">
        <v>4017.2</v>
      </c>
      <c r="K778" s="60">
        <v>0</v>
      </c>
      <c r="L778" s="60">
        <v>0</v>
      </c>
      <c r="M778" s="60">
        <v>0</v>
      </c>
      <c r="N778" s="60">
        <v>0</v>
      </c>
      <c r="O778" s="60">
        <v>0</v>
      </c>
      <c r="P778" s="60">
        <v>0</v>
      </c>
      <c r="Q778" s="60">
        <v>0</v>
      </c>
      <c r="R778" s="60">
        <v>0</v>
      </c>
      <c r="S778" s="60">
        <v>0</v>
      </c>
      <c r="T778" s="60">
        <v>0</v>
      </c>
      <c r="U778" s="60">
        <v>0</v>
      </c>
      <c r="V778" s="60">
        <v>0</v>
      </c>
      <c r="W778" s="60">
        <v>0</v>
      </c>
      <c r="X778" s="60">
        <v>0</v>
      </c>
      <c r="Y778" s="60">
        <v>0</v>
      </c>
      <c r="Z778" s="60">
        <v>0</v>
      </c>
      <c r="AA778" s="60">
        <v>0</v>
      </c>
      <c r="AB778" s="60">
        <v>0</v>
      </c>
      <c r="AC778" s="60">
        <v>0</v>
      </c>
      <c r="AD778" s="60">
        <v>0</v>
      </c>
      <c r="AE778" s="60">
        <v>0</v>
      </c>
      <c r="AF778" s="60">
        <v>0</v>
      </c>
      <c r="AG778" s="60">
        <v>0</v>
      </c>
      <c r="AH778" s="60">
        <v>0</v>
      </c>
      <c r="AI778" s="60">
        <v>4066.04</v>
      </c>
      <c r="AJ778" s="60">
        <v>4023.99</v>
      </c>
      <c r="AK778" s="60">
        <v>4017.2</v>
      </c>
      <c r="AL778" s="60">
        <v>0</v>
      </c>
      <c r="AM778" s="60">
        <v>0</v>
      </c>
      <c r="AN778" s="60">
        <v>0</v>
      </c>
      <c r="AO778" s="60">
        <v>4066.04</v>
      </c>
      <c r="AP778" s="60">
        <v>4023.99</v>
      </c>
      <c r="AQ778" s="60">
        <v>4017.2</v>
      </c>
      <c r="AR778" s="61">
        <v>4066.04</v>
      </c>
    </row>
    <row r="779" spans="1:44" x14ac:dyDescent="0.35">
      <c r="A779" s="49" t="str">
        <f t="shared" si="66"/>
        <v>19</v>
      </c>
      <c r="B779" s="27">
        <v>64790</v>
      </c>
      <c r="C779" s="25" t="str">
        <f t="shared" si="67"/>
        <v>0000000</v>
      </c>
      <c r="D779" s="26" t="s">
        <v>3663</v>
      </c>
      <c r="E779" s="25" t="s">
        <v>1061</v>
      </c>
      <c r="F779" s="25" t="s">
        <v>902</v>
      </c>
      <c r="G779" s="59" t="s">
        <v>1062</v>
      </c>
      <c r="H779" s="60">
        <v>4622.78</v>
      </c>
      <c r="I779" s="60">
        <v>4611.9799999999996</v>
      </c>
      <c r="J779" s="60">
        <v>4688.12</v>
      </c>
      <c r="K779" s="60">
        <v>0</v>
      </c>
      <c r="L779" s="60">
        <v>0</v>
      </c>
      <c r="M779" s="60">
        <v>0</v>
      </c>
      <c r="N779" s="60">
        <v>0</v>
      </c>
      <c r="O779" s="60">
        <v>0</v>
      </c>
      <c r="P779" s="60">
        <v>0</v>
      </c>
      <c r="Q779" s="60">
        <v>0</v>
      </c>
      <c r="R779" s="60">
        <v>0</v>
      </c>
      <c r="S779" s="60">
        <v>0</v>
      </c>
      <c r="T779" s="60">
        <v>0</v>
      </c>
      <c r="U779" s="60">
        <v>0</v>
      </c>
      <c r="V779" s="60">
        <v>0</v>
      </c>
      <c r="W779" s="60">
        <v>0</v>
      </c>
      <c r="X779" s="60">
        <v>0</v>
      </c>
      <c r="Y779" s="60">
        <v>0</v>
      </c>
      <c r="Z779" s="60">
        <v>0</v>
      </c>
      <c r="AA779" s="60">
        <v>0</v>
      </c>
      <c r="AB779" s="60">
        <v>0</v>
      </c>
      <c r="AC779" s="60">
        <v>0</v>
      </c>
      <c r="AD779" s="60">
        <v>0</v>
      </c>
      <c r="AE779" s="60">
        <v>0</v>
      </c>
      <c r="AF779" s="60">
        <v>0</v>
      </c>
      <c r="AG779" s="60">
        <v>0</v>
      </c>
      <c r="AH779" s="60">
        <v>0</v>
      </c>
      <c r="AI779" s="60">
        <v>4622.78</v>
      </c>
      <c r="AJ779" s="60">
        <v>4611.9799999999996</v>
      </c>
      <c r="AK779" s="60">
        <v>4688.12</v>
      </c>
      <c r="AL779" s="60">
        <v>0</v>
      </c>
      <c r="AM779" s="60">
        <v>0</v>
      </c>
      <c r="AN779" s="60">
        <v>0</v>
      </c>
      <c r="AO779" s="60">
        <v>4622.78</v>
      </c>
      <c r="AP779" s="60">
        <v>4611.9799999999996</v>
      </c>
      <c r="AQ779" s="60">
        <v>4688.12</v>
      </c>
      <c r="AR779" s="61">
        <v>4688.12</v>
      </c>
    </row>
    <row r="780" spans="1:44" x14ac:dyDescent="0.35">
      <c r="A780" s="49" t="str">
        <f t="shared" si="66"/>
        <v>19</v>
      </c>
      <c r="B780" s="27">
        <v>64816</v>
      </c>
      <c r="C780" s="25" t="str">
        <f t="shared" si="67"/>
        <v>0000000</v>
      </c>
      <c r="D780" s="26" t="s">
        <v>3663</v>
      </c>
      <c r="E780" s="25" t="s">
        <v>1065</v>
      </c>
      <c r="F780" s="25" t="s">
        <v>902</v>
      </c>
      <c r="G780" s="59" t="s">
        <v>1066</v>
      </c>
      <c r="H780" s="60">
        <v>4349.9799999999996</v>
      </c>
      <c r="I780" s="60">
        <v>4516</v>
      </c>
      <c r="J780" s="60">
        <v>4725.6000000000004</v>
      </c>
      <c r="K780" s="60">
        <v>0</v>
      </c>
      <c r="L780" s="60">
        <v>0</v>
      </c>
      <c r="M780" s="60">
        <v>0</v>
      </c>
      <c r="N780" s="60">
        <v>0</v>
      </c>
      <c r="O780" s="60">
        <v>0</v>
      </c>
      <c r="P780" s="60">
        <v>0</v>
      </c>
      <c r="Q780" s="60">
        <v>0</v>
      </c>
      <c r="R780" s="60">
        <v>0</v>
      </c>
      <c r="S780" s="60">
        <v>0</v>
      </c>
      <c r="T780" s="60">
        <v>0</v>
      </c>
      <c r="U780" s="60">
        <v>0</v>
      </c>
      <c r="V780" s="60">
        <v>0</v>
      </c>
      <c r="W780" s="60">
        <v>0</v>
      </c>
      <c r="X780" s="60">
        <v>0</v>
      </c>
      <c r="Y780" s="60">
        <v>0</v>
      </c>
      <c r="Z780" s="60">
        <v>0</v>
      </c>
      <c r="AA780" s="60">
        <v>0</v>
      </c>
      <c r="AB780" s="60">
        <v>0</v>
      </c>
      <c r="AC780" s="60">
        <v>0</v>
      </c>
      <c r="AD780" s="60">
        <v>0</v>
      </c>
      <c r="AE780" s="60">
        <v>0</v>
      </c>
      <c r="AF780" s="60">
        <v>0</v>
      </c>
      <c r="AG780" s="60">
        <v>0</v>
      </c>
      <c r="AH780" s="60">
        <v>0</v>
      </c>
      <c r="AI780" s="60">
        <v>4349.9799999999996</v>
      </c>
      <c r="AJ780" s="60">
        <v>4516</v>
      </c>
      <c r="AK780" s="60">
        <v>4725.6000000000004</v>
      </c>
      <c r="AL780" s="60">
        <v>0</v>
      </c>
      <c r="AM780" s="60">
        <v>0</v>
      </c>
      <c r="AN780" s="60">
        <v>0</v>
      </c>
      <c r="AO780" s="60">
        <v>4349.9799999999996</v>
      </c>
      <c r="AP780" s="60">
        <v>4516</v>
      </c>
      <c r="AQ780" s="60">
        <v>4725.6000000000004</v>
      </c>
      <c r="AR780" s="61">
        <v>4725.6000000000004</v>
      </c>
    </row>
    <row r="781" spans="1:44" x14ac:dyDescent="0.35">
      <c r="A781" s="49" t="str">
        <f t="shared" si="66"/>
        <v>19</v>
      </c>
      <c r="B781" s="27">
        <v>64931</v>
      </c>
      <c r="C781" s="25" t="str">
        <f t="shared" si="67"/>
        <v>0000000</v>
      </c>
      <c r="D781" s="26" t="s">
        <v>3663</v>
      </c>
      <c r="E781" s="25" t="s">
        <v>1098</v>
      </c>
      <c r="F781" s="25" t="s">
        <v>902</v>
      </c>
      <c r="G781" s="59" t="s">
        <v>1099</v>
      </c>
      <c r="H781" s="60">
        <v>2220.54</v>
      </c>
      <c r="I781" s="60">
        <v>2200.3200000000002</v>
      </c>
      <c r="J781" s="60">
        <v>2168.71</v>
      </c>
      <c r="K781" s="60">
        <v>0</v>
      </c>
      <c r="L781" s="60">
        <v>0</v>
      </c>
      <c r="M781" s="60">
        <v>0</v>
      </c>
      <c r="N781" s="60">
        <v>0</v>
      </c>
      <c r="O781" s="60">
        <v>0</v>
      </c>
      <c r="P781" s="60">
        <v>0</v>
      </c>
      <c r="Q781" s="60">
        <v>0</v>
      </c>
      <c r="R781" s="60">
        <v>0</v>
      </c>
      <c r="S781" s="60">
        <v>0</v>
      </c>
      <c r="T781" s="60">
        <v>0</v>
      </c>
      <c r="U781" s="60">
        <v>0</v>
      </c>
      <c r="V781" s="60">
        <v>0</v>
      </c>
      <c r="W781" s="60">
        <v>0</v>
      </c>
      <c r="X781" s="60">
        <v>0</v>
      </c>
      <c r="Y781" s="60">
        <v>0</v>
      </c>
      <c r="Z781" s="60">
        <v>0</v>
      </c>
      <c r="AA781" s="60">
        <v>0</v>
      </c>
      <c r="AB781" s="60">
        <v>0</v>
      </c>
      <c r="AC781" s="60">
        <v>0</v>
      </c>
      <c r="AD781" s="60">
        <v>0</v>
      </c>
      <c r="AE781" s="60">
        <v>0</v>
      </c>
      <c r="AF781" s="60">
        <v>0</v>
      </c>
      <c r="AG781" s="60">
        <v>0</v>
      </c>
      <c r="AH781" s="60">
        <v>0</v>
      </c>
      <c r="AI781" s="60">
        <v>2220.54</v>
      </c>
      <c r="AJ781" s="60">
        <v>2200.3200000000002</v>
      </c>
      <c r="AK781" s="60">
        <v>2168.71</v>
      </c>
      <c r="AL781" s="60">
        <v>0</v>
      </c>
      <c r="AM781" s="60">
        <v>0</v>
      </c>
      <c r="AN781" s="60">
        <v>0</v>
      </c>
      <c r="AO781" s="60">
        <v>2220.54</v>
      </c>
      <c r="AP781" s="60">
        <v>2200.3200000000002</v>
      </c>
      <c r="AQ781" s="60">
        <v>2168.71</v>
      </c>
      <c r="AR781" s="61">
        <v>2220.54</v>
      </c>
    </row>
    <row r="782" spans="1:44" x14ac:dyDescent="0.35">
      <c r="A782" s="49" t="str">
        <f t="shared" si="66"/>
        <v>19</v>
      </c>
      <c r="B782" s="27">
        <v>64964</v>
      </c>
      <c r="C782" s="25" t="str">
        <f t="shared" si="67"/>
        <v>0000000</v>
      </c>
      <c r="D782" s="26" t="s">
        <v>3663</v>
      </c>
      <c r="E782" s="25" t="s">
        <v>1100</v>
      </c>
      <c r="F782" s="25" t="s">
        <v>902</v>
      </c>
      <c r="G782" s="59" t="s">
        <v>1101</v>
      </c>
      <c r="H782" s="60">
        <v>2838.76</v>
      </c>
      <c r="I782" s="60">
        <v>2646.61</v>
      </c>
      <c r="J782" s="60">
        <v>2608.96</v>
      </c>
      <c r="K782" s="60">
        <v>0</v>
      </c>
      <c r="L782" s="60">
        <v>0</v>
      </c>
      <c r="M782" s="60">
        <v>0</v>
      </c>
      <c r="N782" s="60">
        <v>0</v>
      </c>
      <c r="O782" s="60">
        <v>0</v>
      </c>
      <c r="P782" s="60">
        <v>0</v>
      </c>
      <c r="Q782" s="60">
        <v>0</v>
      </c>
      <c r="R782" s="60">
        <v>0</v>
      </c>
      <c r="S782" s="60">
        <v>0</v>
      </c>
      <c r="T782" s="60">
        <v>0</v>
      </c>
      <c r="U782" s="60">
        <v>0</v>
      </c>
      <c r="V782" s="60">
        <v>0</v>
      </c>
      <c r="W782" s="60">
        <v>0</v>
      </c>
      <c r="X782" s="60">
        <v>0</v>
      </c>
      <c r="Y782" s="60">
        <v>0</v>
      </c>
      <c r="Z782" s="60">
        <v>0</v>
      </c>
      <c r="AA782" s="60">
        <v>0</v>
      </c>
      <c r="AB782" s="60">
        <v>0</v>
      </c>
      <c r="AC782" s="60">
        <v>0</v>
      </c>
      <c r="AD782" s="60">
        <v>0</v>
      </c>
      <c r="AE782" s="60">
        <v>0</v>
      </c>
      <c r="AF782" s="60">
        <v>0</v>
      </c>
      <c r="AG782" s="60">
        <v>0</v>
      </c>
      <c r="AH782" s="60">
        <v>0</v>
      </c>
      <c r="AI782" s="60">
        <v>2838.76</v>
      </c>
      <c r="AJ782" s="60">
        <v>2646.61</v>
      </c>
      <c r="AK782" s="60">
        <v>2608.96</v>
      </c>
      <c r="AL782" s="60">
        <v>0</v>
      </c>
      <c r="AM782" s="60">
        <v>0</v>
      </c>
      <c r="AN782" s="60">
        <v>0</v>
      </c>
      <c r="AO782" s="60">
        <v>2838.76</v>
      </c>
      <c r="AP782" s="60">
        <v>2646.61</v>
      </c>
      <c r="AQ782" s="60">
        <v>2608.96</v>
      </c>
      <c r="AR782" s="61">
        <v>2838.76</v>
      </c>
    </row>
    <row r="783" spans="1:44" x14ac:dyDescent="0.35">
      <c r="A783" s="49" t="str">
        <f t="shared" si="66"/>
        <v>19</v>
      </c>
      <c r="B783" s="27">
        <v>65029</v>
      </c>
      <c r="C783" s="25" t="str">
        <f t="shared" si="67"/>
        <v>0000000</v>
      </c>
      <c r="D783" s="26" t="s">
        <v>3663</v>
      </c>
      <c r="E783" s="25" t="s">
        <v>1106</v>
      </c>
      <c r="F783" s="25" t="s">
        <v>902</v>
      </c>
      <c r="G783" s="59" t="s">
        <v>1107</v>
      </c>
      <c r="H783" s="60">
        <v>4511.87</v>
      </c>
      <c r="I783" s="60">
        <v>4456.5</v>
      </c>
      <c r="J783" s="60">
        <v>4498.8900000000003</v>
      </c>
      <c r="K783" s="60">
        <v>0</v>
      </c>
      <c r="L783" s="60">
        <v>0</v>
      </c>
      <c r="M783" s="60">
        <v>0</v>
      </c>
      <c r="N783" s="60">
        <v>0</v>
      </c>
      <c r="O783" s="60">
        <v>0</v>
      </c>
      <c r="P783" s="60">
        <v>0</v>
      </c>
      <c r="Q783" s="60">
        <v>0</v>
      </c>
      <c r="R783" s="60">
        <v>0</v>
      </c>
      <c r="S783" s="60">
        <v>0</v>
      </c>
      <c r="T783" s="60">
        <v>0</v>
      </c>
      <c r="U783" s="60">
        <v>0</v>
      </c>
      <c r="V783" s="60">
        <v>0</v>
      </c>
      <c r="W783" s="60">
        <v>0</v>
      </c>
      <c r="X783" s="60">
        <v>0</v>
      </c>
      <c r="Y783" s="60">
        <v>0</v>
      </c>
      <c r="Z783" s="60">
        <v>0</v>
      </c>
      <c r="AA783" s="60">
        <v>0</v>
      </c>
      <c r="AB783" s="60">
        <v>0</v>
      </c>
      <c r="AC783" s="60">
        <v>0</v>
      </c>
      <c r="AD783" s="60">
        <v>0</v>
      </c>
      <c r="AE783" s="60">
        <v>0</v>
      </c>
      <c r="AF783" s="60">
        <v>0</v>
      </c>
      <c r="AG783" s="60">
        <v>0</v>
      </c>
      <c r="AH783" s="60">
        <v>0</v>
      </c>
      <c r="AI783" s="60">
        <v>4511.87</v>
      </c>
      <c r="AJ783" s="60">
        <v>4456.5</v>
      </c>
      <c r="AK783" s="60">
        <v>4498.8900000000003</v>
      </c>
      <c r="AL783" s="60">
        <v>0</v>
      </c>
      <c r="AM783" s="60">
        <v>0</v>
      </c>
      <c r="AN783" s="60">
        <v>0</v>
      </c>
      <c r="AO783" s="60">
        <v>4511.87</v>
      </c>
      <c r="AP783" s="60">
        <v>4456.5</v>
      </c>
      <c r="AQ783" s="60">
        <v>4498.8900000000003</v>
      </c>
      <c r="AR783" s="61">
        <v>4511.87</v>
      </c>
    </row>
    <row r="784" spans="1:44" x14ac:dyDescent="0.35">
      <c r="A784" s="49" t="str">
        <f t="shared" si="66"/>
        <v>19</v>
      </c>
      <c r="B784" s="27">
        <v>65052</v>
      </c>
      <c r="C784" s="25" t="str">
        <f t="shared" si="67"/>
        <v>0000000</v>
      </c>
      <c r="D784" s="26" t="s">
        <v>3663</v>
      </c>
      <c r="E784" s="25" t="s">
        <v>1112</v>
      </c>
      <c r="F784" s="25" t="s">
        <v>902</v>
      </c>
      <c r="G784" s="59" t="s">
        <v>1113</v>
      </c>
      <c r="H784" s="60">
        <v>5059.5200000000004</v>
      </c>
      <c r="I784" s="60">
        <v>4998.07</v>
      </c>
      <c r="J784" s="60">
        <v>5069.8999999999996</v>
      </c>
      <c r="K784" s="60">
        <v>0</v>
      </c>
      <c r="L784" s="60">
        <v>0</v>
      </c>
      <c r="M784" s="60">
        <v>0</v>
      </c>
      <c r="N784" s="60">
        <v>0</v>
      </c>
      <c r="O784" s="60">
        <v>0</v>
      </c>
      <c r="P784" s="60">
        <v>0</v>
      </c>
      <c r="Q784" s="60">
        <v>0</v>
      </c>
      <c r="R784" s="60">
        <v>0</v>
      </c>
      <c r="S784" s="60">
        <v>0</v>
      </c>
      <c r="T784" s="60">
        <v>0</v>
      </c>
      <c r="U784" s="60">
        <v>0</v>
      </c>
      <c r="V784" s="60">
        <v>0</v>
      </c>
      <c r="W784" s="60">
        <v>0</v>
      </c>
      <c r="X784" s="60">
        <v>0</v>
      </c>
      <c r="Y784" s="60">
        <v>0</v>
      </c>
      <c r="Z784" s="60">
        <v>0</v>
      </c>
      <c r="AA784" s="60">
        <v>0</v>
      </c>
      <c r="AB784" s="60">
        <v>0</v>
      </c>
      <c r="AC784" s="60">
        <v>0</v>
      </c>
      <c r="AD784" s="60">
        <v>0</v>
      </c>
      <c r="AE784" s="60">
        <v>0</v>
      </c>
      <c r="AF784" s="60">
        <v>0</v>
      </c>
      <c r="AG784" s="60">
        <v>0</v>
      </c>
      <c r="AH784" s="60">
        <v>0</v>
      </c>
      <c r="AI784" s="60">
        <v>5059.5200000000004</v>
      </c>
      <c r="AJ784" s="60">
        <v>4998.07</v>
      </c>
      <c r="AK784" s="60">
        <v>5069.8999999999996</v>
      </c>
      <c r="AL784" s="60">
        <v>0</v>
      </c>
      <c r="AM784" s="60">
        <v>0</v>
      </c>
      <c r="AN784" s="60">
        <v>0</v>
      </c>
      <c r="AO784" s="60">
        <v>5059.5200000000004</v>
      </c>
      <c r="AP784" s="60">
        <v>4998.07</v>
      </c>
      <c r="AQ784" s="60">
        <v>5069.8999999999996</v>
      </c>
      <c r="AR784" s="61">
        <v>5069.8999999999996</v>
      </c>
    </row>
    <row r="785" spans="1:44" x14ac:dyDescent="0.35">
      <c r="A785" s="49" t="str">
        <f t="shared" si="66"/>
        <v>19</v>
      </c>
      <c r="B785" s="27">
        <v>65078</v>
      </c>
      <c r="C785" s="25" t="str">
        <f t="shared" si="67"/>
        <v>0000000</v>
      </c>
      <c r="D785" s="26" t="s">
        <v>3663</v>
      </c>
      <c r="E785" s="25" t="s">
        <v>1116</v>
      </c>
      <c r="F785" s="25" t="s">
        <v>902</v>
      </c>
      <c r="G785" s="59" t="s">
        <v>1117</v>
      </c>
      <c r="H785" s="60">
        <v>817.77</v>
      </c>
      <c r="I785" s="60">
        <v>810.81</v>
      </c>
      <c r="J785" s="60">
        <v>808.37</v>
      </c>
      <c r="K785" s="60">
        <v>0</v>
      </c>
      <c r="L785" s="60">
        <v>0</v>
      </c>
      <c r="M785" s="60">
        <v>0</v>
      </c>
      <c r="N785" s="60">
        <v>0</v>
      </c>
      <c r="O785" s="60">
        <v>0</v>
      </c>
      <c r="P785" s="60">
        <v>0</v>
      </c>
      <c r="Q785" s="60">
        <v>0</v>
      </c>
      <c r="R785" s="60">
        <v>0</v>
      </c>
      <c r="S785" s="60">
        <v>0</v>
      </c>
      <c r="T785" s="60">
        <v>0</v>
      </c>
      <c r="U785" s="60">
        <v>0</v>
      </c>
      <c r="V785" s="60">
        <v>0</v>
      </c>
      <c r="W785" s="60">
        <v>0</v>
      </c>
      <c r="X785" s="60">
        <v>0</v>
      </c>
      <c r="Y785" s="60">
        <v>0</v>
      </c>
      <c r="Z785" s="60">
        <v>0</v>
      </c>
      <c r="AA785" s="60">
        <v>0</v>
      </c>
      <c r="AB785" s="60">
        <v>0</v>
      </c>
      <c r="AC785" s="60">
        <v>0</v>
      </c>
      <c r="AD785" s="60">
        <v>0</v>
      </c>
      <c r="AE785" s="60">
        <v>0</v>
      </c>
      <c r="AF785" s="60">
        <v>0</v>
      </c>
      <c r="AG785" s="60">
        <v>0</v>
      </c>
      <c r="AH785" s="60">
        <v>0</v>
      </c>
      <c r="AI785" s="60">
        <v>817.77</v>
      </c>
      <c r="AJ785" s="60">
        <v>810.81</v>
      </c>
      <c r="AK785" s="60">
        <v>808.37</v>
      </c>
      <c r="AL785" s="60">
        <v>0</v>
      </c>
      <c r="AM785" s="60">
        <v>0</v>
      </c>
      <c r="AN785" s="60">
        <v>0</v>
      </c>
      <c r="AO785" s="60">
        <v>817.77</v>
      </c>
      <c r="AP785" s="60">
        <v>810.81</v>
      </c>
      <c r="AQ785" s="60">
        <v>808.37</v>
      </c>
      <c r="AR785" s="61">
        <v>817.77</v>
      </c>
    </row>
    <row r="786" spans="1:44" x14ac:dyDescent="0.35">
      <c r="A786" s="49" t="str">
        <f t="shared" si="66"/>
        <v>19</v>
      </c>
      <c r="B786" s="27">
        <v>75291</v>
      </c>
      <c r="C786" s="25" t="str">
        <f t="shared" si="67"/>
        <v>0000000</v>
      </c>
      <c r="D786" s="26" t="s">
        <v>3663</v>
      </c>
      <c r="E786" s="25" t="s">
        <v>1166</v>
      </c>
      <c r="F786" s="25" t="s">
        <v>902</v>
      </c>
      <c r="G786" s="59" t="s">
        <v>1167</v>
      </c>
      <c r="H786" s="60">
        <v>4323.08</v>
      </c>
      <c r="I786" s="60">
        <v>4283.34</v>
      </c>
      <c r="J786" s="60">
        <v>4356.1099999999997</v>
      </c>
      <c r="K786" s="60">
        <v>0</v>
      </c>
      <c r="L786" s="60">
        <v>0</v>
      </c>
      <c r="M786" s="60">
        <v>0</v>
      </c>
      <c r="N786" s="60">
        <v>0</v>
      </c>
      <c r="O786" s="60">
        <v>0</v>
      </c>
      <c r="P786" s="60">
        <v>0</v>
      </c>
      <c r="Q786" s="60">
        <v>0</v>
      </c>
      <c r="R786" s="60">
        <v>0</v>
      </c>
      <c r="S786" s="60">
        <v>0</v>
      </c>
      <c r="T786" s="60">
        <v>0</v>
      </c>
      <c r="U786" s="60">
        <v>0</v>
      </c>
      <c r="V786" s="60">
        <v>0</v>
      </c>
      <c r="W786" s="60">
        <v>0</v>
      </c>
      <c r="X786" s="60">
        <v>0</v>
      </c>
      <c r="Y786" s="60">
        <v>0</v>
      </c>
      <c r="Z786" s="60">
        <v>0</v>
      </c>
      <c r="AA786" s="60">
        <v>0</v>
      </c>
      <c r="AB786" s="60">
        <v>0</v>
      </c>
      <c r="AC786" s="60">
        <v>499.33</v>
      </c>
      <c r="AD786" s="60">
        <v>673.28</v>
      </c>
      <c r="AE786" s="60">
        <v>563.13</v>
      </c>
      <c r="AF786" s="60">
        <v>0</v>
      </c>
      <c r="AG786" s="60">
        <v>0</v>
      </c>
      <c r="AH786" s="60">
        <v>0</v>
      </c>
      <c r="AI786" s="60">
        <v>4822.41</v>
      </c>
      <c r="AJ786" s="60">
        <v>4956.62</v>
      </c>
      <c r="AK786" s="60">
        <v>4919.24</v>
      </c>
      <c r="AL786" s="60">
        <v>0</v>
      </c>
      <c r="AM786" s="60">
        <v>0</v>
      </c>
      <c r="AN786" s="60">
        <v>0</v>
      </c>
      <c r="AO786" s="60">
        <v>4822.41</v>
      </c>
      <c r="AP786" s="60">
        <v>4956.62</v>
      </c>
      <c r="AQ786" s="60">
        <v>4919.24</v>
      </c>
      <c r="AR786" s="61">
        <v>4956.62</v>
      </c>
    </row>
    <row r="787" spans="1:44" x14ac:dyDescent="0.35">
      <c r="A787" s="49" t="str">
        <f>TEXT(34,"00")</f>
        <v>34</v>
      </c>
      <c r="B787" s="27">
        <v>67314</v>
      </c>
      <c r="C787" s="25" t="str">
        <f t="shared" si="67"/>
        <v>0000000</v>
      </c>
      <c r="D787" s="26" t="s">
        <v>3663</v>
      </c>
      <c r="E787" s="25" t="s">
        <v>1793</v>
      </c>
      <c r="F787" s="25" t="s">
        <v>1794</v>
      </c>
      <c r="G787" s="59" t="s">
        <v>1794</v>
      </c>
      <c r="H787" s="60">
        <v>58621.61</v>
      </c>
      <c r="I787" s="60">
        <v>57218.42</v>
      </c>
      <c r="J787" s="60">
        <v>56181.93</v>
      </c>
      <c r="K787" s="60">
        <v>0</v>
      </c>
      <c r="L787" s="60">
        <v>0</v>
      </c>
      <c r="M787" s="60">
        <v>0</v>
      </c>
      <c r="N787" s="60">
        <v>0</v>
      </c>
      <c r="O787" s="60">
        <v>0</v>
      </c>
      <c r="P787" s="60">
        <v>0</v>
      </c>
      <c r="Q787" s="60">
        <v>0</v>
      </c>
      <c r="R787" s="60">
        <v>0</v>
      </c>
      <c r="S787" s="60">
        <v>0</v>
      </c>
      <c r="T787" s="60">
        <v>0</v>
      </c>
      <c r="U787" s="60">
        <v>0</v>
      </c>
      <c r="V787" s="60">
        <v>0</v>
      </c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232.31</v>
      </c>
      <c r="AD787" s="60">
        <v>273.26</v>
      </c>
      <c r="AE787" s="60">
        <v>235.46</v>
      </c>
      <c r="AF787" s="60">
        <v>0</v>
      </c>
      <c r="AG787" s="60">
        <v>0</v>
      </c>
      <c r="AH787" s="60">
        <v>0</v>
      </c>
      <c r="AI787" s="60">
        <v>58853.919999999998</v>
      </c>
      <c r="AJ787" s="60">
        <v>57491.68</v>
      </c>
      <c r="AK787" s="60">
        <v>56417.39</v>
      </c>
      <c r="AL787" s="60">
        <v>0</v>
      </c>
      <c r="AM787" s="60">
        <v>0</v>
      </c>
      <c r="AN787" s="60">
        <v>0</v>
      </c>
      <c r="AO787" s="60">
        <v>58853.919999999998</v>
      </c>
      <c r="AP787" s="60">
        <v>57491.68</v>
      </c>
      <c r="AQ787" s="60">
        <v>56417.39</v>
      </c>
      <c r="AR787" s="61">
        <v>58853.919999999998</v>
      </c>
    </row>
    <row r="788" spans="1:44" x14ac:dyDescent="0.35">
      <c r="A788" s="49" t="str">
        <f>TEXT(9,"00")</f>
        <v>09</v>
      </c>
      <c r="B788" s="27">
        <v>10090</v>
      </c>
      <c r="C788" s="25" t="str">
        <f t="shared" si="67"/>
        <v>0000000</v>
      </c>
      <c r="D788" s="26" t="s">
        <v>3663</v>
      </c>
      <c r="E788" s="25" t="s">
        <v>4</v>
      </c>
      <c r="F788" s="25" t="s">
        <v>5</v>
      </c>
      <c r="G788" s="59" t="s">
        <v>5</v>
      </c>
      <c r="H788" s="60">
        <v>0</v>
      </c>
      <c r="I788" s="60">
        <v>0</v>
      </c>
      <c r="J788" s="60">
        <v>0</v>
      </c>
      <c r="K788" s="60">
        <v>0</v>
      </c>
      <c r="L788" s="60">
        <v>0</v>
      </c>
      <c r="M788" s="60">
        <v>0</v>
      </c>
      <c r="N788" s="60">
        <v>0</v>
      </c>
      <c r="O788" s="60">
        <v>0</v>
      </c>
      <c r="P788" s="60">
        <v>0</v>
      </c>
      <c r="Q788" s="60">
        <v>0</v>
      </c>
      <c r="R788" s="60">
        <v>0</v>
      </c>
      <c r="S788" s="60">
        <v>0</v>
      </c>
      <c r="T788" s="60">
        <v>0</v>
      </c>
      <c r="U788" s="60">
        <v>0</v>
      </c>
      <c r="V788" s="60">
        <v>0</v>
      </c>
      <c r="W788" s="60">
        <v>0</v>
      </c>
      <c r="X788" s="60">
        <v>0</v>
      </c>
      <c r="Y788" s="60">
        <v>0</v>
      </c>
      <c r="Z788" s="60">
        <v>0</v>
      </c>
      <c r="AA788" s="60">
        <v>0</v>
      </c>
      <c r="AB788" s="60">
        <v>0</v>
      </c>
      <c r="AC788" s="60">
        <v>0</v>
      </c>
      <c r="AD788" s="60">
        <v>0</v>
      </c>
      <c r="AE788" s="60">
        <v>0</v>
      </c>
      <c r="AF788" s="60">
        <v>0</v>
      </c>
      <c r="AG788" s="60">
        <v>0</v>
      </c>
      <c r="AH788" s="60">
        <v>0</v>
      </c>
      <c r="AI788" s="60">
        <v>0</v>
      </c>
      <c r="AJ788" s="60">
        <v>0</v>
      </c>
      <c r="AK788" s="60">
        <v>0</v>
      </c>
      <c r="AL788" s="60">
        <v>0</v>
      </c>
      <c r="AM788" s="60">
        <v>0</v>
      </c>
      <c r="AN788" s="60">
        <v>0</v>
      </c>
      <c r="AO788" s="60">
        <v>0</v>
      </c>
      <c r="AP788" s="60">
        <v>0</v>
      </c>
      <c r="AQ788" s="60">
        <v>0</v>
      </c>
      <c r="AR788" s="61">
        <v>0</v>
      </c>
    </row>
    <row r="789" spans="1:44" x14ac:dyDescent="0.35">
      <c r="A789" s="49" t="str">
        <f t="shared" ref="A789:A798" si="68">TEXT(1,"00")</f>
        <v>01</v>
      </c>
      <c r="B789" s="27">
        <v>10017</v>
      </c>
      <c r="C789" s="25" t="str">
        <f>TEXT(112607,"0000000")</f>
        <v>0112607</v>
      </c>
      <c r="D789" s="26" t="s">
        <v>8</v>
      </c>
      <c r="E789" s="25" t="s">
        <v>6</v>
      </c>
      <c r="F789" s="25" t="s">
        <v>5</v>
      </c>
      <c r="G789" s="59" t="s">
        <v>7</v>
      </c>
      <c r="H789" s="60">
        <v>0</v>
      </c>
      <c r="I789" s="60">
        <v>0</v>
      </c>
      <c r="J789" s="60">
        <v>0</v>
      </c>
      <c r="K789" s="60">
        <v>0</v>
      </c>
      <c r="L789" s="60">
        <v>0</v>
      </c>
      <c r="M789" s="60">
        <v>0</v>
      </c>
      <c r="N789" s="60">
        <v>0</v>
      </c>
      <c r="O789" s="60">
        <v>0</v>
      </c>
      <c r="P789" s="60">
        <v>0</v>
      </c>
      <c r="Q789" s="60">
        <v>0</v>
      </c>
      <c r="R789" s="60">
        <v>0</v>
      </c>
      <c r="S789" s="60">
        <v>0</v>
      </c>
      <c r="T789" s="60">
        <v>0</v>
      </c>
      <c r="U789" s="60">
        <v>0</v>
      </c>
      <c r="V789" s="60">
        <v>0</v>
      </c>
      <c r="W789" s="60">
        <v>0</v>
      </c>
      <c r="X789" s="60">
        <v>0</v>
      </c>
      <c r="Y789" s="60">
        <v>0</v>
      </c>
      <c r="Z789" s="60">
        <v>0</v>
      </c>
      <c r="AA789" s="60">
        <v>0</v>
      </c>
      <c r="AB789" s="60">
        <v>0</v>
      </c>
      <c r="AC789" s="60">
        <v>191.67</v>
      </c>
      <c r="AD789" s="60">
        <v>231.45</v>
      </c>
      <c r="AE789" s="60">
        <v>350.54</v>
      </c>
      <c r="AF789" s="60">
        <v>0</v>
      </c>
      <c r="AG789" s="60">
        <v>0</v>
      </c>
      <c r="AH789" s="60">
        <v>0</v>
      </c>
      <c r="AI789" s="60">
        <v>191.67</v>
      </c>
      <c r="AJ789" s="60">
        <v>231.45</v>
      </c>
      <c r="AK789" s="60">
        <v>350.54</v>
      </c>
      <c r="AL789" s="60">
        <v>0</v>
      </c>
      <c r="AM789" s="60">
        <v>0</v>
      </c>
      <c r="AN789" s="60">
        <v>0</v>
      </c>
      <c r="AO789" s="60">
        <v>191.67</v>
      </c>
      <c r="AP789" s="60">
        <v>231.45</v>
      </c>
      <c r="AQ789" s="60">
        <v>350.54</v>
      </c>
      <c r="AR789" s="61">
        <v>350.54</v>
      </c>
    </row>
    <row r="790" spans="1:44" x14ac:dyDescent="0.35">
      <c r="A790" s="49" t="str">
        <f t="shared" si="68"/>
        <v>01</v>
      </c>
      <c r="B790" s="27">
        <v>10017</v>
      </c>
      <c r="C790" s="25" t="str">
        <f>TEXT(123968,"0000000")</f>
        <v>0123968</v>
      </c>
      <c r="D790" s="27">
        <v>1284</v>
      </c>
      <c r="E790" s="25" t="s">
        <v>9</v>
      </c>
      <c r="F790" s="25" t="s">
        <v>5</v>
      </c>
      <c r="G790" s="59" t="s">
        <v>10</v>
      </c>
      <c r="H790" s="60">
        <v>0</v>
      </c>
      <c r="I790" s="60">
        <v>0</v>
      </c>
      <c r="J790" s="60">
        <v>0</v>
      </c>
      <c r="K790" s="60">
        <v>0</v>
      </c>
      <c r="L790" s="60">
        <v>0</v>
      </c>
      <c r="M790" s="60">
        <v>0</v>
      </c>
      <c r="N790" s="60">
        <v>0</v>
      </c>
      <c r="O790" s="60">
        <v>0</v>
      </c>
      <c r="P790" s="60">
        <v>0</v>
      </c>
      <c r="Q790" s="60">
        <v>0</v>
      </c>
      <c r="R790" s="60">
        <v>0</v>
      </c>
      <c r="S790" s="60">
        <v>0</v>
      </c>
      <c r="T790" s="60">
        <v>0</v>
      </c>
      <c r="U790" s="60">
        <v>0</v>
      </c>
      <c r="V790" s="60">
        <v>0</v>
      </c>
      <c r="W790" s="60">
        <v>0</v>
      </c>
      <c r="X790" s="60">
        <v>0</v>
      </c>
      <c r="Y790" s="60">
        <v>0</v>
      </c>
      <c r="Z790" s="60">
        <v>0</v>
      </c>
      <c r="AA790" s="60">
        <v>0</v>
      </c>
      <c r="AB790" s="60">
        <v>0</v>
      </c>
      <c r="AC790" s="60">
        <v>165.6</v>
      </c>
      <c r="AD790" s="60">
        <v>166</v>
      </c>
      <c r="AE790" s="60">
        <v>171.4</v>
      </c>
      <c r="AF790" s="60">
        <v>0</v>
      </c>
      <c r="AG790" s="60">
        <v>0</v>
      </c>
      <c r="AH790" s="60">
        <v>0</v>
      </c>
      <c r="AI790" s="60">
        <v>165.6</v>
      </c>
      <c r="AJ790" s="60">
        <v>166</v>
      </c>
      <c r="AK790" s="60">
        <v>171.4</v>
      </c>
      <c r="AL790" s="60">
        <v>0</v>
      </c>
      <c r="AM790" s="60">
        <v>0</v>
      </c>
      <c r="AN790" s="60">
        <v>0</v>
      </c>
      <c r="AO790" s="60">
        <v>165.6</v>
      </c>
      <c r="AP790" s="60">
        <v>166</v>
      </c>
      <c r="AQ790" s="60">
        <v>171.4</v>
      </c>
      <c r="AR790" s="61">
        <v>171.4</v>
      </c>
    </row>
    <row r="791" spans="1:44" x14ac:dyDescent="0.35">
      <c r="A791" s="49" t="str">
        <f t="shared" si="68"/>
        <v>01</v>
      </c>
      <c r="B791" s="27">
        <v>10017</v>
      </c>
      <c r="C791" s="25" t="str">
        <f>TEXT(124172,"0000000")</f>
        <v>0124172</v>
      </c>
      <c r="D791" s="27">
        <v>1296</v>
      </c>
      <c r="E791" s="25" t="s">
        <v>11</v>
      </c>
      <c r="F791" s="25" t="s">
        <v>5</v>
      </c>
      <c r="G791" s="59" t="s">
        <v>12</v>
      </c>
      <c r="H791" s="60">
        <v>0</v>
      </c>
      <c r="I791" s="60">
        <v>0</v>
      </c>
      <c r="J791" s="60">
        <v>0</v>
      </c>
      <c r="K791" s="60">
        <v>0</v>
      </c>
      <c r="L791" s="60">
        <v>0</v>
      </c>
      <c r="M791" s="60">
        <v>0</v>
      </c>
      <c r="N791" s="60">
        <v>0</v>
      </c>
      <c r="O791" s="60">
        <v>0</v>
      </c>
      <c r="P791" s="60">
        <v>0</v>
      </c>
      <c r="Q791" s="60">
        <v>0</v>
      </c>
      <c r="R791" s="60">
        <v>0</v>
      </c>
      <c r="S791" s="60">
        <v>0</v>
      </c>
      <c r="T791" s="60">
        <v>0</v>
      </c>
      <c r="U791" s="60">
        <v>0</v>
      </c>
      <c r="V791" s="60">
        <v>0</v>
      </c>
      <c r="W791" s="60">
        <v>0</v>
      </c>
      <c r="X791" s="60">
        <v>0</v>
      </c>
      <c r="Y791" s="60">
        <v>0</v>
      </c>
      <c r="Z791" s="60">
        <v>835.05</v>
      </c>
      <c r="AA791" s="60">
        <v>741.66</v>
      </c>
      <c r="AB791" s="60">
        <v>652.87</v>
      </c>
      <c r="AC791" s="60">
        <v>0</v>
      </c>
      <c r="AD791" s="60">
        <v>0</v>
      </c>
      <c r="AE791" s="60">
        <v>0</v>
      </c>
      <c r="AF791" s="60">
        <v>0</v>
      </c>
      <c r="AG791" s="60">
        <v>0</v>
      </c>
      <c r="AH791" s="60">
        <v>0</v>
      </c>
      <c r="AI791" s="60">
        <v>835.05</v>
      </c>
      <c r="AJ791" s="60">
        <v>741.66</v>
      </c>
      <c r="AK791" s="60">
        <v>652.87</v>
      </c>
      <c r="AL791" s="60">
        <v>0</v>
      </c>
      <c r="AM791" s="60">
        <v>0</v>
      </c>
      <c r="AN791" s="60">
        <v>0</v>
      </c>
      <c r="AO791" s="60">
        <v>835.05</v>
      </c>
      <c r="AP791" s="60">
        <v>741.66</v>
      </c>
      <c r="AQ791" s="60">
        <v>652.87</v>
      </c>
      <c r="AR791" s="61">
        <v>835.05</v>
      </c>
    </row>
    <row r="792" spans="1:44" x14ac:dyDescent="0.35">
      <c r="A792" s="49" t="str">
        <f t="shared" si="68"/>
        <v>01</v>
      </c>
      <c r="B792" s="27">
        <v>10017</v>
      </c>
      <c r="C792" s="25" t="str">
        <f>TEXT(125567,"0000000")</f>
        <v>0125567</v>
      </c>
      <c r="D792" s="27">
        <v>1383</v>
      </c>
      <c r="E792" s="25" t="s">
        <v>13</v>
      </c>
      <c r="F792" s="25" t="s">
        <v>5</v>
      </c>
      <c r="G792" s="59" t="s">
        <v>14</v>
      </c>
      <c r="H792" s="60">
        <v>0</v>
      </c>
      <c r="I792" s="60">
        <v>0</v>
      </c>
      <c r="J792" s="60">
        <v>0</v>
      </c>
      <c r="K792" s="60">
        <v>0</v>
      </c>
      <c r="L792" s="60">
        <v>0</v>
      </c>
      <c r="M792" s="60">
        <v>0</v>
      </c>
      <c r="N792" s="60">
        <v>0</v>
      </c>
      <c r="O792" s="60">
        <v>0</v>
      </c>
      <c r="P792" s="60">
        <v>0</v>
      </c>
      <c r="Q792" s="60">
        <v>0</v>
      </c>
      <c r="R792" s="60">
        <v>0</v>
      </c>
      <c r="S792" s="60">
        <v>0</v>
      </c>
      <c r="T792" s="60">
        <v>0</v>
      </c>
      <c r="U792" s="60">
        <v>0</v>
      </c>
      <c r="V792" s="60">
        <v>0</v>
      </c>
      <c r="W792" s="60">
        <v>0</v>
      </c>
      <c r="X792" s="60">
        <v>0</v>
      </c>
      <c r="Y792" s="60">
        <v>0</v>
      </c>
      <c r="Z792" s="60">
        <v>0</v>
      </c>
      <c r="AA792" s="60">
        <v>0</v>
      </c>
      <c r="AB792" s="60">
        <v>0</v>
      </c>
      <c r="AC792" s="60">
        <v>318.22000000000003</v>
      </c>
      <c r="AD792" s="60">
        <v>296.20999999999998</v>
      </c>
      <c r="AE792" s="60">
        <v>314.52999999999997</v>
      </c>
      <c r="AF792" s="60">
        <v>0</v>
      </c>
      <c r="AG792" s="60">
        <v>0</v>
      </c>
      <c r="AH792" s="60">
        <v>0</v>
      </c>
      <c r="AI792" s="60">
        <v>318.22000000000003</v>
      </c>
      <c r="AJ792" s="60">
        <v>296.20999999999998</v>
      </c>
      <c r="AK792" s="60">
        <v>314.52999999999997</v>
      </c>
      <c r="AL792" s="60">
        <v>0</v>
      </c>
      <c r="AM792" s="60">
        <v>0</v>
      </c>
      <c r="AN792" s="60">
        <v>0</v>
      </c>
      <c r="AO792" s="60">
        <v>318.22000000000003</v>
      </c>
      <c r="AP792" s="60">
        <v>296.20999999999998</v>
      </c>
      <c r="AQ792" s="60">
        <v>314.52999999999997</v>
      </c>
      <c r="AR792" s="61">
        <v>318.22000000000003</v>
      </c>
    </row>
    <row r="793" spans="1:44" x14ac:dyDescent="0.35">
      <c r="A793" s="49" t="str">
        <f t="shared" si="68"/>
        <v>01</v>
      </c>
      <c r="B793" s="27">
        <v>10017</v>
      </c>
      <c r="C793" s="25" t="str">
        <f>TEXT(129403,"0000000")</f>
        <v>0129403</v>
      </c>
      <c r="D793" s="27">
        <v>1632</v>
      </c>
      <c r="E793" s="25" t="s">
        <v>15</v>
      </c>
      <c r="F793" s="25" t="s">
        <v>5</v>
      </c>
      <c r="G793" s="59" t="s">
        <v>16</v>
      </c>
      <c r="H793" s="60">
        <v>0</v>
      </c>
      <c r="I793" s="60">
        <v>0</v>
      </c>
      <c r="J793" s="60">
        <v>0</v>
      </c>
      <c r="K793" s="60">
        <v>0</v>
      </c>
      <c r="L793" s="60">
        <v>0</v>
      </c>
      <c r="M793" s="60">
        <v>0</v>
      </c>
      <c r="N793" s="60">
        <v>0</v>
      </c>
      <c r="O793" s="60">
        <v>0</v>
      </c>
      <c r="P793" s="60">
        <v>0</v>
      </c>
      <c r="Q793" s="60">
        <v>0</v>
      </c>
      <c r="R793" s="60">
        <v>0</v>
      </c>
      <c r="S793" s="60">
        <v>0</v>
      </c>
      <c r="T793" s="60">
        <v>0</v>
      </c>
      <c r="U793" s="60">
        <v>0</v>
      </c>
      <c r="V793" s="60">
        <v>0</v>
      </c>
      <c r="W793" s="60">
        <v>0</v>
      </c>
      <c r="X793" s="60">
        <v>0</v>
      </c>
      <c r="Y793" s="60">
        <v>0</v>
      </c>
      <c r="Z793" s="60">
        <v>0</v>
      </c>
      <c r="AA793" s="60">
        <v>0</v>
      </c>
      <c r="AB793" s="60">
        <v>0</v>
      </c>
      <c r="AC793" s="60">
        <v>0</v>
      </c>
      <c r="AD793" s="60">
        <v>0</v>
      </c>
      <c r="AE793" s="60">
        <v>0</v>
      </c>
      <c r="AF793" s="60">
        <v>0</v>
      </c>
      <c r="AG793" s="60">
        <v>0</v>
      </c>
      <c r="AH793" s="60">
        <v>0</v>
      </c>
      <c r="AI793" s="60">
        <v>0</v>
      </c>
      <c r="AJ793" s="60">
        <v>0</v>
      </c>
      <c r="AK793" s="60">
        <v>0</v>
      </c>
      <c r="AL793" s="60">
        <v>0</v>
      </c>
      <c r="AM793" s="60">
        <v>0</v>
      </c>
      <c r="AN793" s="60">
        <v>0</v>
      </c>
      <c r="AO793" s="60">
        <v>0</v>
      </c>
      <c r="AP793" s="60">
        <v>0</v>
      </c>
      <c r="AQ793" s="60">
        <v>0</v>
      </c>
      <c r="AR793" s="61">
        <v>0</v>
      </c>
    </row>
    <row r="794" spans="1:44" x14ac:dyDescent="0.35">
      <c r="A794" s="49" t="str">
        <f t="shared" si="68"/>
        <v>01</v>
      </c>
      <c r="B794" s="27">
        <v>10017</v>
      </c>
      <c r="C794" s="25" t="str">
        <f>TEXT(130625,"0000000")</f>
        <v>0130625</v>
      </c>
      <c r="D794" s="26" t="s">
        <v>19</v>
      </c>
      <c r="E794" s="25" t="s">
        <v>17</v>
      </c>
      <c r="F794" s="25" t="s">
        <v>5</v>
      </c>
      <c r="G794" s="59" t="s">
        <v>18</v>
      </c>
      <c r="H794" s="60">
        <v>0</v>
      </c>
      <c r="I794" s="60">
        <v>0</v>
      </c>
      <c r="J794" s="60">
        <v>0</v>
      </c>
      <c r="K794" s="60">
        <v>0</v>
      </c>
      <c r="L794" s="60">
        <v>0</v>
      </c>
      <c r="M794" s="60">
        <v>0</v>
      </c>
      <c r="N794" s="60">
        <v>0</v>
      </c>
      <c r="O794" s="60">
        <v>0</v>
      </c>
      <c r="P794" s="60">
        <v>0</v>
      </c>
      <c r="Q794" s="60">
        <v>0</v>
      </c>
      <c r="R794" s="60">
        <v>0</v>
      </c>
      <c r="S794" s="60">
        <v>0</v>
      </c>
      <c r="T794" s="60">
        <v>0</v>
      </c>
      <c r="U794" s="60">
        <v>0</v>
      </c>
      <c r="V794" s="60">
        <v>0</v>
      </c>
      <c r="W794" s="60">
        <v>0</v>
      </c>
      <c r="X794" s="60">
        <v>0</v>
      </c>
      <c r="Y794" s="60">
        <v>0</v>
      </c>
      <c r="Z794" s="60">
        <v>0</v>
      </c>
      <c r="AA794" s="60">
        <v>0</v>
      </c>
      <c r="AB794" s="60">
        <v>0</v>
      </c>
      <c r="AC794" s="60">
        <v>110.01</v>
      </c>
      <c r="AD794" s="60">
        <v>131.55000000000001</v>
      </c>
      <c r="AE794" s="60">
        <v>134.04</v>
      </c>
      <c r="AF794" s="60">
        <v>0</v>
      </c>
      <c r="AG794" s="60">
        <v>0</v>
      </c>
      <c r="AH794" s="60">
        <v>0</v>
      </c>
      <c r="AI794" s="60">
        <v>110.01</v>
      </c>
      <c r="AJ794" s="60">
        <v>131.55000000000001</v>
      </c>
      <c r="AK794" s="60">
        <v>134.04</v>
      </c>
      <c r="AL794" s="60">
        <v>0</v>
      </c>
      <c r="AM794" s="60">
        <v>0</v>
      </c>
      <c r="AN794" s="60">
        <v>0</v>
      </c>
      <c r="AO794" s="60">
        <v>110.01</v>
      </c>
      <c r="AP794" s="60">
        <v>131.55000000000001</v>
      </c>
      <c r="AQ794" s="60">
        <v>134.04</v>
      </c>
      <c r="AR794" s="61">
        <v>134.04</v>
      </c>
    </row>
    <row r="795" spans="1:44" x14ac:dyDescent="0.35">
      <c r="A795" s="49" t="str">
        <f t="shared" si="68"/>
        <v>01</v>
      </c>
      <c r="B795" s="27">
        <v>10017</v>
      </c>
      <c r="C795" s="25" t="str">
        <f>TEXT(136101,"0000000")</f>
        <v>0136101</v>
      </c>
      <c r="D795" s="27">
        <v>1881</v>
      </c>
      <c r="E795" s="25" t="s">
        <v>24</v>
      </c>
      <c r="F795" s="25" t="s">
        <v>5</v>
      </c>
      <c r="G795" s="59" t="s">
        <v>25</v>
      </c>
      <c r="H795" s="60">
        <v>0</v>
      </c>
      <c r="I795" s="60">
        <v>0</v>
      </c>
      <c r="J795" s="60">
        <v>0</v>
      </c>
      <c r="K795" s="60">
        <v>0</v>
      </c>
      <c r="L795" s="60">
        <v>0</v>
      </c>
      <c r="M795" s="60">
        <v>0</v>
      </c>
      <c r="N795" s="60">
        <v>0</v>
      </c>
      <c r="O795" s="60">
        <v>0</v>
      </c>
      <c r="P795" s="60">
        <v>0</v>
      </c>
      <c r="Q795" s="60">
        <v>0</v>
      </c>
      <c r="R795" s="60">
        <v>0</v>
      </c>
      <c r="S795" s="60">
        <v>0</v>
      </c>
      <c r="T795" s="60">
        <v>0</v>
      </c>
      <c r="U795" s="60">
        <v>0</v>
      </c>
      <c r="V795" s="60">
        <v>0</v>
      </c>
      <c r="W795" s="60">
        <v>0</v>
      </c>
      <c r="X795" s="60">
        <v>0</v>
      </c>
      <c r="Y795" s="60">
        <v>0</v>
      </c>
      <c r="Z795" s="60">
        <v>0</v>
      </c>
      <c r="AA795" s="60">
        <v>0</v>
      </c>
      <c r="AB795" s="60">
        <v>0</v>
      </c>
      <c r="AC795" s="60">
        <v>503.91</v>
      </c>
      <c r="AD795" s="60">
        <v>497.62</v>
      </c>
      <c r="AE795" s="60">
        <v>505.98</v>
      </c>
      <c r="AF795" s="60">
        <v>0</v>
      </c>
      <c r="AG795" s="60">
        <v>0</v>
      </c>
      <c r="AH795" s="60">
        <v>0</v>
      </c>
      <c r="AI795" s="60">
        <v>503.91</v>
      </c>
      <c r="AJ795" s="60">
        <v>497.62</v>
      </c>
      <c r="AK795" s="60">
        <v>505.98</v>
      </c>
      <c r="AL795" s="60">
        <v>0</v>
      </c>
      <c r="AM795" s="60">
        <v>0</v>
      </c>
      <c r="AN795" s="60">
        <v>0</v>
      </c>
      <c r="AO795" s="60">
        <v>503.91</v>
      </c>
      <c r="AP795" s="60">
        <v>497.62</v>
      </c>
      <c r="AQ795" s="60">
        <v>505.98</v>
      </c>
      <c r="AR795" s="61">
        <v>505.98</v>
      </c>
    </row>
    <row r="796" spans="1:44" x14ac:dyDescent="0.35">
      <c r="A796" s="49" t="str">
        <f t="shared" si="68"/>
        <v>01</v>
      </c>
      <c r="B796" s="27">
        <v>10017</v>
      </c>
      <c r="C796" s="25" t="str">
        <f>TEXT(137448,"0000000")</f>
        <v>0137448</v>
      </c>
      <c r="D796" s="27">
        <v>1908</v>
      </c>
      <c r="E796" s="25" t="s">
        <v>26</v>
      </c>
      <c r="F796" s="25" t="s">
        <v>5</v>
      </c>
      <c r="G796" s="59" t="s">
        <v>27</v>
      </c>
      <c r="H796" s="60">
        <v>0</v>
      </c>
      <c r="I796" s="60">
        <v>0</v>
      </c>
      <c r="J796" s="60">
        <v>0</v>
      </c>
      <c r="K796" s="60">
        <v>0</v>
      </c>
      <c r="L796" s="60">
        <v>0</v>
      </c>
      <c r="M796" s="60">
        <v>0</v>
      </c>
      <c r="N796" s="60">
        <v>0</v>
      </c>
      <c r="O796" s="60">
        <v>0</v>
      </c>
      <c r="P796" s="60">
        <v>0</v>
      </c>
      <c r="Q796" s="60">
        <v>0</v>
      </c>
      <c r="R796" s="60">
        <v>0</v>
      </c>
      <c r="S796" s="60">
        <v>0</v>
      </c>
      <c r="T796" s="60">
        <v>0</v>
      </c>
      <c r="U796" s="60">
        <v>0</v>
      </c>
      <c r="V796" s="60">
        <v>0</v>
      </c>
      <c r="W796" s="60">
        <v>0</v>
      </c>
      <c r="X796" s="60">
        <v>0</v>
      </c>
      <c r="Y796" s="60">
        <v>0</v>
      </c>
      <c r="Z796" s="60">
        <v>0</v>
      </c>
      <c r="AA796" s="60">
        <v>0</v>
      </c>
      <c r="AB796" s="60">
        <v>0</v>
      </c>
      <c r="AC796" s="60">
        <v>122.23</v>
      </c>
      <c r="AD796" s="60">
        <v>129.88</v>
      </c>
      <c r="AE796" s="60">
        <v>152.25</v>
      </c>
      <c r="AF796" s="60">
        <v>0</v>
      </c>
      <c r="AG796" s="60">
        <v>0</v>
      </c>
      <c r="AH796" s="60">
        <v>0</v>
      </c>
      <c r="AI796" s="60">
        <v>122.23</v>
      </c>
      <c r="AJ796" s="60">
        <v>129.88</v>
      </c>
      <c r="AK796" s="60">
        <v>152.25</v>
      </c>
      <c r="AL796" s="60">
        <v>0</v>
      </c>
      <c r="AM796" s="60">
        <v>0</v>
      </c>
      <c r="AN796" s="60">
        <v>0</v>
      </c>
      <c r="AO796" s="60">
        <v>122.23</v>
      </c>
      <c r="AP796" s="60">
        <v>129.88</v>
      </c>
      <c r="AQ796" s="60">
        <v>152.25</v>
      </c>
      <c r="AR796" s="61">
        <v>152.25</v>
      </c>
    </row>
    <row r="797" spans="1:44" x14ac:dyDescent="0.35">
      <c r="A797" s="49" t="str">
        <f t="shared" si="68"/>
        <v>01</v>
      </c>
      <c r="B797" s="27">
        <v>10017</v>
      </c>
      <c r="C797" s="25" t="str">
        <f>TEXT(138867,"0000000")</f>
        <v>0138867</v>
      </c>
      <c r="D797" s="27">
        <v>2027</v>
      </c>
      <c r="E797" s="25" t="s">
        <v>28</v>
      </c>
      <c r="F797" s="25" t="s">
        <v>5</v>
      </c>
      <c r="G797" s="59" t="s">
        <v>29</v>
      </c>
      <c r="H797" s="60">
        <v>0</v>
      </c>
      <c r="I797" s="60">
        <v>0</v>
      </c>
      <c r="J797" s="60">
        <v>0</v>
      </c>
      <c r="K797" s="60">
        <v>0</v>
      </c>
      <c r="L797" s="60">
        <v>0</v>
      </c>
      <c r="M797" s="60">
        <v>0</v>
      </c>
      <c r="N797" s="60">
        <v>0</v>
      </c>
      <c r="O797" s="60">
        <v>0</v>
      </c>
      <c r="P797" s="60">
        <v>0</v>
      </c>
      <c r="Q797" s="60">
        <v>0</v>
      </c>
      <c r="R797" s="60">
        <v>0</v>
      </c>
      <c r="S797" s="60">
        <v>0</v>
      </c>
      <c r="T797" s="60">
        <v>0</v>
      </c>
      <c r="U797" s="60">
        <v>0</v>
      </c>
      <c r="V797" s="60">
        <v>0</v>
      </c>
      <c r="W797" s="60">
        <v>0</v>
      </c>
      <c r="X797" s="60">
        <v>0</v>
      </c>
      <c r="Y797" s="60">
        <v>0</v>
      </c>
      <c r="Z797" s="60">
        <v>0</v>
      </c>
      <c r="AA797" s="60">
        <v>0</v>
      </c>
      <c r="AB797" s="60">
        <v>0</v>
      </c>
      <c r="AC797" s="60">
        <v>184.93</v>
      </c>
      <c r="AD797" s="60">
        <v>141.15</v>
      </c>
      <c r="AE797" s="60">
        <v>133.15</v>
      </c>
      <c r="AF797" s="60">
        <v>0</v>
      </c>
      <c r="AG797" s="60">
        <v>0</v>
      </c>
      <c r="AH797" s="60">
        <v>0</v>
      </c>
      <c r="AI797" s="60">
        <v>184.93</v>
      </c>
      <c r="AJ797" s="60">
        <v>141.15</v>
      </c>
      <c r="AK797" s="60">
        <v>133.15</v>
      </c>
      <c r="AL797" s="60">
        <v>0</v>
      </c>
      <c r="AM797" s="60">
        <v>0</v>
      </c>
      <c r="AN797" s="60">
        <v>0</v>
      </c>
      <c r="AO797" s="60">
        <v>184.93</v>
      </c>
      <c r="AP797" s="60">
        <v>141.15</v>
      </c>
      <c r="AQ797" s="60">
        <v>133.15</v>
      </c>
      <c r="AR797" s="61">
        <v>184.93</v>
      </c>
    </row>
    <row r="798" spans="1:44" x14ac:dyDescent="0.35">
      <c r="A798" s="49" t="str">
        <f t="shared" si="68"/>
        <v>01</v>
      </c>
      <c r="B798" s="27">
        <v>10017</v>
      </c>
      <c r="C798" s="25" t="str">
        <f>TEXT(6001788,"0000000")</f>
        <v>6001788</v>
      </c>
      <c r="D798" s="26" t="s">
        <v>32</v>
      </c>
      <c r="E798" s="25" t="s">
        <v>30</v>
      </c>
      <c r="F798" s="25" t="s">
        <v>5</v>
      </c>
      <c r="G798" s="59" t="s">
        <v>31</v>
      </c>
      <c r="H798" s="60">
        <v>0</v>
      </c>
      <c r="I798" s="60">
        <v>0</v>
      </c>
      <c r="J798" s="60">
        <v>0</v>
      </c>
      <c r="K798" s="60">
        <v>0</v>
      </c>
      <c r="L798" s="60">
        <v>0</v>
      </c>
      <c r="M798" s="60">
        <v>0</v>
      </c>
      <c r="N798" s="60">
        <v>0</v>
      </c>
      <c r="O798" s="60">
        <v>0</v>
      </c>
      <c r="P798" s="60">
        <v>0</v>
      </c>
      <c r="Q798" s="60">
        <v>0</v>
      </c>
      <c r="R798" s="60">
        <v>0</v>
      </c>
      <c r="S798" s="60">
        <v>0</v>
      </c>
      <c r="T798" s="60">
        <v>0</v>
      </c>
      <c r="U798" s="60">
        <v>0</v>
      </c>
      <c r="V798" s="60">
        <v>0</v>
      </c>
      <c r="W798" s="60">
        <v>0</v>
      </c>
      <c r="X798" s="60">
        <v>0</v>
      </c>
      <c r="Y798" s="60">
        <v>0</v>
      </c>
      <c r="Z798" s="60">
        <v>0</v>
      </c>
      <c r="AA798" s="60">
        <v>0</v>
      </c>
      <c r="AB798" s="60">
        <v>0</v>
      </c>
      <c r="AC798" s="60">
        <v>438.59</v>
      </c>
      <c r="AD798" s="60">
        <v>446.03</v>
      </c>
      <c r="AE798" s="60">
        <v>460.09</v>
      </c>
      <c r="AF798" s="60">
        <v>0</v>
      </c>
      <c r="AG798" s="60">
        <v>0</v>
      </c>
      <c r="AH798" s="60">
        <v>0</v>
      </c>
      <c r="AI798" s="60">
        <v>438.59</v>
      </c>
      <c r="AJ798" s="60">
        <v>446.03</v>
      </c>
      <c r="AK798" s="60">
        <v>460.09</v>
      </c>
      <c r="AL798" s="60">
        <v>0</v>
      </c>
      <c r="AM798" s="60">
        <v>0</v>
      </c>
      <c r="AN798" s="60">
        <v>0</v>
      </c>
      <c r="AO798" s="60">
        <v>438.59</v>
      </c>
      <c r="AP798" s="60">
        <v>446.03</v>
      </c>
      <c r="AQ798" s="60">
        <v>460.09</v>
      </c>
      <c r="AR798" s="61">
        <v>460.09</v>
      </c>
    </row>
    <row r="799" spans="1:44" x14ac:dyDescent="0.35">
      <c r="A799" s="49" t="str">
        <f t="shared" ref="A799:A808" si="69">TEXT(19,"00")</f>
        <v>19</v>
      </c>
      <c r="B799" s="27">
        <v>10199</v>
      </c>
      <c r="C799" s="25" t="str">
        <f>TEXT(132605,"0000000")</f>
        <v>0132605</v>
      </c>
      <c r="D799" s="27">
        <v>1744</v>
      </c>
      <c r="E799" s="25" t="s">
        <v>853</v>
      </c>
      <c r="F799" s="25" t="s">
        <v>5</v>
      </c>
      <c r="G799" s="59" t="s">
        <v>854</v>
      </c>
      <c r="H799" s="60">
        <v>0</v>
      </c>
      <c r="I799" s="60">
        <v>0</v>
      </c>
      <c r="J799" s="60">
        <v>0</v>
      </c>
      <c r="K799" s="60">
        <v>0</v>
      </c>
      <c r="L799" s="60">
        <v>0</v>
      </c>
      <c r="M799" s="60">
        <v>0</v>
      </c>
      <c r="N799" s="60">
        <v>0</v>
      </c>
      <c r="O799" s="60">
        <v>0</v>
      </c>
      <c r="P799" s="60">
        <v>0</v>
      </c>
      <c r="Q799" s="60">
        <v>0</v>
      </c>
      <c r="R799" s="60">
        <v>0</v>
      </c>
      <c r="S799" s="60">
        <v>0</v>
      </c>
      <c r="T799" s="60">
        <v>0</v>
      </c>
      <c r="U799" s="60">
        <v>0</v>
      </c>
      <c r="V799" s="60">
        <v>0</v>
      </c>
      <c r="W799" s="60">
        <v>0</v>
      </c>
      <c r="X799" s="60">
        <v>0</v>
      </c>
      <c r="Y799" s="60">
        <v>0</v>
      </c>
      <c r="Z799" s="60">
        <v>0</v>
      </c>
      <c r="AA799" s="60">
        <v>0</v>
      </c>
      <c r="AB799" s="60">
        <v>0</v>
      </c>
      <c r="AC799" s="60">
        <v>99.18</v>
      </c>
      <c r="AD799" s="60">
        <v>105.98</v>
      </c>
      <c r="AE799" s="60">
        <v>115.87</v>
      </c>
      <c r="AF799" s="60">
        <v>0</v>
      </c>
      <c r="AG799" s="60">
        <v>0</v>
      </c>
      <c r="AH799" s="60">
        <v>0</v>
      </c>
      <c r="AI799" s="60">
        <v>99.18</v>
      </c>
      <c r="AJ799" s="60">
        <v>105.98</v>
      </c>
      <c r="AK799" s="60">
        <v>115.87</v>
      </c>
      <c r="AL799" s="60">
        <v>0</v>
      </c>
      <c r="AM799" s="60">
        <v>0</v>
      </c>
      <c r="AN799" s="60">
        <v>0</v>
      </c>
      <c r="AO799" s="60">
        <v>99.18</v>
      </c>
      <c r="AP799" s="60">
        <v>105.98</v>
      </c>
      <c r="AQ799" s="60">
        <v>115.87</v>
      </c>
      <c r="AR799" s="61">
        <v>115.87</v>
      </c>
    </row>
    <row r="800" spans="1:44" x14ac:dyDescent="0.35">
      <c r="A800" s="49" t="str">
        <f t="shared" si="69"/>
        <v>19</v>
      </c>
      <c r="B800" s="27">
        <v>10199</v>
      </c>
      <c r="C800" s="25" t="str">
        <f>TEXT(135368,"0000000")</f>
        <v>0135368</v>
      </c>
      <c r="D800" s="27">
        <v>1859</v>
      </c>
      <c r="E800" s="25" t="s">
        <v>859</v>
      </c>
      <c r="F800" s="25" t="s">
        <v>5</v>
      </c>
      <c r="G800" s="59" t="s">
        <v>860</v>
      </c>
      <c r="H800" s="60">
        <v>0</v>
      </c>
      <c r="I800" s="60">
        <v>0</v>
      </c>
      <c r="J800" s="60">
        <v>0</v>
      </c>
      <c r="K800" s="60">
        <v>0</v>
      </c>
      <c r="L800" s="60">
        <v>0</v>
      </c>
      <c r="M800" s="60">
        <v>0</v>
      </c>
      <c r="N800" s="60">
        <v>0</v>
      </c>
      <c r="O800" s="60">
        <v>0</v>
      </c>
      <c r="P800" s="60">
        <v>0</v>
      </c>
      <c r="Q800" s="60">
        <v>0</v>
      </c>
      <c r="R800" s="60">
        <v>0</v>
      </c>
      <c r="S800" s="60">
        <v>0</v>
      </c>
      <c r="T800" s="60">
        <v>0</v>
      </c>
      <c r="U800" s="60">
        <v>0</v>
      </c>
      <c r="V800" s="60">
        <v>0</v>
      </c>
      <c r="W800" s="60">
        <v>0</v>
      </c>
      <c r="X800" s="60">
        <v>0</v>
      </c>
      <c r="Y800" s="60">
        <v>0</v>
      </c>
      <c r="Z800" s="60">
        <v>0</v>
      </c>
      <c r="AA800" s="60">
        <v>0</v>
      </c>
      <c r="AB800" s="60">
        <v>0</v>
      </c>
      <c r="AC800" s="60">
        <v>175.78</v>
      </c>
      <c r="AD800" s="60">
        <v>139.13999999999999</v>
      </c>
      <c r="AE800" s="60">
        <v>110.27</v>
      </c>
      <c r="AF800" s="60">
        <v>0</v>
      </c>
      <c r="AG800" s="60">
        <v>0</v>
      </c>
      <c r="AH800" s="60">
        <v>0</v>
      </c>
      <c r="AI800" s="60">
        <v>175.78</v>
      </c>
      <c r="AJ800" s="60">
        <v>139.13999999999999</v>
      </c>
      <c r="AK800" s="60">
        <v>110.27</v>
      </c>
      <c r="AL800" s="60">
        <v>0</v>
      </c>
      <c r="AM800" s="60">
        <v>0</v>
      </c>
      <c r="AN800" s="60">
        <v>0</v>
      </c>
      <c r="AO800" s="60">
        <v>175.78</v>
      </c>
      <c r="AP800" s="60">
        <v>139.13999999999999</v>
      </c>
      <c r="AQ800" s="60">
        <v>110.27</v>
      </c>
      <c r="AR800" s="61">
        <v>175.78</v>
      </c>
    </row>
    <row r="801" spans="1:44" x14ac:dyDescent="0.35">
      <c r="A801" s="49" t="str">
        <f t="shared" si="69"/>
        <v>19</v>
      </c>
      <c r="B801" s="27">
        <v>10199</v>
      </c>
      <c r="C801" s="25" t="str">
        <f>TEXT(136119,"0000000")</f>
        <v>0136119</v>
      </c>
      <c r="D801" s="27">
        <v>1874</v>
      </c>
      <c r="E801" s="25" t="s">
        <v>863</v>
      </c>
      <c r="F801" s="25" t="s">
        <v>5</v>
      </c>
      <c r="G801" s="59" t="s">
        <v>864</v>
      </c>
      <c r="H801" s="60">
        <v>0</v>
      </c>
      <c r="I801" s="60">
        <v>0</v>
      </c>
      <c r="J801" s="60">
        <v>0</v>
      </c>
      <c r="K801" s="60">
        <v>0</v>
      </c>
      <c r="L801" s="60">
        <v>0</v>
      </c>
      <c r="M801" s="60">
        <v>0</v>
      </c>
      <c r="N801" s="60">
        <v>0</v>
      </c>
      <c r="O801" s="60">
        <v>0</v>
      </c>
      <c r="P801" s="60">
        <v>0</v>
      </c>
      <c r="Q801" s="60">
        <v>0</v>
      </c>
      <c r="R801" s="60">
        <v>0</v>
      </c>
      <c r="S801" s="60">
        <v>0</v>
      </c>
      <c r="T801" s="60">
        <v>0</v>
      </c>
      <c r="U801" s="60">
        <v>0</v>
      </c>
      <c r="V801" s="60">
        <v>0</v>
      </c>
      <c r="W801" s="60">
        <v>0</v>
      </c>
      <c r="X801" s="60">
        <v>0</v>
      </c>
      <c r="Y801" s="60">
        <v>0</v>
      </c>
      <c r="Z801" s="60">
        <v>0</v>
      </c>
      <c r="AA801" s="60">
        <v>0</v>
      </c>
      <c r="AB801" s="60">
        <v>0</v>
      </c>
      <c r="AC801" s="60">
        <v>275.16000000000003</v>
      </c>
      <c r="AD801" s="60">
        <v>283.14</v>
      </c>
      <c r="AE801" s="60">
        <v>294.02999999999997</v>
      </c>
      <c r="AF801" s="60">
        <v>0</v>
      </c>
      <c r="AG801" s="60">
        <v>0</v>
      </c>
      <c r="AH801" s="60">
        <v>0</v>
      </c>
      <c r="AI801" s="60">
        <v>275.16000000000003</v>
      </c>
      <c r="AJ801" s="60">
        <v>283.14</v>
      </c>
      <c r="AK801" s="60">
        <v>294.02999999999997</v>
      </c>
      <c r="AL801" s="60">
        <v>0</v>
      </c>
      <c r="AM801" s="60">
        <v>0</v>
      </c>
      <c r="AN801" s="60">
        <v>0</v>
      </c>
      <c r="AO801" s="60">
        <v>275.16000000000003</v>
      </c>
      <c r="AP801" s="60">
        <v>283.14</v>
      </c>
      <c r="AQ801" s="60">
        <v>294.02999999999997</v>
      </c>
      <c r="AR801" s="61">
        <v>294.02999999999997</v>
      </c>
    </row>
    <row r="802" spans="1:44" x14ac:dyDescent="0.35">
      <c r="A802" s="49" t="str">
        <f t="shared" si="69"/>
        <v>19</v>
      </c>
      <c r="B802" s="27">
        <v>10199</v>
      </c>
      <c r="C802" s="25" t="str">
        <f>TEXT(137679,"0000000")</f>
        <v>0137679</v>
      </c>
      <c r="D802" s="26" t="s">
        <v>869</v>
      </c>
      <c r="E802" s="25" t="s">
        <v>867</v>
      </c>
      <c r="F802" s="25" t="s">
        <v>5</v>
      </c>
      <c r="G802" s="59" t="s">
        <v>868</v>
      </c>
      <c r="H802" s="60">
        <v>0</v>
      </c>
      <c r="I802" s="60">
        <v>0</v>
      </c>
      <c r="J802" s="60">
        <v>0</v>
      </c>
      <c r="K802" s="60">
        <v>0</v>
      </c>
      <c r="L802" s="60">
        <v>0</v>
      </c>
      <c r="M802" s="60">
        <v>0</v>
      </c>
      <c r="N802" s="60">
        <v>0</v>
      </c>
      <c r="O802" s="60">
        <v>0</v>
      </c>
      <c r="P802" s="60">
        <v>0</v>
      </c>
      <c r="Q802" s="60">
        <v>0</v>
      </c>
      <c r="R802" s="60">
        <v>0</v>
      </c>
      <c r="S802" s="60">
        <v>0</v>
      </c>
      <c r="T802" s="60">
        <v>0</v>
      </c>
      <c r="U802" s="60">
        <v>0</v>
      </c>
      <c r="V802" s="60">
        <v>0</v>
      </c>
      <c r="W802" s="60">
        <v>0</v>
      </c>
      <c r="X802" s="60">
        <v>0</v>
      </c>
      <c r="Y802" s="60">
        <v>0</v>
      </c>
      <c r="Z802" s="60">
        <v>0</v>
      </c>
      <c r="AA802" s="60">
        <v>0</v>
      </c>
      <c r="AB802" s="60">
        <v>0</v>
      </c>
      <c r="AC802" s="60">
        <v>196.2</v>
      </c>
      <c r="AD802" s="60">
        <v>211.94</v>
      </c>
      <c r="AE802" s="60">
        <v>220.08</v>
      </c>
      <c r="AF802" s="60">
        <v>0</v>
      </c>
      <c r="AG802" s="60">
        <v>0</v>
      </c>
      <c r="AH802" s="60">
        <v>0</v>
      </c>
      <c r="AI802" s="60">
        <v>196.2</v>
      </c>
      <c r="AJ802" s="60">
        <v>211.94</v>
      </c>
      <c r="AK802" s="60">
        <v>220.08</v>
      </c>
      <c r="AL802" s="60">
        <v>0</v>
      </c>
      <c r="AM802" s="60">
        <v>0</v>
      </c>
      <c r="AN802" s="60">
        <v>0</v>
      </c>
      <c r="AO802" s="60">
        <v>196.2</v>
      </c>
      <c r="AP802" s="60">
        <v>211.94</v>
      </c>
      <c r="AQ802" s="60">
        <v>220.08</v>
      </c>
      <c r="AR802" s="61">
        <v>220.08</v>
      </c>
    </row>
    <row r="803" spans="1:44" x14ac:dyDescent="0.35">
      <c r="A803" s="49" t="str">
        <f t="shared" si="69"/>
        <v>19</v>
      </c>
      <c r="B803" s="27">
        <v>10199</v>
      </c>
      <c r="C803" s="25" t="str">
        <f>TEXT(140681,"0000000")</f>
        <v>0140681</v>
      </c>
      <c r="D803" s="27">
        <v>2098</v>
      </c>
      <c r="E803" s="25" t="s">
        <v>876</v>
      </c>
      <c r="F803" s="25" t="s">
        <v>5</v>
      </c>
      <c r="G803" s="59" t="s">
        <v>877</v>
      </c>
      <c r="H803" s="60">
        <v>0</v>
      </c>
      <c r="I803" s="60">
        <v>0</v>
      </c>
      <c r="J803" s="60">
        <v>0</v>
      </c>
      <c r="K803" s="60">
        <v>0</v>
      </c>
      <c r="L803" s="60">
        <v>0</v>
      </c>
      <c r="M803" s="60">
        <v>0</v>
      </c>
      <c r="N803" s="60">
        <v>0</v>
      </c>
      <c r="O803" s="60">
        <v>0</v>
      </c>
      <c r="P803" s="60">
        <v>0</v>
      </c>
      <c r="Q803" s="60">
        <v>0</v>
      </c>
      <c r="R803" s="60">
        <v>0</v>
      </c>
      <c r="S803" s="60">
        <v>0</v>
      </c>
      <c r="T803" s="60">
        <v>0</v>
      </c>
      <c r="U803" s="60">
        <v>0</v>
      </c>
      <c r="V803" s="60">
        <v>0</v>
      </c>
      <c r="W803" s="60">
        <v>0</v>
      </c>
      <c r="X803" s="60">
        <v>0</v>
      </c>
      <c r="Y803" s="60">
        <v>0</v>
      </c>
      <c r="Z803" s="60">
        <v>0</v>
      </c>
      <c r="AA803" s="60">
        <v>0</v>
      </c>
      <c r="AB803" s="60">
        <v>0</v>
      </c>
      <c r="AC803" s="60">
        <v>312.68</v>
      </c>
      <c r="AD803" s="60">
        <v>204.17</v>
      </c>
      <c r="AE803" s="60">
        <v>107.62</v>
      </c>
      <c r="AF803" s="60">
        <v>0</v>
      </c>
      <c r="AG803" s="60">
        <v>0</v>
      </c>
      <c r="AH803" s="60">
        <v>0</v>
      </c>
      <c r="AI803" s="60">
        <v>312.68</v>
      </c>
      <c r="AJ803" s="60">
        <v>204.17</v>
      </c>
      <c r="AK803" s="60">
        <v>107.62</v>
      </c>
      <c r="AL803" s="60">
        <v>0</v>
      </c>
      <c r="AM803" s="60">
        <v>0</v>
      </c>
      <c r="AN803" s="60">
        <v>0</v>
      </c>
      <c r="AO803" s="60">
        <v>312.68</v>
      </c>
      <c r="AP803" s="60">
        <v>204.17</v>
      </c>
      <c r="AQ803" s="60">
        <v>107.62</v>
      </c>
      <c r="AR803" s="61">
        <v>312.68</v>
      </c>
    </row>
    <row r="804" spans="1:44" x14ac:dyDescent="0.35">
      <c r="A804" s="49" t="str">
        <f t="shared" si="69"/>
        <v>19</v>
      </c>
      <c r="B804" s="27">
        <v>10199</v>
      </c>
      <c r="C804" s="25" t="str">
        <f>TEXT(140772,"0000000")</f>
        <v>0140772</v>
      </c>
      <c r="D804" s="27">
        <v>2112</v>
      </c>
      <c r="E804" s="25" t="s">
        <v>880</v>
      </c>
      <c r="F804" s="25" t="s">
        <v>5</v>
      </c>
      <c r="G804" s="59" t="s">
        <v>881</v>
      </c>
      <c r="H804" s="60">
        <v>0</v>
      </c>
      <c r="I804" s="60">
        <v>0</v>
      </c>
      <c r="J804" s="60">
        <v>0</v>
      </c>
      <c r="K804" s="60">
        <v>0</v>
      </c>
      <c r="L804" s="60">
        <v>0</v>
      </c>
      <c r="M804" s="60">
        <v>0</v>
      </c>
      <c r="N804" s="60">
        <v>0</v>
      </c>
      <c r="O804" s="60">
        <v>0</v>
      </c>
      <c r="P804" s="60">
        <v>0</v>
      </c>
      <c r="Q804" s="60">
        <v>0</v>
      </c>
      <c r="R804" s="60">
        <v>0</v>
      </c>
      <c r="S804" s="60">
        <v>0</v>
      </c>
      <c r="T804" s="60">
        <v>0</v>
      </c>
      <c r="U804" s="60">
        <v>0</v>
      </c>
      <c r="V804" s="60">
        <v>0</v>
      </c>
      <c r="W804" s="60">
        <v>0</v>
      </c>
      <c r="X804" s="60">
        <v>0</v>
      </c>
      <c r="Y804" s="60">
        <v>0</v>
      </c>
      <c r="Z804" s="60">
        <v>0</v>
      </c>
      <c r="AA804" s="60">
        <v>0</v>
      </c>
      <c r="AB804" s="60">
        <v>0</v>
      </c>
      <c r="AC804" s="60">
        <v>171.28</v>
      </c>
      <c r="AD804" s="60">
        <v>136.76</v>
      </c>
      <c r="AE804" s="60">
        <v>90.82</v>
      </c>
      <c r="AF804" s="60">
        <v>0</v>
      </c>
      <c r="AG804" s="60">
        <v>0</v>
      </c>
      <c r="AH804" s="60">
        <v>0</v>
      </c>
      <c r="AI804" s="60">
        <v>171.28</v>
      </c>
      <c r="AJ804" s="60">
        <v>136.76</v>
      </c>
      <c r="AK804" s="60">
        <v>90.82</v>
      </c>
      <c r="AL804" s="60">
        <v>0</v>
      </c>
      <c r="AM804" s="60">
        <v>0</v>
      </c>
      <c r="AN804" s="60">
        <v>0</v>
      </c>
      <c r="AO804" s="60">
        <v>171.28</v>
      </c>
      <c r="AP804" s="60">
        <v>136.76</v>
      </c>
      <c r="AQ804" s="60">
        <v>90.82</v>
      </c>
      <c r="AR804" s="61">
        <v>171.28</v>
      </c>
    </row>
    <row r="805" spans="1:44" x14ac:dyDescent="0.35">
      <c r="A805" s="49" t="str">
        <f t="shared" si="69"/>
        <v>19</v>
      </c>
      <c r="B805" s="27">
        <v>10199</v>
      </c>
      <c r="C805" s="25" t="str">
        <f>TEXT(6119945,"0000000")</f>
        <v>6119945</v>
      </c>
      <c r="D805" s="26" t="s">
        <v>891</v>
      </c>
      <c r="E805" s="25" t="s">
        <v>889</v>
      </c>
      <c r="F805" s="25" t="s">
        <v>5</v>
      </c>
      <c r="G805" s="59" t="s">
        <v>890</v>
      </c>
      <c r="H805" s="60">
        <v>0</v>
      </c>
      <c r="I805" s="60">
        <v>0</v>
      </c>
      <c r="J805" s="60">
        <v>0</v>
      </c>
      <c r="K805" s="60">
        <v>0</v>
      </c>
      <c r="L805" s="60">
        <v>0</v>
      </c>
      <c r="M805" s="60">
        <v>0</v>
      </c>
      <c r="N805" s="60">
        <v>0</v>
      </c>
      <c r="O805" s="60">
        <v>0</v>
      </c>
      <c r="P805" s="60">
        <v>0</v>
      </c>
      <c r="Q805" s="60">
        <v>0</v>
      </c>
      <c r="R805" s="60">
        <v>0</v>
      </c>
      <c r="S805" s="60">
        <v>0</v>
      </c>
      <c r="T805" s="60">
        <v>0</v>
      </c>
      <c r="U805" s="60">
        <v>0</v>
      </c>
      <c r="V805" s="60">
        <v>0</v>
      </c>
      <c r="W805" s="60">
        <v>0</v>
      </c>
      <c r="X805" s="60">
        <v>0</v>
      </c>
      <c r="Y805" s="60">
        <v>0</v>
      </c>
      <c r="Z805" s="60">
        <v>0</v>
      </c>
      <c r="AA805" s="60">
        <v>0</v>
      </c>
      <c r="AB805" s="60">
        <v>0</v>
      </c>
      <c r="AC805" s="60">
        <v>664.75</v>
      </c>
      <c r="AD805" s="60">
        <v>649.11</v>
      </c>
      <c r="AE805" s="60">
        <v>670.43</v>
      </c>
      <c r="AF805" s="60">
        <v>0</v>
      </c>
      <c r="AG805" s="60">
        <v>0</v>
      </c>
      <c r="AH805" s="60">
        <v>0</v>
      </c>
      <c r="AI805" s="60">
        <v>664.75</v>
      </c>
      <c r="AJ805" s="60">
        <v>649.11</v>
      </c>
      <c r="AK805" s="60">
        <v>670.43</v>
      </c>
      <c r="AL805" s="60">
        <v>0</v>
      </c>
      <c r="AM805" s="60">
        <v>0</v>
      </c>
      <c r="AN805" s="60">
        <v>0</v>
      </c>
      <c r="AO805" s="60">
        <v>664.75</v>
      </c>
      <c r="AP805" s="60">
        <v>649.11</v>
      </c>
      <c r="AQ805" s="60">
        <v>670.43</v>
      </c>
      <c r="AR805" s="61">
        <v>670.43</v>
      </c>
    </row>
    <row r="806" spans="1:44" x14ac:dyDescent="0.35">
      <c r="A806" s="49" t="str">
        <f t="shared" si="69"/>
        <v>19</v>
      </c>
      <c r="B806" s="27">
        <v>64246</v>
      </c>
      <c r="C806" s="25" t="str">
        <f>TEXT(1996537,"0000000")</f>
        <v>1996537</v>
      </c>
      <c r="D806" s="26" t="s">
        <v>900</v>
      </c>
      <c r="E806" s="25" t="s">
        <v>898</v>
      </c>
      <c r="F806" s="25" t="s">
        <v>5</v>
      </c>
      <c r="G806" s="59" t="s">
        <v>899</v>
      </c>
      <c r="H806" s="60">
        <v>0</v>
      </c>
      <c r="I806" s="60">
        <v>0</v>
      </c>
      <c r="J806" s="60">
        <v>0</v>
      </c>
      <c r="K806" s="60">
        <v>0</v>
      </c>
      <c r="L806" s="60">
        <v>0</v>
      </c>
      <c r="M806" s="60">
        <v>0</v>
      </c>
      <c r="N806" s="60">
        <v>0</v>
      </c>
      <c r="O806" s="60">
        <v>0</v>
      </c>
      <c r="P806" s="60">
        <v>0</v>
      </c>
      <c r="Q806" s="60">
        <v>0</v>
      </c>
      <c r="R806" s="60">
        <v>0</v>
      </c>
      <c r="S806" s="60">
        <v>0</v>
      </c>
      <c r="T806" s="60">
        <v>0</v>
      </c>
      <c r="U806" s="60">
        <v>0</v>
      </c>
      <c r="V806" s="60">
        <v>0</v>
      </c>
      <c r="W806" s="60">
        <v>0</v>
      </c>
      <c r="X806" s="60">
        <v>0</v>
      </c>
      <c r="Y806" s="60">
        <v>0</v>
      </c>
      <c r="Z806" s="60">
        <v>0</v>
      </c>
      <c r="AA806" s="60">
        <v>0</v>
      </c>
      <c r="AB806" s="60">
        <v>0</v>
      </c>
      <c r="AC806" s="60">
        <v>1997.52</v>
      </c>
      <c r="AD806" s="60">
        <v>1654.9</v>
      </c>
      <c r="AE806" s="60">
        <v>1817.6</v>
      </c>
      <c r="AF806" s="60">
        <v>0</v>
      </c>
      <c r="AG806" s="60">
        <v>0</v>
      </c>
      <c r="AH806" s="60">
        <v>0</v>
      </c>
      <c r="AI806" s="60">
        <v>1997.52</v>
      </c>
      <c r="AJ806" s="60">
        <v>1654.9</v>
      </c>
      <c r="AK806" s="60">
        <v>1817.6</v>
      </c>
      <c r="AL806" s="60">
        <v>0</v>
      </c>
      <c r="AM806" s="60">
        <v>0</v>
      </c>
      <c r="AN806" s="60">
        <v>0</v>
      </c>
      <c r="AO806" s="60">
        <v>1997.52</v>
      </c>
      <c r="AP806" s="60">
        <v>1654.9</v>
      </c>
      <c r="AQ806" s="60">
        <v>1817.6</v>
      </c>
      <c r="AR806" s="61">
        <v>1997.52</v>
      </c>
    </row>
    <row r="807" spans="1:44" ht="31" x14ac:dyDescent="0.35">
      <c r="A807" s="49" t="str">
        <f t="shared" si="69"/>
        <v>19</v>
      </c>
      <c r="B807" s="27">
        <v>64469</v>
      </c>
      <c r="C807" s="25" t="str">
        <f>TEXT(134858,"0000000")</f>
        <v>0134858</v>
      </c>
      <c r="D807" s="27">
        <v>1838</v>
      </c>
      <c r="E807" s="25" t="s">
        <v>950</v>
      </c>
      <c r="F807" s="25" t="s">
        <v>5</v>
      </c>
      <c r="G807" s="59" t="s">
        <v>951</v>
      </c>
      <c r="H807" s="60">
        <v>0</v>
      </c>
      <c r="I807" s="60">
        <v>0</v>
      </c>
      <c r="J807" s="60">
        <v>0</v>
      </c>
      <c r="K807" s="60">
        <v>0</v>
      </c>
      <c r="L807" s="60">
        <v>0</v>
      </c>
      <c r="M807" s="60">
        <v>0</v>
      </c>
      <c r="N807" s="60">
        <v>0</v>
      </c>
      <c r="O807" s="60">
        <v>0</v>
      </c>
      <c r="P807" s="60">
        <v>0</v>
      </c>
      <c r="Q807" s="60">
        <v>0</v>
      </c>
      <c r="R807" s="60">
        <v>0</v>
      </c>
      <c r="S807" s="60">
        <v>0</v>
      </c>
      <c r="T807" s="60">
        <v>0</v>
      </c>
      <c r="U807" s="60">
        <v>0</v>
      </c>
      <c r="V807" s="60">
        <v>0</v>
      </c>
      <c r="W807" s="60">
        <v>0</v>
      </c>
      <c r="X807" s="60">
        <v>0</v>
      </c>
      <c r="Y807" s="60">
        <v>0</v>
      </c>
      <c r="Z807" s="60">
        <v>0</v>
      </c>
      <c r="AA807" s="60">
        <v>0</v>
      </c>
      <c r="AB807" s="60">
        <v>0</v>
      </c>
      <c r="AC807" s="60">
        <v>881.71</v>
      </c>
      <c r="AD807" s="60">
        <v>883.18</v>
      </c>
      <c r="AE807" s="60">
        <v>921.63</v>
      </c>
      <c r="AF807" s="60">
        <v>0</v>
      </c>
      <c r="AG807" s="60">
        <v>0</v>
      </c>
      <c r="AH807" s="60">
        <v>0</v>
      </c>
      <c r="AI807" s="60">
        <v>881.71</v>
      </c>
      <c r="AJ807" s="60">
        <v>883.18</v>
      </c>
      <c r="AK807" s="60">
        <v>921.63</v>
      </c>
      <c r="AL807" s="60">
        <v>0</v>
      </c>
      <c r="AM807" s="60">
        <v>0</v>
      </c>
      <c r="AN807" s="60">
        <v>0</v>
      </c>
      <c r="AO807" s="60">
        <v>881.71</v>
      </c>
      <c r="AP807" s="60">
        <v>883.18</v>
      </c>
      <c r="AQ807" s="60">
        <v>921.63</v>
      </c>
      <c r="AR807" s="61">
        <v>921.63</v>
      </c>
    </row>
    <row r="808" spans="1:44" x14ac:dyDescent="0.35">
      <c r="A808" s="49" t="str">
        <f t="shared" si="69"/>
        <v>19</v>
      </c>
      <c r="B808" s="27">
        <v>64584</v>
      </c>
      <c r="C808" s="25" t="str">
        <f>TEXT(1996305,"0000000")</f>
        <v>1996305</v>
      </c>
      <c r="D808" s="26" t="s">
        <v>974</v>
      </c>
      <c r="E808" s="25" t="s">
        <v>972</v>
      </c>
      <c r="F808" s="25" t="s">
        <v>5</v>
      </c>
      <c r="G808" s="59" t="s">
        <v>973</v>
      </c>
      <c r="H808" s="60">
        <v>0</v>
      </c>
      <c r="I808" s="60">
        <v>0</v>
      </c>
      <c r="J808" s="60">
        <v>0</v>
      </c>
      <c r="K808" s="60">
        <v>0</v>
      </c>
      <c r="L808" s="60">
        <v>0</v>
      </c>
      <c r="M808" s="60">
        <v>0</v>
      </c>
      <c r="N808" s="60">
        <v>0</v>
      </c>
      <c r="O808" s="60">
        <v>0</v>
      </c>
      <c r="P808" s="60">
        <v>0</v>
      </c>
      <c r="Q808" s="60">
        <v>0</v>
      </c>
      <c r="R808" s="60">
        <v>0</v>
      </c>
      <c r="S808" s="60">
        <v>0</v>
      </c>
      <c r="T808" s="60">
        <v>0</v>
      </c>
      <c r="U808" s="60">
        <v>0</v>
      </c>
      <c r="V808" s="60">
        <v>0</v>
      </c>
      <c r="W808" s="60">
        <v>0</v>
      </c>
      <c r="X808" s="60">
        <v>0</v>
      </c>
      <c r="Y808" s="60">
        <v>0</v>
      </c>
      <c r="Z808" s="60">
        <v>0</v>
      </c>
      <c r="AA808" s="60">
        <v>0</v>
      </c>
      <c r="AB808" s="60">
        <v>0</v>
      </c>
      <c r="AC808" s="60">
        <v>1099.6400000000001</v>
      </c>
      <c r="AD808" s="60">
        <v>1156.6300000000001</v>
      </c>
      <c r="AE808" s="60">
        <v>1110.52</v>
      </c>
      <c r="AF808" s="60">
        <v>0</v>
      </c>
      <c r="AG808" s="60">
        <v>0</v>
      </c>
      <c r="AH808" s="60">
        <v>0</v>
      </c>
      <c r="AI808" s="60">
        <v>1099.6400000000001</v>
      </c>
      <c r="AJ808" s="60">
        <v>1156.6300000000001</v>
      </c>
      <c r="AK808" s="60">
        <v>1110.52</v>
      </c>
      <c r="AL808" s="60">
        <v>0</v>
      </c>
      <c r="AM808" s="60">
        <v>0</v>
      </c>
      <c r="AN808" s="60">
        <v>0</v>
      </c>
      <c r="AO808" s="60">
        <v>1099.6400000000001</v>
      </c>
      <c r="AP808" s="60">
        <v>1156.6300000000001</v>
      </c>
      <c r="AQ808" s="60">
        <v>1110.52</v>
      </c>
      <c r="AR808" s="61">
        <v>1156.6300000000001</v>
      </c>
    </row>
    <row r="809" spans="1:44" x14ac:dyDescent="0.35">
      <c r="A809" s="49" t="str">
        <f>TEXT(1,"00")</f>
        <v>01</v>
      </c>
      <c r="B809" s="27">
        <v>10017</v>
      </c>
      <c r="C809" s="25" t="str">
        <f>TEXT(6002000,"0000000")</f>
        <v>6002000</v>
      </c>
      <c r="D809" s="27">
        <v>1464</v>
      </c>
      <c r="E809" s="25" t="s">
        <v>33</v>
      </c>
      <c r="F809" s="25" t="s">
        <v>5</v>
      </c>
      <c r="G809" s="59" t="s">
        <v>34</v>
      </c>
      <c r="H809" s="60">
        <v>0</v>
      </c>
      <c r="I809" s="60">
        <v>0</v>
      </c>
      <c r="J809" s="60">
        <v>0</v>
      </c>
      <c r="K809" s="60">
        <v>0</v>
      </c>
      <c r="L809" s="60">
        <v>0</v>
      </c>
      <c r="M809" s="60">
        <v>0</v>
      </c>
      <c r="N809" s="60">
        <v>0</v>
      </c>
      <c r="O809" s="60">
        <v>0</v>
      </c>
      <c r="P809" s="60">
        <v>0</v>
      </c>
      <c r="Q809" s="60">
        <v>0</v>
      </c>
      <c r="R809" s="60">
        <v>0</v>
      </c>
      <c r="S809" s="60">
        <v>0</v>
      </c>
      <c r="T809" s="60">
        <v>0</v>
      </c>
      <c r="U809" s="60">
        <v>0</v>
      </c>
      <c r="V809" s="60">
        <v>0</v>
      </c>
      <c r="W809" s="60">
        <v>0</v>
      </c>
      <c r="X809" s="60">
        <v>0</v>
      </c>
      <c r="Y809" s="60">
        <v>0</v>
      </c>
      <c r="Z809" s="60">
        <v>0</v>
      </c>
      <c r="AA809" s="60">
        <v>0</v>
      </c>
      <c r="AB809" s="60">
        <v>0</v>
      </c>
      <c r="AC809" s="60">
        <v>450.73</v>
      </c>
      <c r="AD809" s="60">
        <v>434.27</v>
      </c>
      <c r="AE809" s="60">
        <v>432.63</v>
      </c>
      <c r="AF809" s="60">
        <v>0</v>
      </c>
      <c r="AG809" s="60">
        <v>0</v>
      </c>
      <c r="AH809" s="60">
        <v>0</v>
      </c>
      <c r="AI809" s="60">
        <v>450.73</v>
      </c>
      <c r="AJ809" s="60">
        <v>434.27</v>
      </c>
      <c r="AK809" s="60">
        <v>432.63</v>
      </c>
      <c r="AL809" s="60">
        <v>0</v>
      </c>
      <c r="AM809" s="60">
        <v>0</v>
      </c>
      <c r="AN809" s="60">
        <v>0</v>
      </c>
      <c r="AO809" s="60">
        <v>450.73</v>
      </c>
      <c r="AP809" s="60">
        <v>434.27</v>
      </c>
      <c r="AQ809" s="60">
        <v>432.63</v>
      </c>
      <c r="AR809" s="61">
        <v>450.73</v>
      </c>
    </row>
    <row r="810" spans="1:44" x14ac:dyDescent="0.35">
      <c r="A810" s="49" t="str">
        <f t="shared" ref="A810:A819" si="70">TEXT(19,"00")</f>
        <v>19</v>
      </c>
      <c r="B810" s="27">
        <v>64634</v>
      </c>
      <c r="C810" s="25" t="str">
        <f>TEXT(1996586,"0000000")</f>
        <v>1996586</v>
      </c>
      <c r="D810" s="26" t="s">
        <v>993</v>
      </c>
      <c r="E810" s="25" t="s">
        <v>991</v>
      </c>
      <c r="F810" s="25" t="s">
        <v>5</v>
      </c>
      <c r="G810" s="59" t="s">
        <v>992</v>
      </c>
      <c r="H810" s="60">
        <v>0</v>
      </c>
      <c r="I810" s="60">
        <v>0</v>
      </c>
      <c r="J810" s="60">
        <v>0</v>
      </c>
      <c r="K810" s="60">
        <v>0</v>
      </c>
      <c r="L810" s="60">
        <v>0</v>
      </c>
      <c r="M810" s="60">
        <v>0</v>
      </c>
      <c r="N810" s="60">
        <v>0</v>
      </c>
      <c r="O810" s="60">
        <v>0</v>
      </c>
      <c r="P810" s="60">
        <v>0</v>
      </c>
      <c r="Q810" s="60">
        <v>0</v>
      </c>
      <c r="R810" s="60">
        <v>0</v>
      </c>
      <c r="S810" s="60">
        <v>0</v>
      </c>
      <c r="T810" s="60">
        <v>0</v>
      </c>
      <c r="U810" s="60">
        <v>0</v>
      </c>
      <c r="V810" s="60">
        <v>0</v>
      </c>
      <c r="W810" s="60">
        <v>0</v>
      </c>
      <c r="X810" s="60">
        <v>0</v>
      </c>
      <c r="Y810" s="60">
        <v>0</v>
      </c>
      <c r="Z810" s="60">
        <v>0</v>
      </c>
      <c r="AA810" s="60">
        <v>0</v>
      </c>
      <c r="AB810" s="60">
        <v>0</v>
      </c>
      <c r="AC810" s="60">
        <v>564.71</v>
      </c>
      <c r="AD810" s="60">
        <v>574.97</v>
      </c>
      <c r="AE810" s="60">
        <v>576.16</v>
      </c>
      <c r="AF810" s="60">
        <v>0</v>
      </c>
      <c r="AG810" s="60">
        <v>0</v>
      </c>
      <c r="AH810" s="60">
        <v>0</v>
      </c>
      <c r="AI810" s="60">
        <v>564.71</v>
      </c>
      <c r="AJ810" s="60">
        <v>574.97</v>
      </c>
      <c r="AK810" s="60">
        <v>576.16</v>
      </c>
      <c r="AL810" s="60">
        <v>0</v>
      </c>
      <c r="AM810" s="60">
        <v>0</v>
      </c>
      <c r="AN810" s="60">
        <v>0</v>
      </c>
      <c r="AO810" s="60">
        <v>564.71</v>
      </c>
      <c r="AP810" s="60">
        <v>574.97</v>
      </c>
      <c r="AQ810" s="60">
        <v>576.16</v>
      </c>
      <c r="AR810" s="61">
        <v>576.16</v>
      </c>
    </row>
    <row r="811" spans="1:44" x14ac:dyDescent="0.35">
      <c r="A811" s="49" t="str">
        <f t="shared" si="70"/>
        <v>19</v>
      </c>
      <c r="B811" s="27">
        <v>64667</v>
      </c>
      <c r="C811" s="25" t="str">
        <f>TEXT(123174,"0000000")</f>
        <v>0123174</v>
      </c>
      <c r="D811" s="27">
        <v>1225</v>
      </c>
      <c r="E811" s="25" t="s">
        <v>1002</v>
      </c>
      <c r="F811" s="25" t="s">
        <v>5</v>
      </c>
      <c r="G811" s="59" t="s">
        <v>1003</v>
      </c>
      <c r="H811" s="60">
        <v>0</v>
      </c>
      <c r="I811" s="60">
        <v>0</v>
      </c>
      <c r="J811" s="60">
        <v>0</v>
      </c>
      <c r="K811" s="60">
        <v>0</v>
      </c>
      <c r="L811" s="60">
        <v>0</v>
      </c>
      <c r="M811" s="60">
        <v>0</v>
      </c>
      <c r="N811" s="60">
        <v>0</v>
      </c>
      <c r="O811" s="60">
        <v>0</v>
      </c>
      <c r="P811" s="60">
        <v>0</v>
      </c>
      <c r="Q811" s="60">
        <v>0</v>
      </c>
      <c r="R811" s="60">
        <v>0</v>
      </c>
      <c r="S811" s="60">
        <v>0</v>
      </c>
      <c r="T811" s="60">
        <v>0</v>
      </c>
      <c r="U811" s="60">
        <v>0</v>
      </c>
      <c r="V811" s="60">
        <v>0</v>
      </c>
      <c r="W811" s="60">
        <v>0</v>
      </c>
      <c r="X811" s="60">
        <v>0</v>
      </c>
      <c r="Y811" s="60">
        <v>0</v>
      </c>
      <c r="Z811" s="60">
        <v>0</v>
      </c>
      <c r="AA811" s="60">
        <v>0</v>
      </c>
      <c r="AB811" s="60">
        <v>0</v>
      </c>
      <c r="AC811" s="60">
        <v>187.3</v>
      </c>
      <c r="AD811" s="60">
        <v>241.12</v>
      </c>
      <c r="AE811" s="60">
        <v>281.87</v>
      </c>
      <c r="AF811" s="60">
        <v>0</v>
      </c>
      <c r="AG811" s="60">
        <v>0</v>
      </c>
      <c r="AH811" s="60">
        <v>0</v>
      </c>
      <c r="AI811" s="60">
        <v>187.3</v>
      </c>
      <c r="AJ811" s="60">
        <v>241.12</v>
      </c>
      <c r="AK811" s="60">
        <v>281.87</v>
      </c>
      <c r="AL811" s="60">
        <v>0</v>
      </c>
      <c r="AM811" s="60">
        <v>0</v>
      </c>
      <c r="AN811" s="60">
        <v>0</v>
      </c>
      <c r="AO811" s="60">
        <v>187.3</v>
      </c>
      <c r="AP811" s="60">
        <v>241.12</v>
      </c>
      <c r="AQ811" s="60">
        <v>281.87</v>
      </c>
      <c r="AR811" s="61">
        <v>281.87</v>
      </c>
    </row>
    <row r="812" spans="1:44" x14ac:dyDescent="0.35">
      <c r="A812" s="49" t="str">
        <f t="shared" si="70"/>
        <v>19</v>
      </c>
      <c r="B812" s="27">
        <v>64667</v>
      </c>
      <c r="C812" s="25" t="str">
        <f>TEXT(125559,"0000000")</f>
        <v>0125559</v>
      </c>
      <c r="D812" s="27">
        <v>1376</v>
      </c>
      <c r="E812" s="25" t="s">
        <v>1004</v>
      </c>
      <c r="F812" s="25" t="s">
        <v>5</v>
      </c>
      <c r="G812" s="59" t="s">
        <v>1005</v>
      </c>
      <c r="H812" s="60">
        <v>0</v>
      </c>
      <c r="I812" s="60">
        <v>0</v>
      </c>
      <c r="J812" s="60">
        <v>0</v>
      </c>
      <c r="K812" s="60">
        <v>0</v>
      </c>
      <c r="L812" s="60">
        <v>0</v>
      </c>
      <c r="M812" s="60">
        <v>0</v>
      </c>
      <c r="N812" s="60">
        <v>0</v>
      </c>
      <c r="O812" s="60">
        <v>0</v>
      </c>
      <c r="P812" s="60">
        <v>0</v>
      </c>
      <c r="Q812" s="60">
        <v>0</v>
      </c>
      <c r="R812" s="60">
        <v>0</v>
      </c>
      <c r="S812" s="60">
        <v>0</v>
      </c>
      <c r="T812" s="60">
        <v>0</v>
      </c>
      <c r="U812" s="60">
        <v>0</v>
      </c>
      <c r="V812" s="60">
        <v>0</v>
      </c>
      <c r="W812" s="60">
        <v>0</v>
      </c>
      <c r="X812" s="60">
        <v>0</v>
      </c>
      <c r="Y812" s="60">
        <v>0</v>
      </c>
      <c r="Z812" s="60">
        <v>0</v>
      </c>
      <c r="AA812" s="60">
        <v>0</v>
      </c>
      <c r="AB812" s="60">
        <v>0</v>
      </c>
      <c r="AC812" s="60">
        <v>700.35</v>
      </c>
      <c r="AD812" s="60">
        <v>670.67</v>
      </c>
      <c r="AE812" s="60">
        <v>656.56</v>
      </c>
      <c r="AF812" s="60">
        <v>0</v>
      </c>
      <c r="AG812" s="60">
        <v>0</v>
      </c>
      <c r="AH812" s="60">
        <v>0</v>
      </c>
      <c r="AI812" s="60">
        <v>700.35</v>
      </c>
      <c r="AJ812" s="60">
        <v>670.67</v>
      </c>
      <c r="AK812" s="60">
        <v>656.56</v>
      </c>
      <c r="AL812" s="60">
        <v>0</v>
      </c>
      <c r="AM812" s="60">
        <v>0</v>
      </c>
      <c r="AN812" s="60">
        <v>0</v>
      </c>
      <c r="AO812" s="60">
        <v>700.35</v>
      </c>
      <c r="AP812" s="60">
        <v>670.67</v>
      </c>
      <c r="AQ812" s="60">
        <v>656.56</v>
      </c>
      <c r="AR812" s="61">
        <v>700.35</v>
      </c>
    </row>
    <row r="813" spans="1:44" x14ac:dyDescent="0.35">
      <c r="A813" s="49" t="str">
        <f t="shared" si="70"/>
        <v>19</v>
      </c>
      <c r="B813" s="27">
        <v>64691</v>
      </c>
      <c r="C813" s="25" t="str">
        <f>TEXT(1996438,"0000000")</f>
        <v>1996438</v>
      </c>
      <c r="D813" s="26" t="s">
        <v>1012</v>
      </c>
      <c r="E813" s="25" t="s">
        <v>1010</v>
      </c>
      <c r="F813" s="25" t="s">
        <v>5</v>
      </c>
      <c r="G813" s="59" t="s">
        <v>1011</v>
      </c>
      <c r="H813" s="60">
        <v>0</v>
      </c>
      <c r="I813" s="60">
        <v>0</v>
      </c>
      <c r="J813" s="60">
        <v>0</v>
      </c>
      <c r="K813" s="60">
        <v>0</v>
      </c>
      <c r="L813" s="60">
        <v>0</v>
      </c>
      <c r="M813" s="60">
        <v>0</v>
      </c>
      <c r="N813" s="60">
        <v>0</v>
      </c>
      <c r="O813" s="60">
        <v>0</v>
      </c>
      <c r="P813" s="60">
        <v>0</v>
      </c>
      <c r="Q813" s="60">
        <v>0</v>
      </c>
      <c r="R813" s="60">
        <v>0</v>
      </c>
      <c r="S813" s="60">
        <v>0</v>
      </c>
      <c r="T813" s="60">
        <v>0</v>
      </c>
      <c r="U813" s="60">
        <v>0</v>
      </c>
      <c r="V813" s="60">
        <v>0</v>
      </c>
      <c r="W813" s="60">
        <v>0</v>
      </c>
      <c r="X813" s="60">
        <v>0</v>
      </c>
      <c r="Y813" s="60">
        <v>0</v>
      </c>
      <c r="Z813" s="60">
        <v>0</v>
      </c>
      <c r="AA813" s="60">
        <v>0</v>
      </c>
      <c r="AB813" s="60">
        <v>0</v>
      </c>
      <c r="AC813" s="60">
        <v>454.17</v>
      </c>
      <c r="AD813" s="60">
        <v>475.86</v>
      </c>
      <c r="AE813" s="60">
        <v>486.35</v>
      </c>
      <c r="AF813" s="60">
        <v>0</v>
      </c>
      <c r="AG813" s="60">
        <v>0</v>
      </c>
      <c r="AH813" s="60">
        <v>0</v>
      </c>
      <c r="AI813" s="60">
        <v>454.17</v>
      </c>
      <c r="AJ813" s="60">
        <v>475.86</v>
      </c>
      <c r="AK813" s="60">
        <v>486.35</v>
      </c>
      <c r="AL813" s="60">
        <v>0</v>
      </c>
      <c r="AM813" s="60">
        <v>0</v>
      </c>
      <c r="AN813" s="60">
        <v>0</v>
      </c>
      <c r="AO813" s="60">
        <v>454.17</v>
      </c>
      <c r="AP813" s="60">
        <v>475.86</v>
      </c>
      <c r="AQ813" s="60">
        <v>486.35</v>
      </c>
      <c r="AR813" s="61">
        <v>486.35</v>
      </c>
    </row>
    <row r="814" spans="1:44" x14ac:dyDescent="0.35">
      <c r="A814" s="49" t="str">
        <f t="shared" si="70"/>
        <v>19</v>
      </c>
      <c r="B814" s="27">
        <v>64709</v>
      </c>
      <c r="C814" s="25" t="str">
        <f>TEXT(1996313,"0000000")</f>
        <v>1996313</v>
      </c>
      <c r="D814" s="26" t="s">
        <v>1023</v>
      </c>
      <c r="E814" s="25" t="s">
        <v>1021</v>
      </c>
      <c r="F814" s="25" t="s">
        <v>5</v>
      </c>
      <c r="G814" s="59" t="s">
        <v>1022</v>
      </c>
      <c r="H814" s="60">
        <v>0</v>
      </c>
      <c r="I814" s="60">
        <v>0</v>
      </c>
      <c r="J814" s="60">
        <v>0</v>
      </c>
      <c r="K814" s="60">
        <v>0</v>
      </c>
      <c r="L814" s="60">
        <v>0</v>
      </c>
      <c r="M814" s="60">
        <v>0</v>
      </c>
      <c r="N814" s="60">
        <v>0</v>
      </c>
      <c r="O814" s="60">
        <v>0</v>
      </c>
      <c r="P814" s="60">
        <v>0</v>
      </c>
      <c r="Q814" s="60">
        <v>0</v>
      </c>
      <c r="R814" s="60">
        <v>0</v>
      </c>
      <c r="S814" s="60">
        <v>0</v>
      </c>
      <c r="T814" s="60">
        <v>0</v>
      </c>
      <c r="U814" s="60">
        <v>0</v>
      </c>
      <c r="V814" s="60">
        <v>0</v>
      </c>
      <c r="W814" s="60">
        <v>0</v>
      </c>
      <c r="X814" s="60">
        <v>0</v>
      </c>
      <c r="Y814" s="60">
        <v>0</v>
      </c>
      <c r="Z814" s="60">
        <v>0</v>
      </c>
      <c r="AA814" s="60">
        <v>0</v>
      </c>
      <c r="AB814" s="60">
        <v>0</v>
      </c>
      <c r="AC814" s="60">
        <v>587.77</v>
      </c>
      <c r="AD814" s="60">
        <v>605.5</v>
      </c>
      <c r="AE814" s="60">
        <v>609.41999999999996</v>
      </c>
      <c r="AF814" s="60">
        <v>0</v>
      </c>
      <c r="AG814" s="60">
        <v>0</v>
      </c>
      <c r="AH814" s="60">
        <v>0</v>
      </c>
      <c r="AI814" s="60">
        <v>587.77</v>
      </c>
      <c r="AJ814" s="60">
        <v>605.5</v>
      </c>
      <c r="AK814" s="60">
        <v>609.41999999999996</v>
      </c>
      <c r="AL814" s="60">
        <v>0</v>
      </c>
      <c r="AM814" s="60">
        <v>0</v>
      </c>
      <c r="AN814" s="60">
        <v>0</v>
      </c>
      <c r="AO814" s="60">
        <v>587.77</v>
      </c>
      <c r="AP814" s="60">
        <v>605.5</v>
      </c>
      <c r="AQ814" s="60">
        <v>609.41999999999996</v>
      </c>
      <c r="AR814" s="61">
        <v>609.41999999999996</v>
      </c>
    </row>
    <row r="815" spans="1:44" x14ac:dyDescent="0.35">
      <c r="A815" s="49" t="str">
        <f t="shared" si="70"/>
        <v>19</v>
      </c>
      <c r="B815" s="27">
        <v>64733</v>
      </c>
      <c r="C815" s="25" t="str">
        <f>TEXT(101444,"0000000")</f>
        <v>0101444</v>
      </c>
      <c r="D815" s="26" t="s">
        <v>1032</v>
      </c>
      <c r="E815" s="25" t="s">
        <v>1030</v>
      </c>
      <c r="F815" s="25" t="s">
        <v>5</v>
      </c>
      <c r="G815" s="59" t="s">
        <v>1031</v>
      </c>
      <c r="H815" s="60">
        <v>0</v>
      </c>
      <c r="I815" s="60">
        <v>0</v>
      </c>
      <c r="J815" s="60">
        <v>0</v>
      </c>
      <c r="K815" s="60">
        <v>0</v>
      </c>
      <c r="L815" s="60">
        <v>0</v>
      </c>
      <c r="M815" s="60">
        <v>0</v>
      </c>
      <c r="N815" s="60">
        <v>0</v>
      </c>
      <c r="O815" s="60">
        <v>0</v>
      </c>
      <c r="P815" s="60">
        <v>0</v>
      </c>
      <c r="Q815" s="60">
        <v>0</v>
      </c>
      <c r="R815" s="60">
        <v>0</v>
      </c>
      <c r="S815" s="60">
        <v>0</v>
      </c>
      <c r="T815" s="60">
        <v>0</v>
      </c>
      <c r="U815" s="60">
        <v>0</v>
      </c>
      <c r="V815" s="60">
        <v>0</v>
      </c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413.15</v>
      </c>
      <c r="AD815" s="60">
        <v>417.95</v>
      </c>
      <c r="AE815" s="60">
        <v>394</v>
      </c>
      <c r="AF815" s="60">
        <v>0</v>
      </c>
      <c r="AG815" s="60">
        <v>0</v>
      </c>
      <c r="AH815" s="60">
        <v>0</v>
      </c>
      <c r="AI815" s="60">
        <v>413.15</v>
      </c>
      <c r="AJ815" s="60">
        <v>417.95</v>
      </c>
      <c r="AK815" s="60">
        <v>394</v>
      </c>
      <c r="AL815" s="60">
        <v>0</v>
      </c>
      <c r="AM815" s="60">
        <v>0</v>
      </c>
      <c r="AN815" s="60">
        <v>0</v>
      </c>
      <c r="AO815" s="60">
        <v>413.15</v>
      </c>
      <c r="AP815" s="60">
        <v>417.95</v>
      </c>
      <c r="AQ815" s="60">
        <v>394</v>
      </c>
      <c r="AR815" s="61">
        <v>417.95</v>
      </c>
    </row>
    <row r="816" spans="1:44" x14ac:dyDescent="0.35">
      <c r="A816" s="49" t="str">
        <f t="shared" si="70"/>
        <v>19</v>
      </c>
      <c r="B816" s="27">
        <v>64733</v>
      </c>
      <c r="C816" s="25" t="str">
        <f>TEXT(117903,"0000000")</f>
        <v>0117903</v>
      </c>
      <c r="D816" s="27">
        <v>1010</v>
      </c>
      <c r="E816" s="25" t="s">
        <v>1033</v>
      </c>
      <c r="F816" s="25" t="s">
        <v>5</v>
      </c>
      <c r="G816" s="59" t="s">
        <v>1034</v>
      </c>
      <c r="H816" s="60">
        <v>0</v>
      </c>
      <c r="I816" s="60">
        <v>0</v>
      </c>
      <c r="J816" s="60">
        <v>0</v>
      </c>
      <c r="K816" s="60">
        <v>0</v>
      </c>
      <c r="L816" s="60">
        <v>0</v>
      </c>
      <c r="M816" s="60">
        <v>0</v>
      </c>
      <c r="N816" s="60">
        <v>0</v>
      </c>
      <c r="O816" s="60">
        <v>0</v>
      </c>
      <c r="P816" s="60">
        <v>0</v>
      </c>
      <c r="Q816" s="60">
        <v>0</v>
      </c>
      <c r="R816" s="60">
        <v>0</v>
      </c>
      <c r="S816" s="60">
        <v>0</v>
      </c>
      <c r="T816" s="60">
        <v>0</v>
      </c>
      <c r="U816" s="60">
        <v>0</v>
      </c>
      <c r="V816" s="60">
        <v>0</v>
      </c>
      <c r="W816" s="60">
        <v>0</v>
      </c>
      <c r="X816" s="60">
        <v>0</v>
      </c>
      <c r="Y816" s="60">
        <v>0</v>
      </c>
      <c r="Z816" s="60">
        <v>0</v>
      </c>
      <c r="AA816" s="60">
        <v>0</v>
      </c>
      <c r="AB816" s="60">
        <v>0</v>
      </c>
      <c r="AC816" s="60">
        <v>531.67999999999995</v>
      </c>
      <c r="AD816" s="60">
        <v>501.17</v>
      </c>
      <c r="AE816" s="60">
        <v>503.85</v>
      </c>
      <c r="AF816" s="60">
        <v>0</v>
      </c>
      <c r="AG816" s="60">
        <v>0</v>
      </c>
      <c r="AH816" s="60">
        <v>0</v>
      </c>
      <c r="AI816" s="60">
        <v>531.67999999999995</v>
      </c>
      <c r="AJ816" s="60">
        <v>501.17</v>
      </c>
      <c r="AK816" s="60">
        <v>503.85</v>
      </c>
      <c r="AL816" s="60">
        <v>0</v>
      </c>
      <c r="AM816" s="60">
        <v>0</v>
      </c>
      <c r="AN816" s="60">
        <v>0</v>
      </c>
      <c r="AO816" s="60">
        <v>531.67999999999995</v>
      </c>
      <c r="AP816" s="60">
        <v>501.17</v>
      </c>
      <c r="AQ816" s="60">
        <v>503.85</v>
      </c>
      <c r="AR816" s="61">
        <v>531.67999999999995</v>
      </c>
    </row>
    <row r="817" spans="1:44" x14ac:dyDescent="0.35">
      <c r="A817" s="49" t="str">
        <f t="shared" si="70"/>
        <v>19</v>
      </c>
      <c r="B817" s="27">
        <v>64733</v>
      </c>
      <c r="C817" s="25" t="str">
        <f>TEXT(121707,"0000000")</f>
        <v>0121707</v>
      </c>
      <c r="D817" s="27">
        <v>1196</v>
      </c>
      <c r="E817" s="25" t="s">
        <v>1037</v>
      </c>
      <c r="F817" s="25" t="s">
        <v>5</v>
      </c>
      <c r="G817" s="59" t="s">
        <v>1038</v>
      </c>
      <c r="H817" s="60">
        <v>0</v>
      </c>
      <c r="I817" s="60">
        <v>0</v>
      </c>
      <c r="J817" s="60">
        <v>0</v>
      </c>
      <c r="K817" s="60">
        <v>0</v>
      </c>
      <c r="L817" s="60">
        <v>0</v>
      </c>
      <c r="M817" s="60">
        <v>0</v>
      </c>
      <c r="N817" s="60">
        <v>0</v>
      </c>
      <c r="O817" s="60">
        <v>0</v>
      </c>
      <c r="P817" s="60">
        <v>0</v>
      </c>
      <c r="Q817" s="60">
        <v>0</v>
      </c>
      <c r="R817" s="60">
        <v>0</v>
      </c>
      <c r="S817" s="60">
        <v>0</v>
      </c>
      <c r="T817" s="60">
        <v>0</v>
      </c>
      <c r="U817" s="60">
        <v>0</v>
      </c>
      <c r="V817" s="60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961.26</v>
      </c>
      <c r="AD817" s="60">
        <v>973.14</v>
      </c>
      <c r="AE817" s="60">
        <v>910.14</v>
      </c>
      <c r="AF817" s="60">
        <v>0</v>
      </c>
      <c r="AG817" s="60">
        <v>0</v>
      </c>
      <c r="AH817" s="60">
        <v>0</v>
      </c>
      <c r="AI817" s="60">
        <v>961.26</v>
      </c>
      <c r="AJ817" s="60">
        <v>973.14</v>
      </c>
      <c r="AK817" s="60">
        <v>910.14</v>
      </c>
      <c r="AL817" s="60">
        <v>0</v>
      </c>
      <c r="AM817" s="60">
        <v>0</v>
      </c>
      <c r="AN817" s="60">
        <v>0</v>
      </c>
      <c r="AO817" s="60">
        <v>961.26</v>
      </c>
      <c r="AP817" s="60">
        <v>973.14</v>
      </c>
      <c r="AQ817" s="60">
        <v>910.14</v>
      </c>
      <c r="AR817" s="61">
        <v>973.14</v>
      </c>
    </row>
    <row r="818" spans="1:44" x14ac:dyDescent="0.35">
      <c r="A818" s="49" t="str">
        <f t="shared" si="70"/>
        <v>19</v>
      </c>
      <c r="B818" s="27">
        <v>64733</v>
      </c>
      <c r="C818" s="25" t="str">
        <f>TEXT(125625,"0000000")</f>
        <v>0125625</v>
      </c>
      <c r="D818" s="27">
        <v>1377</v>
      </c>
      <c r="E818" s="25" t="s">
        <v>1039</v>
      </c>
      <c r="F818" s="25" t="s">
        <v>5</v>
      </c>
      <c r="G818" s="59" t="s">
        <v>1040</v>
      </c>
      <c r="H818" s="60">
        <v>0</v>
      </c>
      <c r="I818" s="60">
        <v>0</v>
      </c>
      <c r="J818" s="60">
        <v>0</v>
      </c>
      <c r="K818" s="60">
        <v>0</v>
      </c>
      <c r="L818" s="60">
        <v>0</v>
      </c>
      <c r="M818" s="60">
        <v>0</v>
      </c>
      <c r="N818" s="60">
        <v>0</v>
      </c>
      <c r="O818" s="60">
        <v>0</v>
      </c>
      <c r="P818" s="60">
        <v>0</v>
      </c>
      <c r="Q818" s="60">
        <v>0</v>
      </c>
      <c r="R818" s="60">
        <v>0</v>
      </c>
      <c r="S818" s="60">
        <v>0</v>
      </c>
      <c r="T818" s="60">
        <v>0</v>
      </c>
      <c r="U818" s="60">
        <v>0</v>
      </c>
      <c r="V818" s="60">
        <v>0</v>
      </c>
      <c r="W818" s="60">
        <v>0</v>
      </c>
      <c r="X818" s="60">
        <v>0</v>
      </c>
      <c r="Y818" s="60">
        <v>0</v>
      </c>
      <c r="Z818" s="60">
        <v>0</v>
      </c>
      <c r="AA818" s="60">
        <v>0</v>
      </c>
      <c r="AB818" s="60">
        <v>0</v>
      </c>
      <c r="AC818" s="60">
        <v>270.45</v>
      </c>
      <c r="AD818" s="60">
        <v>323.05</v>
      </c>
      <c r="AE818" s="60">
        <v>342.74</v>
      </c>
      <c r="AF818" s="60">
        <v>0</v>
      </c>
      <c r="AG818" s="60">
        <v>0</v>
      </c>
      <c r="AH818" s="60">
        <v>0</v>
      </c>
      <c r="AI818" s="60">
        <v>270.45</v>
      </c>
      <c r="AJ818" s="60">
        <v>323.05</v>
      </c>
      <c r="AK818" s="60">
        <v>342.74</v>
      </c>
      <c r="AL818" s="60">
        <v>0</v>
      </c>
      <c r="AM818" s="60">
        <v>0</v>
      </c>
      <c r="AN818" s="60">
        <v>0</v>
      </c>
      <c r="AO818" s="60">
        <v>270.45</v>
      </c>
      <c r="AP818" s="60">
        <v>323.05</v>
      </c>
      <c r="AQ818" s="60">
        <v>342.74</v>
      </c>
      <c r="AR818" s="61">
        <v>342.74</v>
      </c>
    </row>
    <row r="819" spans="1:44" x14ac:dyDescent="0.35">
      <c r="A819" s="49" t="str">
        <f t="shared" si="70"/>
        <v>19</v>
      </c>
      <c r="B819" s="27">
        <v>64733</v>
      </c>
      <c r="C819" s="25" t="str">
        <f>TEXT(125641,"0000000")</f>
        <v>0125641</v>
      </c>
      <c r="D819" s="27">
        <v>1379</v>
      </c>
      <c r="E819" s="25" t="s">
        <v>1041</v>
      </c>
      <c r="F819" s="25" t="s">
        <v>5</v>
      </c>
      <c r="G819" s="59" t="s">
        <v>1042</v>
      </c>
      <c r="H819" s="60">
        <v>0</v>
      </c>
      <c r="I819" s="60">
        <v>0</v>
      </c>
      <c r="J819" s="60">
        <v>0</v>
      </c>
      <c r="K819" s="60">
        <v>0</v>
      </c>
      <c r="L819" s="60">
        <v>0</v>
      </c>
      <c r="M819" s="60">
        <v>0</v>
      </c>
      <c r="N819" s="60">
        <v>0</v>
      </c>
      <c r="O819" s="60">
        <v>0</v>
      </c>
      <c r="P819" s="60">
        <v>0</v>
      </c>
      <c r="Q819" s="60">
        <v>0</v>
      </c>
      <c r="R819" s="60">
        <v>0</v>
      </c>
      <c r="S819" s="60">
        <v>0</v>
      </c>
      <c r="T819" s="60">
        <v>0</v>
      </c>
      <c r="U819" s="60">
        <v>0</v>
      </c>
      <c r="V819" s="60">
        <v>0</v>
      </c>
      <c r="W819" s="60">
        <v>0</v>
      </c>
      <c r="X819" s="60">
        <v>0</v>
      </c>
      <c r="Y819" s="60">
        <v>0</v>
      </c>
      <c r="Z819" s="60">
        <v>0</v>
      </c>
      <c r="AA819" s="60">
        <v>0</v>
      </c>
      <c r="AB819" s="60">
        <v>0</v>
      </c>
      <c r="AC819" s="60">
        <v>445.19</v>
      </c>
      <c r="AD819" s="60">
        <v>446.88</v>
      </c>
      <c r="AE819" s="60">
        <v>448.02</v>
      </c>
      <c r="AF819" s="60">
        <v>0</v>
      </c>
      <c r="AG819" s="60">
        <v>0</v>
      </c>
      <c r="AH819" s="60">
        <v>0</v>
      </c>
      <c r="AI819" s="60">
        <v>445.19</v>
      </c>
      <c r="AJ819" s="60">
        <v>446.88</v>
      </c>
      <c r="AK819" s="60">
        <v>448.02</v>
      </c>
      <c r="AL819" s="60">
        <v>0</v>
      </c>
      <c r="AM819" s="60">
        <v>0</v>
      </c>
      <c r="AN819" s="60">
        <v>0</v>
      </c>
      <c r="AO819" s="60">
        <v>445.19</v>
      </c>
      <c r="AP819" s="60">
        <v>446.88</v>
      </c>
      <c r="AQ819" s="60">
        <v>448.02</v>
      </c>
      <c r="AR819" s="61">
        <v>448.02</v>
      </c>
    </row>
    <row r="820" spans="1:44" x14ac:dyDescent="0.35">
      <c r="A820" s="49" t="str">
        <f>TEXT(1,"00")</f>
        <v>01</v>
      </c>
      <c r="B820" s="27">
        <v>61119</v>
      </c>
      <c r="C820" s="25" t="str">
        <f>TEXT(119222,"0000000")</f>
        <v>0119222</v>
      </c>
      <c r="D820" s="27">
        <v>1066</v>
      </c>
      <c r="E820" s="25" t="s">
        <v>39</v>
      </c>
      <c r="F820" s="25" t="s">
        <v>5</v>
      </c>
      <c r="G820" s="59" t="s">
        <v>40</v>
      </c>
      <c r="H820" s="60">
        <v>0</v>
      </c>
      <c r="I820" s="60">
        <v>0</v>
      </c>
      <c r="J820" s="60">
        <v>0</v>
      </c>
      <c r="K820" s="60">
        <v>0</v>
      </c>
      <c r="L820" s="60">
        <v>0</v>
      </c>
      <c r="M820" s="60">
        <v>0</v>
      </c>
      <c r="N820" s="60">
        <v>0</v>
      </c>
      <c r="O820" s="60">
        <v>0</v>
      </c>
      <c r="P820" s="60">
        <v>0</v>
      </c>
      <c r="Q820" s="60">
        <v>0</v>
      </c>
      <c r="R820" s="60">
        <v>0</v>
      </c>
      <c r="S820" s="60">
        <v>0</v>
      </c>
      <c r="T820" s="60">
        <v>0</v>
      </c>
      <c r="U820" s="60">
        <v>0</v>
      </c>
      <c r="V820" s="60">
        <v>0</v>
      </c>
      <c r="W820" s="60">
        <v>0</v>
      </c>
      <c r="X820" s="60">
        <v>0</v>
      </c>
      <c r="Y820" s="60">
        <v>0</v>
      </c>
      <c r="Z820" s="60">
        <v>0</v>
      </c>
      <c r="AA820" s="60">
        <v>0</v>
      </c>
      <c r="AB820" s="60">
        <v>0</v>
      </c>
      <c r="AC820" s="60">
        <v>456.47</v>
      </c>
      <c r="AD820" s="60">
        <v>481.72</v>
      </c>
      <c r="AE820" s="60">
        <v>501.77</v>
      </c>
      <c r="AF820" s="60">
        <v>0</v>
      </c>
      <c r="AG820" s="60">
        <v>0</v>
      </c>
      <c r="AH820" s="60">
        <v>0</v>
      </c>
      <c r="AI820" s="60">
        <v>456.47</v>
      </c>
      <c r="AJ820" s="60">
        <v>481.72</v>
      </c>
      <c r="AK820" s="60">
        <v>501.77</v>
      </c>
      <c r="AL820" s="60">
        <v>0</v>
      </c>
      <c r="AM820" s="60">
        <v>0</v>
      </c>
      <c r="AN820" s="60">
        <v>0</v>
      </c>
      <c r="AO820" s="60">
        <v>456.47</v>
      </c>
      <c r="AP820" s="60">
        <v>481.72</v>
      </c>
      <c r="AQ820" s="60">
        <v>501.77</v>
      </c>
      <c r="AR820" s="61">
        <v>501.77</v>
      </c>
    </row>
    <row r="821" spans="1:44" x14ac:dyDescent="0.35">
      <c r="A821" s="49" t="str">
        <f t="shared" ref="A821:A830" si="71">TEXT(19,"00")</f>
        <v>19</v>
      </c>
      <c r="B821" s="27">
        <v>64733</v>
      </c>
      <c r="C821" s="25" t="str">
        <f>TEXT(127670,"0000000")</f>
        <v>0127670</v>
      </c>
      <c r="D821" s="27">
        <v>1508</v>
      </c>
      <c r="E821" s="25" t="s">
        <v>1043</v>
      </c>
      <c r="F821" s="25" t="s">
        <v>5</v>
      </c>
      <c r="G821" s="59" t="s">
        <v>1044</v>
      </c>
      <c r="H821" s="60">
        <v>0</v>
      </c>
      <c r="I821" s="60">
        <v>0</v>
      </c>
      <c r="J821" s="60">
        <v>0</v>
      </c>
      <c r="K821" s="60">
        <v>0</v>
      </c>
      <c r="L821" s="60">
        <v>0</v>
      </c>
      <c r="M821" s="60">
        <v>0</v>
      </c>
      <c r="N821" s="60">
        <v>0</v>
      </c>
      <c r="O821" s="60">
        <v>0</v>
      </c>
      <c r="P821" s="60">
        <v>0</v>
      </c>
      <c r="Q821" s="60">
        <v>0</v>
      </c>
      <c r="R821" s="60">
        <v>0</v>
      </c>
      <c r="S821" s="60">
        <v>0</v>
      </c>
      <c r="T821" s="60">
        <v>0</v>
      </c>
      <c r="U821" s="60">
        <v>0</v>
      </c>
      <c r="V821" s="60">
        <v>0</v>
      </c>
      <c r="W821" s="60">
        <v>0</v>
      </c>
      <c r="X821" s="60">
        <v>0</v>
      </c>
      <c r="Y821" s="60">
        <v>0</v>
      </c>
      <c r="Z821" s="60">
        <v>0</v>
      </c>
      <c r="AA821" s="60">
        <v>0</v>
      </c>
      <c r="AB821" s="60">
        <v>0</v>
      </c>
      <c r="AC821" s="60">
        <v>540.27</v>
      </c>
      <c r="AD821" s="60">
        <v>488.83</v>
      </c>
      <c r="AE821" s="60">
        <v>489.2</v>
      </c>
      <c r="AF821" s="60">
        <v>0</v>
      </c>
      <c r="AG821" s="60">
        <v>0</v>
      </c>
      <c r="AH821" s="60">
        <v>0</v>
      </c>
      <c r="AI821" s="60">
        <v>540.27</v>
      </c>
      <c r="AJ821" s="60">
        <v>488.83</v>
      </c>
      <c r="AK821" s="60">
        <v>489.2</v>
      </c>
      <c r="AL821" s="60">
        <v>0</v>
      </c>
      <c r="AM821" s="60">
        <v>0</v>
      </c>
      <c r="AN821" s="60">
        <v>0</v>
      </c>
      <c r="AO821" s="60">
        <v>540.27</v>
      </c>
      <c r="AP821" s="60">
        <v>488.83</v>
      </c>
      <c r="AQ821" s="60">
        <v>489.2</v>
      </c>
      <c r="AR821" s="61">
        <v>540.27</v>
      </c>
    </row>
    <row r="822" spans="1:44" x14ac:dyDescent="0.35">
      <c r="A822" s="49" t="str">
        <f t="shared" si="71"/>
        <v>19</v>
      </c>
      <c r="B822" s="27">
        <v>64733</v>
      </c>
      <c r="C822" s="25" t="str">
        <f>TEXT(131797,"0000000")</f>
        <v>0131797</v>
      </c>
      <c r="D822" s="27">
        <v>1721</v>
      </c>
      <c r="E822" s="25" t="s">
        <v>1049</v>
      </c>
      <c r="F822" s="25" t="s">
        <v>5</v>
      </c>
      <c r="G822" s="59" t="s">
        <v>1050</v>
      </c>
      <c r="H822" s="60">
        <v>0</v>
      </c>
      <c r="I822" s="60">
        <v>0</v>
      </c>
      <c r="J822" s="60">
        <v>0</v>
      </c>
      <c r="K822" s="60">
        <v>0</v>
      </c>
      <c r="L822" s="60">
        <v>0</v>
      </c>
      <c r="M822" s="60">
        <v>0</v>
      </c>
      <c r="N822" s="60">
        <v>0</v>
      </c>
      <c r="O822" s="60">
        <v>0</v>
      </c>
      <c r="P822" s="60">
        <v>0</v>
      </c>
      <c r="Q822" s="60">
        <v>0</v>
      </c>
      <c r="R822" s="60">
        <v>0</v>
      </c>
      <c r="S822" s="60">
        <v>0</v>
      </c>
      <c r="T822" s="60">
        <v>0</v>
      </c>
      <c r="U822" s="60">
        <v>0</v>
      </c>
      <c r="V822" s="60">
        <v>0</v>
      </c>
      <c r="W822" s="60">
        <v>0</v>
      </c>
      <c r="X822" s="60">
        <v>0</v>
      </c>
      <c r="Y822" s="60">
        <v>0</v>
      </c>
      <c r="Z822" s="60">
        <v>0</v>
      </c>
      <c r="AA822" s="60">
        <v>0</v>
      </c>
      <c r="AB822" s="60">
        <v>0</v>
      </c>
      <c r="AC822" s="60">
        <v>392.7</v>
      </c>
      <c r="AD822" s="60">
        <v>422.85</v>
      </c>
      <c r="AE822" s="60">
        <v>448.56</v>
      </c>
      <c r="AF822" s="60">
        <v>0</v>
      </c>
      <c r="AG822" s="60">
        <v>0</v>
      </c>
      <c r="AH822" s="60">
        <v>0</v>
      </c>
      <c r="AI822" s="60">
        <v>392.7</v>
      </c>
      <c r="AJ822" s="60">
        <v>422.85</v>
      </c>
      <c r="AK822" s="60">
        <v>448.56</v>
      </c>
      <c r="AL822" s="60">
        <v>0</v>
      </c>
      <c r="AM822" s="60">
        <v>0</v>
      </c>
      <c r="AN822" s="60">
        <v>0</v>
      </c>
      <c r="AO822" s="60">
        <v>392.7</v>
      </c>
      <c r="AP822" s="60">
        <v>422.85</v>
      </c>
      <c r="AQ822" s="60">
        <v>448.56</v>
      </c>
      <c r="AR822" s="61">
        <v>448.56</v>
      </c>
    </row>
    <row r="823" spans="1:44" ht="31" x14ac:dyDescent="0.35">
      <c r="A823" s="49" t="str">
        <f t="shared" si="71"/>
        <v>19</v>
      </c>
      <c r="B823" s="27">
        <v>64733</v>
      </c>
      <c r="C823" s="25" t="str">
        <f>TEXT(132928,"0000000")</f>
        <v>0132928</v>
      </c>
      <c r="D823" s="27">
        <v>1685</v>
      </c>
      <c r="E823" s="25" t="s">
        <v>1051</v>
      </c>
      <c r="F823" s="25" t="s">
        <v>5</v>
      </c>
      <c r="G823" s="59" t="s">
        <v>1052</v>
      </c>
      <c r="H823" s="60">
        <v>0</v>
      </c>
      <c r="I823" s="60">
        <v>0</v>
      </c>
      <c r="J823" s="60">
        <v>0</v>
      </c>
      <c r="K823" s="60">
        <v>0</v>
      </c>
      <c r="L823" s="60">
        <v>0</v>
      </c>
      <c r="M823" s="60">
        <v>0</v>
      </c>
      <c r="N823" s="60">
        <v>0</v>
      </c>
      <c r="O823" s="60">
        <v>0</v>
      </c>
      <c r="P823" s="60">
        <v>0</v>
      </c>
      <c r="Q823" s="60">
        <v>0</v>
      </c>
      <c r="R823" s="60">
        <v>0</v>
      </c>
      <c r="S823" s="60">
        <v>0</v>
      </c>
      <c r="T823" s="60">
        <v>0</v>
      </c>
      <c r="U823" s="60">
        <v>0</v>
      </c>
      <c r="V823" s="60">
        <v>0</v>
      </c>
      <c r="W823" s="60">
        <v>0</v>
      </c>
      <c r="X823" s="60">
        <v>0</v>
      </c>
      <c r="Y823" s="60">
        <v>0</v>
      </c>
      <c r="Z823" s="60">
        <v>0</v>
      </c>
      <c r="AA823" s="60">
        <v>0</v>
      </c>
      <c r="AB823" s="60">
        <v>0</v>
      </c>
      <c r="AC823" s="60">
        <v>245.85</v>
      </c>
      <c r="AD823" s="60">
        <v>232.44</v>
      </c>
      <c r="AE823" s="60">
        <v>242.44</v>
      </c>
      <c r="AF823" s="60">
        <v>0</v>
      </c>
      <c r="AG823" s="60">
        <v>0</v>
      </c>
      <c r="AH823" s="60">
        <v>0</v>
      </c>
      <c r="AI823" s="60">
        <v>245.85</v>
      </c>
      <c r="AJ823" s="60">
        <v>232.44</v>
      </c>
      <c r="AK823" s="60">
        <v>242.44</v>
      </c>
      <c r="AL823" s="60">
        <v>0</v>
      </c>
      <c r="AM823" s="60">
        <v>0</v>
      </c>
      <c r="AN823" s="60">
        <v>0</v>
      </c>
      <c r="AO823" s="60">
        <v>245.85</v>
      </c>
      <c r="AP823" s="60">
        <v>232.44</v>
      </c>
      <c r="AQ823" s="60">
        <v>242.44</v>
      </c>
      <c r="AR823" s="61">
        <v>245.85</v>
      </c>
    </row>
    <row r="824" spans="1:44" x14ac:dyDescent="0.35">
      <c r="A824" s="49" t="str">
        <f t="shared" si="71"/>
        <v>19</v>
      </c>
      <c r="B824" s="27">
        <v>64733</v>
      </c>
      <c r="C824" s="25" t="str">
        <f>TEXT(135517,"0000000")</f>
        <v>0135517</v>
      </c>
      <c r="D824" s="27">
        <v>1855</v>
      </c>
      <c r="E824" s="25" t="s">
        <v>1053</v>
      </c>
      <c r="F824" s="25" t="s">
        <v>5</v>
      </c>
      <c r="G824" s="59" t="s">
        <v>1054</v>
      </c>
      <c r="H824" s="60">
        <v>0</v>
      </c>
      <c r="I824" s="60">
        <v>0</v>
      </c>
      <c r="J824" s="60">
        <v>0</v>
      </c>
      <c r="K824" s="60">
        <v>0</v>
      </c>
      <c r="L824" s="60">
        <v>0</v>
      </c>
      <c r="M824" s="60">
        <v>0</v>
      </c>
      <c r="N824" s="60">
        <v>0</v>
      </c>
      <c r="O824" s="60">
        <v>0</v>
      </c>
      <c r="P824" s="60">
        <v>0</v>
      </c>
      <c r="Q824" s="60">
        <v>0</v>
      </c>
      <c r="R824" s="60">
        <v>0</v>
      </c>
      <c r="S824" s="60">
        <v>0</v>
      </c>
      <c r="T824" s="60">
        <v>0</v>
      </c>
      <c r="U824" s="60">
        <v>0</v>
      </c>
      <c r="V824" s="60">
        <v>0</v>
      </c>
      <c r="W824" s="60">
        <v>0</v>
      </c>
      <c r="X824" s="60">
        <v>0</v>
      </c>
      <c r="Y824" s="60">
        <v>0</v>
      </c>
      <c r="Z824" s="60">
        <v>0</v>
      </c>
      <c r="AA824" s="60">
        <v>0</v>
      </c>
      <c r="AB824" s="60">
        <v>0</v>
      </c>
      <c r="AC824" s="60">
        <v>974.99</v>
      </c>
      <c r="AD824" s="60">
        <v>949.94</v>
      </c>
      <c r="AE824" s="60">
        <v>916.39</v>
      </c>
      <c r="AF824" s="60">
        <v>0</v>
      </c>
      <c r="AG824" s="60">
        <v>0</v>
      </c>
      <c r="AH824" s="60">
        <v>0</v>
      </c>
      <c r="AI824" s="60">
        <v>974.99</v>
      </c>
      <c r="AJ824" s="60">
        <v>949.94</v>
      </c>
      <c r="AK824" s="60">
        <v>916.39</v>
      </c>
      <c r="AL824" s="60">
        <v>0</v>
      </c>
      <c r="AM824" s="60">
        <v>0</v>
      </c>
      <c r="AN824" s="60">
        <v>0</v>
      </c>
      <c r="AO824" s="60">
        <v>974.99</v>
      </c>
      <c r="AP824" s="60">
        <v>949.94</v>
      </c>
      <c r="AQ824" s="60">
        <v>916.39</v>
      </c>
      <c r="AR824" s="61">
        <v>974.99</v>
      </c>
    </row>
    <row r="825" spans="1:44" x14ac:dyDescent="0.35">
      <c r="A825" s="49" t="str">
        <f t="shared" si="71"/>
        <v>19</v>
      </c>
      <c r="B825" s="27">
        <v>64733</v>
      </c>
      <c r="C825" s="25" t="str">
        <f>TEXT(140111,"0000000")</f>
        <v>0140111</v>
      </c>
      <c r="D825" s="27">
        <v>2088</v>
      </c>
      <c r="E825" s="25" t="s">
        <v>1055</v>
      </c>
      <c r="F825" s="25" t="s">
        <v>5</v>
      </c>
      <c r="G825" s="59" t="s">
        <v>1056</v>
      </c>
      <c r="H825" s="60">
        <v>0</v>
      </c>
      <c r="I825" s="60">
        <v>0</v>
      </c>
      <c r="J825" s="60">
        <v>0</v>
      </c>
      <c r="K825" s="60">
        <v>0</v>
      </c>
      <c r="L825" s="60">
        <v>0</v>
      </c>
      <c r="M825" s="60">
        <v>0</v>
      </c>
      <c r="N825" s="60">
        <v>0</v>
      </c>
      <c r="O825" s="60">
        <v>0</v>
      </c>
      <c r="P825" s="60">
        <v>0</v>
      </c>
      <c r="Q825" s="60">
        <v>0</v>
      </c>
      <c r="R825" s="60">
        <v>0</v>
      </c>
      <c r="S825" s="60">
        <v>0</v>
      </c>
      <c r="T825" s="60">
        <v>0</v>
      </c>
      <c r="U825" s="60">
        <v>0</v>
      </c>
      <c r="V825" s="60">
        <v>0</v>
      </c>
      <c r="W825" s="60">
        <v>0</v>
      </c>
      <c r="X825" s="60">
        <v>0</v>
      </c>
      <c r="Y825" s="60">
        <v>0</v>
      </c>
      <c r="Z825" s="60">
        <v>0</v>
      </c>
      <c r="AA825" s="60">
        <v>0</v>
      </c>
      <c r="AB825" s="60">
        <v>0</v>
      </c>
      <c r="AC825" s="60">
        <v>105.19</v>
      </c>
      <c r="AD825" s="60">
        <v>78.03</v>
      </c>
      <c r="AE825" s="60">
        <v>0</v>
      </c>
      <c r="AF825" s="60">
        <v>0</v>
      </c>
      <c r="AG825" s="60">
        <v>0</v>
      </c>
      <c r="AH825" s="60">
        <v>0</v>
      </c>
      <c r="AI825" s="60">
        <v>105.19</v>
      </c>
      <c r="AJ825" s="60">
        <v>78.03</v>
      </c>
      <c r="AK825" s="60">
        <v>0</v>
      </c>
      <c r="AL825" s="60">
        <v>0</v>
      </c>
      <c r="AM825" s="60">
        <v>0</v>
      </c>
      <c r="AN825" s="60">
        <v>72.849999999999994</v>
      </c>
      <c r="AO825" s="60">
        <v>105.19</v>
      </c>
      <c r="AP825" s="60">
        <v>78.03</v>
      </c>
      <c r="AQ825" s="60">
        <v>72.849999999999994</v>
      </c>
      <c r="AR825" s="61">
        <v>105.19</v>
      </c>
    </row>
    <row r="826" spans="1:44" x14ac:dyDescent="0.35">
      <c r="A826" s="49" t="str">
        <f t="shared" si="71"/>
        <v>19</v>
      </c>
      <c r="B826" s="27">
        <v>64857</v>
      </c>
      <c r="C826" s="25" t="str">
        <f>TEXT(112714,"0000000")</f>
        <v>0112714</v>
      </c>
      <c r="D826" s="26" t="s">
        <v>1073</v>
      </c>
      <c r="E826" s="25" t="s">
        <v>1071</v>
      </c>
      <c r="F826" s="25" t="s">
        <v>5</v>
      </c>
      <c r="G826" s="59" t="s">
        <v>1072</v>
      </c>
      <c r="H826" s="60">
        <v>0</v>
      </c>
      <c r="I826" s="60">
        <v>0</v>
      </c>
      <c r="J826" s="60">
        <v>0</v>
      </c>
      <c r="K826" s="60">
        <v>0</v>
      </c>
      <c r="L826" s="60">
        <v>0</v>
      </c>
      <c r="M826" s="60">
        <v>0</v>
      </c>
      <c r="N826" s="60">
        <v>0</v>
      </c>
      <c r="O826" s="60">
        <v>0</v>
      </c>
      <c r="P826" s="60">
        <v>0</v>
      </c>
      <c r="Q826" s="60">
        <v>0</v>
      </c>
      <c r="R826" s="60">
        <v>0</v>
      </c>
      <c r="S826" s="60">
        <v>0</v>
      </c>
      <c r="T826" s="60">
        <v>0</v>
      </c>
      <c r="U826" s="60">
        <v>0</v>
      </c>
      <c r="V826" s="60">
        <v>0</v>
      </c>
      <c r="W826" s="60">
        <v>0</v>
      </c>
      <c r="X826" s="60">
        <v>0</v>
      </c>
      <c r="Y826" s="60">
        <v>0</v>
      </c>
      <c r="Z826" s="60">
        <v>0</v>
      </c>
      <c r="AA826" s="60">
        <v>0</v>
      </c>
      <c r="AB826" s="60">
        <v>0</v>
      </c>
      <c r="AC826" s="60">
        <v>1518.03</v>
      </c>
      <c r="AD826" s="60">
        <v>1351.62</v>
      </c>
      <c r="AE826" s="60">
        <v>1483.9</v>
      </c>
      <c r="AF826" s="60">
        <v>0</v>
      </c>
      <c r="AG826" s="60">
        <v>0</v>
      </c>
      <c r="AH826" s="60">
        <v>0</v>
      </c>
      <c r="AI826" s="60">
        <v>1518.03</v>
      </c>
      <c r="AJ826" s="60">
        <v>1351.62</v>
      </c>
      <c r="AK826" s="60">
        <v>1483.9</v>
      </c>
      <c r="AL826" s="60">
        <v>0</v>
      </c>
      <c r="AM826" s="60">
        <v>0</v>
      </c>
      <c r="AN826" s="60">
        <v>0</v>
      </c>
      <c r="AO826" s="60">
        <v>1518.03</v>
      </c>
      <c r="AP826" s="60">
        <v>1351.62</v>
      </c>
      <c r="AQ826" s="60">
        <v>1483.9</v>
      </c>
      <c r="AR826" s="61">
        <v>1518.03</v>
      </c>
    </row>
    <row r="827" spans="1:44" x14ac:dyDescent="0.35">
      <c r="A827" s="49" t="str">
        <f t="shared" si="71"/>
        <v>19</v>
      </c>
      <c r="B827" s="27">
        <v>64857</v>
      </c>
      <c r="C827" s="25" t="str">
        <f>TEXT(125377,"0000000")</f>
        <v>0125377</v>
      </c>
      <c r="D827" s="27">
        <v>1367</v>
      </c>
      <c r="E827" s="25" t="s">
        <v>1074</v>
      </c>
      <c r="F827" s="25" t="s">
        <v>5</v>
      </c>
      <c r="G827" s="59" t="s">
        <v>1075</v>
      </c>
      <c r="H827" s="60">
        <v>0</v>
      </c>
      <c r="I827" s="60">
        <v>0</v>
      </c>
      <c r="J827" s="60">
        <v>0</v>
      </c>
      <c r="K827" s="60">
        <v>0</v>
      </c>
      <c r="L827" s="60">
        <v>0</v>
      </c>
      <c r="M827" s="60">
        <v>0</v>
      </c>
      <c r="N827" s="60">
        <v>0</v>
      </c>
      <c r="O827" s="60">
        <v>0</v>
      </c>
      <c r="P827" s="60">
        <v>0</v>
      </c>
      <c r="Q827" s="60">
        <v>0</v>
      </c>
      <c r="R827" s="60">
        <v>0</v>
      </c>
      <c r="S827" s="60">
        <v>0</v>
      </c>
      <c r="T827" s="60">
        <v>0</v>
      </c>
      <c r="U827" s="60">
        <v>0</v>
      </c>
      <c r="V827" s="60">
        <v>0</v>
      </c>
      <c r="W827" s="60">
        <v>0</v>
      </c>
      <c r="X827" s="60">
        <v>0</v>
      </c>
      <c r="Y827" s="60">
        <v>0</v>
      </c>
      <c r="Z827" s="60">
        <v>0</v>
      </c>
      <c r="AA827" s="60">
        <v>0</v>
      </c>
      <c r="AB827" s="60">
        <v>0</v>
      </c>
      <c r="AC827" s="60">
        <v>2031.59</v>
      </c>
      <c r="AD827" s="60">
        <v>2096.36</v>
      </c>
      <c r="AE827" s="60">
        <v>2056.65</v>
      </c>
      <c r="AF827" s="60">
        <v>0</v>
      </c>
      <c r="AG827" s="60">
        <v>0</v>
      </c>
      <c r="AH827" s="60">
        <v>0</v>
      </c>
      <c r="AI827" s="60">
        <v>2031.59</v>
      </c>
      <c r="AJ827" s="60">
        <v>2096.36</v>
      </c>
      <c r="AK827" s="60">
        <v>2056.65</v>
      </c>
      <c r="AL827" s="60">
        <v>0</v>
      </c>
      <c r="AM827" s="60">
        <v>0</v>
      </c>
      <c r="AN827" s="60">
        <v>0</v>
      </c>
      <c r="AO827" s="60">
        <v>2031.59</v>
      </c>
      <c r="AP827" s="60">
        <v>2096.36</v>
      </c>
      <c r="AQ827" s="60">
        <v>2056.65</v>
      </c>
      <c r="AR827" s="61">
        <v>2096.36</v>
      </c>
    </row>
    <row r="828" spans="1:44" x14ac:dyDescent="0.35">
      <c r="A828" s="49" t="str">
        <f t="shared" si="71"/>
        <v>19</v>
      </c>
      <c r="B828" s="27">
        <v>64907</v>
      </c>
      <c r="C828" s="25" t="str">
        <f>TEXT(1996693,"0000000")</f>
        <v>1996693</v>
      </c>
      <c r="D828" s="26" t="s">
        <v>1097</v>
      </c>
      <c r="E828" s="25" t="s">
        <v>1095</v>
      </c>
      <c r="F828" s="25" t="s">
        <v>5</v>
      </c>
      <c r="G828" s="59" t="s">
        <v>1096</v>
      </c>
      <c r="H828" s="60">
        <v>0</v>
      </c>
      <c r="I828" s="60">
        <v>0</v>
      </c>
      <c r="J828" s="60">
        <v>0</v>
      </c>
      <c r="K828" s="60">
        <v>0</v>
      </c>
      <c r="L828" s="60">
        <v>0</v>
      </c>
      <c r="M828" s="60">
        <v>0</v>
      </c>
      <c r="N828" s="60">
        <v>0</v>
      </c>
      <c r="O828" s="60">
        <v>0</v>
      </c>
      <c r="P828" s="60">
        <v>0</v>
      </c>
      <c r="Q828" s="60">
        <v>0</v>
      </c>
      <c r="R828" s="60">
        <v>0</v>
      </c>
      <c r="S828" s="60">
        <v>0</v>
      </c>
      <c r="T828" s="60">
        <v>0</v>
      </c>
      <c r="U828" s="60">
        <v>0</v>
      </c>
      <c r="V828" s="60">
        <v>0</v>
      </c>
      <c r="W828" s="60">
        <v>0</v>
      </c>
      <c r="X828" s="60">
        <v>0</v>
      </c>
      <c r="Y828" s="60">
        <v>0</v>
      </c>
      <c r="Z828" s="60">
        <v>0</v>
      </c>
      <c r="AA828" s="60">
        <v>0</v>
      </c>
      <c r="AB828" s="60">
        <v>0</v>
      </c>
      <c r="AC828" s="60">
        <v>603.05999999999995</v>
      </c>
      <c r="AD828" s="60">
        <v>598.42999999999995</v>
      </c>
      <c r="AE828" s="60">
        <v>630.39</v>
      </c>
      <c r="AF828" s="60">
        <v>0</v>
      </c>
      <c r="AG828" s="60">
        <v>0</v>
      </c>
      <c r="AH828" s="60">
        <v>0</v>
      </c>
      <c r="AI828" s="60">
        <v>603.05999999999995</v>
      </c>
      <c r="AJ828" s="60">
        <v>598.42999999999995</v>
      </c>
      <c r="AK828" s="60">
        <v>630.39</v>
      </c>
      <c r="AL828" s="60">
        <v>0</v>
      </c>
      <c r="AM828" s="60">
        <v>0</v>
      </c>
      <c r="AN828" s="60">
        <v>0</v>
      </c>
      <c r="AO828" s="60">
        <v>603.05999999999995</v>
      </c>
      <c r="AP828" s="60">
        <v>598.42999999999995</v>
      </c>
      <c r="AQ828" s="60">
        <v>630.39</v>
      </c>
      <c r="AR828" s="61">
        <v>630.39</v>
      </c>
    </row>
    <row r="829" spans="1:44" x14ac:dyDescent="0.35">
      <c r="A829" s="49" t="str">
        <f t="shared" si="71"/>
        <v>19</v>
      </c>
      <c r="B829" s="27">
        <v>65136</v>
      </c>
      <c r="C829" s="25" t="str">
        <f>TEXT(114439,"0000000")</f>
        <v>0114439</v>
      </c>
      <c r="D829" s="26" t="s">
        <v>1132</v>
      </c>
      <c r="E829" s="25" t="s">
        <v>1130</v>
      </c>
      <c r="F829" s="25" t="s">
        <v>5</v>
      </c>
      <c r="G829" s="59" t="s">
        <v>1131</v>
      </c>
      <c r="H829" s="60">
        <v>0</v>
      </c>
      <c r="I829" s="60">
        <v>0</v>
      </c>
      <c r="J829" s="60">
        <v>0</v>
      </c>
      <c r="K829" s="60">
        <v>0</v>
      </c>
      <c r="L829" s="60">
        <v>0</v>
      </c>
      <c r="M829" s="60">
        <v>0</v>
      </c>
      <c r="N829" s="60">
        <v>0</v>
      </c>
      <c r="O829" s="60">
        <v>0</v>
      </c>
      <c r="P829" s="60">
        <v>0</v>
      </c>
      <c r="Q829" s="60">
        <v>0</v>
      </c>
      <c r="R829" s="60">
        <v>0</v>
      </c>
      <c r="S829" s="60">
        <v>0</v>
      </c>
      <c r="T829" s="60">
        <v>0</v>
      </c>
      <c r="U829" s="60">
        <v>0</v>
      </c>
      <c r="V829" s="60">
        <v>0</v>
      </c>
      <c r="W829" s="60">
        <v>0</v>
      </c>
      <c r="X829" s="60">
        <v>0</v>
      </c>
      <c r="Y829" s="60">
        <v>0</v>
      </c>
      <c r="Z829" s="60">
        <v>0</v>
      </c>
      <c r="AA829" s="60">
        <v>0</v>
      </c>
      <c r="AB829" s="60">
        <v>0</v>
      </c>
      <c r="AC829" s="60">
        <v>453.76</v>
      </c>
      <c r="AD829" s="60">
        <v>395.24</v>
      </c>
      <c r="AE829" s="60">
        <v>304.04000000000002</v>
      </c>
      <c r="AF829" s="60">
        <v>0</v>
      </c>
      <c r="AG829" s="60">
        <v>0</v>
      </c>
      <c r="AH829" s="60">
        <v>0</v>
      </c>
      <c r="AI829" s="60">
        <v>453.76</v>
      </c>
      <c r="AJ829" s="60">
        <v>395.24</v>
      </c>
      <c r="AK829" s="60">
        <v>304.04000000000002</v>
      </c>
      <c r="AL829" s="60">
        <v>0</v>
      </c>
      <c r="AM829" s="60">
        <v>0</v>
      </c>
      <c r="AN829" s="60">
        <v>0</v>
      </c>
      <c r="AO829" s="60">
        <v>453.76</v>
      </c>
      <c r="AP829" s="60">
        <v>395.24</v>
      </c>
      <c r="AQ829" s="60">
        <v>304.04000000000002</v>
      </c>
      <c r="AR829" s="61">
        <v>453.76</v>
      </c>
    </row>
    <row r="830" spans="1:44" x14ac:dyDescent="0.35">
      <c r="A830" s="49" t="str">
        <f t="shared" si="71"/>
        <v>19</v>
      </c>
      <c r="B830" s="27">
        <v>65136</v>
      </c>
      <c r="C830" s="25" t="str">
        <f>TEXT(117234,"0000000")</f>
        <v>0117234</v>
      </c>
      <c r="D830" s="26" t="s">
        <v>1135</v>
      </c>
      <c r="E830" s="25" t="s">
        <v>1133</v>
      </c>
      <c r="F830" s="25" t="s">
        <v>5</v>
      </c>
      <c r="G830" s="59" t="s">
        <v>1134</v>
      </c>
      <c r="H830" s="60">
        <v>0</v>
      </c>
      <c r="I830" s="60">
        <v>0</v>
      </c>
      <c r="J830" s="60">
        <v>0</v>
      </c>
      <c r="K830" s="60">
        <v>0</v>
      </c>
      <c r="L830" s="60">
        <v>0</v>
      </c>
      <c r="M830" s="60">
        <v>0</v>
      </c>
      <c r="N830" s="60">
        <v>0</v>
      </c>
      <c r="O830" s="60">
        <v>0</v>
      </c>
      <c r="P830" s="60">
        <v>0</v>
      </c>
      <c r="Q830" s="60">
        <v>0</v>
      </c>
      <c r="R830" s="60">
        <v>0</v>
      </c>
      <c r="S830" s="60">
        <v>0</v>
      </c>
      <c r="T830" s="60">
        <v>0</v>
      </c>
      <c r="U830" s="60">
        <v>0</v>
      </c>
      <c r="V830" s="60">
        <v>0</v>
      </c>
      <c r="W830" s="60">
        <v>0</v>
      </c>
      <c r="X830" s="60">
        <v>0</v>
      </c>
      <c r="Y830" s="60">
        <v>0</v>
      </c>
      <c r="Z830" s="60">
        <v>0</v>
      </c>
      <c r="AA830" s="60">
        <v>0</v>
      </c>
      <c r="AB830" s="60">
        <v>0</v>
      </c>
      <c r="AC830" s="60">
        <v>612.72</v>
      </c>
      <c r="AD830" s="60">
        <v>678.81</v>
      </c>
      <c r="AE830" s="60">
        <v>747.11</v>
      </c>
      <c r="AF830" s="60">
        <v>0</v>
      </c>
      <c r="AG830" s="60">
        <v>0</v>
      </c>
      <c r="AH830" s="60">
        <v>0</v>
      </c>
      <c r="AI830" s="60">
        <v>612.72</v>
      </c>
      <c r="AJ830" s="60">
        <v>678.81</v>
      </c>
      <c r="AK830" s="60">
        <v>747.11</v>
      </c>
      <c r="AL830" s="60">
        <v>0</v>
      </c>
      <c r="AM830" s="60">
        <v>0</v>
      </c>
      <c r="AN830" s="60">
        <v>0</v>
      </c>
      <c r="AO830" s="60">
        <v>612.72</v>
      </c>
      <c r="AP830" s="60">
        <v>678.81</v>
      </c>
      <c r="AQ830" s="60">
        <v>747.11</v>
      </c>
      <c r="AR830" s="61">
        <v>747.11</v>
      </c>
    </row>
    <row r="831" spans="1:44" x14ac:dyDescent="0.35">
      <c r="A831" s="49" t="str">
        <f>TEXT(1,"00")</f>
        <v>01</v>
      </c>
      <c r="B831" s="27">
        <v>61119</v>
      </c>
      <c r="C831" s="25" t="str">
        <f>TEXT(130609,"0000000")</f>
        <v>0130609</v>
      </c>
      <c r="D831" s="26" t="s">
        <v>45</v>
      </c>
      <c r="E831" s="25" t="s">
        <v>43</v>
      </c>
      <c r="F831" s="25" t="s">
        <v>5</v>
      </c>
      <c r="G831" s="59" t="s">
        <v>44</v>
      </c>
      <c r="H831" s="60">
        <v>0</v>
      </c>
      <c r="I831" s="60">
        <v>0</v>
      </c>
      <c r="J831" s="60">
        <v>0</v>
      </c>
      <c r="K831" s="60">
        <v>0</v>
      </c>
      <c r="L831" s="60">
        <v>0</v>
      </c>
      <c r="M831" s="60">
        <v>0</v>
      </c>
      <c r="N831" s="60">
        <v>0</v>
      </c>
      <c r="O831" s="60">
        <v>0</v>
      </c>
      <c r="P831" s="60">
        <v>0</v>
      </c>
      <c r="Q831" s="60">
        <v>0</v>
      </c>
      <c r="R831" s="60">
        <v>0</v>
      </c>
      <c r="S831" s="60">
        <v>0</v>
      </c>
      <c r="T831" s="60">
        <v>0</v>
      </c>
      <c r="U831" s="60">
        <v>0</v>
      </c>
      <c r="V831" s="60">
        <v>0</v>
      </c>
      <c r="W831" s="60">
        <v>0</v>
      </c>
      <c r="X831" s="60">
        <v>0</v>
      </c>
      <c r="Y831" s="60">
        <v>0</v>
      </c>
      <c r="Z831" s="60">
        <v>0</v>
      </c>
      <c r="AA831" s="60">
        <v>0</v>
      </c>
      <c r="AB831" s="60">
        <v>0</v>
      </c>
      <c r="AC831" s="60">
        <v>363.78</v>
      </c>
      <c r="AD831" s="60">
        <v>369.2</v>
      </c>
      <c r="AE831" s="60">
        <v>333.78</v>
      </c>
      <c r="AF831" s="60">
        <v>0</v>
      </c>
      <c r="AG831" s="60">
        <v>0</v>
      </c>
      <c r="AH831" s="60">
        <v>0</v>
      </c>
      <c r="AI831" s="60">
        <v>363.78</v>
      </c>
      <c r="AJ831" s="60">
        <v>369.2</v>
      </c>
      <c r="AK831" s="60">
        <v>333.78</v>
      </c>
      <c r="AL831" s="60">
        <v>0</v>
      </c>
      <c r="AM831" s="60">
        <v>0</v>
      </c>
      <c r="AN831" s="60">
        <v>0</v>
      </c>
      <c r="AO831" s="60">
        <v>363.78</v>
      </c>
      <c r="AP831" s="60">
        <v>369.2</v>
      </c>
      <c r="AQ831" s="60">
        <v>333.78</v>
      </c>
      <c r="AR831" s="61">
        <v>369.2</v>
      </c>
    </row>
    <row r="832" spans="1:44" x14ac:dyDescent="0.35">
      <c r="A832" s="49" t="str">
        <f t="shared" ref="A832:A841" si="72">TEXT(19,"00")</f>
        <v>19</v>
      </c>
      <c r="B832" s="27">
        <v>73437</v>
      </c>
      <c r="C832" s="25" t="str">
        <f>TEXT(115725,"0000000")</f>
        <v>0115725</v>
      </c>
      <c r="D832" s="26" t="s">
        <v>1145</v>
      </c>
      <c r="E832" s="25" t="s">
        <v>1143</v>
      </c>
      <c r="F832" s="25" t="s">
        <v>5</v>
      </c>
      <c r="G832" s="59" t="s">
        <v>1144</v>
      </c>
      <c r="H832" s="60">
        <v>0</v>
      </c>
      <c r="I832" s="60">
        <v>0</v>
      </c>
      <c r="J832" s="60">
        <v>0</v>
      </c>
      <c r="K832" s="60">
        <v>0</v>
      </c>
      <c r="L832" s="60">
        <v>0</v>
      </c>
      <c r="M832" s="60">
        <v>0</v>
      </c>
      <c r="N832" s="60">
        <v>0</v>
      </c>
      <c r="O832" s="60">
        <v>0</v>
      </c>
      <c r="P832" s="60">
        <v>0</v>
      </c>
      <c r="Q832" s="60">
        <v>0</v>
      </c>
      <c r="R832" s="60">
        <v>0</v>
      </c>
      <c r="S832" s="60">
        <v>0</v>
      </c>
      <c r="T832" s="60">
        <v>0</v>
      </c>
      <c r="U832" s="60">
        <v>0</v>
      </c>
      <c r="V832" s="60">
        <v>0</v>
      </c>
      <c r="W832" s="60">
        <v>0</v>
      </c>
      <c r="X832" s="60">
        <v>0</v>
      </c>
      <c r="Y832" s="60">
        <v>0</v>
      </c>
      <c r="Z832" s="60">
        <v>0</v>
      </c>
      <c r="AA832" s="60">
        <v>0</v>
      </c>
      <c r="AB832" s="60">
        <v>0</v>
      </c>
      <c r="AC832" s="60">
        <v>674.92</v>
      </c>
      <c r="AD832" s="60">
        <v>667.41</v>
      </c>
      <c r="AE832" s="60">
        <v>666.26</v>
      </c>
      <c r="AF832" s="60">
        <v>0</v>
      </c>
      <c r="AG832" s="60">
        <v>0</v>
      </c>
      <c r="AH832" s="60">
        <v>0</v>
      </c>
      <c r="AI832" s="60">
        <v>674.92</v>
      </c>
      <c r="AJ832" s="60">
        <v>667.41</v>
      </c>
      <c r="AK832" s="60">
        <v>666.26</v>
      </c>
      <c r="AL832" s="60">
        <v>0</v>
      </c>
      <c r="AM832" s="60">
        <v>0</v>
      </c>
      <c r="AN832" s="60">
        <v>0</v>
      </c>
      <c r="AO832" s="60">
        <v>674.92</v>
      </c>
      <c r="AP832" s="60">
        <v>667.41</v>
      </c>
      <c r="AQ832" s="60">
        <v>666.26</v>
      </c>
      <c r="AR832" s="61">
        <v>674.92</v>
      </c>
    </row>
    <row r="833" spans="1:44" x14ac:dyDescent="0.35">
      <c r="A833" s="49" t="str">
        <f t="shared" si="72"/>
        <v>19</v>
      </c>
      <c r="B833" s="27">
        <v>73437</v>
      </c>
      <c r="C833" s="25" t="str">
        <f>TEXT(118760,"0000000")</f>
        <v>0118760</v>
      </c>
      <c r="D833" s="27">
        <v>1062</v>
      </c>
      <c r="E833" s="25" t="s">
        <v>1146</v>
      </c>
      <c r="F833" s="25" t="s">
        <v>5</v>
      </c>
      <c r="G833" s="59" t="s">
        <v>1147</v>
      </c>
      <c r="H833" s="60">
        <v>0</v>
      </c>
      <c r="I833" s="60">
        <v>0</v>
      </c>
      <c r="J833" s="60">
        <v>0</v>
      </c>
      <c r="K833" s="60">
        <v>0</v>
      </c>
      <c r="L833" s="60">
        <v>0</v>
      </c>
      <c r="M833" s="60">
        <v>0</v>
      </c>
      <c r="N833" s="60">
        <v>0</v>
      </c>
      <c r="O833" s="60">
        <v>0</v>
      </c>
      <c r="P833" s="60">
        <v>0</v>
      </c>
      <c r="Q833" s="60">
        <v>0</v>
      </c>
      <c r="R833" s="60">
        <v>0</v>
      </c>
      <c r="S833" s="60">
        <v>0</v>
      </c>
      <c r="T833" s="60">
        <v>0</v>
      </c>
      <c r="U833" s="60">
        <v>0</v>
      </c>
      <c r="V833" s="60">
        <v>0</v>
      </c>
      <c r="W833" s="60">
        <v>0</v>
      </c>
      <c r="X833" s="60">
        <v>0</v>
      </c>
      <c r="Y833" s="60">
        <v>0</v>
      </c>
      <c r="Z833" s="60">
        <v>0</v>
      </c>
      <c r="AA833" s="60">
        <v>0</v>
      </c>
      <c r="AB833" s="60">
        <v>0</v>
      </c>
      <c r="AC833" s="60">
        <v>328.31</v>
      </c>
      <c r="AD833" s="60">
        <v>351.24</v>
      </c>
      <c r="AE833" s="60">
        <v>343.58</v>
      </c>
      <c r="AF833" s="60">
        <v>0</v>
      </c>
      <c r="AG833" s="60">
        <v>0</v>
      </c>
      <c r="AH833" s="60">
        <v>0</v>
      </c>
      <c r="AI833" s="60">
        <v>328.31</v>
      </c>
      <c r="AJ833" s="60">
        <v>351.24</v>
      </c>
      <c r="AK833" s="60">
        <v>343.58</v>
      </c>
      <c r="AL833" s="60">
        <v>0</v>
      </c>
      <c r="AM833" s="60">
        <v>0</v>
      </c>
      <c r="AN833" s="60">
        <v>0</v>
      </c>
      <c r="AO833" s="60">
        <v>328.31</v>
      </c>
      <c r="AP833" s="60">
        <v>351.24</v>
      </c>
      <c r="AQ833" s="60">
        <v>343.58</v>
      </c>
      <c r="AR833" s="61">
        <v>351.24</v>
      </c>
    </row>
    <row r="834" spans="1:44" x14ac:dyDescent="0.35">
      <c r="A834" s="49" t="str">
        <f t="shared" si="72"/>
        <v>19</v>
      </c>
      <c r="B834" s="27">
        <v>73437</v>
      </c>
      <c r="C834" s="25" t="str">
        <f>TEXT(132845,"0000000")</f>
        <v>0132845</v>
      </c>
      <c r="D834" s="27">
        <v>1772</v>
      </c>
      <c r="E834" s="25" t="s">
        <v>1148</v>
      </c>
      <c r="F834" s="25" t="s">
        <v>5</v>
      </c>
      <c r="G834" s="59" t="s">
        <v>1149</v>
      </c>
      <c r="H834" s="60">
        <v>0</v>
      </c>
      <c r="I834" s="60">
        <v>0</v>
      </c>
      <c r="J834" s="60">
        <v>0</v>
      </c>
      <c r="K834" s="60">
        <v>0</v>
      </c>
      <c r="L834" s="60">
        <v>0</v>
      </c>
      <c r="M834" s="60">
        <v>0</v>
      </c>
      <c r="N834" s="60">
        <v>0</v>
      </c>
      <c r="O834" s="60">
        <v>0</v>
      </c>
      <c r="P834" s="60">
        <v>0</v>
      </c>
      <c r="Q834" s="60">
        <v>0</v>
      </c>
      <c r="R834" s="60">
        <v>0</v>
      </c>
      <c r="S834" s="60">
        <v>0</v>
      </c>
      <c r="T834" s="60">
        <v>0</v>
      </c>
      <c r="U834" s="60">
        <v>0</v>
      </c>
      <c r="V834" s="60">
        <v>0</v>
      </c>
      <c r="W834" s="60">
        <v>0</v>
      </c>
      <c r="X834" s="60">
        <v>0</v>
      </c>
      <c r="Y834" s="60">
        <v>0</v>
      </c>
      <c r="Z834" s="60">
        <v>0</v>
      </c>
      <c r="AA834" s="60">
        <v>0</v>
      </c>
      <c r="AB834" s="60">
        <v>0</v>
      </c>
      <c r="AC834" s="60">
        <v>366.99</v>
      </c>
      <c r="AD834" s="60">
        <v>377.82</v>
      </c>
      <c r="AE834" s="60">
        <v>439.32</v>
      </c>
      <c r="AF834" s="60">
        <v>0</v>
      </c>
      <c r="AG834" s="60">
        <v>0</v>
      </c>
      <c r="AH834" s="60">
        <v>0</v>
      </c>
      <c r="AI834" s="60">
        <v>366.99</v>
      </c>
      <c r="AJ834" s="60">
        <v>377.82</v>
      </c>
      <c r="AK834" s="60">
        <v>439.32</v>
      </c>
      <c r="AL834" s="60">
        <v>0</v>
      </c>
      <c r="AM834" s="60">
        <v>0</v>
      </c>
      <c r="AN834" s="60">
        <v>0</v>
      </c>
      <c r="AO834" s="60">
        <v>366.99</v>
      </c>
      <c r="AP834" s="60">
        <v>377.82</v>
      </c>
      <c r="AQ834" s="60">
        <v>439.32</v>
      </c>
      <c r="AR834" s="61">
        <v>439.32</v>
      </c>
    </row>
    <row r="835" spans="1:44" x14ac:dyDescent="0.35">
      <c r="A835" s="49" t="str">
        <f t="shared" si="72"/>
        <v>19</v>
      </c>
      <c r="B835" s="27">
        <v>73437</v>
      </c>
      <c r="C835" s="25" t="str">
        <f>TEXT(137240,"0000000")</f>
        <v>0137240</v>
      </c>
      <c r="D835" s="27">
        <v>1952</v>
      </c>
      <c r="E835" s="25" t="s">
        <v>1152</v>
      </c>
      <c r="F835" s="25" t="s">
        <v>5</v>
      </c>
      <c r="G835" s="59" t="s">
        <v>1153</v>
      </c>
      <c r="H835" s="60">
        <v>0</v>
      </c>
      <c r="I835" s="60">
        <v>0</v>
      </c>
      <c r="J835" s="60">
        <v>0</v>
      </c>
      <c r="K835" s="60">
        <v>0</v>
      </c>
      <c r="L835" s="60">
        <v>0</v>
      </c>
      <c r="M835" s="60">
        <v>0</v>
      </c>
      <c r="N835" s="60">
        <v>0</v>
      </c>
      <c r="O835" s="60">
        <v>0</v>
      </c>
      <c r="P835" s="60">
        <v>0</v>
      </c>
      <c r="Q835" s="60">
        <v>0</v>
      </c>
      <c r="R835" s="60">
        <v>0</v>
      </c>
      <c r="S835" s="60">
        <v>0</v>
      </c>
      <c r="T835" s="60">
        <v>0</v>
      </c>
      <c r="U835" s="60">
        <v>0</v>
      </c>
      <c r="V835" s="60">
        <v>0</v>
      </c>
      <c r="W835" s="60">
        <v>0</v>
      </c>
      <c r="X835" s="60">
        <v>0</v>
      </c>
      <c r="Y835" s="60">
        <v>0</v>
      </c>
      <c r="Z835" s="60">
        <v>0</v>
      </c>
      <c r="AA835" s="60">
        <v>0</v>
      </c>
      <c r="AB835" s="60">
        <v>0</v>
      </c>
      <c r="AC835" s="60">
        <v>111.38</v>
      </c>
      <c r="AD835" s="60">
        <v>136.09</v>
      </c>
      <c r="AE835" s="60">
        <v>149.34</v>
      </c>
      <c r="AF835" s="60">
        <v>0</v>
      </c>
      <c r="AG835" s="60">
        <v>0</v>
      </c>
      <c r="AH835" s="60">
        <v>0</v>
      </c>
      <c r="AI835" s="60">
        <v>111.38</v>
      </c>
      <c r="AJ835" s="60">
        <v>136.09</v>
      </c>
      <c r="AK835" s="60">
        <v>149.34</v>
      </c>
      <c r="AL835" s="60">
        <v>0</v>
      </c>
      <c r="AM835" s="60">
        <v>0</v>
      </c>
      <c r="AN835" s="60">
        <v>0</v>
      </c>
      <c r="AO835" s="60">
        <v>111.38</v>
      </c>
      <c r="AP835" s="60">
        <v>136.09</v>
      </c>
      <c r="AQ835" s="60">
        <v>149.34</v>
      </c>
      <c r="AR835" s="61">
        <v>149.34</v>
      </c>
    </row>
    <row r="836" spans="1:44" x14ac:dyDescent="0.35">
      <c r="A836" s="49" t="str">
        <f t="shared" si="72"/>
        <v>19</v>
      </c>
      <c r="B836" s="27">
        <v>73437</v>
      </c>
      <c r="C836" s="25" t="str">
        <f>TEXT(137893,"0000000")</f>
        <v>0137893</v>
      </c>
      <c r="D836" s="27">
        <v>1996</v>
      </c>
      <c r="E836" s="25" t="s">
        <v>1154</v>
      </c>
      <c r="F836" s="25" t="s">
        <v>5</v>
      </c>
      <c r="G836" s="59" t="s">
        <v>1155</v>
      </c>
      <c r="H836" s="60">
        <v>0</v>
      </c>
      <c r="I836" s="60">
        <v>0</v>
      </c>
      <c r="J836" s="60">
        <v>0</v>
      </c>
      <c r="K836" s="60">
        <v>0</v>
      </c>
      <c r="L836" s="60">
        <v>0</v>
      </c>
      <c r="M836" s="60">
        <v>0</v>
      </c>
      <c r="N836" s="60">
        <v>0</v>
      </c>
      <c r="O836" s="60">
        <v>0</v>
      </c>
      <c r="P836" s="60">
        <v>0</v>
      </c>
      <c r="Q836" s="60">
        <v>0</v>
      </c>
      <c r="R836" s="60">
        <v>0</v>
      </c>
      <c r="S836" s="60">
        <v>0</v>
      </c>
      <c r="T836" s="60">
        <v>0</v>
      </c>
      <c r="U836" s="60">
        <v>0</v>
      </c>
      <c r="V836" s="60">
        <v>0</v>
      </c>
      <c r="W836" s="60">
        <v>0</v>
      </c>
      <c r="X836" s="60">
        <v>0</v>
      </c>
      <c r="Y836" s="60">
        <v>0</v>
      </c>
      <c r="Z836" s="60">
        <v>0</v>
      </c>
      <c r="AA836" s="60">
        <v>0</v>
      </c>
      <c r="AB836" s="60">
        <v>0</v>
      </c>
      <c r="AC836" s="60">
        <v>579.20000000000005</v>
      </c>
      <c r="AD836" s="60">
        <v>468.49</v>
      </c>
      <c r="AE836" s="60">
        <v>361.12</v>
      </c>
      <c r="AF836" s="60">
        <v>0</v>
      </c>
      <c r="AG836" s="60">
        <v>0</v>
      </c>
      <c r="AH836" s="60">
        <v>0</v>
      </c>
      <c r="AI836" s="60">
        <v>579.20000000000005</v>
      </c>
      <c r="AJ836" s="60">
        <v>468.49</v>
      </c>
      <c r="AK836" s="60">
        <v>361.12</v>
      </c>
      <c r="AL836" s="60">
        <v>0</v>
      </c>
      <c r="AM836" s="60">
        <v>0</v>
      </c>
      <c r="AN836" s="60">
        <v>0</v>
      </c>
      <c r="AO836" s="60">
        <v>579.20000000000005</v>
      </c>
      <c r="AP836" s="60">
        <v>468.49</v>
      </c>
      <c r="AQ836" s="60">
        <v>361.12</v>
      </c>
      <c r="AR836" s="61">
        <v>579.20000000000005</v>
      </c>
    </row>
    <row r="837" spans="1:44" x14ac:dyDescent="0.35">
      <c r="A837" s="49" t="str">
        <f t="shared" si="72"/>
        <v>19</v>
      </c>
      <c r="B837" s="27">
        <v>73437</v>
      </c>
      <c r="C837" s="25" t="str">
        <f>TEXT(137984,"0000000")</f>
        <v>0137984</v>
      </c>
      <c r="D837" s="27">
        <v>1990</v>
      </c>
      <c r="E837" s="25" t="s">
        <v>1156</v>
      </c>
      <c r="F837" s="25" t="s">
        <v>5</v>
      </c>
      <c r="G837" s="59" t="s">
        <v>1157</v>
      </c>
      <c r="H837" s="60">
        <v>0</v>
      </c>
      <c r="I837" s="60">
        <v>0</v>
      </c>
      <c r="J837" s="60">
        <v>0</v>
      </c>
      <c r="K837" s="60">
        <v>0</v>
      </c>
      <c r="L837" s="60">
        <v>0</v>
      </c>
      <c r="M837" s="60">
        <v>0</v>
      </c>
      <c r="N837" s="60">
        <v>0</v>
      </c>
      <c r="O837" s="60">
        <v>0</v>
      </c>
      <c r="P837" s="60">
        <v>0</v>
      </c>
      <c r="Q837" s="60">
        <v>0</v>
      </c>
      <c r="R837" s="60">
        <v>0</v>
      </c>
      <c r="S837" s="60">
        <v>0</v>
      </c>
      <c r="T837" s="60">
        <v>0</v>
      </c>
      <c r="U837" s="60">
        <v>0</v>
      </c>
      <c r="V837" s="60">
        <v>0</v>
      </c>
      <c r="W837" s="60">
        <v>0</v>
      </c>
      <c r="X837" s="60">
        <v>0</v>
      </c>
      <c r="Y837" s="60">
        <v>0</v>
      </c>
      <c r="Z837" s="60">
        <v>0</v>
      </c>
      <c r="AA837" s="60">
        <v>0</v>
      </c>
      <c r="AB837" s="60">
        <v>0</v>
      </c>
      <c r="AC837" s="60">
        <v>298.63</v>
      </c>
      <c r="AD837" s="60">
        <v>294.63</v>
      </c>
      <c r="AE837" s="60">
        <v>248.29</v>
      </c>
      <c r="AF837" s="60">
        <v>0</v>
      </c>
      <c r="AG837" s="60">
        <v>0</v>
      </c>
      <c r="AH837" s="60">
        <v>0</v>
      </c>
      <c r="AI837" s="60">
        <v>298.63</v>
      </c>
      <c r="AJ837" s="60">
        <v>294.63</v>
      </c>
      <c r="AK837" s="60">
        <v>248.29</v>
      </c>
      <c r="AL837" s="60">
        <v>0</v>
      </c>
      <c r="AM837" s="60">
        <v>0</v>
      </c>
      <c r="AN837" s="60">
        <v>0</v>
      </c>
      <c r="AO837" s="60">
        <v>298.63</v>
      </c>
      <c r="AP837" s="60">
        <v>294.63</v>
      </c>
      <c r="AQ837" s="60">
        <v>248.29</v>
      </c>
      <c r="AR837" s="61">
        <v>298.63</v>
      </c>
    </row>
    <row r="838" spans="1:44" x14ac:dyDescent="0.35">
      <c r="A838" s="49" t="str">
        <f t="shared" si="72"/>
        <v>19</v>
      </c>
      <c r="B838" s="27">
        <v>75309</v>
      </c>
      <c r="C838" s="25" t="str">
        <f>TEXT(127100,"0000000")</f>
        <v>0127100</v>
      </c>
      <c r="D838" s="27">
        <v>1458</v>
      </c>
      <c r="E838" s="25" t="s">
        <v>1170</v>
      </c>
      <c r="F838" s="25" t="s">
        <v>5</v>
      </c>
      <c r="G838" s="59" t="s">
        <v>1171</v>
      </c>
      <c r="H838" s="60">
        <v>0</v>
      </c>
      <c r="I838" s="60">
        <v>0</v>
      </c>
      <c r="J838" s="60">
        <v>0</v>
      </c>
      <c r="K838" s="60">
        <v>0</v>
      </c>
      <c r="L838" s="60">
        <v>0</v>
      </c>
      <c r="M838" s="60">
        <v>0</v>
      </c>
      <c r="N838" s="60">
        <v>0</v>
      </c>
      <c r="O838" s="60">
        <v>0</v>
      </c>
      <c r="P838" s="60">
        <v>0</v>
      </c>
      <c r="Q838" s="60">
        <v>0</v>
      </c>
      <c r="R838" s="60">
        <v>0</v>
      </c>
      <c r="S838" s="60">
        <v>0</v>
      </c>
      <c r="T838" s="60">
        <v>0</v>
      </c>
      <c r="U838" s="60">
        <v>0</v>
      </c>
      <c r="V838" s="60">
        <v>0</v>
      </c>
      <c r="W838" s="60">
        <v>0</v>
      </c>
      <c r="X838" s="60">
        <v>0</v>
      </c>
      <c r="Y838" s="60">
        <v>0</v>
      </c>
      <c r="Z838" s="60">
        <v>0</v>
      </c>
      <c r="AA838" s="60">
        <v>0</v>
      </c>
      <c r="AB838" s="60">
        <v>0</v>
      </c>
      <c r="AC838" s="60">
        <v>3506.62</v>
      </c>
      <c r="AD838" s="60">
        <v>3344.92</v>
      </c>
      <c r="AE838" s="60">
        <v>3277.19</v>
      </c>
      <c r="AF838" s="60">
        <v>0</v>
      </c>
      <c r="AG838" s="60">
        <v>0</v>
      </c>
      <c r="AH838" s="60">
        <v>0</v>
      </c>
      <c r="AI838" s="60">
        <v>3506.62</v>
      </c>
      <c r="AJ838" s="60">
        <v>3344.92</v>
      </c>
      <c r="AK838" s="60">
        <v>3277.19</v>
      </c>
      <c r="AL838" s="60">
        <v>0</v>
      </c>
      <c r="AM838" s="60">
        <v>0</v>
      </c>
      <c r="AN838" s="60">
        <v>0</v>
      </c>
      <c r="AO838" s="60">
        <v>3506.62</v>
      </c>
      <c r="AP838" s="60">
        <v>3344.92</v>
      </c>
      <c r="AQ838" s="60">
        <v>3277.19</v>
      </c>
      <c r="AR838" s="61">
        <v>3506.62</v>
      </c>
    </row>
    <row r="839" spans="1:44" x14ac:dyDescent="0.35">
      <c r="A839" s="49" t="str">
        <f t="shared" si="72"/>
        <v>19</v>
      </c>
      <c r="B839" s="27">
        <v>75309</v>
      </c>
      <c r="C839" s="25" t="str">
        <f>TEXT(131987,"0000000")</f>
        <v>0131987</v>
      </c>
      <c r="D839" s="27">
        <v>1699</v>
      </c>
      <c r="E839" s="25" t="s">
        <v>1172</v>
      </c>
      <c r="F839" s="25" t="s">
        <v>5</v>
      </c>
      <c r="G839" s="59" t="s">
        <v>1173</v>
      </c>
      <c r="H839" s="60">
        <v>0</v>
      </c>
      <c r="I839" s="60">
        <v>0</v>
      </c>
      <c r="J839" s="60">
        <v>0</v>
      </c>
      <c r="K839" s="60">
        <v>0</v>
      </c>
      <c r="L839" s="60">
        <v>0</v>
      </c>
      <c r="M839" s="60">
        <v>0</v>
      </c>
      <c r="N839" s="60">
        <v>0</v>
      </c>
      <c r="O839" s="60">
        <v>0</v>
      </c>
      <c r="P839" s="60">
        <v>0</v>
      </c>
      <c r="Q839" s="60">
        <v>0</v>
      </c>
      <c r="R839" s="60">
        <v>0</v>
      </c>
      <c r="S839" s="60">
        <v>0</v>
      </c>
      <c r="T839" s="60">
        <v>0</v>
      </c>
      <c r="U839" s="60">
        <v>0</v>
      </c>
      <c r="V839" s="60">
        <v>0</v>
      </c>
      <c r="W839" s="60">
        <v>0</v>
      </c>
      <c r="X839" s="60">
        <v>0</v>
      </c>
      <c r="Y839" s="60">
        <v>0</v>
      </c>
      <c r="Z839" s="60">
        <v>0</v>
      </c>
      <c r="AA839" s="60">
        <v>0</v>
      </c>
      <c r="AB839" s="60">
        <v>0</v>
      </c>
      <c r="AC839" s="60">
        <v>3540.69</v>
      </c>
      <c r="AD839" s="60">
        <v>3504.31</v>
      </c>
      <c r="AE839" s="60">
        <v>3830.06</v>
      </c>
      <c r="AF839" s="60">
        <v>0</v>
      </c>
      <c r="AG839" s="60">
        <v>0</v>
      </c>
      <c r="AH839" s="60">
        <v>0</v>
      </c>
      <c r="AI839" s="60">
        <v>3540.69</v>
      </c>
      <c r="AJ839" s="60">
        <v>3504.31</v>
      </c>
      <c r="AK839" s="60">
        <v>3830.06</v>
      </c>
      <c r="AL839" s="60">
        <v>0</v>
      </c>
      <c r="AM839" s="60">
        <v>0</v>
      </c>
      <c r="AN839" s="60">
        <v>0</v>
      </c>
      <c r="AO839" s="60">
        <v>3540.69</v>
      </c>
      <c r="AP839" s="60">
        <v>3504.31</v>
      </c>
      <c r="AQ839" s="60">
        <v>3830.06</v>
      </c>
      <c r="AR839" s="61">
        <v>3830.06</v>
      </c>
    </row>
    <row r="840" spans="1:44" x14ac:dyDescent="0.35">
      <c r="A840" s="49" t="str">
        <f t="shared" si="72"/>
        <v>19</v>
      </c>
      <c r="B840" s="27">
        <v>75309</v>
      </c>
      <c r="C840" s="25" t="str">
        <f>TEXT(134619,"0000000")</f>
        <v>0134619</v>
      </c>
      <c r="D840" s="27">
        <v>1836</v>
      </c>
      <c r="E840" s="25" t="s">
        <v>1176</v>
      </c>
      <c r="F840" s="25" t="s">
        <v>5</v>
      </c>
      <c r="G840" s="59" t="s">
        <v>1177</v>
      </c>
      <c r="H840" s="60">
        <v>0</v>
      </c>
      <c r="I840" s="60">
        <v>0</v>
      </c>
      <c r="J840" s="60">
        <v>0</v>
      </c>
      <c r="K840" s="60">
        <v>0</v>
      </c>
      <c r="L840" s="60">
        <v>0</v>
      </c>
      <c r="M840" s="60">
        <v>0</v>
      </c>
      <c r="N840" s="60">
        <v>0</v>
      </c>
      <c r="O840" s="60">
        <v>0</v>
      </c>
      <c r="P840" s="60">
        <v>0</v>
      </c>
      <c r="Q840" s="60">
        <v>0</v>
      </c>
      <c r="R840" s="60">
        <v>0</v>
      </c>
      <c r="S840" s="60">
        <v>0</v>
      </c>
      <c r="T840" s="60">
        <v>0</v>
      </c>
      <c r="U840" s="60">
        <v>0</v>
      </c>
      <c r="V840" s="60">
        <v>0</v>
      </c>
      <c r="W840" s="60">
        <v>0</v>
      </c>
      <c r="X840" s="60">
        <v>0</v>
      </c>
      <c r="Y840" s="60">
        <v>0</v>
      </c>
      <c r="Z840" s="60">
        <v>0</v>
      </c>
      <c r="AA840" s="60">
        <v>0</v>
      </c>
      <c r="AB840" s="60">
        <v>0</v>
      </c>
      <c r="AC840" s="60">
        <v>62.5</v>
      </c>
      <c r="AD840" s="60">
        <v>59.73</v>
      </c>
      <c r="AE840" s="60">
        <v>63.21</v>
      </c>
      <c r="AF840" s="60">
        <v>0</v>
      </c>
      <c r="AG840" s="60">
        <v>0</v>
      </c>
      <c r="AH840" s="60">
        <v>0</v>
      </c>
      <c r="AI840" s="60">
        <v>62.5</v>
      </c>
      <c r="AJ840" s="60">
        <v>59.73</v>
      </c>
      <c r="AK840" s="60">
        <v>63.21</v>
      </c>
      <c r="AL840" s="60">
        <v>0</v>
      </c>
      <c r="AM840" s="60">
        <v>0</v>
      </c>
      <c r="AN840" s="60">
        <v>0</v>
      </c>
      <c r="AO840" s="60">
        <v>62.5</v>
      </c>
      <c r="AP840" s="60">
        <v>59.73</v>
      </c>
      <c r="AQ840" s="60">
        <v>63.21</v>
      </c>
      <c r="AR840" s="61">
        <v>63.21</v>
      </c>
    </row>
    <row r="841" spans="1:44" x14ac:dyDescent="0.35">
      <c r="A841" s="49" t="str">
        <f t="shared" si="72"/>
        <v>19</v>
      </c>
      <c r="B841" s="27">
        <v>75309</v>
      </c>
      <c r="C841" s="25" t="str">
        <f>TEXT(135145,"0000000")</f>
        <v>0135145</v>
      </c>
      <c r="D841" s="27">
        <v>1651</v>
      </c>
      <c r="E841" s="25" t="s">
        <v>1178</v>
      </c>
      <c r="F841" s="25" t="s">
        <v>5</v>
      </c>
      <c r="G841" s="59" t="s">
        <v>1179</v>
      </c>
      <c r="H841" s="60">
        <v>0</v>
      </c>
      <c r="I841" s="60">
        <v>0</v>
      </c>
      <c r="J841" s="60">
        <v>0</v>
      </c>
      <c r="K841" s="60">
        <v>0</v>
      </c>
      <c r="L841" s="60">
        <v>0</v>
      </c>
      <c r="M841" s="60">
        <v>0</v>
      </c>
      <c r="N841" s="60">
        <v>0</v>
      </c>
      <c r="O841" s="60">
        <v>0</v>
      </c>
      <c r="P841" s="60">
        <v>0</v>
      </c>
      <c r="Q841" s="60">
        <v>0</v>
      </c>
      <c r="R841" s="60">
        <v>0</v>
      </c>
      <c r="S841" s="60">
        <v>0</v>
      </c>
      <c r="T841" s="60">
        <v>0</v>
      </c>
      <c r="U841" s="60">
        <v>0</v>
      </c>
      <c r="V841" s="60">
        <v>0</v>
      </c>
      <c r="W841" s="60">
        <v>0</v>
      </c>
      <c r="X841" s="60">
        <v>0</v>
      </c>
      <c r="Y841" s="60">
        <v>0</v>
      </c>
      <c r="Z841" s="60">
        <v>0</v>
      </c>
      <c r="AA841" s="60">
        <v>0</v>
      </c>
      <c r="AB841" s="60">
        <v>0</v>
      </c>
      <c r="AC841" s="60">
        <v>947.96</v>
      </c>
      <c r="AD841" s="60">
        <v>845.41</v>
      </c>
      <c r="AE841" s="60">
        <v>878.72</v>
      </c>
      <c r="AF841" s="60">
        <v>0</v>
      </c>
      <c r="AG841" s="60">
        <v>0</v>
      </c>
      <c r="AH841" s="60">
        <v>0</v>
      </c>
      <c r="AI841" s="60">
        <v>947.96</v>
      </c>
      <c r="AJ841" s="60">
        <v>845.41</v>
      </c>
      <c r="AK841" s="60">
        <v>878.72</v>
      </c>
      <c r="AL841" s="60">
        <v>0</v>
      </c>
      <c r="AM841" s="60">
        <v>0</v>
      </c>
      <c r="AN841" s="60">
        <v>0</v>
      </c>
      <c r="AO841" s="60">
        <v>947.96</v>
      </c>
      <c r="AP841" s="60">
        <v>845.41</v>
      </c>
      <c r="AQ841" s="60">
        <v>878.72</v>
      </c>
      <c r="AR841" s="61">
        <v>947.96</v>
      </c>
    </row>
    <row r="842" spans="1:44" x14ac:dyDescent="0.35">
      <c r="A842" s="49" t="str">
        <f>TEXT(1,"00")</f>
        <v>01</v>
      </c>
      <c r="B842" s="27">
        <v>61192</v>
      </c>
      <c r="C842" s="25" t="str">
        <f>TEXT(108670,"0000000")</f>
        <v>0108670</v>
      </c>
      <c r="D842" s="26" t="s">
        <v>58</v>
      </c>
      <c r="E842" s="25" t="s">
        <v>56</v>
      </c>
      <c r="F842" s="25" t="s">
        <v>5</v>
      </c>
      <c r="G842" s="59" t="s">
        <v>57</v>
      </c>
      <c r="H842" s="60">
        <v>0</v>
      </c>
      <c r="I842" s="60">
        <v>0</v>
      </c>
      <c r="J842" s="60">
        <v>0</v>
      </c>
      <c r="K842" s="60">
        <v>0</v>
      </c>
      <c r="L842" s="60">
        <v>0</v>
      </c>
      <c r="M842" s="60">
        <v>0</v>
      </c>
      <c r="N842" s="60">
        <v>0</v>
      </c>
      <c r="O842" s="60">
        <v>0</v>
      </c>
      <c r="P842" s="60">
        <v>0</v>
      </c>
      <c r="Q842" s="60">
        <v>0</v>
      </c>
      <c r="R842" s="60">
        <v>0</v>
      </c>
      <c r="S842" s="60">
        <v>0</v>
      </c>
      <c r="T842" s="60">
        <v>0</v>
      </c>
      <c r="U842" s="60">
        <v>0</v>
      </c>
      <c r="V842" s="60">
        <v>0</v>
      </c>
      <c r="W842" s="60">
        <v>0</v>
      </c>
      <c r="X842" s="60">
        <v>0</v>
      </c>
      <c r="Y842" s="60">
        <v>0</v>
      </c>
      <c r="Z842" s="60">
        <v>0</v>
      </c>
      <c r="AA842" s="60">
        <v>0</v>
      </c>
      <c r="AB842" s="60">
        <v>0</v>
      </c>
      <c r="AC842" s="60">
        <v>521.07000000000005</v>
      </c>
      <c r="AD842" s="60">
        <v>536.17999999999995</v>
      </c>
      <c r="AE842" s="60">
        <v>539.09</v>
      </c>
      <c r="AF842" s="60">
        <v>0</v>
      </c>
      <c r="AG842" s="60">
        <v>0</v>
      </c>
      <c r="AH842" s="60">
        <v>0</v>
      </c>
      <c r="AI842" s="60">
        <v>521.07000000000005</v>
      </c>
      <c r="AJ842" s="60">
        <v>536.17999999999995</v>
      </c>
      <c r="AK842" s="60">
        <v>539.09</v>
      </c>
      <c r="AL842" s="60">
        <v>0</v>
      </c>
      <c r="AM842" s="60">
        <v>0</v>
      </c>
      <c r="AN842" s="60">
        <v>0</v>
      </c>
      <c r="AO842" s="60">
        <v>521.07000000000005</v>
      </c>
      <c r="AP842" s="60">
        <v>536.17999999999995</v>
      </c>
      <c r="AQ842" s="60">
        <v>539.09</v>
      </c>
      <c r="AR842" s="61">
        <v>539.09</v>
      </c>
    </row>
    <row r="843" spans="1:44" x14ac:dyDescent="0.35">
      <c r="A843" s="49" t="str">
        <f t="shared" ref="A843:A851" si="73">TEXT(19,"00")</f>
        <v>19</v>
      </c>
      <c r="B843" s="27">
        <v>75309</v>
      </c>
      <c r="C843" s="25" t="str">
        <f>TEXT(136531,"0000000")</f>
        <v>0136531</v>
      </c>
      <c r="D843" s="27">
        <v>1902</v>
      </c>
      <c r="E843" s="25" t="s">
        <v>1180</v>
      </c>
      <c r="F843" s="25" t="s">
        <v>5</v>
      </c>
      <c r="G843" s="59" t="s">
        <v>1181</v>
      </c>
      <c r="H843" s="60">
        <v>0</v>
      </c>
      <c r="I843" s="60">
        <v>0</v>
      </c>
      <c r="J843" s="60">
        <v>0</v>
      </c>
      <c r="K843" s="60">
        <v>0</v>
      </c>
      <c r="L843" s="60">
        <v>0</v>
      </c>
      <c r="M843" s="60">
        <v>0</v>
      </c>
      <c r="N843" s="60">
        <v>0</v>
      </c>
      <c r="O843" s="60">
        <v>0</v>
      </c>
      <c r="P843" s="60">
        <v>0</v>
      </c>
      <c r="Q843" s="60">
        <v>0</v>
      </c>
      <c r="R843" s="60">
        <v>0</v>
      </c>
      <c r="S843" s="60">
        <v>0</v>
      </c>
      <c r="T843" s="60">
        <v>0</v>
      </c>
      <c r="U843" s="60">
        <v>0</v>
      </c>
      <c r="V843" s="60">
        <v>0</v>
      </c>
      <c r="W843" s="60">
        <v>0</v>
      </c>
      <c r="X843" s="60">
        <v>0</v>
      </c>
      <c r="Y843" s="60">
        <v>0</v>
      </c>
      <c r="Z843" s="60">
        <v>0</v>
      </c>
      <c r="AA843" s="60">
        <v>0</v>
      </c>
      <c r="AB843" s="60">
        <v>0</v>
      </c>
      <c r="AC843" s="60">
        <v>314.49</v>
      </c>
      <c r="AD843" s="60">
        <v>297.52999999999997</v>
      </c>
      <c r="AE843" s="60">
        <v>351.61</v>
      </c>
      <c r="AF843" s="60">
        <v>0</v>
      </c>
      <c r="AG843" s="60">
        <v>0</v>
      </c>
      <c r="AH843" s="60">
        <v>0</v>
      </c>
      <c r="AI843" s="60">
        <v>314.49</v>
      </c>
      <c r="AJ843" s="60">
        <v>297.52999999999997</v>
      </c>
      <c r="AK843" s="60">
        <v>351.61</v>
      </c>
      <c r="AL843" s="60">
        <v>0</v>
      </c>
      <c r="AM843" s="60">
        <v>0</v>
      </c>
      <c r="AN843" s="60">
        <v>0</v>
      </c>
      <c r="AO843" s="60">
        <v>314.49</v>
      </c>
      <c r="AP843" s="60">
        <v>297.52999999999997</v>
      </c>
      <c r="AQ843" s="60">
        <v>351.61</v>
      </c>
      <c r="AR843" s="61">
        <v>351.61</v>
      </c>
    </row>
    <row r="844" spans="1:44" x14ac:dyDescent="0.35">
      <c r="A844" s="49" t="str">
        <f t="shared" si="73"/>
        <v>19</v>
      </c>
      <c r="B844" s="27">
        <v>75309</v>
      </c>
      <c r="C844" s="25" t="str">
        <f>TEXT(137703,"0000000")</f>
        <v>0137703</v>
      </c>
      <c r="D844" s="27">
        <v>1697</v>
      </c>
      <c r="E844" s="25" t="s">
        <v>1184</v>
      </c>
      <c r="F844" s="25" t="s">
        <v>5</v>
      </c>
      <c r="G844" s="59" t="s">
        <v>1185</v>
      </c>
      <c r="H844" s="60">
        <v>0</v>
      </c>
      <c r="I844" s="60">
        <v>0</v>
      </c>
      <c r="J844" s="60">
        <v>0</v>
      </c>
      <c r="K844" s="60">
        <v>0</v>
      </c>
      <c r="L844" s="60">
        <v>0</v>
      </c>
      <c r="M844" s="60">
        <v>0</v>
      </c>
      <c r="N844" s="60">
        <v>0</v>
      </c>
      <c r="O844" s="60">
        <v>0</v>
      </c>
      <c r="P844" s="60">
        <v>0</v>
      </c>
      <c r="Q844" s="60">
        <v>0</v>
      </c>
      <c r="R844" s="60">
        <v>0</v>
      </c>
      <c r="S844" s="60">
        <v>0</v>
      </c>
      <c r="T844" s="60">
        <v>0</v>
      </c>
      <c r="U844" s="60">
        <v>0</v>
      </c>
      <c r="V844" s="60">
        <v>0</v>
      </c>
      <c r="W844" s="60">
        <v>0</v>
      </c>
      <c r="X844" s="60">
        <v>0</v>
      </c>
      <c r="Y844" s="60">
        <v>0</v>
      </c>
      <c r="Z844" s="60">
        <v>0</v>
      </c>
      <c r="AA844" s="60">
        <v>0</v>
      </c>
      <c r="AB844" s="60">
        <v>0</v>
      </c>
      <c r="AC844" s="60">
        <v>567.29999999999995</v>
      </c>
      <c r="AD844" s="60">
        <v>457.24</v>
      </c>
      <c r="AE844" s="60">
        <v>0</v>
      </c>
      <c r="AF844" s="60">
        <v>0</v>
      </c>
      <c r="AG844" s="60">
        <v>0</v>
      </c>
      <c r="AH844" s="60">
        <v>0</v>
      </c>
      <c r="AI844" s="60">
        <v>567.29999999999995</v>
      </c>
      <c r="AJ844" s="60">
        <v>457.24</v>
      </c>
      <c r="AK844" s="60">
        <v>0</v>
      </c>
      <c r="AL844" s="60">
        <v>0</v>
      </c>
      <c r="AM844" s="60">
        <v>0</v>
      </c>
      <c r="AN844" s="60">
        <v>198.37</v>
      </c>
      <c r="AO844" s="60">
        <v>567.29999999999995</v>
      </c>
      <c r="AP844" s="60">
        <v>457.24</v>
      </c>
      <c r="AQ844" s="60">
        <v>198.37</v>
      </c>
      <c r="AR844" s="61">
        <v>567.29999999999995</v>
      </c>
    </row>
    <row r="845" spans="1:44" x14ac:dyDescent="0.35">
      <c r="A845" s="49" t="str">
        <f t="shared" si="73"/>
        <v>19</v>
      </c>
      <c r="B845" s="27">
        <v>75309</v>
      </c>
      <c r="C845" s="25" t="str">
        <f>TEXT(137786,"0000000")</f>
        <v>0137786</v>
      </c>
      <c r="D845" s="27">
        <v>1972</v>
      </c>
      <c r="E845" s="25" t="s">
        <v>1186</v>
      </c>
      <c r="F845" s="25" t="s">
        <v>5</v>
      </c>
      <c r="G845" s="59" t="s">
        <v>1187</v>
      </c>
      <c r="H845" s="60">
        <v>0</v>
      </c>
      <c r="I845" s="60">
        <v>0</v>
      </c>
      <c r="J845" s="60">
        <v>0</v>
      </c>
      <c r="K845" s="60">
        <v>0</v>
      </c>
      <c r="L845" s="60">
        <v>0</v>
      </c>
      <c r="M845" s="60">
        <v>0</v>
      </c>
      <c r="N845" s="60">
        <v>0</v>
      </c>
      <c r="O845" s="60">
        <v>0</v>
      </c>
      <c r="P845" s="60">
        <v>0</v>
      </c>
      <c r="Q845" s="60">
        <v>0</v>
      </c>
      <c r="R845" s="60">
        <v>0</v>
      </c>
      <c r="S845" s="60">
        <v>0</v>
      </c>
      <c r="T845" s="60">
        <v>0</v>
      </c>
      <c r="U845" s="60">
        <v>0</v>
      </c>
      <c r="V845" s="60">
        <v>0</v>
      </c>
      <c r="W845" s="60">
        <v>0</v>
      </c>
      <c r="X845" s="60">
        <v>0</v>
      </c>
      <c r="Y845" s="60">
        <v>0</v>
      </c>
      <c r="Z845" s="60">
        <v>0</v>
      </c>
      <c r="AA845" s="60">
        <v>0</v>
      </c>
      <c r="AB845" s="60">
        <v>0</v>
      </c>
      <c r="AC845" s="60">
        <v>1541.16</v>
      </c>
      <c r="AD845" s="60">
        <v>1107.1500000000001</v>
      </c>
      <c r="AE845" s="60">
        <v>522.97</v>
      </c>
      <c r="AF845" s="60">
        <v>0</v>
      </c>
      <c r="AG845" s="60">
        <v>0</v>
      </c>
      <c r="AH845" s="60">
        <v>0</v>
      </c>
      <c r="AI845" s="60">
        <v>1541.16</v>
      </c>
      <c r="AJ845" s="60">
        <v>1107.1500000000001</v>
      </c>
      <c r="AK845" s="60">
        <v>522.97</v>
      </c>
      <c r="AL845" s="60">
        <v>0</v>
      </c>
      <c r="AM845" s="60">
        <v>0</v>
      </c>
      <c r="AN845" s="60">
        <v>0</v>
      </c>
      <c r="AO845" s="60">
        <v>1541.16</v>
      </c>
      <c r="AP845" s="60">
        <v>1107.1500000000001</v>
      </c>
      <c r="AQ845" s="60">
        <v>522.97</v>
      </c>
      <c r="AR845" s="61">
        <v>1541.16</v>
      </c>
    </row>
    <row r="846" spans="1:44" x14ac:dyDescent="0.35">
      <c r="A846" s="49" t="str">
        <f t="shared" si="73"/>
        <v>19</v>
      </c>
      <c r="B846" s="27">
        <v>75309</v>
      </c>
      <c r="C846" s="25" t="str">
        <f>TEXT(138297,"0000000")</f>
        <v>0138297</v>
      </c>
      <c r="D846" s="27">
        <v>2003</v>
      </c>
      <c r="E846" s="25" t="s">
        <v>1188</v>
      </c>
      <c r="F846" s="25" t="s">
        <v>5</v>
      </c>
      <c r="G846" s="59" t="s">
        <v>1189</v>
      </c>
      <c r="H846" s="60">
        <v>0</v>
      </c>
      <c r="I846" s="60">
        <v>0</v>
      </c>
      <c r="J846" s="60">
        <v>0</v>
      </c>
      <c r="K846" s="60">
        <v>0</v>
      </c>
      <c r="L846" s="60">
        <v>0</v>
      </c>
      <c r="M846" s="60">
        <v>0</v>
      </c>
      <c r="N846" s="60">
        <v>0</v>
      </c>
      <c r="O846" s="60">
        <v>0</v>
      </c>
      <c r="P846" s="60">
        <v>0</v>
      </c>
      <c r="Q846" s="60">
        <v>0</v>
      </c>
      <c r="R846" s="60">
        <v>0</v>
      </c>
      <c r="S846" s="60">
        <v>0</v>
      </c>
      <c r="T846" s="60">
        <v>0</v>
      </c>
      <c r="U846" s="60">
        <v>0</v>
      </c>
      <c r="V846" s="60">
        <v>0</v>
      </c>
      <c r="W846" s="60">
        <v>0</v>
      </c>
      <c r="X846" s="60">
        <v>0</v>
      </c>
      <c r="Y846" s="60">
        <v>0</v>
      </c>
      <c r="Z846" s="60">
        <v>0</v>
      </c>
      <c r="AA846" s="60">
        <v>0</v>
      </c>
      <c r="AB846" s="60">
        <v>0</v>
      </c>
      <c r="AC846" s="60">
        <v>311.07</v>
      </c>
      <c r="AD846" s="60">
        <v>279.47000000000003</v>
      </c>
      <c r="AE846" s="60">
        <v>293.12</v>
      </c>
      <c r="AF846" s="60">
        <v>0</v>
      </c>
      <c r="AG846" s="60">
        <v>0</v>
      </c>
      <c r="AH846" s="60">
        <v>0</v>
      </c>
      <c r="AI846" s="60">
        <v>311.07</v>
      </c>
      <c r="AJ846" s="60">
        <v>279.47000000000003</v>
      </c>
      <c r="AK846" s="60">
        <v>293.12</v>
      </c>
      <c r="AL846" s="60">
        <v>0</v>
      </c>
      <c r="AM846" s="60">
        <v>0</v>
      </c>
      <c r="AN846" s="60">
        <v>0</v>
      </c>
      <c r="AO846" s="60">
        <v>311.07</v>
      </c>
      <c r="AP846" s="60">
        <v>279.47000000000003</v>
      </c>
      <c r="AQ846" s="60">
        <v>293.12</v>
      </c>
      <c r="AR846" s="61">
        <v>311.07</v>
      </c>
    </row>
    <row r="847" spans="1:44" x14ac:dyDescent="0.35">
      <c r="A847" s="49" t="str">
        <f t="shared" si="73"/>
        <v>19</v>
      </c>
      <c r="B847" s="27">
        <v>75663</v>
      </c>
      <c r="C847" s="25" t="str">
        <f>TEXT(6120158,"0000000")</f>
        <v>6120158</v>
      </c>
      <c r="D847" s="26" t="s">
        <v>1196</v>
      </c>
      <c r="E847" s="25" t="s">
        <v>1194</v>
      </c>
      <c r="F847" s="25" t="s">
        <v>5</v>
      </c>
      <c r="G847" s="59" t="s">
        <v>1195</v>
      </c>
      <c r="H847" s="60">
        <v>0</v>
      </c>
      <c r="I847" s="60">
        <v>0</v>
      </c>
      <c r="J847" s="60">
        <v>0</v>
      </c>
      <c r="K847" s="60">
        <v>0</v>
      </c>
      <c r="L847" s="60">
        <v>0</v>
      </c>
      <c r="M847" s="60">
        <v>0</v>
      </c>
      <c r="N847" s="60">
        <v>0</v>
      </c>
      <c r="O847" s="60">
        <v>0</v>
      </c>
      <c r="P847" s="60">
        <v>0</v>
      </c>
      <c r="Q847" s="60">
        <v>0</v>
      </c>
      <c r="R847" s="60">
        <v>0</v>
      </c>
      <c r="S847" s="60">
        <v>0</v>
      </c>
      <c r="T847" s="60">
        <v>0</v>
      </c>
      <c r="U847" s="60">
        <v>0</v>
      </c>
      <c r="V847" s="60">
        <v>0</v>
      </c>
      <c r="W847" s="60">
        <v>0</v>
      </c>
      <c r="X847" s="60">
        <v>0</v>
      </c>
      <c r="Y847" s="60">
        <v>0</v>
      </c>
      <c r="Z847" s="60">
        <v>0</v>
      </c>
      <c r="AA847" s="60">
        <v>0</v>
      </c>
      <c r="AB847" s="60">
        <v>0</v>
      </c>
      <c r="AC847" s="60">
        <v>938.23</v>
      </c>
      <c r="AD847" s="60">
        <v>938.88</v>
      </c>
      <c r="AE847" s="60">
        <v>983.8</v>
      </c>
      <c r="AF847" s="60">
        <v>0</v>
      </c>
      <c r="AG847" s="60">
        <v>0</v>
      </c>
      <c r="AH847" s="60">
        <v>0</v>
      </c>
      <c r="AI847" s="60">
        <v>938.23</v>
      </c>
      <c r="AJ847" s="60">
        <v>938.88</v>
      </c>
      <c r="AK847" s="60">
        <v>983.8</v>
      </c>
      <c r="AL847" s="60">
        <v>0</v>
      </c>
      <c r="AM847" s="60">
        <v>0</v>
      </c>
      <c r="AN847" s="60">
        <v>0</v>
      </c>
      <c r="AO847" s="60">
        <v>938.23</v>
      </c>
      <c r="AP847" s="60">
        <v>938.88</v>
      </c>
      <c r="AQ847" s="60">
        <v>983.8</v>
      </c>
      <c r="AR847" s="61">
        <v>983.8</v>
      </c>
    </row>
    <row r="848" spans="1:44" x14ac:dyDescent="0.35">
      <c r="A848" s="49" t="str">
        <f t="shared" si="73"/>
        <v>19</v>
      </c>
      <c r="B848" s="27">
        <v>76869</v>
      </c>
      <c r="C848" s="25" t="str">
        <f>TEXT(119016,"0000000")</f>
        <v>0119016</v>
      </c>
      <c r="D848" s="27">
        <v>1060</v>
      </c>
      <c r="E848" s="25" t="s">
        <v>1199</v>
      </c>
      <c r="F848" s="25" t="s">
        <v>5</v>
      </c>
      <c r="G848" s="59" t="s">
        <v>1200</v>
      </c>
      <c r="H848" s="60">
        <v>0</v>
      </c>
      <c r="I848" s="60">
        <v>0</v>
      </c>
      <c r="J848" s="60">
        <v>0</v>
      </c>
      <c r="K848" s="60">
        <v>0</v>
      </c>
      <c r="L848" s="60">
        <v>0</v>
      </c>
      <c r="M848" s="60">
        <v>0</v>
      </c>
      <c r="N848" s="60">
        <v>0</v>
      </c>
      <c r="O848" s="60">
        <v>0</v>
      </c>
      <c r="P848" s="60">
        <v>0</v>
      </c>
      <c r="Q848" s="60">
        <v>0</v>
      </c>
      <c r="R848" s="60">
        <v>0</v>
      </c>
      <c r="S848" s="60">
        <v>0</v>
      </c>
      <c r="T848" s="60">
        <v>0</v>
      </c>
      <c r="U848" s="60">
        <v>0</v>
      </c>
      <c r="V848" s="60">
        <v>0</v>
      </c>
      <c r="W848" s="60">
        <v>0</v>
      </c>
      <c r="X848" s="60">
        <v>0</v>
      </c>
      <c r="Y848" s="60">
        <v>0</v>
      </c>
      <c r="Z848" s="60">
        <v>0</v>
      </c>
      <c r="AA848" s="60">
        <v>0</v>
      </c>
      <c r="AB848" s="60">
        <v>0</v>
      </c>
      <c r="AC848" s="60">
        <v>515.95000000000005</v>
      </c>
      <c r="AD848" s="60">
        <v>521.65</v>
      </c>
      <c r="AE848" s="60">
        <v>534.59</v>
      </c>
      <c r="AF848" s="60">
        <v>0</v>
      </c>
      <c r="AG848" s="60">
        <v>0</v>
      </c>
      <c r="AH848" s="60">
        <v>0</v>
      </c>
      <c r="AI848" s="60">
        <v>515.95000000000005</v>
      </c>
      <c r="AJ848" s="60">
        <v>521.65</v>
      </c>
      <c r="AK848" s="60">
        <v>534.59</v>
      </c>
      <c r="AL848" s="60">
        <v>0</v>
      </c>
      <c r="AM848" s="60">
        <v>0</v>
      </c>
      <c r="AN848" s="60">
        <v>0</v>
      </c>
      <c r="AO848" s="60">
        <v>515.95000000000005</v>
      </c>
      <c r="AP848" s="60">
        <v>521.65</v>
      </c>
      <c r="AQ848" s="60">
        <v>534.59</v>
      </c>
      <c r="AR848" s="61">
        <v>534.59</v>
      </c>
    </row>
    <row r="849" spans="1:44" x14ac:dyDescent="0.35">
      <c r="A849" s="49" t="str">
        <f t="shared" si="73"/>
        <v>19</v>
      </c>
      <c r="B849" s="27">
        <v>76869</v>
      </c>
      <c r="C849" s="25" t="str">
        <f>TEXT(119636,"0000000")</f>
        <v>0119636</v>
      </c>
      <c r="D849" s="27">
        <v>1081</v>
      </c>
      <c r="E849" s="25" t="s">
        <v>1201</v>
      </c>
      <c r="F849" s="25" t="s">
        <v>5</v>
      </c>
      <c r="G849" s="59" t="s">
        <v>1202</v>
      </c>
      <c r="H849" s="60">
        <v>0</v>
      </c>
      <c r="I849" s="60">
        <v>0</v>
      </c>
      <c r="J849" s="60">
        <v>0</v>
      </c>
      <c r="K849" s="60">
        <v>0</v>
      </c>
      <c r="L849" s="60">
        <v>0</v>
      </c>
      <c r="M849" s="60">
        <v>0</v>
      </c>
      <c r="N849" s="60">
        <v>0</v>
      </c>
      <c r="O849" s="60">
        <v>0</v>
      </c>
      <c r="P849" s="60">
        <v>0</v>
      </c>
      <c r="Q849" s="60">
        <v>0</v>
      </c>
      <c r="R849" s="60">
        <v>0</v>
      </c>
      <c r="S849" s="60">
        <v>0</v>
      </c>
      <c r="T849" s="60">
        <v>0</v>
      </c>
      <c r="U849" s="60">
        <v>0</v>
      </c>
      <c r="V849" s="60">
        <v>0</v>
      </c>
      <c r="W849" s="60">
        <v>0</v>
      </c>
      <c r="X849" s="60">
        <v>0</v>
      </c>
      <c r="Y849" s="60">
        <v>0</v>
      </c>
      <c r="Z849" s="60">
        <v>0</v>
      </c>
      <c r="AA849" s="60">
        <v>0</v>
      </c>
      <c r="AB849" s="60">
        <v>0</v>
      </c>
      <c r="AC849" s="60">
        <v>486.29</v>
      </c>
      <c r="AD849" s="60">
        <v>500.79</v>
      </c>
      <c r="AE849" s="60">
        <v>505.95</v>
      </c>
      <c r="AF849" s="60">
        <v>0</v>
      </c>
      <c r="AG849" s="60">
        <v>0</v>
      </c>
      <c r="AH849" s="60">
        <v>0</v>
      </c>
      <c r="AI849" s="60">
        <v>486.29</v>
      </c>
      <c r="AJ849" s="60">
        <v>500.79</v>
      </c>
      <c r="AK849" s="60">
        <v>505.95</v>
      </c>
      <c r="AL849" s="60">
        <v>0</v>
      </c>
      <c r="AM849" s="60">
        <v>0</v>
      </c>
      <c r="AN849" s="60">
        <v>0</v>
      </c>
      <c r="AO849" s="60">
        <v>486.29</v>
      </c>
      <c r="AP849" s="60">
        <v>500.79</v>
      </c>
      <c r="AQ849" s="60">
        <v>505.95</v>
      </c>
      <c r="AR849" s="61">
        <v>505.95</v>
      </c>
    </row>
    <row r="850" spans="1:44" x14ac:dyDescent="0.35">
      <c r="A850" s="49" t="str">
        <f t="shared" si="73"/>
        <v>19</v>
      </c>
      <c r="B850" s="27">
        <v>76869</v>
      </c>
      <c r="C850" s="25" t="str">
        <f>TEXT(128728,"0000000")</f>
        <v>0128728</v>
      </c>
      <c r="D850" s="27">
        <v>1597</v>
      </c>
      <c r="E850" s="25" t="s">
        <v>1203</v>
      </c>
      <c r="F850" s="25" t="s">
        <v>5</v>
      </c>
      <c r="G850" s="59" t="s">
        <v>1204</v>
      </c>
      <c r="H850" s="60">
        <v>0</v>
      </c>
      <c r="I850" s="60">
        <v>0</v>
      </c>
      <c r="J850" s="60">
        <v>0</v>
      </c>
      <c r="K850" s="60">
        <v>0</v>
      </c>
      <c r="L850" s="60">
        <v>0</v>
      </c>
      <c r="M850" s="60">
        <v>0</v>
      </c>
      <c r="N850" s="60">
        <v>0</v>
      </c>
      <c r="O850" s="60">
        <v>0</v>
      </c>
      <c r="P850" s="60">
        <v>0</v>
      </c>
      <c r="Q850" s="60">
        <v>0</v>
      </c>
      <c r="R850" s="60">
        <v>0</v>
      </c>
      <c r="S850" s="60">
        <v>0</v>
      </c>
      <c r="T850" s="60">
        <v>0</v>
      </c>
      <c r="U850" s="60">
        <v>0</v>
      </c>
      <c r="V850" s="60">
        <v>0</v>
      </c>
      <c r="W850" s="60">
        <v>0</v>
      </c>
      <c r="X850" s="60">
        <v>0</v>
      </c>
      <c r="Y850" s="60">
        <v>0</v>
      </c>
      <c r="Z850" s="60">
        <v>0</v>
      </c>
      <c r="AA850" s="60">
        <v>0</v>
      </c>
      <c r="AB850" s="60">
        <v>0</v>
      </c>
      <c r="AC850" s="60">
        <v>852.23</v>
      </c>
      <c r="AD850" s="60">
        <v>774.42</v>
      </c>
      <c r="AE850" s="60">
        <v>635.97</v>
      </c>
      <c r="AF850" s="60">
        <v>0</v>
      </c>
      <c r="AG850" s="60">
        <v>0</v>
      </c>
      <c r="AH850" s="60">
        <v>0</v>
      </c>
      <c r="AI850" s="60">
        <v>852.23</v>
      </c>
      <c r="AJ850" s="60">
        <v>774.42</v>
      </c>
      <c r="AK850" s="60">
        <v>635.97</v>
      </c>
      <c r="AL850" s="60">
        <v>0</v>
      </c>
      <c r="AM850" s="60">
        <v>0</v>
      </c>
      <c r="AN850" s="60">
        <v>0</v>
      </c>
      <c r="AO850" s="60">
        <v>852.23</v>
      </c>
      <c r="AP850" s="60">
        <v>774.42</v>
      </c>
      <c r="AQ850" s="60">
        <v>635.97</v>
      </c>
      <c r="AR850" s="61">
        <v>852.23</v>
      </c>
    </row>
    <row r="851" spans="1:44" x14ac:dyDescent="0.35">
      <c r="A851" s="49" t="str">
        <f t="shared" si="73"/>
        <v>19</v>
      </c>
      <c r="B851" s="27">
        <v>76869</v>
      </c>
      <c r="C851" s="25" t="str">
        <f>TEXT(131128,"0000000")</f>
        <v>0131128</v>
      </c>
      <c r="D851" s="27">
        <v>1689</v>
      </c>
      <c r="E851" s="25" t="s">
        <v>1205</v>
      </c>
      <c r="F851" s="25" t="s">
        <v>5</v>
      </c>
      <c r="G851" s="59" t="s">
        <v>1206</v>
      </c>
      <c r="H851" s="60">
        <v>0</v>
      </c>
      <c r="I851" s="60">
        <v>0</v>
      </c>
      <c r="J851" s="60">
        <v>0</v>
      </c>
      <c r="K851" s="60">
        <v>0</v>
      </c>
      <c r="L851" s="60">
        <v>0</v>
      </c>
      <c r="M851" s="60">
        <v>0</v>
      </c>
      <c r="N851" s="60">
        <v>0</v>
      </c>
      <c r="O851" s="60">
        <v>0</v>
      </c>
      <c r="P851" s="60">
        <v>0</v>
      </c>
      <c r="Q851" s="60">
        <v>0</v>
      </c>
      <c r="R851" s="60">
        <v>0</v>
      </c>
      <c r="S851" s="60">
        <v>0</v>
      </c>
      <c r="T851" s="60">
        <v>0</v>
      </c>
      <c r="U851" s="60">
        <v>0</v>
      </c>
      <c r="V851" s="60">
        <v>0</v>
      </c>
      <c r="W851" s="60">
        <v>0</v>
      </c>
      <c r="X851" s="60">
        <v>0</v>
      </c>
      <c r="Y851" s="60">
        <v>0</v>
      </c>
      <c r="Z851" s="60">
        <v>0</v>
      </c>
      <c r="AA851" s="60">
        <v>0</v>
      </c>
      <c r="AB851" s="60">
        <v>0</v>
      </c>
      <c r="AC851" s="60">
        <v>493.76</v>
      </c>
      <c r="AD851" s="60">
        <v>497.11</v>
      </c>
      <c r="AE851" s="60">
        <v>480.11</v>
      </c>
      <c r="AF851" s="60">
        <v>0</v>
      </c>
      <c r="AG851" s="60">
        <v>0</v>
      </c>
      <c r="AH851" s="60">
        <v>0</v>
      </c>
      <c r="AI851" s="60">
        <v>493.76</v>
      </c>
      <c r="AJ851" s="60">
        <v>497.11</v>
      </c>
      <c r="AK851" s="60">
        <v>480.11</v>
      </c>
      <c r="AL851" s="60">
        <v>0</v>
      </c>
      <c r="AM851" s="60">
        <v>0</v>
      </c>
      <c r="AN851" s="60">
        <v>0</v>
      </c>
      <c r="AO851" s="60">
        <v>493.76</v>
      </c>
      <c r="AP851" s="60">
        <v>497.11</v>
      </c>
      <c r="AQ851" s="60">
        <v>480.11</v>
      </c>
      <c r="AR851" s="61">
        <v>497.11</v>
      </c>
    </row>
    <row r="852" spans="1:44" x14ac:dyDescent="0.35">
      <c r="A852" s="49" t="str">
        <f>TEXT(21,"00")</f>
        <v>21</v>
      </c>
      <c r="B852" s="27">
        <v>10215</v>
      </c>
      <c r="C852" s="25" t="str">
        <f>TEXT(135350,"0000000")</f>
        <v>0135350</v>
      </c>
      <c r="D852" s="27">
        <v>1790</v>
      </c>
      <c r="E852" s="25" t="s">
        <v>1251</v>
      </c>
      <c r="F852" s="25" t="s">
        <v>5</v>
      </c>
      <c r="G852" s="59" t="s">
        <v>1252</v>
      </c>
      <c r="H852" s="60">
        <v>0</v>
      </c>
      <c r="I852" s="60">
        <v>0</v>
      </c>
      <c r="J852" s="60">
        <v>0</v>
      </c>
      <c r="K852" s="60">
        <v>0</v>
      </c>
      <c r="L852" s="60">
        <v>0</v>
      </c>
      <c r="M852" s="60">
        <v>0</v>
      </c>
      <c r="N852" s="60">
        <v>0</v>
      </c>
      <c r="O852" s="60">
        <v>0</v>
      </c>
      <c r="P852" s="60">
        <v>0</v>
      </c>
      <c r="Q852" s="60">
        <v>0</v>
      </c>
      <c r="R852" s="60">
        <v>0</v>
      </c>
      <c r="S852" s="60">
        <v>0</v>
      </c>
      <c r="T852" s="60">
        <v>0</v>
      </c>
      <c r="U852" s="60">
        <v>0</v>
      </c>
      <c r="V852" s="60">
        <v>0</v>
      </c>
      <c r="W852" s="60">
        <v>0</v>
      </c>
      <c r="X852" s="60">
        <v>0</v>
      </c>
      <c r="Y852" s="60">
        <v>0</v>
      </c>
      <c r="Z852" s="60">
        <v>0</v>
      </c>
      <c r="AA852" s="60">
        <v>0</v>
      </c>
      <c r="AB852" s="60">
        <v>0</v>
      </c>
      <c r="AC852" s="60">
        <v>179.36</v>
      </c>
      <c r="AD852" s="60">
        <v>191.87</v>
      </c>
      <c r="AE852" s="60">
        <v>193.14</v>
      </c>
      <c r="AF852" s="60">
        <v>0</v>
      </c>
      <c r="AG852" s="60">
        <v>0</v>
      </c>
      <c r="AH852" s="60">
        <v>0</v>
      </c>
      <c r="AI852" s="60">
        <v>179.36</v>
      </c>
      <c r="AJ852" s="60">
        <v>191.87</v>
      </c>
      <c r="AK852" s="60">
        <v>193.14</v>
      </c>
      <c r="AL852" s="60">
        <v>0</v>
      </c>
      <c r="AM852" s="60">
        <v>0</v>
      </c>
      <c r="AN852" s="60">
        <v>0</v>
      </c>
      <c r="AO852" s="60">
        <v>179.36</v>
      </c>
      <c r="AP852" s="60">
        <v>191.87</v>
      </c>
      <c r="AQ852" s="60">
        <v>193.14</v>
      </c>
      <c r="AR852" s="61">
        <v>193.14</v>
      </c>
    </row>
    <row r="853" spans="1:44" x14ac:dyDescent="0.35">
      <c r="A853" s="49" t="str">
        <f>TEXT(1,"00")</f>
        <v>01</v>
      </c>
      <c r="B853" s="27">
        <v>61192</v>
      </c>
      <c r="C853" s="25" t="str">
        <f>TEXT(127696,"0000000")</f>
        <v>0127696</v>
      </c>
      <c r="D853" s="27">
        <v>1514</v>
      </c>
      <c r="E853" s="25" t="s">
        <v>59</v>
      </c>
      <c r="F853" s="25" t="s">
        <v>5</v>
      </c>
      <c r="G853" s="59" t="s">
        <v>60</v>
      </c>
      <c r="H853" s="60">
        <v>0</v>
      </c>
      <c r="I853" s="60">
        <v>0</v>
      </c>
      <c r="J853" s="60">
        <v>0</v>
      </c>
      <c r="K853" s="60">
        <v>0</v>
      </c>
      <c r="L853" s="60">
        <v>0</v>
      </c>
      <c r="M853" s="60">
        <v>0</v>
      </c>
      <c r="N853" s="60">
        <v>0</v>
      </c>
      <c r="O853" s="60">
        <v>0</v>
      </c>
      <c r="P853" s="60">
        <v>0</v>
      </c>
      <c r="Q853" s="60">
        <v>0</v>
      </c>
      <c r="R853" s="60">
        <v>0</v>
      </c>
      <c r="S853" s="60">
        <v>0</v>
      </c>
      <c r="T853" s="60">
        <v>0</v>
      </c>
      <c r="U853" s="60">
        <v>0</v>
      </c>
      <c r="V853" s="60">
        <v>0</v>
      </c>
      <c r="W853" s="60">
        <v>0</v>
      </c>
      <c r="X853" s="60">
        <v>0</v>
      </c>
      <c r="Y853" s="60">
        <v>0</v>
      </c>
      <c r="Z853" s="60">
        <v>0</v>
      </c>
      <c r="AA853" s="60">
        <v>0</v>
      </c>
      <c r="AB853" s="60">
        <v>0</v>
      </c>
      <c r="AC853" s="60">
        <v>577.86</v>
      </c>
      <c r="AD853" s="60">
        <v>557.73</v>
      </c>
      <c r="AE853" s="60">
        <v>540</v>
      </c>
      <c r="AF853" s="60">
        <v>0</v>
      </c>
      <c r="AG853" s="60">
        <v>0</v>
      </c>
      <c r="AH853" s="60">
        <v>0</v>
      </c>
      <c r="AI853" s="60">
        <v>577.86</v>
      </c>
      <c r="AJ853" s="60">
        <v>557.73</v>
      </c>
      <c r="AK853" s="60">
        <v>540</v>
      </c>
      <c r="AL853" s="60">
        <v>0</v>
      </c>
      <c r="AM853" s="60">
        <v>0</v>
      </c>
      <c r="AN853" s="60">
        <v>0</v>
      </c>
      <c r="AO853" s="60">
        <v>577.86</v>
      </c>
      <c r="AP853" s="60">
        <v>557.73</v>
      </c>
      <c r="AQ853" s="60">
        <v>540</v>
      </c>
      <c r="AR853" s="61">
        <v>577.86</v>
      </c>
    </row>
    <row r="854" spans="1:44" x14ac:dyDescent="0.35">
      <c r="A854" s="49" t="str">
        <f>TEXT(21,"00")</f>
        <v>21</v>
      </c>
      <c r="B854" s="27">
        <v>65417</v>
      </c>
      <c r="C854" s="25" t="str">
        <f>TEXT(6113229,"0000000")</f>
        <v>6113229</v>
      </c>
      <c r="D854" s="26" t="s">
        <v>1273</v>
      </c>
      <c r="E854" s="25" t="s">
        <v>1271</v>
      </c>
      <c r="F854" s="25" t="s">
        <v>5</v>
      </c>
      <c r="G854" s="59" t="s">
        <v>1272</v>
      </c>
      <c r="H854" s="60">
        <v>0</v>
      </c>
      <c r="I854" s="60">
        <v>0</v>
      </c>
      <c r="J854" s="60">
        <v>0</v>
      </c>
      <c r="K854" s="60">
        <v>0</v>
      </c>
      <c r="L854" s="60">
        <v>0</v>
      </c>
      <c r="M854" s="60">
        <v>0</v>
      </c>
      <c r="N854" s="60">
        <v>0</v>
      </c>
      <c r="O854" s="60">
        <v>0</v>
      </c>
      <c r="P854" s="60">
        <v>0</v>
      </c>
      <c r="Q854" s="60">
        <v>0</v>
      </c>
      <c r="R854" s="60">
        <v>0</v>
      </c>
      <c r="S854" s="60">
        <v>0</v>
      </c>
      <c r="T854" s="60">
        <v>0</v>
      </c>
      <c r="U854" s="60">
        <v>0</v>
      </c>
      <c r="V854" s="60">
        <v>0</v>
      </c>
      <c r="W854" s="60">
        <v>0</v>
      </c>
      <c r="X854" s="60">
        <v>0</v>
      </c>
      <c r="Y854" s="60">
        <v>0</v>
      </c>
      <c r="Z854" s="60">
        <v>0</v>
      </c>
      <c r="AA854" s="60">
        <v>0</v>
      </c>
      <c r="AB854" s="60">
        <v>0</v>
      </c>
      <c r="AC854" s="60">
        <v>258.52999999999997</v>
      </c>
      <c r="AD854" s="60">
        <v>256.94</v>
      </c>
      <c r="AE854" s="60">
        <v>259.07</v>
      </c>
      <c r="AF854" s="60">
        <v>0</v>
      </c>
      <c r="AG854" s="60">
        <v>0</v>
      </c>
      <c r="AH854" s="60">
        <v>0</v>
      </c>
      <c r="AI854" s="60">
        <v>258.52999999999997</v>
      </c>
      <c r="AJ854" s="60">
        <v>256.94</v>
      </c>
      <c r="AK854" s="60">
        <v>259.07</v>
      </c>
      <c r="AL854" s="60">
        <v>0</v>
      </c>
      <c r="AM854" s="60">
        <v>0</v>
      </c>
      <c r="AN854" s="60">
        <v>0</v>
      </c>
      <c r="AO854" s="60">
        <v>258.52999999999997</v>
      </c>
      <c r="AP854" s="60">
        <v>256.94</v>
      </c>
      <c r="AQ854" s="60">
        <v>259.07</v>
      </c>
      <c r="AR854" s="61">
        <v>259.07</v>
      </c>
    </row>
    <row r="855" spans="1:44" x14ac:dyDescent="0.35">
      <c r="A855" s="49" t="str">
        <f>TEXT(27,"00")</f>
        <v>27</v>
      </c>
      <c r="B855" s="27">
        <v>66092</v>
      </c>
      <c r="C855" s="25" t="str">
        <f>TEXT(6118962,"0000000")</f>
        <v>6118962</v>
      </c>
      <c r="D855" s="26" t="s">
        <v>1416</v>
      </c>
      <c r="E855" s="25" t="s">
        <v>1414</v>
      </c>
      <c r="F855" s="25" t="s">
        <v>5</v>
      </c>
      <c r="G855" s="59" t="s">
        <v>1415</v>
      </c>
      <c r="H855" s="60">
        <v>0</v>
      </c>
      <c r="I855" s="60">
        <v>0</v>
      </c>
      <c r="J855" s="60">
        <v>0</v>
      </c>
      <c r="K855" s="60">
        <v>0</v>
      </c>
      <c r="L855" s="60">
        <v>0</v>
      </c>
      <c r="M855" s="60">
        <v>0</v>
      </c>
      <c r="N855" s="60">
        <v>0</v>
      </c>
      <c r="O855" s="60">
        <v>0</v>
      </c>
      <c r="P855" s="60">
        <v>0</v>
      </c>
      <c r="Q855" s="60">
        <v>0</v>
      </c>
      <c r="R855" s="60">
        <v>0</v>
      </c>
      <c r="S855" s="60">
        <v>0</v>
      </c>
      <c r="T855" s="60">
        <v>0</v>
      </c>
      <c r="U855" s="60">
        <v>0</v>
      </c>
      <c r="V855" s="60">
        <v>0</v>
      </c>
      <c r="W855" s="60">
        <v>0</v>
      </c>
      <c r="X855" s="60">
        <v>0</v>
      </c>
      <c r="Y855" s="60">
        <v>0</v>
      </c>
      <c r="Z855" s="60">
        <v>0</v>
      </c>
      <c r="AA855" s="60">
        <v>0</v>
      </c>
      <c r="AB855" s="60">
        <v>0</v>
      </c>
      <c r="AC855" s="60">
        <v>404.03</v>
      </c>
      <c r="AD855" s="60">
        <v>402.43</v>
      </c>
      <c r="AE855" s="60">
        <v>400.42</v>
      </c>
      <c r="AF855" s="60">
        <v>0</v>
      </c>
      <c r="AG855" s="60">
        <v>0</v>
      </c>
      <c r="AH855" s="60">
        <v>0</v>
      </c>
      <c r="AI855" s="60">
        <v>404.03</v>
      </c>
      <c r="AJ855" s="60">
        <v>402.43</v>
      </c>
      <c r="AK855" s="60">
        <v>400.42</v>
      </c>
      <c r="AL855" s="60">
        <v>0</v>
      </c>
      <c r="AM855" s="60">
        <v>0</v>
      </c>
      <c r="AN855" s="60">
        <v>0</v>
      </c>
      <c r="AO855" s="60">
        <v>404.03</v>
      </c>
      <c r="AP855" s="60">
        <v>402.43</v>
      </c>
      <c r="AQ855" s="60">
        <v>400.42</v>
      </c>
      <c r="AR855" s="61">
        <v>404.03</v>
      </c>
    </row>
    <row r="856" spans="1:44" x14ac:dyDescent="0.35">
      <c r="A856" s="49" t="str">
        <f>TEXT(29,"00")</f>
        <v>29</v>
      </c>
      <c r="B856" s="27">
        <v>66357</v>
      </c>
      <c r="C856" s="25" t="str">
        <f>TEXT(124834,"0000000")</f>
        <v>0124834</v>
      </c>
      <c r="D856" s="27">
        <v>1336</v>
      </c>
      <c r="E856" s="25" t="s">
        <v>1482</v>
      </c>
      <c r="F856" s="25" t="s">
        <v>5</v>
      </c>
      <c r="G856" s="59" t="s">
        <v>1483</v>
      </c>
      <c r="H856" s="60">
        <v>0</v>
      </c>
      <c r="I856" s="60">
        <v>0</v>
      </c>
      <c r="J856" s="60">
        <v>0</v>
      </c>
      <c r="K856" s="60">
        <v>0</v>
      </c>
      <c r="L856" s="60">
        <v>0</v>
      </c>
      <c r="M856" s="60">
        <v>0</v>
      </c>
      <c r="N856" s="60">
        <v>0</v>
      </c>
      <c r="O856" s="60">
        <v>0</v>
      </c>
      <c r="P856" s="60">
        <v>0</v>
      </c>
      <c r="Q856" s="60">
        <v>0</v>
      </c>
      <c r="R856" s="60">
        <v>0</v>
      </c>
      <c r="S856" s="60">
        <v>0</v>
      </c>
      <c r="T856" s="60">
        <v>0</v>
      </c>
      <c r="U856" s="60">
        <v>0</v>
      </c>
      <c r="V856" s="60">
        <v>0</v>
      </c>
      <c r="W856" s="60">
        <v>0</v>
      </c>
      <c r="X856" s="60">
        <v>0</v>
      </c>
      <c r="Y856" s="60">
        <v>0</v>
      </c>
      <c r="Z856" s="60">
        <v>0</v>
      </c>
      <c r="AA856" s="60">
        <v>0</v>
      </c>
      <c r="AB856" s="60">
        <v>0</v>
      </c>
      <c r="AC856" s="60">
        <v>177.2</v>
      </c>
      <c r="AD856" s="60">
        <v>148.5</v>
      </c>
      <c r="AE856" s="60">
        <v>168.69</v>
      </c>
      <c r="AF856" s="60">
        <v>0</v>
      </c>
      <c r="AG856" s="60">
        <v>0</v>
      </c>
      <c r="AH856" s="60">
        <v>0</v>
      </c>
      <c r="AI856" s="60">
        <v>177.2</v>
      </c>
      <c r="AJ856" s="60">
        <v>148.5</v>
      </c>
      <c r="AK856" s="60">
        <v>168.69</v>
      </c>
      <c r="AL856" s="60">
        <v>0</v>
      </c>
      <c r="AM856" s="60">
        <v>0</v>
      </c>
      <c r="AN856" s="60">
        <v>0</v>
      </c>
      <c r="AO856" s="60">
        <v>177.2</v>
      </c>
      <c r="AP856" s="60">
        <v>148.5</v>
      </c>
      <c r="AQ856" s="60">
        <v>168.69</v>
      </c>
      <c r="AR856" s="61">
        <v>177.2</v>
      </c>
    </row>
    <row r="857" spans="1:44" x14ac:dyDescent="0.35">
      <c r="A857" s="49" t="str">
        <f t="shared" ref="A857:A862" si="74">TEXT(30,"00")</f>
        <v>30</v>
      </c>
      <c r="B857" s="27">
        <v>10306</v>
      </c>
      <c r="C857" s="25" t="str">
        <f>TEXT(126037,"0000000")</f>
        <v>0126037</v>
      </c>
      <c r="D857" s="27">
        <v>1419</v>
      </c>
      <c r="E857" s="25" t="s">
        <v>1494</v>
      </c>
      <c r="F857" s="25" t="s">
        <v>5</v>
      </c>
      <c r="G857" s="59" t="s">
        <v>1495</v>
      </c>
      <c r="H857" s="60">
        <v>0</v>
      </c>
      <c r="I857" s="60">
        <v>0</v>
      </c>
      <c r="J857" s="60">
        <v>0</v>
      </c>
      <c r="K857" s="60">
        <v>0</v>
      </c>
      <c r="L857" s="60">
        <v>0</v>
      </c>
      <c r="M857" s="60">
        <v>0</v>
      </c>
      <c r="N857" s="60">
        <v>0</v>
      </c>
      <c r="O857" s="60">
        <v>0</v>
      </c>
      <c r="P857" s="60">
        <v>0</v>
      </c>
      <c r="Q857" s="60">
        <v>0</v>
      </c>
      <c r="R857" s="60">
        <v>0</v>
      </c>
      <c r="S857" s="60">
        <v>0</v>
      </c>
      <c r="T857" s="60">
        <v>0</v>
      </c>
      <c r="U857" s="60">
        <v>0</v>
      </c>
      <c r="V857" s="60">
        <v>0</v>
      </c>
      <c r="W857" s="60">
        <v>0</v>
      </c>
      <c r="X857" s="60">
        <v>0</v>
      </c>
      <c r="Y857" s="60">
        <v>0</v>
      </c>
      <c r="Z857" s="60">
        <v>764.21</v>
      </c>
      <c r="AA857" s="60">
        <v>753.38</v>
      </c>
      <c r="AB857" s="60">
        <v>755.3</v>
      </c>
      <c r="AC857" s="60">
        <v>0</v>
      </c>
      <c r="AD857" s="60">
        <v>0</v>
      </c>
      <c r="AE857" s="60">
        <v>0</v>
      </c>
      <c r="AF857" s="60">
        <v>0</v>
      </c>
      <c r="AG857" s="60">
        <v>0</v>
      </c>
      <c r="AH857" s="60">
        <v>0</v>
      </c>
      <c r="AI857" s="60">
        <v>764.21</v>
      </c>
      <c r="AJ857" s="60">
        <v>753.38</v>
      </c>
      <c r="AK857" s="60">
        <v>755.3</v>
      </c>
      <c r="AL857" s="60">
        <v>0</v>
      </c>
      <c r="AM857" s="60">
        <v>0</v>
      </c>
      <c r="AN857" s="60">
        <v>0</v>
      </c>
      <c r="AO857" s="60">
        <v>764.21</v>
      </c>
      <c r="AP857" s="60">
        <v>753.38</v>
      </c>
      <c r="AQ857" s="60">
        <v>755.3</v>
      </c>
      <c r="AR857" s="61">
        <v>764.21</v>
      </c>
    </row>
    <row r="858" spans="1:44" x14ac:dyDescent="0.35">
      <c r="A858" s="49" t="str">
        <f t="shared" si="74"/>
        <v>30</v>
      </c>
      <c r="B858" s="27">
        <v>10306</v>
      </c>
      <c r="C858" s="25" t="str">
        <f>TEXT(132613,"0000000")</f>
        <v>0132613</v>
      </c>
      <c r="D858" s="27">
        <v>1752</v>
      </c>
      <c r="E858" s="25" t="s">
        <v>1496</v>
      </c>
      <c r="F858" s="25" t="s">
        <v>5</v>
      </c>
      <c r="G858" s="59" t="s">
        <v>1497</v>
      </c>
      <c r="H858" s="60">
        <v>0</v>
      </c>
      <c r="I858" s="60">
        <v>0</v>
      </c>
      <c r="J858" s="60">
        <v>0</v>
      </c>
      <c r="K858" s="60">
        <v>0</v>
      </c>
      <c r="L858" s="60">
        <v>0</v>
      </c>
      <c r="M858" s="60">
        <v>0</v>
      </c>
      <c r="N858" s="60">
        <v>0</v>
      </c>
      <c r="O858" s="60">
        <v>0</v>
      </c>
      <c r="P858" s="60">
        <v>0</v>
      </c>
      <c r="Q858" s="60">
        <v>0</v>
      </c>
      <c r="R858" s="60">
        <v>0</v>
      </c>
      <c r="S858" s="60">
        <v>0</v>
      </c>
      <c r="T858" s="60">
        <v>0</v>
      </c>
      <c r="U858" s="60">
        <v>0</v>
      </c>
      <c r="V858" s="60">
        <v>0</v>
      </c>
      <c r="W858" s="60">
        <v>0</v>
      </c>
      <c r="X858" s="60">
        <v>0</v>
      </c>
      <c r="Y858" s="60">
        <v>0</v>
      </c>
      <c r="Z858" s="60">
        <v>0</v>
      </c>
      <c r="AA858" s="60">
        <v>0</v>
      </c>
      <c r="AB858" s="60">
        <v>0</v>
      </c>
      <c r="AC858" s="60">
        <v>299.22000000000003</v>
      </c>
      <c r="AD858" s="60">
        <v>394.35</v>
      </c>
      <c r="AE858" s="60">
        <v>323.66000000000003</v>
      </c>
      <c r="AF858" s="60">
        <v>0</v>
      </c>
      <c r="AG858" s="60">
        <v>0</v>
      </c>
      <c r="AH858" s="60">
        <v>0</v>
      </c>
      <c r="AI858" s="60">
        <v>299.22000000000003</v>
      </c>
      <c r="AJ858" s="60">
        <v>394.35</v>
      </c>
      <c r="AK858" s="60">
        <v>323.66000000000003</v>
      </c>
      <c r="AL858" s="60">
        <v>0</v>
      </c>
      <c r="AM858" s="60">
        <v>0</v>
      </c>
      <c r="AN858" s="60">
        <v>0</v>
      </c>
      <c r="AO858" s="60">
        <v>299.22000000000003</v>
      </c>
      <c r="AP858" s="60">
        <v>394.35</v>
      </c>
      <c r="AQ858" s="60">
        <v>323.66000000000003</v>
      </c>
      <c r="AR858" s="61">
        <v>394.35</v>
      </c>
    </row>
    <row r="859" spans="1:44" ht="31" x14ac:dyDescent="0.35">
      <c r="A859" s="49" t="str">
        <f t="shared" si="74"/>
        <v>30</v>
      </c>
      <c r="B859" s="27">
        <v>10306</v>
      </c>
      <c r="C859" s="25" t="str">
        <f>TEXT(133785,"0000000")</f>
        <v>0133785</v>
      </c>
      <c r="D859" s="27">
        <v>1784</v>
      </c>
      <c r="E859" s="25" t="s">
        <v>1498</v>
      </c>
      <c r="F859" s="25" t="s">
        <v>5</v>
      </c>
      <c r="G859" s="59" t="s">
        <v>1499</v>
      </c>
      <c r="H859" s="60">
        <v>0</v>
      </c>
      <c r="I859" s="60">
        <v>0</v>
      </c>
      <c r="J859" s="60">
        <v>0</v>
      </c>
      <c r="K859" s="60">
        <v>0</v>
      </c>
      <c r="L859" s="60">
        <v>0</v>
      </c>
      <c r="M859" s="60">
        <v>0</v>
      </c>
      <c r="N859" s="60">
        <v>0</v>
      </c>
      <c r="O859" s="60">
        <v>0</v>
      </c>
      <c r="P859" s="60">
        <v>0</v>
      </c>
      <c r="Q859" s="60">
        <v>0</v>
      </c>
      <c r="R859" s="60">
        <v>0</v>
      </c>
      <c r="S859" s="60">
        <v>0</v>
      </c>
      <c r="T859" s="60">
        <v>0</v>
      </c>
      <c r="U859" s="60">
        <v>0</v>
      </c>
      <c r="V859" s="60">
        <v>0</v>
      </c>
      <c r="W859" s="60">
        <v>0</v>
      </c>
      <c r="X859" s="60">
        <v>0</v>
      </c>
      <c r="Y859" s="60">
        <v>0</v>
      </c>
      <c r="Z859" s="60">
        <v>0</v>
      </c>
      <c r="AA859" s="60">
        <v>0</v>
      </c>
      <c r="AB859" s="60">
        <v>0</v>
      </c>
      <c r="AC859" s="60">
        <v>477.33</v>
      </c>
      <c r="AD859" s="60">
        <v>644.77</v>
      </c>
      <c r="AE859" s="60">
        <v>657.12</v>
      </c>
      <c r="AF859" s="60">
        <v>0</v>
      </c>
      <c r="AG859" s="60">
        <v>0</v>
      </c>
      <c r="AH859" s="60">
        <v>0</v>
      </c>
      <c r="AI859" s="60">
        <v>477.33</v>
      </c>
      <c r="AJ859" s="60">
        <v>644.77</v>
      </c>
      <c r="AK859" s="60">
        <v>657.12</v>
      </c>
      <c r="AL859" s="60">
        <v>0</v>
      </c>
      <c r="AM859" s="60">
        <v>0</v>
      </c>
      <c r="AN859" s="60">
        <v>0</v>
      </c>
      <c r="AO859" s="60">
        <v>477.33</v>
      </c>
      <c r="AP859" s="60">
        <v>644.77</v>
      </c>
      <c r="AQ859" s="60">
        <v>657.12</v>
      </c>
      <c r="AR859" s="61">
        <v>657.12</v>
      </c>
    </row>
    <row r="860" spans="1:44" x14ac:dyDescent="0.35">
      <c r="A860" s="49" t="str">
        <f t="shared" si="74"/>
        <v>30</v>
      </c>
      <c r="B860" s="27">
        <v>10306</v>
      </c>
      <c r="C860" s="25" t="str">
        <f>TEXT(133959,"0000000")</f>
        <v>0133959</v>
      </c>
      <c r="D860" s="27">
        <v>1800</v>
      </c>
      <c r="E860" s="25" t="s">
        <v>1500</v>
      </c>
      <c r="F860" s="25" t="s">
        <v>5</v>
      </c>
      <c r="G860" s="59" t="s">
        <v>1501</v>
      </c>
      <c r="H860" s="60">
        <v>0</v>
      </c>
      <c r="I860" s="60">
        <v>0</v>
      </c>
      <c r="J860" s="60">
        <v>0</v>
      </c>
      <c r="K860" s="60">
        <v>0</v>
      </c>
      <c r="L860" s="60">
        <v>0</v>
      </c>
      <c r="M860" s="60">
        <v>0</v>
      </c>
      <c r="N860" s="60">
        <v>0</v>
      </c>
      <c r="O860" s="60">
        <v>0</v>
      </c>
      <c r="P860" s="60">
        <v>0</v>
      </c>
      <c r="Q860" s="60">
        <v>0</v>
      </c>
      <c r="R860" s="60">
        <v>0</v>
      </c>
      <c r="S860" s="60">
        <v>0</v>
      </c>
      <c r="T860" s="60">
        <v>0</v>
      </c>
      <c r="U860" s="60">
        <v>0</v>
      </c>
      <c r="V860" s="60">
        <v>0</v>
      </c>
      <c r="W860" s="60">
        <v>0</v>
      </c>
      <c r="X860" s="60">
        <v>0</v>
      </c>
      <c r="Y860" s="60">
        <v>0</v>
      </c>
      <c r="Z860" s="60">
        <v>0</v>
      </c>
      <c r="AA860" s="60">
        <v>0</v>
      </c>
      <c r="AB860" s="60">
        <v>0</v>
      </c>
      <c r="AC860" s="60">
        <v>47.83</v>
      </c>
      <c r="AD860" s="60">
        <v>70.099999999999994</v>
      </c>
      <c r="AE860" s="60">
        <v>87.28</v>
      </c>
      <c r="AF860" s="60">
        <v>0</v>
      </c>
      <c r="AG860" s="60">
        <v>0</v>
      </c>
      <c r="AH860" s="60">
        <v>0</v>
      </c>
      <c r="AI860" s="60">
        <v>47.83</v>
      </c>
      <c r="AJ860" s="60">
        <v>70.099999999999994</v>
      </c>
      <c r="AK860" s="60">
        <v>87.28</v>
      </c>
      <c r="AL860" s="60">
        <v>0</v>
      </c>
      <c r="AM860" s="60">
        <v>0</v>
      </c>
      <c r="AN860" s="60">
        <v>0</v>
      </c>
      <c r="AO860" s="60">
        <v>47.83</v>
      </c>
      <c r="AP860" s="60">
        <v>70.099999999999994</v>
      </c>
      <c r="AQ860" s="60">
        <v>87.28</v>
      </c>
      <c r="AR860" s="61">
        <v>87.28</v>
      </c>
    </row>
    <row r="861" spans="1:44" x14ac:dyDescent="0.35">
      <c r="A861" s="49" t="str">
        <f t="shared" si="74"/>
        <v>30</v>
      </c>
      <c r="B861" s="27">
        <v>10306</v>
      </c>
      <c r="C861" s="25" t="str">
        <f>TEXT(133983,"0000000")</f>
        <v>0133983</v>
      </c>
      <c r="D861" s="27">
        <v>1798</v>
      </c>
      <c r="E861" s="25" t="s">
        <v>1502</v>
      </c>
      <c r="F861" s="25" t="s">
        <v>5</v>
      </c>
      <c r="G861" s="59" t="s">
        <v>1503</v>
      </c>
      <c r="H861" s="60">
        <v>0</v>
      </c>
      <c r="I861" s="60">
        <v>0</v>
      </c>
      <c r="J861" s="60">
        <v>0</v>
      </c>
      <c r="K861" s="60">
        <v>0</v>
      </c>
      <c r="L861" s="60">
        <v>0</v>
      </c>
      <c r="M861" s="60">
        <v>0</v>
      </c>
      <c r="N861" s="60">
        <v>0</v>
      </c>
      <c r="O861" s="60">
        <v>0</v>
      </c>
      <c r="P861" s="60">
        <v>0</v>
      </c>
      <c r="Q861" s="60">
        <v>0</v>
      </c>
      <c r="R861" s="60">
        <v>0</v>
      </c>
      <c r="S861" s="60">
        <v>0</v>
      </c>
      <c r="T861" s="60">
        <v>0</v>
      </c>
      <c r="U861" s="60">
        <v>0</v>
      </c>
      <c r="V861" s="60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398.79</v>
      </c>
      <c r="AD861" s="60">
        <v>350.08</v>
      </c>
      <c r="AE861" s="60">
        <v>325.64</v>
      </c>
      <c r="AF861" s="60">
        <v>0</v>
      </c>
      <c r="AG861" s="60">
        <v>0</v>
      </c>
      <c r="AH861" s="60">
        <v>0</v>
      </c>
      <c r="AI861" s="60">
        <v>398.79</v>
      </c>
      <c r="AJ861" s="60">
        <v>350.08</v>
      </c>
      <c r="AK861" s="60">
        <v>325.64</v>
      </c>
      <c r="AL861" s="60">
        <v>0</v>
      </c>
      <c r="AM861" s="60">
        <v>0</v>
      </c>
      <c r="AN861" s="60">
        <v>0</v>
      </c>
      <c r="AO861" s="60">
        <v>398.79</v>
      </c>
      <c r="AP861" s="60">
        <v>350.08</v>
      </c>
      <c r="AQ861" s="60">
        <v>325.64</v>
      </c>
      <c r="AR861" s="61">
        <v>398.79</v>
      </c>
    </row>
    <row r="862" spans="1:44" x14ac:dyDescent="0.35">
      <c r="A862" s="49" t="str">
        <f t="shared" si="74"/>
        <v>30</v>
      </c>
      <c r="B862" s="27">
        <v>10306</v>
      </c>
      <c r="C862" s="25" t="str">
        <f>TEXT(134056,"0000000")</f>
        <v>0134056</v>
      </c>
      <c r="D862" s="27">
        <v>1799</v>
      </c>
      <c r="E862" s="25" t="s">
        <v>1504</v>
      </c>
      <c r="F862" s="25" t="s">
        <v>5</v>
      </c>
      <c r="G862" s="59" t="s">
        <v>1505</v>
      </c>
      <c r="H862" s="60">
        <v>0</v>
      </c>
      <c r="I862" s="60">
        <v>0</v>
      </c>
      <c r="J862" s="60">
        <v>0</v>
      </c>
      <c r="K862" s="60">
        <v>0</v>
      </c>
      <c r="L862" s="60">
        <v>0</v>
      </c>
      <c r="M862" s="60">
        <v>0</v>
      </c>
      <c r="N862" s="60">
        <v>0</v>
      </c>
      <c r="O862" s="60">
        <v>0</v>
      </c>
      <c r="P862" s="60">
        <v>0</v>
      </c>
      <c r="Q862" s="60">
        <v>0</v>
      </c>
      <c r="R862" s="60">
        <v>0</v>
      </c>
      <c r="S862" s="60">
        <v>0</v>
      </c>
      <c r="T862" s="60">
        <v>0</v>
      </c>
      <c r="U862" s="60">
        <v>0</v>
      </c>
      <c r="V862" s="60">
        <v>0</v>
      </c>
      <c r="W862" s="60">
        <v>0</v>
      </c>
      <c r="X862" s="60">
        <v>0</v>
      </c>
      <c r="Y862" s="60">
        <v>0</v>
      </c>
      <c r="Z862" s="60">
        <v>0</v>
      </c>
      <c r="AA862" s="60">
        <v>0</v>
      </c>
      <c r="AB862" s="60">
        <v>0</v>
      </c>
      <c r="AC862" s="60">
        <v>213.82</v>
      </c>
      <c r="AD862" s="60">
        <v>232.51</v>
      </c>
      <c r="AE862" s="60">
        <v>236.99</v>
      </c>
      <c r="AF862" s="60">
        <v>0</v>
      </c>
      <c r="AG862" s="60">
        <v>0</v>
      </c>
      <c r="AH862" s="60">
        <v>0</v>
      </c>
      <c r="AI862" s="60">
        <v>213.82</v>
      </c>
      <c r="AJ862" s="60">
        <v>232.51</v>
      </c>
      <c r="AK862" s="60">
        <v>236.99</v>
      </c>
      <c r="AL862" s="60">
        <v>0</v>
      </c>
      <c r="AM862" s="60">
        <v>0</v>
      </c>
      <c r="AN862" s="60">
        <v>0</v>
      </c>
      <c r="AO862" s="60">
        <v>213.82</v>
      </c>
      <c r="AP862" s="60">
        <v>232.51</v>
      </c>
      <c r="AQ862" s="60">
        <v>236.99</v>
      </c>
      <c r="AR862" s="61">
        <v>236.99</v>
      </c>
    </row>
    <row r="863" spans="1:44" x14ac:dyDescent="0.35">
      <c r="A863" s="49" t="str">
        <f>TEXT(1,"00")</f>
        <v>01</v>
      </c>
      <c r="B863" s="27">
        <v>61192</v>
      </c>
      <c r="C863" s="25" t="str">
        <f>TEXT(137646,"0000000")</f>
        <v>0137646</v>
      </c>
      <c r="D863" s="26" t="s">
        <v>65</v>
      </c>
      <c r="E863" s="25" t="s">
        <v>63</v>
      </c>
      <c r="F863" s="25" t="s">
        <v>5</v>
      </c>
      <c r="G863" s="59" t="s">
        <v>64</v>
      </c>
      <c r="H863" s="60">
        <v>0</v>
      </c>
      <c r="I863" s="60">
        <v>0</v>
      </c>
      <c r="J863" s="60">
        <v>0</v>
      </c>
      <c r="K863" s="60">
        <v>0</v>
      </c>
      <c r="L863" s="60">
        <v>0</v>
      </c>
      <c r="M863" s="60">
        <v>0</v>
      </c>
      <c r="N863" s="60">
        <v>0</v>
      </c>
      <c r="O863" s="60">
        <v>0</v>
      </c>
      <c r="P863" s="60">
        <v>0</v>
      </c>
      <c r="Q863" s="60">
        <v>0</v>
      </c>
      <c r="R863" s="60">
        <v>0</v>
      </c>
      <c r="S863" s="60">
        <v>0</v>
      </c>
      <c r="T863" s="60">
        <v>0</v>
      </c>
      <c r="U863" s="60">
        <v>0</v>
      </c>
      <c r="V863" s="60">
        <v>0</v>
      </c>
      <c r="W863" s="60">
        <v>0</v>
      </c>
      <c r="X863" s="60">
        <v>0</v>
      </c>
      <c r="Y863" s="60">
        <v>0</v>
      </c>
      <c r="Z863" s="60">
        <v>0</v>
      </c>
      <c r="AA863" s="60">
        <v>0</v>
      </c>
      <c r="AB863" s="60">
        <v>0</v>
      </c>
      <c r="AC863" s="60">
        <v>702.09</v>
      </c>
      <c r="AD863" s="60">
        <v>711.52</v>
      </c>
      <c r="AE863" s="60">
        <v>737.44</v>
      </c>
      <c r="AF863" s="60">
        <v>0</v>
      </c>
      <c r="AG863" s="60">
        <v>0</v>
      </c>
      <c r="AH863" s="60">
        <v>0</v>
      </c>
      <c r="AI863" s="60">
        <v>702.09</v>
      </c>
      <c r="AJ863" s="60">
        <v>711.52</v>
      </c>
      <c r="AK863" s="60">
        <v>737.44</v>
      </c>
      <c r="AL863" s="60">
        <v>0</v>
      </c>
      <c r="AM863" s="60">
        <v>0</v>
      </c>
      <c r="AN863" s="60">
        <v>0</v>
      </c>
      <c r="AO863" s="60">
        <v>702.09</v>
      </c>
      <c r="AP863" s="60">
        <v>711.52</v>
      </c>
      <c r="AQ863" s="60">
        <v>737.44</v>
      </c>
      <c r="AR863" s="61">
        <v>737.44</v>
      </c>
    </row>
    <row r="864" spans="1:44" ht="31" x14ac:dyDescent="0.35">
      <c r="A864" s="49" t="str">
        <f t="shared" ref="A864:A873" si="75">TEXT(30,"00")</f>
        <v>30</v>
      </c>
      <c r="B864" s="27">
        <v>10306</v>
      </c>
      <c r="C864" s="25" t="str">
        <f>TEXT(134239,"0000000")</f>
        <v>0134239</v>
      </c>
      <c r="D864" s="27">
        <v>1807</v>
      </c>
      <c r="E864" s="25" t="s">
        <v>1506</v>
      </c>
      <c r="F864" s="25" t="s">
        <v>5</v>
      </c>
      <c r="G864" s="59" t="s">
        <v>1507</v>
      </c>
      <c r="H864" s="60">
        <v>0</v>
      </c>
      <c r="I864" s="60">
        <v>0</v>
      </c>
      <c r="J864" s="60">
        <v>0</v>
      </c>
      <c r="K864" s="60">
        <v>0</v>
      </c>
      <c r="L864" s="60">
        <v>0</v>
      </c>
      <c r="M864" s="60">
        <v>0</v>
      </c>
      <c r="N864" s="60">
        <v>0</v>
      </c>
      <c r="O864" s="60">
        <v>0</v>
      </c>
      <c r="P864" s="60">
        <v>0</v>
      </c>
      <c r="Q864" s="60">
        <v>0</v>
      </c>
      <c r="R864" s="60">
        <v>0</v>
      </c>
      <c r="S864" s="60">
        <v>0</v>
      </c>
      <c r="T864" s="60">
        <v>0</v>
      </c>
      <c r="U864" s="60">
        <v>0</v>
      </c>
      <c r="V864" s="60">
        <v>0</v>
      </c>
      <c r="W864" s="60">
        <v>0</v>
      </c>
      <c r="X864" s="60">
        <v>0</v>
      </c>
      <c r="Y864" s="60">
        <v>0</v>
      </c>
      <c r="Z864" s="60">
        <v>0</v>
      </c>
      <c r="AA864" s="60">
        <v>0</v>
      </c>
      <c r="AB864" s="60">
        <v>0</v>
      </c>
      <c r="AC864" s="60">
        <v>965.6</v>
      </c>
      <c r="AD864" s="60">
        <v>948.88</v>
      </c>
      <c r="AE864" s="60">
        <v>1034.3499999999999</v>
      </c>
      <c r="AF864" s="60">
        <v>0</v>
      </c>
      <c r="AG864" s="60">
        <v>0</v>
      </c>
      <c r="AH864" s="60">
        <v>0</v>
      </c>
      <c r="AI864" s="60">
        <v>965.6</v>
      </c>
      <c r="AJ864" s="60">
        <v>948.88</v>
      </c>
      <c r="AK864" s="60">
        <v>1034.3499999999999</v>
      </c>
      <c r="AL864" s="60">
        <v>0</v>
      </c>
      <c r="AM864" s="60">
        <v>0</v>
      </c>
      <c r="AN864" s="60">
        <v>0</v>
      </c>
      <c r="AO864" s="60">
        <v>965.6</v>
      </c>
      <c r="AP864" s="60">
        <v>948.88</v>
      </c>
      <c r="AQ864" s="60">
        <v>1034.3499999999999</v>
      </c>
      <c r="AR864" s="61">
        <v>1034.3499999999999</v>
      </c>
    </row>
    <row r="865" spans="1:44" x14ac:dyDescent="0.35">
      <c r="A865" s="49" t="str">
        <f t="shared" si="75"/>
        <v>30</v>
      </c>
      <c r="B865" s="27">
        <v>10306</v>
      </c>
      <c r="C865" s="25" t="str">
        <f>TEXT(134288,"0000000")</f>
        <v>0134288</v>
      </c>
      <c r="D865" s="27">
        <v>1808</v>
      </c>
      <c r="E865" s="25" t="s">
        <v>1508</v>
      </c>
      <c r="F865" s="25" t="s">
        <v>5</v>
      </c>
      <c r="G865" s="59" t="s">
        <v>1509</v>
      </c>
      <c r="H865" s="60">
        <v>0</v>
      </c>
      <c r="I865" s="60">
        <v>0</v>
      </c>
      <c r="J865" s="60">
        <v>0</v>
      </c>
      <c r="K865" s="60">
        <v>0</v>
      </c>
      <c r="L865" s="60">
        <v>0</v>
      </c>
      <c r="M865" s="60">
        <v>0</v>
      </c>
      <c r="N865" s="60">
        <v>0</v>
      </c>
      <c r="O865" s="60">
        <v>0</v>
      </c>
      <c r="P865" s="60">
        <v>0</v>
      </c>
      <c r="Q865" s="60">
        <v>0</v>
      </c>
      <c r="R865" s="60">
        <v>0</v>
      </c>
      <c r="S865" s="60">
        <v>0</v>
      </c>
      <c r="T865" s="60">
        <v>0</v>
      </c>
      <c r="U865" s="60">
        <v>0</v>
      </c>
      <c r="V865" s="60">
        <v>0</v>
      </c>
      <c r="W865" s="60">
        <v>0</v>
      </c>
      <c r="X865" s="60">
        <v>0</v>
      </c>
      <c r="Y865" s="60">
        <v>0</v>
      </c>
      <c r="Z865" s="60">
        <v>607.45000000000005</v>
      </c>
      <c r="AA865" s="60">
        <v>594.28</v>
      </c>
      <c r="AB865" s="60">
        <v>485.52</v>
      </c>
      <c r="AC865" s="60">
        <v>0</v>
      </c>
      <c r="AD865" s="60">
        <v>0</v>
      </c>
      <c r="AE865" s="60">
        <v>0</v>
      </c>
      <c r="AF865" s="60">
        <v>0</v>
      </c>
      <c r="AG865" s="60">
        <v>0</v>
      </c>
      <c r="AH865" s="60">
        <v>0</v>
      </c>
      <c r="AI865" s="60">
        <v>607.45000000000005</v>
      </c>
      <c r="AJ865" s="60">
        <v>594.28</v>
      </c>
      <c r="AK865" s="60">
        <v>485.52</v>
      </c>
      <c r="AL865" s="60">
        <v>0</v>
      </c>
      <c r="AM865" s="60">
        <v>0</v>
      </c>
      <c r="AN865" s="60">
        <v>0</v>
      </c>
      <c r="AO865" s="60">
        <v>607.45000000000005</v>
      </c>
      <c r="AP865" s="60">
        <v>594.28</v>
      </c>
      <c r="AQ865" s="60">
        <v>485.52</v>
      </c>
      <c r="AR865" s="61">
        <v>607.45000000000005</v>
      </c>
    </row>
    <row r="866" spans="1:44" x14ac:dyDescent="0.35">
      <c r="A866" s="49" t="str">
        <f t="shared" si="75"/>
        <v>30</v>
      </c>
      <c r="B866" s="27">
        <v>10306</v>
      </c>
      <c r="C866" s="25" t="str">
        <f>TEXT(134841,"0000000")</f>
        <v>0134841</v>
      </c>
      <c r="D866" s="27">
        <v>1833</v>
      </c>
      <c r="E866" s="25" t="s">
        <v>1510</v>
      </c>
      <c r="F866" s="25" t="s">
        <v>5</v>
      </c>
      <c r="G866" s="59" t="s">
        <v>1511</v>
      </c>
      <c r="H866" s="60">
        <v>0</v>
      </c>
      <c r="I866" s="60">
        <v>0</v>
      </c>
      <c r="J866" s="60">
        <v>0</v>
      </c>
      <c r="K866" s="60">
        <v>0</v>
      </c>
      <c r="L866" s="60">
        <v>0</v>
      </c>
      <c r="M866" s="60">
        <v>0</v>
      </c>
      <c r="N866" s="60">
        <v>0</v>
      </c>
      <c r="O866" s="60">
        <v>0</v>
      </c>
      <c r="P866" s="60">
        <v>0</v>
      </c>
      <c r="Q866" s="60">
        <v>0</v>
      </c>
      <c r="R866" s="60">
        <v>0</v>
      </c>
      <c r="S866" s="60">
        <v>0</v>
      </c>
      <c r="T866" s="60">
        <v>0</v>
      </c>
      <c r="U866" s="60">
        <v>0</v>
      </c>
      <c r="V866" s="60">
        <v>0</v>
      </c>
      <c r="W866" s="60">
        <v>0</v>
      </c>
      <c r="X866" s="60">
        <v>0</v>
      </c>
      <c r="Y866" s="60">
        <v>0</v>
      </c>
      <c r="Z866" s="60">
        <v>244.21</v>
      </c>
      <c r="AA866" s="60">
        <v>227.51</v>
      </c>
      <c r="AB866" s="60">
        <v>229.2</v>
      </c>
      <c r="AC866" s="60">
        <v>0</v>
      </c>
      <c r="AD866" s="60">
        <v>0</v>
      </c>
      <c r="AE866" s="60">
        <v>0</v>
      </c>
      <c r="AF866" s="60">
        <v>0</v>
      </c>
      <c r="AG866" s="60">
        <v>0</v>
      </c>
      <c r="AH866" s="60">
        <v>0</v>
      </c>
      <c r="AI866" s="60">
        <v>244.21</v>
      </c>
      <c r="AJ866" s="60">
        <v>227.51</v>
      </c>
      <c r="AK866" s="60">
        <v>229.2</v>
      </c>
      <c r="AL866" s="60">
        <v>0</v>
      </c>
      <c r="AM866" s="60">
        <v>0</v>
      </c>
      <c r="AN866" s="60">
        <v>0</v>
      </c>
      <c r="AO866" s="60">
        <v>244.21</v>
      </c>
      <c r="AP866" s="60">
        <v>227.51</v>
      </c>
      <c r="AQ866" s="60">
        <v>229.2</v>
      </c>
      <c r="AR866" s="61">
        <v>244.21</v>
      </c>
    </row>
    <row r="867" spans="1:44" x14ac:dyDescent="0.35">
      <c r="A867" s="49" t="str">
        <f t="shared" si="75"/>
        <v>30</v>
      </c>
      <c r="B867" s="27">
        <v>10306</v>
      </c>
      <c r="C867" s="25" t="str">
        <f>TEXT(134940,"0000000")</f>
        <v>0134940</v>
      </c>
      <c r="D867" s="27">
        <v>1831</v>
      </c>
      <c r="E867" s="25" t="s">
        <v>1512</v>
      </c>
      <c r="F867" s="25" t="s">
        <v>5</v>
      </c>
      <c r="G867" s="59" t="s">
        <v>1513</v>
      </c>
      <c r="H867" s="60">
        <v>0</v>
      </c>
      <c r="I867" s="60">
        <v>0</v>
      </c>
      <c r="J867" s="60">
        <v>0</v>
      </c>
      <c r="K867" s="60">
        <v>0</v>
      </c>
      <c r="L867" s="60">
        <v>0</v>
      </c>
      <c r="M867" s="60">
        <v>0</v>
      </c>
      <c r="N867" s="60">
        <v>0</v>
      </c>
      <c r="O867" s="60">
        <v>0</v>
      </c>
      <c r="P867" s="60">
        <v>0</v>
      </c>
      <c r="Q867" s="60">
        <v>0</v>
      </c>
      <c r="R867" s="60">
        <v>0</v>
      </c>
      <c r="S867" s="60">
        <v>0</v>
      </c>
      <c r="T867" s="60">
        <v>0</v>
      </c>
      <c r="U867" s="60">
        <v>0</v>
      </c>
      <c r="V867" s="60">
        <v>0</v>
      </c>
      <c r="W867" s="60">
        <v>0</v>
      </c>
      <c r="X867" s="60">
        <v>0</v>
      </c>
      <c r="Y867" s="60">
        <v>0</v>
      </c>
      <c r="Z867" s="60">
        <v>0</v>
      </c>
      <c r="AA867" s="60">
        <v>0</v>
      </c>
      <c r="AB867" s="60">
        <v>0</v>
      </c>
      <c r="AC867" s="60">
        <v>457.7</v>
      </c>
      <c r="AD867" s="60">
        <v>395.3</v>
      </c>
      <c r="AE867" s="60">
        <v>385.2</v>
      </c>
      <c r="AF867" s="60">
        <v>0</v>
      </c>
      <c r="AG867" s="60">
        <v>0</v>
      </c>
      <c r="AH867" s="60">
        <v>0</v>
      </c>
      <c r="AI867" s="60">
        <v>457.7</v>
      </c>
      <c r="AJ867" s="60">
        <v>395.3</v>
      </c>
      <c r="AK867" s="60">
        <v>385.2</v>
      </c>
      <c r="AL867" s="60">
        <v>0</v>
      </c>
      <c r="AM867" s="60">
        <v>0</v>
      </c>
      <c r="AN867" s="60">
        <v>0</v>
      </c>
      <c r="AO867" s="60">
        <v>457.7</v>
      </c>
      <c r="AP867" s="60">
        <v>395.3</v>
      </c>
      <c r="AQ867" s="60">
        <v>385.2</v>
      </c>
      <c r="AR867" s="61">
        <v>457.7</v>
      </c>
    </row>
    <row r="868" spans="1:44" x14ac:dyDescent="0.35">
      <c r="A868" s="49" t="str">
        <f t="shared" si="75"/>
        <v>30</v>
      </c>
      <c r="B868" s="27">
        <v>10306</v>
      </c>
      <c r="C868" s="25" t="str">
        <f>TEXT(137000,"0000000")</f>
        <v>0137000</v>
      </c>
      <c r="D868" s="27">
        <v>1930</v>
      </c>
      <c r="E868" s="25" t="s">
        <v>1514</v>
      </c>
      <c r="F868" s="25" t="s">
        <v>5</v>
      </c>
      <c r="G868" s="59" t="s">
        <v>1515</v>
      </c>
      <c r="H868" s="60">
        <v>0</v>
      </c>
      <c r="I868" s="60">
        <v>0</v>
      </c>
      <c r="J868" s="60">
        <v>0</v>
      </c>
      <c r="K868" s="60">
        <v>0</v>
      </c>
      <c r="L868" s="60">
        <v>0</v>
      </c>
      <c r="M868" s="60">
        <v>0</v>
      </c>
      <c r="N868" s="60">
        <v>0</v>
      </c>
      <c r="O868" s="60">
        <v>0</v>
      </c>
      <c r="P868" s="60">
        <v>0</v>
      </c>
      <c r="Q868" s="60">
        <v>0</v>
      </c>
      <c r="R868" s="60">
        <v>0</v>
      </c>
      <c r="S868" s="60">
        <v>0</v>
      </c>
      <c r="T868" s="60">
        <v>0</v>
      </c>
      <c r="U868" s="60">
        <v>0</v>
      </c>
      <c r="V868" s="60">
        <v>0</v>
      </c>
      <c r="W868" s="60">
        <v>0</v>
      </c>
      <c r="X868" s="60">
        <v>0</v>
      </c>
      <c r="Y868" s="60">
        <v>0</v>
      </c>
      <c r="Z868" s="60">
        <v>0</v>
      </c>
      <c r="AA868" s="60">
        <v>0</v>
      </c>
      <c r="AB868" s="60">
        <v>0</v>
      </c>
      <c r="AC868" s="60">
        <v>315.54000000000002</v>
      </c>
      <c r="AD868" s="60">
        <v>305.08999999999997</v>
      </c>
      <c r="AE868" s="60">
        <v>297.11</v>
      </c>
      <c r="AF868" s="60">
        <v>0</v>
      </c>
      <c r="AG868" s="60">
        <v>0</v>
      </c>
      <c r="AH868" s="60">
        <v>0</v>
      </c>
      <c r="AI868" s="60">
        <v>315.54000000000002</v>
      </c>
      <c r="AJ868" s="60">
        <v>305.08999999999997</v>
      </c>
      <c r="AK868" s="60">
        <v>297.11</v>
      </c>
      <c r="AL868" s="60">
        <v>0</v>
      </c>
      <c r="AM868" s="60">
        <v>0</v>
      </c>
      <c r="AN868" s="60">
        <v>0</v>
      </c>
      <c r="AO868" s="60">
        <v>315.54000000000002</v>
      </c>
      <c r="AP868" s="60">
        <v>305.08999999999997</v>
      </c>
      <c r="AQ868" s="60">
        <v>297.11</v>
      </c>
      <c r="AR868" s="61">
        <v>315.54000000000002</v>
      </c>
    </row>
    <row r="869" spans="1:44" ht="31" x14ac:dyDescent="0.35">
      <c r="A869" s="49" t="str">
        <f t="shared" si="75"/>
        <v>30</v>
      </c>
      <c r="B869" s="27">
        <v>10306</v>
      </c>
      <c r="C869" s="25" t="str">
        <f>TEXT(137976,"0000000")</f>
        <v>0137976</v>
      </c>
      <c r="D869" s="27">
        <v>1987</v>
      </c>
      <c r="E869" s="25" t="s">
        <v>1516</v>
      </c>
      <c r="F869" s="25" t="s">
        <v>5</v>
      </c>
      <c r="G869" s="59" t="s">
        <v>1517</v>
      </c>
      <c r="H869" s="60">
        <v>0</v>
      </c>
      <c r="I869" s="60">
        <v>0</v>
      </c>
      <c r="J869" s="60">
        <v>0</v>
      </c>
      <c r="K869" s="60">
        <v>0</v>
      </c>
      <c r="L869" s="60">
        <v>0</v>
      </c>
      <c r="M869" s="60">
        <v>0</v>
      </c>
      <c r="N869" s="60">
        <v>0</v>
      </c>
      <c r="O869" s="60">
        <v>0</v>
      </c>
      <c r="P869" s="60">
        <v>0</v>
      </c>
      <c r="Q869" s="60">
        <v>0</v>
      </c>
      <c r="R869" s="60">
        <v>0</v>
      </c>
      <c r="S869" s="60">
        <v>0</v>
      </c>
      <c r="T869" s="60">
        <v>0</v>
      </c>
      <c r="U869" s="60">
        <v>0</v>
      </c>
      <c r="V869" s="60">
        <v>0</v>
      </c>
      <c r="W869" s="60">
        <v>0</v>
      </c>
      <c r="X869" s="60">
        <v>0</v>
      </c>
      <c r="Y869" s="60">
        <v>0</v>
      </c>
      <c r="Z869" s="60">
        <v>0</v>
      </c>
      <c r="AA869" s="60">
        <v>0</v>
      </c>
      <c r="AB869" s="60">
        <v>0</v>
      </c>
      <c r="AC869" s="60">
        <v>180.12</v>
      </c>
      <c r="AD869" s="60">
        <v>166.92</v>
      </c>
      <c r="AE869" s="60">
        <v>148.19999999999999</v>
      </c>
      <c r="AF869" s="60">
        <v>0</v>
      </c>
      <c r="AG869" s="60">
        <v>0</v>
      </c>
      <c r="AH869" s="60">
        <v>0</v>
      </c>
      <c r="AI869" s="60">
        <v>180.12</v>
      </c>
      <c r="AJ869" s="60">
        <v>166.92</v>
      </c>
      <c r="AK869" s="60">
        <v>148.19999999999999</v>
      </c>
      <c r="AL869" s="60">
        <v>0</v>
      </c>
      <c r="AM869" s="60">
        <v>0</v>
      </c>
      <c r="AN869" s="60">
        <v>0</v>
      </c>
      <c r="AO869" s="60">
        <v>180.12</v>
      </c>
      <c r="AP869" s="60">
        <v>166.92</v>
      </c>
      <c r="AQ869" s="60">
        <v>148.19999999999999</v>
      </c>
      <c r="AR869" s="61">
        <v>180.12</v>
      </c>
    </row>
    <row r="870" spans="1:44" x14ac:dyDescent="0.35">
      <c r="A870" s="49" t="str">
        <f t="shared" si="75"/>
        <v>30</v>
      </c>
      <c r="B870" s="27">
        <v>10306</v>
      </c>
      <c r="C870" s="25" t="str">
        <f>TEXT(138800,"0000000")</f>
        <v>0138800</v>
      </c>
      <c r="D870" s="27">
        <v>2025</v>
      </c>
      <c r="E870" s="25" t="s">
        <v>1518</v>
      </c>
      <c r="F870" s="25" t="s">
        <v>5</v>
      </c>
      <c r="G870" s="59" t="s">
        <v>1519</v>
      </c>
      <c r="H870" s="60">
        <v>0</v>
      </c>
      <c r="I870" s="60">
        <v>0</v>
      </c>
      <c r="J870" s="60">
        <v>0</v>
      </c>
      <c r="K870" s="60">
        <v>0</v>
      </c>
      <c r="L870" s="60">
        <v>0</v>
      </c>
      <c r="M870" s="60">
        <v>0</v>
      </c>
      <c r="N870" s="60">
        <v>0</v>
      </c>
      <c r="O870" s="60">
        <v>0</v>
      </c>
      <c r="P870" s="60">
        <v>0</v>
      </c>
      <c r="Q870" s="60">
        <v>0</v>
      </c>
      <c r="R870" s="60">
        <v>0</v>
      </c>
      <c r="S870" s="60">
        <v>0</v>
      </c>
      <c r="T870" s="60">
        <v>0</v>
      </c>
      <c r="U870" s="60">
        <v>0</v>
      </c>
      <c r="V870" s="60">
        <v>0</v>
      </c>
      <c r="W870" s="60">
        <v>0</v>
      </c>
      <c r="X870" s="60">
        <v>0</v>
      </c>
      <c r="Y870" s="60">
        <v>0</v>
      </c>
      <c r="Z870" s="60">
        <v>0</v>
      </c>
      <c r="AA870" s="60">
        <v>0</v>
      </c>
      <c r="AB870" s="60">
        <v>0</v>
      </c>
      <c r="AC870" s="60">
        <v>1112.56</v>
      </c>
      <c r="AD870" s="60">
        <v>152.07</v>
      </c>
      <c r="AE870" s="60">
        <v>111.56</v>
      </c>
      <c r="AF870" s="60">
        <v>0</v>
      </c>
      <c r="AG870" s="60">
        <v>0</v>
      </c>
      <c r="AH870" s="60">
        <v>0</v>
      </c>
      <c r="AI870" s="60">
        <v>1112.56</v>
      </c>
      <c r="AJ870" s="60">
        <v>152.07</v>
      </c>
      <c r="AK870" s="60">
        <v>111.56</v>
      </c>
      <c r="AL870" s="60">
        <v>0</v>
      </c>
      <c r="AM870" s="60">
        <v>0</v>
      </c>
      <c r="AN870" s="60">
        <v>0</v>
      </c>
      <c r="AO870" s="60">
        <v>1112.56</v>
      </c>
      <c r="AP870" s="60">
        <v>152.07</v>
      </c>
      <c r="AQ870" s="60">
        <v>111.56</v>
      </c>
      <c r="AR870" s="61">
        <v>1112.56</v>
      </c>
    </row>
    <row r="871" spans="1:44" x14ac:dyDescent="0.35">
      <c r="A871" s="49" t="str">
        <f t="shared" si="75"/>
        <v>30</v>
      </c>
      <c r="B871" s="27">
        <v>10306</v>
      </c>
      <c r="C871" s="25" t="str">
        <f>TEXT(139964,"0000000")</f>
        <v>0139964</v>
      </c>
      <c r="D871" s="27">
        <v>2127</v>
      </c>
      <c r="E871" s="25" t="s">
        <v>1524</v>
      </c>
      <c r="F871" s="25" t="s">
        <v>5</v>
      </c>
      <c r="G871" s="59" t="s">
        <v>3519</v>
      </c>
      <c r="H871" s="60">
        <v>0</v>
      </c>
      <c r="I871" s="60">
        <v>0</v>
      </c>
      <c r="J871" s="60">
        <v>0</v>
      </c>
      <c r="K871" s="60">
        <v>0</v>
      </c>
      <c r="L871" s="60">
        <v>0</v>
      </c>
      <c r="M871" s="60">
        <v>0</v>
      </c>
      <c r="N871" s="60">
        <v>0</v>
      </c>
      <c r="O871" s="60">
        <v>0</v>
      </c>
      <c r="P871" s="60">
        <v>0</v>
      </c>
      <c r="Q871" s="60">
        <v>0</v>
      </c>
      <c r="R871" s="60">
        <v>0</v>
      </c>
      <c r="S871" s="60">
        <v>0</v>
      </c>
      <c r="T871" s="60">
        <v>0</v>
      </c>
      <c r="U871" s="60">
        <v>0</v>
      </c>
      <c r="V871" s="60">
        <v>0</v>
      </c>
      <c r="W871" s="60">
        <v>0</v>
      </c>
      <c r="X871" s="60">
        <v>0</v>
      </c>
      <c r="Y871" s="60">
        <v>0</v>
      </c>
      <c r="Z871" s="60">
        <v>544.88</v>
      </c>
      <c r="AA871" s="60">
        <v>512.34</v>
      </c>
      <c r="AB871" s="60">
        <v>0</v>
      </c>
      <c r="AC871" s="60">
        <v>0</v>
      </c>
      <c r="AD871" s="60">
        <v>0</v>
      </c>
      <c r="AE871" s="60">
        <v>0</v>
      </c>
      <c r="AF871" s="60">
        <v>0</v>
      </c>
      <c r="AG871" s="60">
        <v>0</v>
      </c>
      <c r="AH871" s="60">
        <v>0</v>
      </c>
      <c r="AI871" s="60">
        <v>544.88</v>
      </c>
      <c r="AJ871" s="60">
        <v>512.34</v>
      </c>
      <c r="AK871" s="60">
        <v>0</v>
      </c>
      <c r="AL871" s="60">
        <v>0</v>
      </c>
      <c r="AM871" s="60">
        <v>0</v>
      </c>
      <c r="AN871" s="60">
        <v>0</v>
      </c>
      <c r="AO871" s="60">
        <v>544.88</v>
      </c>
      <c r="AP871" s="60">
        <v>512.34</v>
      </c>
      <c r="AQ871" s="60">
        <v>0</v>
      </c>
      <c r="AR871" s="61">
        <v>544.88</v>
      </c>
    </row>
    <row r="872" spans="1:44" x14ac:dyDescent="0.35">
      <c r="A872" s="49" t="str">
        <f t="shared" si="75"/>
        <v>30</v>
      </c>
      <c r="B872" s="27">
        <v>10306</v>
      </c>
      <c r="C872" s="25" t="str">
        <f>TEXT(3030723,"0000000")</f>
        <v>3030723</v>
      </c>
      <c r="D872" s="26" t="s">
        <v>1530</v>
      </c>
      <c r="E872" s="25" t="s">
        <v>1528</v>
      </c>
      <c r="F872" s="25" t="s">
        <v>5</v>
      </c>
      <c r="G872" s="59" t="s">
        <v>1529</v>
      </c>
      <c r="H872" s="60">
        <v>0</v>
      </c>
      <c r="I872" s="60">
        <v>0</v>
      </c>
      <c r="J872" s="60">
        <v>0</v>
      </c>
      <c r="K872" s="60">
        <v>0</v>
      </c>
      <c r="L872" s="60">
        <v>0</v>
      </c>
      <c r="M872" s="60">
        <v>0</v>
      </c>
      <c r="N872" s="60">
        <v>0</v>
      </c>
      <c r="O872" s="60">
        <v>0</v>
      </c>
      <c r="P872" s="60">
        <v>0</v>
      </c>
      <c r="Q872" s="60">
        <v>0</v>
      </c>
      <c r="R872" s="60">
        <v>0</v>
      </c>
      <c r="S872" s="60">
        <v>0</v>
      </c>
      <c r="T872" s="60">
        <v>0</v>
      </c>
      <c r="U872" s="60">
        <v>0</v>
      </c>
      <c r="V872" s="60">
        <v>0</v>
      </c>
      <c r="W872" s="60">
        <v>0</v>
      </c>
      <c r="X872" s="60">
        <v>0</v>
      </c>
      <c r="Y872" s="60">
        <v>0</v>
      </c>
      <c r="Z872" s="60">
        <v>0</v>
      </c>
      <c r="AA872" s="60">
        <v>0</v>
      </c>
      <c r="AB872" s="60">
        <v>0</v>
      </c>
      <c r="AC872" s="60">
        <v>2176.16</v>
      </c>
      <c r="AD872" s="60">
        <v>2125.63</v>
      </c>
      <c r="AE872" s="60">
        <v>2106.31</v>
      </c>
      <c r="AF872" s="60">
        <v>0</v>
      </c>
      <c r="AG872" s="60">
        <v>0</v>
      </c>
      <c r="AH872" s="60">
        <v>0</v>
      </c>
      <c r="AI872" s="60">
        <v>2176.16</v>
      </c>
      <c r="AJ872" s="60">
        <v>2125.63</v>
      </c>
      <c r="AK872" s="60">
        <v>2106.31</v>
      </c>
      <c r="AL872" s="60">
        <v>0</v>
      </c>
      <c r="AM872" s="60">
        <v>0</v>
      </c>
      <c r="AN872" s="60">
        <v>0</v>
      </c>
      <c r="AO872" s="60">
        <v>2176.16</v>
      </c>
      <c r="AP872" s="60">
        <v>2125.63</v>
      </c>
      <c r="AQ872" s="60">
        <v>2106.31</v>
      </c>
      <c r="AR872" s="61">
        <v>2176.16</v>
      </c>
    </row>
    <row r="873" spans="1:44" x14ac:dyDescent="0.35">
      <c r="A873" s="49" t="str">
        <f t="shared" si="75"/>
        <v>30</v>
      </c>
      <c r="B873" s="27">
        <v>66423</v>
      </c>
      <c r="C873" s="25" t="str">
        <f>TEXT(131417,"0000000")</f>
        <v>0131417</v>
      </c>
      <c r="D873" s="27">
        <v>1701</v>
      </c>
      <c r="E873" s="25" t="s">
        <v>1535</v>
      </c>
      <c r="F873" s="25" t="s">
        <v>5</v>
      </c>
      <c r="G873" s="59" t="s">
        <v>1536</v>
      </c>
      <c r="H873" s="60">
        <v>0</v>
      </c>
      <c r="I873" s="60">
        <v>0</v>
      </c>
      <c r="J873" s="60">
        <v>0</v>
      </c>
      <c r="K873" s="60">
        <v>0</v>
      </c>
      <c r="L873" s="60">
        <v>0</v>
      </c>
      <c r="M873" s="60">
        <v>0</v>
      </c>
      <c r="N873" s="60">
        <v>0</v>
      </c>
      <c r="O873" s="60">
        <v>0</v>
      </c>
      <c r="P873" s="60">
        <v>0</v>
      </c>
      <c r="Q873" s="60">
        <v>0</v>
      </c>
      <c r="R873" s="60">
        <v>0</v>
      </c>
      <c r="S873" s="60">
        <v>0</v>
      </c>
      <c r="T873" s="60">
        <v>0</v>
      </c>
      <c r="U873" s="60">
        <v>0</v>
      </c>
      <c r="V873" s="60">
        <v>0</v>
      </c>
      <c r="W873" s="60">
        <v>0</v>
      </c>
      <c r="X873" s="60">
        <v>0</v>
      </c>
      <c r="Y873" s="60">
        <v>0</v>
      </c>
      <c r="Z873" s="60">
        <v>0</v>
      </c>
      <c r="AA873" s="60">
        <v>0</v>
      </c>
      <c r="AB873" s="60">
        <v>0</v>
      </c>
      <c r="AC873" s="60">
        <v>227.52</v>
      </c>
      <c r="AD873" s="60">
        <v>223.72</v>
      </c>
      <c r="AE873" s="60">
        <v>220.15</v>
      </c>
      <c r="AF873" s="60">
        <v>0</v>
      </c>
      <c r="AG873" s="60">
        <v>0</v>
      </c>
      <c r="AH873" s="60">
        <v>0</v>
      </c>
      <c r="AI873" s="60">
        <v>227.52</v>
      </c>
      <c r="AJ873" s="60">
        <v>223.72</v>
      </c>
      <c r="AK873" s="60">
        <v>220.15</v>
      </c>
      <c r="AL873" s="60">
        <v>0</v>
      </c>
      <c r="AM873" s="60">
        <v>0</v>
      </c>
      <c r="AN873" s="60">
        <v>0</v>
      </c>
      <c r="AO873" s="60">
        <v>227.52</v>
      </c>
      <c r="AP873" s="60">
        <v>223.72</v>
      </c>
      <c r="AQ873" s="60">
        <v>220.15</v>
      </c>
      <c r="AR873" s="61">
        <v>227.52</v>
      </c>
    </row>
    <row r="874" spans="1:44" x14ac:dyDescent="0.35">
      <c r="A874" s="49" t="str">
        <f>TEXT(1,"00")</f>
        <v>01</v>
      </c>
      <c r="B874" s="27">
        <v>61259</v>
      </c>
      <c r="C874" s="25" t="str">
        <f>TEXT(106906,"0000000")</f>
        <v>0106906</v>
      </c>
      <c r="D874" s="26" t="s">
        <v>81</v>
      </c>
      <c r="E874" s="25" t="s">
        <v>79</v>
      </c>
      <c r="F874" s="25" t="s">
        <v>5</v>
      </c>
      <c r="G874" s="59" t="s">
        <v>80</v>
      </c>
      <c r="H874" s="60">
        <v>0</v>
      </c>
      <c r="I874" s="60">
        <v>0</v>
      </c>
      <c r="J874" s="60">
        <v>0</v>
      </c>
      <c r="K874" s="60">
        <v>0</v>
      </c>
      <c r="L874" s="60">
        <v>0</v>
      </c>
      <c r="M874" s="60">
        <v>0</v>
      </c>
      <c r="N874" s="60">
        <v>0</v>
      </c>
      <c r="O874" s="60">
        <v>0</v>
      </c>
      <c r="P874" s="60">
        <v>0</v>
      </c>
      <c r="Q874" s="60">
        <v>0</v>
      </c>
      <c r="R874" s="60">
        <v>0</v>
      </c>
      <c r="S874" s="60">
        <v>0</v>
      </c>
      <c r="T874" s="60">
        <v>0</v>
      </c>
      <c r="U874" s="60">
        <v>0</v>
      </c>
      <c r="V874" s="60">
        <v>0</v>
      </c>
      <c r="W874" s="60">
        <v>0</v>
      </c>
      <c r="X874" s="60">
        <v>0</v>
      </c>
      <c r="Y874" s="60">
        <v>0</v>
      </c>
      <c r="Z874" s="60">
        <v>0</v>
      </c>
      <c r="AA874" s="60">
        <v>0</v>
      </c>
      <c r="AB874" s="60">
        <v>0</v>
      </c>
      <c r="AC874" s="60">
        <v>282.82</v>
      </c>
      <c r="AD874" s="60">
        <v>302.5</v>
      </c>
      <c r="AE874" s="60">
        <v>295.93</v>
      </c>
      <c r="AF874" s="60">
        <v>0</v>
      </c>
      <c r="AG874" s="60">
        <v>0</v>
      </c>
      <c r="AH874" s="60">
        <v>0</v>
      </c>
      <c r="AI874" s="60">
        <v>282.82</v>
      </c>
      <c r="AJ874" s="60">
        <v>302.5</v>
      </c>
      <c r="AK874" s="60">
        <v>295.93</v>
      </c>
      <c r="AL874" s="60">
        <v>0</v>
      </c>
      <c r="AM874" s="60">
        <v>0</v>
      </c>
      <c r="AN874" s="60">
        <v>0</v>
      </c>
      <c r="AO874" s="60">
        <v>282.82</v>
      </c>
      <c r="AP874" s="60">
        <v>302.5</v>
      </c>
      <c r="AQ874" s="60">
        <v>295.93</v>
      </c>
      <c r="AR874" s="61">
        <v>302.5</v>
      </c>
    </row>
    <row r="875" spans="1:44" x14ac:dyDescent="0.35">
      <c r="A875" s="49" t="str">
        <f t="shared" ref="A875:A884" si="76">TEXT(30,"00")</f>
        <v>30</v>
      </c>
      <c r="B875" s="27">
        <v>66423</v>
      </c>
      <c r="C875" s="25" t="str">
        <f>TEXT(6027379,"0000000")</f>
        <v>6027379</v>
      </c>
      <c r="D875" s="27">
        <v>1932</v>
      </c>
      <c r="E875" s="25" t="s">
        <v>1537</v>
      </c>
      <c r="F875" s="25" t="s">
        <v>5</v>
      </c>
      <c r="G875" s="59" t="s">
        <v>3526</v>
      </c>
      <c r="H875" s="60">
        <v>0</v>
      </c>
      <c r="I875" s="60">
        <v>0</v>
      </c>
      <c r="J875" s="60">
        <v>0</v>
      </c>
      <c r="K875" s="60">
        <v>0</v>
      </c>
      <c r="L875" s="60">
        <v>0</v>
      </c>
      <c r="M875" s="60">
        <v>0</v>
      </c>
      <c r="N875" s="60">
        <v>0</v>
      </c>
      <c r="O875" s="60">
        <v>0</v>
      </c>
      <c r="P875" s="60">
        <v>0</v>
      </c>
      <c r="Q875" s="60">
        <v>0</v>
      </c>
      <c r="R875" s="60">
        <v>0</v>
      </c>
      <c r="S875" s="60">
        <v>0</v>
      </c>
      <c r="T875" s="60">
        <v>0</v>
      </c>
      <c r="U875" s="60">
        <v>0</v>
      </c>
      <c r="V875" s="60">
        <v>0</v>
      </c>
      <c r="W875" s="60">
        <v>0</v>
      </c>
      <c r="X875" s="60">
        <v>0</v>
      </c>
      <c r="Y875" s="60">
        <v>0</v>
      </c>
      <c r="Z875" s="60">
        <v>0</v>
      </c>
      <c r="AA875" s="60">
        <v>0</v>
      </c>
      <c r="AB875" s="60">
        <v>0</v>
      </c>
      <c r="AC875" s="60">
        <v>245.75</v>
      </c>
      <c r="AD875" s="60">
        <v>244.43</v>
      </c>
      <c r="AE875" s="60">
        <v>258.01</v>
      </c>
      <c r="AF875" s="60">
        <v>0</v>
      </c>
      <c r="AG875" s="60">
        <v>0</v>
      </c>
      <c r="AH875" s="60">
        <v>0</v>
      </c>
      <c r="AI875" s="60">
        <v>245.75</v>
      </c>
      <c r="AJ875" s="60">
        <v>244.43</v>
      </c>
      <c r="AK875" s="60">
        <v>258.01</v>
      </c>
      <c r="AL875" s="60">
        <v>0</v>
      </c>
      <c r="AM875" s="60">
        <v>0</v>
      </c>
      <c r="AN875" s="60">
        <v>0</v>
      </c>
      <c r="AO875" s="60">
        <v>245.75</v>
      </c>
      <c r="AP875" s="60">
        <v>244.43</v>
      </c>
      <c r="AQ875" s="60">
        <v>258.01</v>
      </c>
      <c r="AR875" s="61">
        <v>258.01</v>
      </c>
    </row>
    <row r="876" spans="1:44" ht="31" x14ac:dyDescent="0.35">
      <c r="A876" s="49" t="str">
        <f t="shared" si="76"/>
        <v>30</v>
      </c>
      <c r="B876" s="27">
        <v>66464</v>
      </c>
      <c r="C876" s="25" t="str">
        <f>TEXT(106765,"0000000")</f>
        <v>0106765</v>
      </c>
      <c r="D876" s="26" t="s">
        <v>1551</v>
      </c>
      <c r="E876" s="25" t="s">
        <v>1549</v>
      </c>
      <c r="F876" s="25" t="s">
        <v>5</v>
      </c>
      <c r="G876" s="59" t="s">
        <v>1550</v>
      </c>
      <c r="H876" s="60">
        <v>0</v>
      </c>
      <c r="I876" s="60">
        <v>0</v>
      </c>
      <c r="J876" s="60">
        <v>0</v>
      </c>
      <c r="K876" s="60">
        <v>0</v>
      </c>
      <c r="L876" s="60">
        <v>0</v>
      </c>
      <c r="M876" s="60">
        <v>0</v>
      </c>
      <c r="N876" s="60">
        <v>0</v>
      </c>
      <c r="O876" s="60">
        <v>0</v>
      </c>
      <c r="P876" s="60">
        <v>0</v>
      </c>
      <c r="Q876" s="60">
        <v>0</v>
      </c>
      <c r="R876" s="60">
        <v>0</v>
      </c>
      <c r="S876" s="60">
        <v>0</v>
      </c>
      <c r="T876" s="60">
        <v>0</v>
      </c>
      <c r="U876" s="60">
        <v>0</v>
      </c>
      <c r="V876" s="60">
        <v>0</v>
      </c>
      <c r="W876" s="60">
        <v>0</v>
      </c>
      <c r="X876" s="60">
        <v>0</v>
      </c>
      <c r="Y876" s="60">
        <v>0</v>
      </c>
      <c r="Z876" s="60">
        <v>0</v>
      </c>
      <c r="AA876" s="60">
        <v>0</v>
      </c>
      <c r="AB876" s="60">
        <v>0</v>
      </c>
      <c r="AC876" s="60">
        <v>4894.17</v>
      </c>
      <c r="AD876" s="60">
        <v>4829.88</v>
      </c>
      <c r="AE876" s="60">
        <v>4631.26</v>
      </c>
      <c r="AF876" s="60">
        <v>0</v>
      </c>
      <c r="AG876" s="60">
        <v>0</v>
      </c>
      <c r="AH876" s="60">
        <v>0</v>
      </c>
      <c r="AI876" s="60">
        <v>4894.17</v>
      </c>
      <c r="AJ876" s="60">
        <v>4829.88</v>
      </c>
      <c r="AK876" s="60">
        <v>4631.26</v>
      </c>
      <c r="AL876" s="60">
        <v>0</v>
      </c>
      <c r="AM876" s="60">
        <v>0</v>
      </c>
      <c r="AN876" s="60">
        <v>0</v>
      </c>
      <c r="AO876" s="60">
        <v>4894.17</v>
      </c>
      <c r="AP876" s="60">
        <v>4829.88</v>
      </c>
      <c r="AQ876" s="60">
        <v>4631.26</v>
      </c>
      <c r="AR876" s="61">
        <v>4894.17</v>
      </c>
    </row>
    <row r="877" spans="1:44" x14ac:dyDescent="0.35">
      <c r="A877" s="49" t="str">
        <f t="shared" si="76"/>
        <v>30</v>
      </c>
      <c r="B877" s="27">
        <v>66464</v>
      </c>
      <c r="C877" s="25" t="str">
        <f>TEXT(123729,"0000000")</f>
        <v>0123729</v>
      </c>
      <c r="D877" s="27">
        <v>1274</v>
      </c>
      <c r="E877" s="25" t="s">
        <v>1552</v>
      </c>
      <c r="F877" s="25" t="s">
        <v>5</v>
      </c>
      <c r="G877" s="59" t="s">
        <v>1553</v>
      </c>
      <c r="H877" s="60">
        <v>0</v>
      </c>
      <c r="I877" s="60">
        <v>0</v>
      </c>
      <c r="J877" s="60">
        <v>0</v>
      </c>
      <c r="K877" s="60">
        <v>0</v>
      </c>
      <c r="L877" s="60">
        <v>0</v>
      </c>
      <c r="M877" s="60">
        <v>0</v>
      </c>
      <c r="N877" s="60">
        <v>0</v>
      </c>
      <c r="O877" s="60">
        <v>0</v>
      </c>
      <c r="P877" s="60">
        <v>0</v>
      </c>
      <c r="Q877" s="60">
        <v>0</v>
      </c>
      <c r="R877" s="60">
        <v>0</v>
      </c>
      <c r="S877" s="60">
        <v>0</v>
      </c>
      <c r="T877" s="60">
        <v>0</v>
      </c>
      <c r="U877" s="60">
        <v>0</v>
      </c>
      <c r="V877" s="60">
        <v>0</v>
      </c>
      <c r="W877" s="60">
        <v>0</v>
      </c>
      <c r="X877" s="60">
        <v>0</v>
      </c>
      <c r="Y877" s="60">
        <v>0</v>
      </c>
      <c r="Z877" s="60">
        <v>0</v>
      </c>
      <c r="AA877" s="60">
        <v>0</v>
      </c>
      <c r="AB877" s="60">
        <v>0</v>
      </c>
      <c r="AC877" s="60">
        <v>741.12</v>
      </c>
      <c r="AD877" s="60">
        <v>743.35</v>
      </c>
      <c r="AE877" s="60">
        <v>695.43</v>
      </c>
      <c r="AF877" s="60">
        <v>0</v>
      </c>
      <c r="AG877" s="60">
        <v>0</v>
      </c>
      <c r="AH877" s="60">
        <v>0</v>
      </c>
      <c r="AI877" s="60">
        <v>741.12</v>
      </c>
      <c r="AJ877" s="60">
        <v>743.35</v>
      </c>
      <c r="AK877" s="60">
        <v>695.43</v>
      </c>
      <c r="AL877" s="60">
        <v>0</v>
      </c>
      <c r="AM877" s="60">
        <v>0</v>
      </c>
      <c r="AN877" s="60">
        <v>0</v>
      </c>
      <c r="AO877" s="60">
        <v>741.12</v>
      </c>
      <c r="AP877" s="60">
        <v>743.35</v>
      </c>
      <c r="AQ877" s="60">
        <v>695.43</v>
      </c>
      <c r="AR877" s="61">
        <v>743.35</v>
      </c>
    </row>
    <row r="878" spans="1:44" ht="31" x14ac:dyDescent="0.35">
      <c r="A878" s="49" t="str">
        <f t="shared" si="76"/>
        <v>30</v>
      </c>
      <c r="B878" s="27">
        <v>66464</v>
      </c>
      <c r="C878" s="25" t="str">
        <f>TEXT(124743,"0000000")</f>
        <v>0124743</v>
      </c>
      <c r="D878" s="27">
        <v>1324</v>
      </c>
      <c r="E878" s="25" t="s">
        <v>1554</v>
      </c>
      <c r="F878" s="25" t="s">
        <v>5</v>
      </c>
      <c r="G878" s="59" t="s">
        <v>1555</v>
      </c>
      <c r="H878" s="60">
        <v>0</v>
      </c>
      <c r="I878" s="60">
        <v>0</v>
      </c>
      <c r="J878" s="60">
        <v>0</v>
      </c>
      <c r="K878" s="60">
        <v>0</v>
      </c>
      <c r="L878" s="60">
        <v>0</v>
      </c>
      <c r="M878" s="60">
        <v>0</v>
      </c>
      <c r="N878" s="60">
        <v>0</v>
      </c>
      <c r="O878" s="60">
        <v>0</v>
      </c>
      <c r="P878" s="60">
        <v>0</v>
      </c>
      <c r="Q878" s="60">
        <v>0</v>
      </c>
      <c r="R878" s="60">
        <v>0</v>
      </c>
      <c r="S878" s="60">
        <v>0</v>
      </c>
      <c r="T878" s="60">
        <v>0</v>
      </c>
      <c r="U878" s="60">
        <v>0</v>
      </c>
      <c r="V878" s="60">
        <v>0</v>
      </c>
      <c r="W878" s="60">
        <v>0</v>
      </c>
      <c r="X878" s="60">
        <v>0</v>
      </c>
      <c r="Y878" s="60">
        <v>0</v>
      </c>
      <c r="Z878" s="60">
        <v>0</v>
      </c>
      <c r="AA878" s="60">
        <v>0</v>
      </c>
      <c r="AB878" s="60">
        <v>0</v>
      </c>
      <c r="AC878" s="60">
        <v>615.14</v>
      </c>
      <c r="AD878" s="60">
        <v>801.84</v>
      </c>
      <c r="AE878" s="60">
        <v>831.9</v>
      </c>
      <c r="AF878" s="60">
        <v>0</v>
      </c>
      <c r="AG878" s="60">
        <v>0</v>
      </c>
      <c r="AH878" s="60">
        <v>0</v>
      </c>
      <c r="AI878" s="60">
        <v>615.14</v>
      </c>
      <c r="AJ878" s="60">
        <v>801.84</v>
      </c>
      <c r="AK878" s="60">
        <v>831.9</v>
      </c>
      <c r="AL878" s="60">
        <v>0</v>
      </c>
      <c r="AM878" s="60">
        <v>0</v>
      </c>
      <c r="AN878" s="60">
        <v>0</v>
      </c>
      <c r="AO878" s="60">
        <v>615.14</v>
      </c>
      <c r="AP878" s="60">
        <v>801.84</v>
      </c>
      <c r="AQ878" s="60">
        <v>831.9</v>
      </c>
      <c r="AR878" s="61">
        <v>831.9</v>
      </c>
    </row>
    <row r="879" spans="1:44" x14ac:dyDescent="0.35">
      <c r="A879" s="49" t="str">
        <f t="shared" si="76"/>
        <v>30</v>
      </c>
      <c r="B879" s="27">
        <v>66464</v>
      </c>
      <c r="C879" s="25" t="str">
        <f>TEXT(140061,"0000000")</f>
        <v>0140061</v>
      </c>
      <c r="D879" s="27">
        <v>2084</v>
      </c>
      <c r="E879" s="25" t="s">
        <v>1556</v>
      </c>
      <c r="F879" s="25" t="s">
        <v>5</v>
      </c>
      <c r="G879" s="59" t="s">
        <v>1557</v>
      </c>
      <c r="H879" s="60">
        <v>0</v>
      </c>
      <c r="I879" s="60">
        <v>0</v>
      </c>
      <c r="J879" s="60">
        <v>0</v>
      </c>
      <c r="K879" s="60">
        <v>0</v>
      </c>
      <c r="L879" s="60">
        <v>0</v>
      </c>
      <c r="M879" s="60">
        <v>0</v>
      </c>
      <c r="N879" s="60">
        <v>0</v>
      </c>
      <c r="O879" s="60">
        <v>0</v>
      </c>
      <c r="P879" s="60">
        <v>0</v>
      </c>
      <c r="Q879" s="60">
        <v>0</v>
      </c>
      <c r="R879" s="60">
        <v>0</v>
      </c>
      <c r="S879" s="60">
        <v>0</v>
      </c>
      <c r="T879" s="60">
        <v>0</v>
      </c>
      <c r="U879" s="60">
        <v>0</v>
      </c>
      <c r="V879" s="60">
        <v>0</v>
      </c>
      <c r="W879" s="60">
        <v>0</v>
      </c>
      <c r="X879" s="60">
        <v>0</v>
      </c>
      <c r="Y879" s="60">
        <v>0</v>
      </c>
      <c r="Z879" s="60">
        <v>0</v>
      </c>
      <c r="AA879" s="60">
        <v>0</v>
      </c>
      <c r="AB879" s="60">
        <v>0</v>
      </c>
      <c r="AC879" s="60">
        <v>98.1</v>
      </c>
      <c r="AD879" s="60">
        <v>96.04</v>
      </c>
      <c r="AE879" s="60">
        <v>119.6</v>
      </c>
      <c r="AF879" s="60">
        <v>0</v>
      </c>
      <c r="AG879" s="60">
        <v>0</v>
      </c>
      <c r="AH879" s="60">
        <v>0</v>
      </c>
      <c r="AI879" s="60">
        <v>98.1</v>
      </c>
      <c r="AJ879" s="60">
        <v>96.04</v>
      </c>
      <c r="AK879" s="60">
        <v>119.6</v>
      </c>
      <c r="AL879" s="60">
        <v>0</v>
      </c>
      <c r="AM879" s="60">
        <v>0</v>
      </c>
      <c r="AN879" s="60">
        <v>0</v>
      </c>
      <c r="AO879" s="60">
        <v>98.1</v>
      </c>
      <c r="AP879" s="60">
        <v>96.04</v>
      </c>
      <c r="AQ879" s="60">
        <v>119.6</v>
      </c>
      <c r="AR879" s="61">
        <v>119.6</v>
      </c>
    </row>
    <row r="880" spans="1:44" x14ac:dyDescent="0.35">
      <c r="A880" s="49" t="str">
        <f t="shared" si="76"/>
        <v>30</v>
      </c>
      <c r="B880" s="27">
        <v>66530</v>
      </c>
      <c r="C880" s="25" t="str">
        <f>TEXT(134221,"0000000")</f>
        <v>0134221</v>
      </c>
      <c r="D880" s="27">
        <v>1812</v>
      </c>
      <c r="E880" s="25" t="s">
        <v>1577</v>
      </c>
      <c r="F880" s="25" t="s">
        <v>5</v>
      </c>
      <c r="G880" s="59" t="s">
        <v>1578</v>
      </c>
      <c r="H880" s="60">
        <v>0</v>
      </c>
      <c r="I880" s="60">
        <v>0</v>
      </c>
      <c r="J880" s="60">
        <v>0</v>
      </c>
      <c r="K880" s="60">
        <v>0</v>
      </c>
      <c r="L880" s="60">
        <v>0</v>
      </c>
      <c r="M880" s="60">
        <v>0</v>
      </c>
      <c r="N880" s="60">
        <v>0</v>
      </c>
      <c r="O880" s="60">
        <v>0</v>
      </c>
      <c r="P880" s="60">
        <v>0</v>
      </c>
      <c r="Q880" s="60">
        <v>0</v>
      </c>
      <c r="R880" s="60">
        <v>0</v>
      </c>
      <c r="S880" s="60">
        <v>0</v>
      </c>
      <c r="T880" s="60">
        <v>0</v>
      </c>
      <c r="U880" s="60">
        <v>0</v>
      </c>
      <c r="V880" s="60">
        <v>0</v>
      </c>
      <c r="W880" s="60">
        <v>0</v>
      </c>
      <c r="X880" s="60">
        <v>0</v>
      </c>
      <c r="Y880" s="60">
        <v>0</v>
      </c>
      <c r="Z880" s="60">
        <v>0</v>
      </c>
      <c r="AA880" s="60">
        <v>0</v>
      </c>
      <c r="AB880" s="60">
        <v>0</v>
      </c>
      <c r="AC880" s="60">
        <v>328.42</v>
      </c>
      <c r="AD880" s="60">
        <v>307.43</v>
      </c>
      <c r="AE880" s="60">
        <v>299.93</v>
      </c>
      <c r="AF880" s="60">
        <v>0</v>
      </c>
      <c r="AG880" s="60">
        <v>0</v>
      </c>
      <c r="AH880" s="60">
        <v>0</v>
      </c>
      <c r="AI880" s="60">
        <v>328.42</v>
      </c>
      <c r="AJ880" s="60">
        <v>307.43</v>
      </c>
      <c r="AK880" s="60">
        <v>299.93</v>
      </c>
      <c r="AL880" s="60">
        <v>0</v>
      </c>
      <c r="AM880" s="60">
        <v>0</v>
      </c>
      <c r="AN880" s="60">
        <v>0</v>
      </c>
      <c r="AO880" s="60">
        <v>328.42</v>
      </c>
      <c r="AP880" s="60">
        <v>307.43</v>
      </c>
      <c r="AQ880" s="60">
        <v>299.93</v>
      </c>
      <c r="AR880" s="61">
        <v>328.42</v>
      </c>
    </row>
    <row r="881" spans="1:44" x14ac:dyDescent="0.35">
      <c r="A881" s="49" t="str">
        <f t="shared" si="76"/>
        <v>30</v>
      </c>
      <c r="B881" s="27">
        <v>66621</v>
      </c>
      <c r="C881" s="25" t="str">
        <f>TEXT(6094874,"0000000")</f>
        <v>6094874</v>
      </c>
      <c r="D881" s="26" t="s">
        <v>1598</v>
      </c>
      <c r="E881" s="25" t="s">
        <v>1596</v>
      </c>
      <c r="F881" s="25" t="s">
        <v>5</v>
      </c>
      <c r="G881" s="59" t="s">
        <v>1597</v>
      </c>
      <c r="H881" s="60">
        <v>0</v>
      </c>
      <c r="I881" s="60">
        <v>0</v>
      </c>
      <c r="J881" s="60">
        <v>0</v>
      </c>
      <c r="K881" s="60">
        <v>0</v>
      </c>
      <c r="L881" s="60">
        <v>0</v>
      </c>
      <c r="M881" s="60">
        <v>0</v>
      </c>
      <c r="N881" s="60">
        <v>0</v>
      </c>
      <c r="O881" s="60">
        <v>0</v>
      </c>
      <c r="P881" s="60">
        <v>0</v>
      </c>
      <c r="Q881" s="60">
        <v>0</v>
      </c>
      <c r="R881" s="60">
        <v>0</v>
      </c>
      <c r="S881" s="60">
        <v>0</v>
      </c>
      <c r="T881" s="60">
        <v>0</v>
      </c>
      <c r="U881" s="60">
        <v>0</v>
      </c>
      <c r="V881" s="60">
        <v>0</v>
      </c>
      <c r="W881" s="60">
        <v>0</v>
      </c>
      <c r="X881" s="60">
        <v>0</v>
      </c>
      <c r="Y881" s="60">
        <v>0</v>
      </c>
      <c r="Z881" s="60">
        <v>0</v>
      </c>
      <c r="AA881" s="60">
        <v>0</v>
      </c>
      <c r="AB881" s="60">
        <v>0</v>
      </c>
      <c r="AC881" s="60">
        <v>1072.04</v>
      </c>
      <c r="AD881" s="60">
        <v>1054.57</v>
      </c>
      <c r="AE881" s="60">
        <v>1058.05</v>
      </c>
      <c r="AF881" s="60">
        <v>0</v>
      </c>
      <c r="AG881" s="60">
        <v>0</v>
      </c>
      <c r="AH881" s="60">
        <v>0</v>
      </c>
      <c r="AI881" s="60">
        <v>1072.04</v>
      </c>
      <c r="AJ881" s="60">
        <v>1054.57</v>
      </c>
      <c r="AK881" s="60">
        <v>1058.05</v>
      </c>
      <c r="AL881" s="60">
        <v>0</v>
      </c>
      <c r="AM881" s="60">
        <v>0</v>
      </c>
      <c r="AN881" s="60">
        <v>0</v>
      </c>
      <c r="AO881" s="60">
        <v>1072.04</v>
      </c>
      <c r="AP881" s="60">
        <v>1054.57</v>
      </c>
      <c r="AQ881" s="60">
        <v>1058.05</v>
      </c>
      <c r="AR881" s="61">
        <v>1072.04</v>
      </c>
    </row>
    <row r="882" spans="1:44" x14ac:dyDescent="0.35">
      <c r="A882" s="49" t="str">
        <f t="shared" si="76"/>
        <v>30</v>
      </c>
      <c r="B882" s="27">
        <v>66621</v>
      </c>
      <c r="C882" s="25" t="str">
        <f>TEXT(6085328,"0000000")</f>
        <v>6085328</v>
      </c>
      <c r="D882" s="26" t="s">
        <v>1595</v>
      </c>
      <c r="E882" s="25" t="s">
        <v>1593</v>
      </c>
      <c r="F882" s="25" t="s">
        <v>5</v>
      </c>
      <c r="G882" s="59" t="s">
        <v>1594</v>
      </c>
      <c r="H882" s="60">
        <v>0</v>
      </c>
      <c r="I882" s="60">
        <v>0</v>
      </c>
      <c r="J882" s="60">
        <v>0</v>
      </c>
      <c r="K882" s="60">
        <v>0</v>
      </c>
      <c r="L882" s="60">
        <v>0</v>
      </c>
      <c r="M882" s="60">
        <v>0</v>
      </c>
      <c r="N882" s="60">
        <v>0</v>
      </c>
      <c r="O882" s="60">
        <v>0</v>
      </c>
      <c r="P882" s="60">
        <v>0</v>
      </c>
      <c r="Q882" s="60">
        <v>0</v>
      </c>
      <c r="R882" s="60">
        <v>0</v>
      </c>
      <c r="S882" s="60">
        <v>0</v>
      </c>
      <c r="T882" s="60">
        <v>0</v>
      </c>
      <c r="U882" s="60">
        <v>0</v>
      </c>
      <c r="V882" s="60">
        <v>0</v>
      </c>
      <c r="W882" s="60">
        <v>0</v>
      </c>
      <c r="X882" s="60">
        <v>0</v>
      </c>
      <c r="Y882" s="60">
        <v>0</v>
      </c>
      <c r="Z882" s="60">
        <v>0</v>
      </c>
      <c r="AA882" s="60">
        <v>0</v>
      </c>
      <c r="AB882" s="60">
        <v>0</v>
      </c>
      <c r="AC882" s="60">
        <v>1019.9</v>
      </c>
      <c r="AD882" s="60">
        <v>1000.82</v>
      </c>
      <c r="AE882" s="60">
        <v>1049.82</v>
      </c>
      <c r="AF882" s="60">
        <v>0</v>
      </c>
      <c r="AG882" s="60">
        <v>0</v>
      </c>
      <c r="AH882" s="60">
        <v>0</v>
      </c>
      <c r="AI882" s="60">
        <v>1019.9</v>
      </c>
      <c r="AJ882" s="60">
        <v>1000.82</v>
      </c>
      <c r="AK882" s="60">
        <v>1049.82</v>
      </c>
      <c r="AL882" s="60">
        <v>0</v>
      </c>
      <c r="AM882" s="60">
        <v>0</v>
      </c>
      <c r="AN882" s="60">
        <v>0</v>
      </c>
      <c r="AO882" s="60">
        <v>1019.9</v>
      </c>
      <c r="AP882" s="60">
        <v>1000.82</v>
      </c>
      <c r="AQ882" s="60">
        <v>1049.82</v>
      </c>
      <c r="AR882" s="61">
        <v>1049.82</v>
      </c>
    </row>
    <row r="883" spans="1:44" x14ac:dyDescent="0.35">
      <c r="A883" s="49" t="str">
        <f t="shared" si="76"/>
        <v>30</v>
      </c>
      <c r="B883" s="27">
        <v>66670</v>
      </c>
      <c r="C883" s="25" t="str">
        <f>TEXT(106567,"0000000")</f>
        <v>0106567</v>
      </c>
      <c r="D883" s="26" t="s">
        <v>1606</v>
      </c>
      <c r="E883" s="25" t="s">
        <v>1604</v>
      </c>
      <c r="F883" s="25" t="s">
        <v>5</v>
      </c>
      <c r="G883" s="59" t="s">
        <v>1605</v>
      </c>
      <c r="H883" s="60">
        <v>0</v>
      </c>
      <c r="I883" s="60">
        <v>0</v>
      </c>
      <c r="J883" s="60">
        <v>0</v>
      </c>
      <c r="K883" s="60">
        <v>0</v>
      </c>
      <c r="L883" s="60">
        <v>0</v>
      </c>
      <c r="M883" s="60">
        <v>0</v>
      </c>
      <c r="N883" s="60">
        <v>0</v>
      </c>
      <c r="O883" s="60">
        <v>0</v>
      </c>
      <c r="P883" s="60">
        <v>0</v>
      </c>
      <c r="Q883" s="60">
        <v>0</v>
      </c>
      <c r="R883" s="60">
        <v>0</v>
      </c>
      <c r="S883" s="60">
        <v>0</v>
      </c>
      <c r="T883" s="60">
        <v>0</v>
      </c>
      <c r="U883" s="60">
        <v>0</v>
      </c>
      <c r="V883" s="60">
        <v>0</v>
      </c>
      <c r="W883" s="60">
        <v>0</v>
      </c>
      <c r="X883" s="60">
        <v>0</v>
      </c>
      <c r="Y883" s="60">
        <v>0</v>
      </c>
      <c r="Z883" s="60">
        <v>0</v>
      </c>
      <c r="AA883" s="60">
        <v>0</v>
      </c>
      <c r="AB883" s="60">
        <v>0</v>
      </c>
      <c r="AC883" s="60">
        <v>259.8</v>
      </c>
      <c r="AD883" s="60">
        <v>279.64</v>
      </c>
      <c r="AE883" s="60">
        <v>290.89999999999998</v>
      </c>
      <c r="AF883" s="60">
        <v>0</v>
      </c>
      <c r="AG883" s="60">
        <v>0</v>
      </c>
      <c r="AH883" s="60">
        <v>0</v>
      </c>
      <c r="AI883" s="60">
        <v>259.8</v>
      </c>
      <c r="AJ883" s="60">
        <v>279.64</v>
      </c>
      <c r="AK883" s="60">
        <v>290.89999999999998</v>
      </c>
      <c r="AL883" s="60">
        <v>0</v>
      </c>
      <c r="AM883" s="60">
        <v>0</v>
      </c>
      <c r="AN883" s="60">
        <v>0</v>
      </c>
      <c r="AO883" s="60">
        <v>259.8</v>
      </c>
      <c r="AP883" s="60">
        <v>279.64</v>
      </c>
      <c r="AQ883" s="60">
        <v>290.89999999999998</v>
      </c>
      <c r="AR883" s="61">
        <v>290.89999999999998</v>
      </c>
    </row>
    <row r="884" spans="1:44" x14ac:dyDescent="0.35">
      <c r="A884" s="49" t="str">
        <f t="shared" si="76"/>
        <v>30</v>
      </c>
      <c r="B884" s="27">
        <v>66670</v>
      </c>
      <c r="C884" s="25" t="str">
        <f>TEXT(109066,"0000000")</f>
        <v>0109066</v>
      </c>
      <c r="D884" s="26" t="s">
        <v>1609</v>
      </c>
      <c r="E884" s="25" t="s">
        <v>1607</v>
      </c>
      <c r="F884" s="25" t="s">
        <v>5</v>
      </c>
      <c r="G884" s="59" t="s">
        <v>1608</v>
      </c>
      <c r="H884" s="60">
        <v>0</v>
      </c>
      <c r="I884" s="60">
        <v>0</v>
      </c>
      <c r="J884" s="60">
        <v>0</v>
      </c>
      <c r="K884" s="60">
        <v>0</v>
      </c>
      <c r="L884" s="60">
        <v>0</v>
      </c>
      <c r="M884" s="60">
        <v>0</v>
      </c>
      <c r="N884" s="60">
        <v>0</v>
      </c>
      <c r="O884" s="60">
        <v>0</v>
      </c>
      <c r="P884" s="60">
        <v>0</v>
      </c>
      <c r="Q884" s="60">
        <v>0</v>
      </c>
      <c r="R884" s="60">
        <v>0</v>
      </c>
      <c r="S884" s="60">
        <v>0</v>
      </c>
      <c r="T884" s="60">
        <v>0</v>
      </c>
      <c r="U884" s="60">
        <v>0</v>
      </c>
      <c r="V884" s="60">
        <v>0</v>
      </c>
      <c r="W884" s="60">
        <v>0</v>
      </c>
      <c r="X884" s="60">
        <v>0</v>
      </c>
      <c r="Y884" s="60">
        <v>0</v>
      </c>
      <c r="Z884" s="60">
        <v>0</v>
      </c>
      <c r="AA884" s="60">
        <v>0</v>
      </c>
      <c r="AB884" s="60">
        <v>0</v>
      </c>
      <c r="AC884" s="60">
        <v>590.24</v>
      </c>
      <c r="AD884" s="60">
        <v>527.69000000000005</v>
      </c>
      <c r="AE884" s="60">
        <v>508.62</v>
      </c>
      <c r="AF884" s="60">
        <v>0</v>
      </c>
      <c r="AG884" s="60">
        <v>0</v>
      </c>
      <c r="AH884" s="60">
        <v>0</v>
      </c>
      <c r="AI884" s="60">
        <v>590.24</v>
      </c>
      <c r="AJ884" s="60">
        <v>527.69000000000005</v>
      </c>
      <c r="AK884" s="60">
        <v>508.62</v>
      </c>
      <c r="AL884" s="60">
        <v>0</v>
      </c>
      <c r="AM884" s="60">
        <v>0</v>
      </c>
      <c r="AN884" s="60">
        <v>0</v>
      </c>
      <c r="AO884" s="60">
        <v>590.24</v>
      </c>
      <c r="AP884" s="60">
        <v>527.69000000000005</v>
      </c>
      <c r="AQ884" s="60">
        <v>508.62</v>
      </c>
      <c r="AR884" s="61">
        <v>590.24</v>
      </c>
    </row>
    <row r="885" spans="1:44" x14ac:dyDescent="0.35">
      <c r="A885" s="49" t="str">
        <f>TEXT(1,"00")</f>
        <v>01</v>
      </c>
      <c r="B885" s="27">
        <v>61259</v>
      </c>
      <c r="C885" s="25" t="str">
        <f>TEXT(108944,"0000000")</f>
        <v>0108944</v>
      </c>
      <c r="D885" s="26" t="s">
        <v>84</v>
      </c>
      <c r="E885" s="25" t="s">
        <v>82</v>
      </c>
      <c r="F885" s="25" t="s">
        <v>5</v>
      </c>
      <c r="G885" s="59" t="s">
        <v>83</v>
      </c>
      <c r="H885" s="60">
        <v>0</v>
      </c>
      <c r="I885" s="60">
        <v>0</v>
      </c>
      <c r="J885" s="60">
        <v>0</v>
      </c>
      <c r="K885" s="60">
        <v>0</v>
      </c>
      <c r="L885" s="60">
        <v>0</v>
      </c>
      <c r="M885" s="60">
        <v>0</v>
      </c>
      <c r="N885" s="60">
        <v>0</v>
      </c>
      <c r="O885" s="60">
        <v>0</v>
      </c>
      <c r="P885" s="60">
        <v>0</v>
      </c>
      <c r="Q885" s="60">
        <v>0</v>
      </c>
      <c r="R885" s="60">
        <v>0</v>
      </c>
      <c r="S885" s="60">
        <v>0</v>
      </c>
      <c r="T885" s="60">
        <v>0</v>
      </c>
      <c r="U885" s="60">
        <v>0</v>
      </c>
      <c r="V885" s="60">
        <v>0</v>
      </c>
      <c r="W885" s="60">
        <v>0</v>
      </c>
      <c r="X885" s="60">
        <v>0</v>
      </c>
      <c r="Y885" s="60">
        <v>0</v>
      </c>
      <c r="Z885" s="60">
        <v>0</v>
      </c>
      <c r="AA885" s="60">
        <v>0</v>
      </c>
      <c r="AB885" s="60">
        <v>0</v>
      </c>
      <c r="AC885" s="60">
        <v>265.23</v>
      </c>
      <c r="AD885" s="60">
        <v>269.63</v>
      </c>
      <c r="AE885" s="60">
        <v>275.83999999999997</v>
      </c>
      <c r="AF885" s="60">
        <v>0</v>
      </c>
      <c r="AG885" s="60">
        <v>0</v>
      </c>
      <c r="AH885" s="60">
        <v>0</v>
      </c>
      <c r="AI885" s="60">
        <v>265.23</v>
      </c>
      <c r="AJ885" s="60">
        <v>269.63</v>
      </c>
      <c r="AK885" s="60">
        <v>275.83999999999997</v>
      </c>
      <c r="AL885" s="60">
        <v>0</v>
      </c>
      <c r="AM885" s="60">
        <v>0</v>
      </c>
      <c r="AN885" s="60">
        <v>0</v>
      </c>
      <c r="AO885" s="60">
        <v>265.23</v>
      </c>
      <c r="AP885" s="60">
        <v>269.63</v>
      </c>
      <c r="AQ885" s="60">
        <v>275.83999999999997</v>
      </c>
      <c r="AR885" s="61">
        <v>275.83999999999997</v>
      </c>
    </row>
    <row r="886" spans="1:44" x14ac:dyDescent="0.35">
      <c r="A886" s="49" t="str">
        <f>TEXT(30,"00")</f>
        <v>30</v>
      </c>
      <c r="B886" s="27">
        <v>66670</v>
      </c>
      <c r="C886" s="25" t="str">
        <f>TEXT(6119127,"0000000")</f>
        <v>6119127</v>
      </c>
      <c r="D886" s="26" t="s">
        <v>1612</v>
      </c>
      <c r="E886" s="25" t="s">
        <v>1610</v>
      </c>
      <c r="F886" s="25" t="s">
        <v>5</v>
      </c>
      <c r="G886" s="59" t="s">
        <v>1611</v>
      </c>
      <c r="H886" s="60">
        <v>0</v>
      </c>
      <c r="I886" s="60">
        <v>0</v>
      </c>
      <c r="J886" s="60">
        <v>0</v>
      </c>
      <c r="K886" s="60">
        <v>0</v>
      </c>
      <c r="L886" s="60">
        <v>0</v>
      </c>
      <c r="M886" s="60">
        <v>0</v>
      </c>
      <c r="N886" s="60">
        <v>0</v>
      </c>
      <c r="O886" s="60">
        <v>0</v>
      </c>
      <c r="P886" s="60">
        <v>0</v>
      </c>
      <c r="Q886" s="60">
        <v>0</v>
      </c>
      <c r="R886" s="60">
        <v>0</v>
      </c>
      <c r="S886" s="60">
        <v>0</v>
      </c>
      <c r="T886" s="60">
        <v>0</v>
      </c>
      <c r="U886" s="60">
        <v>0</v>
      </c>
      <c r="V886" s="60">
        <v>0</v>
      </c>
      <c r="W886" s="60">
        <v>0</v>
      </c>
      <c r="X886" s="60">
        <v>0</v>
      </c>
      <c r="Y886" s="60">
        <v>0</v>
      </c>
      <c r="Z886" s="60">
        <v>0</v>
      </c>
      <c r="AA886" s="60">
        <v>0</v>
      </c>
      <c r="AB886" s="60">
        <v>0</v>
      </c>
      <c r="AC886" s="60">
        <v>906.7</v>
      </c>
      <c r="AD886" s="60">
        <v>900.12</v>
      </c>
      <c r="AE886" s="60">
        <v>885.91</v>
      </c>
      <c r="AF886" s="60">
        <v>0</v>
      </c>
      <c r="AG886" s="60">
        <v>0</v>
      </c>
      <c r="AH886" s="60">
        <v>0</v>
      </c>
      <c r="AI886" s="60">
        <v>906.7</v>
      </c>
      <c r="AJ886" s="60">
        <v>900.12</v>
      </c>
      <c r="AK886" s="60">
        <v>885.91</v>
      </c>
      <c r="AL886" s="60">
        <v>0</v>
      </c>
      <c r="AM886" s="60">
        <v>0</v>
      </c>
      <c r="AN886" s="60">
        <v>0</v>
      </c>
      <c r="AO886" s="60">
        <v>906.7</v>
      </c>
      <c r="AP886" s="60">
        <v>900.12</v>
      </c>
      <c r="AQ886" s="60">
        <v>885.91</v>
      </c>
      <c r="AR886" s="61">
        <v>906.7</v>
      </c>
    </row>
    <row r="887" spans="1:44" x14ac:dyDescent="0.35">
      <c r="A887" s="49" t="str">
        <f>TEXT(30,"00")</f>
        <v>30</v>
      </c>
      <c r="B887" s="27">
        <v>76893</v>
      </c>
      <c r="C887" s="25" t="str">
        <f>TEXT(130765,"0000000")</f>
        <v>0130765</v>
      </c>
      <c r="D887" s="27">
        <v>1686</v>
      </c>
      <c r="E887" s="25" t="s">
        <v>1623</v>
      </c>
      <c r="F887" s="25" t="s">
        <v>5</v>
      </c>
      <c r="G887" s="59" t="s">
        <v>1624</v>
      </c>
      <c r="H887" s="60">
        <v>0</v>
      </c>
      <c r="I887" s="60">
        <v>0</v>
      </c>
      <c r="J887" s="60">
        <v>0</v>
      </c>
      <c r="K887" s="60">
        <v>0</v>
      </c>
      <c r="L887" s="60">
        <v>0</v>
      </c>
      <c r="M887" s="60">
        <v>0</v>
      </c>
      <c r="N887" s="60">
        <v>0</v>
      </c>
      <c r="O887" s="60">
        <v>0</v>
      </c>
      <c r="P887" s="60">
        <v>0</v>
      </c>
      <c r="Q887" s="60">
        <v>0</v>
      </c>
      <c r="R887" s="60">
        <v>0</v>
      </c>
      <c r="S887" s="60">
        <v>0</v>
      </c>
      <c r="T887" s="60">
        <v>0</v>
      </c>
      <c r="U887" s="60">
        <v>0</v>
      </c>
      <c r="V887" s="60">
        <v>0</v>
      </c>
      <c r="W887" s="60">
        <v>0</v>
      </c>
      <c r="X887" s="60">
        <v>0</v>
      </c>
      <c r="Y887" s="60">
        <v>0</v>
      </c>
      <c r="Z887" s="60">
        <v>0</v>
      </c>
      <c r="AA887" s="60">
        <v>0</v>
      </c>
      <c r="AB887" s="60">
        <v>0</v>
      </c>
      <c r="AC887" s="60">
        <v>476.2</v>
      </c>
      <c r="AD887" s="60">
        <v>466.72</v>
      </c>
      <c r="AE887" s="60">
        <v>482.76</v>
      </c>
      <c r="AF887" s="60">
        <v>0</v>
      </c>
      <c r="AG887" s="60">
        <v>0</v>
      </c>
      <c r="AH887" s="60">
        <v>0</v>
      </c>
      <c r="AI887" s="60">
        <v>476.2</v>
      </c>
      <c r="AJ887" s="60">
        <v>466.72</v>
      </c>
      <c r="AK887" s="60">
        <v>482.76</v>
      </c>
      <c r="AL887" s="60">
        <v>0</v>
      </c>
      <c r="AM887" s="60">
        <v>0</v>
      </c>
      <c r="AN887" s="60">
        <v>0</v>
      </c>
      <c r="AO887" s="60">
        <v>476.2</v>
      </c>
      <c r="AP887" s="60">
        <v>466.72</v>
      </c>
      <c r="AQ887" s="60">
        <v>482.76</v>
      </c>
      <c r="AR887" s="61">
        <v>482.76</v>
      </c>
    </row>
    <row r="888" spans="1:44" x14ac:dyDescent="0.35">
      <c r="A888" s="49" t="str">
        <f t="shared" ref="A888:A893" si="77">TEXT(31,"00")</f>
        <v>31</v>
      </c>
      <c r="B888" s="27">
        <v>66852</v>
      </c>
      <c r="C888" s="25" t="str">
        <f>TEXT(127928,"0000000")</f>
        <v>0127928</v>
      </c>
      <c r="D888" s="27">
        <v>1528</v>
      </c>
      <c r="E888" s="25" t="s">
        <v>1645</v>
      </c>
      <c r="F888" s="25" t="s">
        <v>5</v>
      </c>
      <c r="G888" s="59" t="s">
        <v>1646</v>
      </c>
      <c r="H888" s="60">
        <v>0</v>
      </c>
      <c r="I888" s="60">
        <v>0</v>
      </c>
      <c r="J888" s="60">
        <v>0</v>
      </c>
      <c r="K888" s="60">
        <v>0</v>
      </c>
      <c r="L888" s="60">
        <v>0</v>
      </c>
      <c r="M888" s="60">
        <v>0</v>
      </c>
      <c r="N888" s="60">
        <v>0</v>
      </c>
      <c r="O888" s="60">
        <v>0</v>
      </c>
      <c r="P888" s="60">
        <v>0</v>
      </c>
      <c r="Q888" s="60">
        <v>0</v>
      </c>
      <c r="R888" s="60">
        <v>0</v>
      </c>
      <c r="S888" s="60">
        <v>0</v>
      </c>
      <c r="T888" s="60">
        <v>0</v>
      </c>
      <c r="U888" s="60">
        <v>0</v>
      </c>
      <c r="V888" s="60">
        <v>0</v>
      </c>
      <c r="W888" s="60">
        <v>0</v>
      </c>
      <c r="X888" s="60">
        <v>0</v>
      </c>
      <c r="Y888" s="60">
        <v>0</v>
      </c>
      <c r="Z888" s="60">
        <v>0</v>
      </c>
      <c r="AA888" s="60">
        <v>0</v>
      </c>
      <c r="AB888" s="60">
        <v>0</v>
      </c>
      <c r="AC888" s="60">
        <v>1057.95</v>
      </c>
      <c r="AD888" s="60">
        <v>1129.22</v>
      </c>
      <c r="AE888" s="60">
        <v>1104.02</v>
      </c>
      <c r="AF888" s="60">
        <v>0</v>
      </c>
      <c r="AG888" s="60">
        <v>0</v>
      </c>
      <c r="AH888" s="60">
        <v>0</v>
      </c>
      <c r="AI888" s="60">
        <v>1057.95</v>
      </c>
      <c r="AJ888" s="60">
        <v>1129.22</v>
      </c>
      <c r="AK888" s="60">
        <v>1104.02</v>
      </c>
      <c r="AL888" s="60">
        <v>0</v>
      </c>
      <c r="AM888" s="60">
        <v>0</v>
      </c>
      <c r="AN888" s="60">
        <v>0</v>
      </c>
      <c r="AO888" s="60">
        <v>1057.95</v>
      </c>
      <c r="AP888" s="60">
        <v>1129.22</v>
      </c>
      <c r="AQ888" s="60">
        <v>1104.02</v>
      </c>
      <c r="AR888" s="61">
        <v>1129.22</v>
      </c>
    </row>
    <row r="889" spans="1:44" x14ac:dyDescent="0.35">
      <c r="A889" s="49" t="str">
        <f t="shared" si="77"/>
        <v>31</v>
      </c>
      <c r="B889" s="27">
        <v>66928</v>
      </c>
      <c r="C889" s="25" t="str">
        <f>TEXT(121418,"0000000")</f>
        <v>0121418</v>
      </c>
      <c r="D889" s="27">
        <v>2061</v>
      </c>
      <c r="E889" s="25" t="s">
        <v>1655</v>
      </c>
      <c r="F889" s="25" t="s">
        <v>5</v>
      </c>
      <c r="G889" s="59" t="s">
        <v>1656</v>
      </c>
      <c r="H889" s="60">
        <v>0</v>
      </c>
      <c r="I889" s="60">
        <v>0</v>
      </c>
      <c r="J889" s="60">
        <v>0</v>
      </c>
      <c r="K889" s="60">
        <v>0</v>
      </c>
      <c r="L889" s="60">
        <v>0</v>
      </c>
      <c r="M889" s="60">
        <v>0</v>
      </c>
      <c r="N889" s="60">
        <v>0</v>
      </c>
      <c r="O889" s="60">
        <v>0</v>
      </c>
      <c r="P889" s="60">
        <v>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0</v>
      </c>
      <c r="W889" s="60">
        <v>0</v>
      </c>
      <c r="X889" s="60">
        <v>0</v>
      </c>
      <c r="Y889" s="60">
        <v>0</v>
      </c>
      <c r="Z889" s="60">
        <v>0</v>
      </c>
      <c r="AA889" s="60">
        <v>0</v>
      </c>
      <c r="AB889" s="60">
        <v>0</v>
      </c>
      <c r="AC889" s="60">
        <v>1571.42</v>
      </c>
      <c r="AD889" s="60">
        <v>1466.12</v>
      </c>
      <c r="AE889" s="60">
        <v>1457.86</v>
      </c>
      <c r="AF889" s="60">
        <v>0</v>
      </c>
      <c r="AG889" s="60">
        <v>0</v>
      </c>
      <c r="AH889" s="60">
        <v>0</v>
      </c>
      <c r="AI889" s="60">
        <v>1571.42</v>
      </c>
      <c r="AJ889" s="60">
        <v>1466.12</v>
      </c>
      <c r="AK889" s="60">
        <v>1457.86</v>
      </c>
      <c r="AL889" s="60">
        <v>0</v>
      </c>
      <c r="AM889" s="60">
        <v>0</v>
      </c>
      <c r="AN889" s="60">
        <v>0</v>
      </c>
      <c r="AO889" s="60">
        <v>1571.42</v>
      </c>
      <c r="AP889" s="60">
        <v>1466.12</v>
      </c>
      <c r="AQ889" s="60">
        <v>1457.86</v>
      </c>
      <c r="AR889" s="61">
        <v>1571.42</v>
      </c>
    </row>
    <row r="890" spans="1:44" x14ac:dyDescent="0.35">
      <c r="A890" s="49" t="str">
        <f t="shared" si="77"/>
        <v>31</v>
      </c>
      <c r="B890" s="27">
        <v>66928</v>
      </c>
      <c r="C890" s="25" t="str">
        <f>TEXT(141622,"0000000")</f>
        <v>0141622</v>
      </c>
      <c r="D890" s="27">
        <v>2128</v>
      </c>
      <c r="E890" s="25" t="s">
        <v>1657</v>
      </c>
      <c r="F890" s="25" t="s">
        <v>5</v>
      </c>
      <c r="G890" s="59" t="s">
        <v>1658</v>
      </c>
      <c r="H890" s="60">
        <v>0</v>
      </c>
      <c r="I890" s="60">
        <v>0</v>
      </c>
      <c r="J890" s="60">
        <v>0</v>
      </c>
      <c r="K890" s="60">
        <v>0</v>
      </c>
      <c r="L890" s="60">
        <v>0</v>
      </c>
      <c r="M890" s="60">
        <v>0</v>
      </c>
      <c r="N890" s="60">
        <v>0</v>
      </c>
      <c r="O890" s="60">
        <v>0</v>
      </c>
      <c r="P890" s="60">
        <v>0</v>
      </c>
      <c r="Q890" s="60">
        <v>0</v>
      </c>
      <c r="R890" s="60">
        <v>0</v>
      </c>
      <c r="S890" s="60">
        <v>0</v>
      </c>
      <c r="T890" s="60">
        <v>0</v>
      </c>
      <c r="U890" s="60">
        <v>0</v>
      </c>
      <c r="V890" s="60">
        <v>0</v>
      </c>
      <c r="W890" s="60">
        <v>0</v>
      </c>
      <c r="X890" s="60">
        <v>0</v>
      </c>
      <c r="Y890" s="60">
        <v>0</v>
      </c>
      <c r="Z890" s="60">
        <v>0</v>
      </c>
      <c r="AA890" s="60">
        <v>0</v>
      </c>
      <c r="AB890" s="60">
        <v>0</v>
      </c>
      <c r="AC890" s="60">
        <v>133.29</v>
      </c>
      <c r="AD890" s="60">
        <v>86.17</v>
      </c>
      <c r="AE890" s="60">
        <v>0</v>
      </c>
      <c r="AF890" s="60">
        <v>0</v>
      </c>
      <c r="AG890" s="60">
        <v>0</v>
      </c>
      <c r="AH890" s="60">
        <v>0</v>
      </c>
      <c r="AI890" s="60">
        <v>133.29</v>
      </c>
      <c r="AJ890" s="60">
        <v>86.17</v>
      </c>
      <c r="AK890" s="60">
        <v>0</v>
      </c>
      <c r="AL890" s="60">
        <v>0</v>
      </c>
      <c r="AM890" s="60">
        <v>0</v>
      </c>
      <c r="AN890" s="60">
        <v>0</v>
      </c>
      <c r="AO890" s="60">
        <v>133.29</v>
      </c>
      <c r="AP890" s="60">
        <v>86.17</v>
      </c>
      <c r="AQ890" s="60">
        <v>0</v>
      </c>
      <c r="AR890" s="61">
        <v>133.29</v>
      </c>
    </row>
    <row r="891" spans="1:44" x14ac:dyDescent="0.35">
      <c r="A891" s="49" t="str">
        <f t="shared" si="77"/>
        <v>31</v>
      </c>
      <c r="B891" s="27">
        <v>66951</v>
      </c>
      <c r="C891" s="25" t="str">
        <f>TEXT(135871,"0000000")</f>
        <v>0135871</v>
      </c>
      <c r="D891" s="27">
        <v>1715</v>
      </c>
      <c r="E891" s="25" t="s">
        <v>1663</v>
      </c>
      <c r="F891" s="25" t="s">
        <v>5</v>
      </c>
      <c r="G891" s="59" t="s">
        <v>1664</v>
      </c>
      <c r="H891" s="60">
        <v>0</v>
      </c>
      <c r="I891" s="60">
        <v>0</v>
      </c>
      <c r="J891" s="60">
        <v>0</v>
      </c>
      <c r="K891" s="60">
        <v>0</v>
      </c>
      <c r="L891" s="60">
        <v>0</v>
      </c>
      <c r="M891" s="60">
        <v>0</v>
      </c>
      <c r="N891" s="60">
        <v>0</v>
      </c>
      <c r="O891" s="60">
        <v>0</v>
      </c>
      <c r="P891" s="60">
        <v>0</v>
      </c>
      <c r="Q891" s="60">
        <v>0</v>
      </c>
      <c r="R891" s="60">
        <v>0</v>
      </c>
      <c r="S891" s="60">
        <v>0</v>
      </c>
      <c r="T891" s="60">
        <v>0</v>
      </c>
      <c r="U891" s="60">
        <v>0</v>
      </c>
      <c r="V891" s="60">
        <v>0</v>
      </c>
      <c r="W891" s="60">
        <v>0</v>
      </c>
      <c r="X891" s="60">
        <v>0</v>
      </c>
      <c r="Y891" s="60">
        <v>0</v>
      </c>
      <c r="Z891" s="60">
        <v>0</v>
      </c>
      <c r="AA891" s="60">
        <v>0</v>
      </c>
      <c r="AB891" s="60">
        <v>0</v>
      </c>
      <c r="AC891" s="60">
        <v>1343.87</v>
      </c>
      <c r="AD891" s="60">
        <v>1280.45</v>
      </c>
      <c r="AE891" s="60">
        <v>1201.57</v>
      </c>
      <c r="AF891" s="60">
        <v>0</v>
      </c>
      <c r="AG891" s="60">
        <v>0</v>
      </c>
      <c r="AH891" s="60">
        <v>0</v>
      </c>
      <c r="AI891" s="60">
        <v>1343.87</v>
      </c>
      <c r="AJ891" s="60">
        <v>1280.45</v>
      </c>
      <c r="AK891" s="60">
        <v>1201.57</v>
      </c>
      <c r="AL891" s="60">
        <v>0</v>
      </c>
      <c r="AM891" s="60">
        <v>0</v>
      </c>
      <c r="AN891" s="60">
        <v>0</v>
      </c>
      <c r="AO891" s="60">
        <v>1343.87</v>
      </c>
      <c r="AP891" s="60">
        <v>1280.45</v>
      </c>
      <c r="AQ891" s="60">
        <v>1201.57</v>
      </c>
      <c r="AR891" s="61">
        <v>1343.87</v>
      </c>
    </row>
    <row r="892" spans="1:44" x14ac:dyDescent="0.35">
      <c r="A892" s="49" t="str">
        <f t="shared" si="77"/>
        <v>31</v>
      </c>
      <c r="B892" s="27">
        <v>75085</v>
      </c>
      <c r="C892" s="25" t="str">
        <f>TEXT(119487,"0000000")</f>
        <v>0119487</v>
      </c>
      <c r="D892" s="27">
        <v>1071</v>
      </c>
      <c r="E892" s="25" t="s">
        <v>1675</v>
      </c>
      <c r="F892" s="25" t="s">
        <v>5</v>
      </c>
      <c r="G892" s="59" t="s">
        <v>1676</v>
      </c>
      <c r="H892" s="60">
        <v>0</v>
      </c>
      <c r="I892" s="60">
        <v>0</v>
      </c>
      <c r="J892" s="60">
        <v>0</v>
      </c>
      <c r="K892" s="60">
        <v>0</v>
      </c>
      <c r="L892" s="60">
        <v>0</v>
      </c>
      <c r="M892" s="60">
        <v>0</v>
      </c>
      <c r="N892" s="60">
        <v>0</v>
      </c>
      <c r="O892" s="60">
        <v>0</v>
      </c>
      <c r="P892" s="60">
        <v>0</v>
      </c>
      <c r="Q892" s="60">
        <v>0</v>
      </c>
      <c r="R892" s="60">
        <v>0</v>
      </c>
      <c r="S892" s="60">
        <v>0</v>
      </c>
      <c r="T892" s="60">
        <v>0</v>
      </c>
      <c r="U892" s="60">
        <v>0</v>
      </c>
      <c r="V892" s="60">
        <v>0</v>
      </c>
      <c r="W892" s="60">
        <v>0</v>
      </c>
      <c r="X892" s="60">
        <v>0</v>
      </c>
      <c r="Y892" s="60">
        <v>0</v>
      </c>
      <c r="Z892" s="60">
        <v>0</v>
      </c>
      <c r="AA892" s="60">
        <v>0</v>
      </c>
      <c r="AB892" s="60">
        <v>0</v>
      </c>
      <c r="AC892" s="60">
        <v>734.06</v>
      </c>
      <c r="AD892" s="60">
        <v>727.29</v>
      </c>
      <c r="AE892" s="60">
        <v>730.24</v>
      </c>
      <c r="AF892" s="60">
        <v>0</v>
      </c>
      <c r="AG892" s="60">
        <v>0</v>
      </c>
      <c r="AH892" s="60">
        <v>0</v>
      </c>
      <c r="AI892" s="60">
        <v>734.06</v>
      </c>
      <c r="AJ892" s="60">
        <v>727.29</v>
      </c>
      <c r="AK892" s="60">
        <v>730.24</v>
      </c>
      <c r="AL892" s="60">
        <v>0</v>
      </c>
      <c r="AM892" s="60">
        <v>0</v>
      </c>
      <c r="AN892" s="60">
        <v>0</v>
      </c>
      <c r="AO892" s="60">
        <v>734.06</v>
      </c>
      <c r="AP892" s="60">
        <v>727.29</v>
      </c>
      <c r="AQ892" s="60">
        <v>730.24</v>
      </c>
      <c r="AR892" s="61">
        <v>734.06</v>
      </c>
    </row>
    <row r="893" spans="1:44" x14ac:dyDescent="0.35">
      <c r="A893" s="49" t="str">
        <f t="shared" si="77"/>
        <v>31</v>
      </c>
      <c r="B893" s="27">
        <v>75085</v>
      </c>
      <c r="C893" s="25" t="str">
        <f>TEXT(6118392,"0000000")</f>
        <v>6118392</v>
      </c>
      <c r="D893" s="26" t="s">
        <v>1681</v>
      </c>
      <c r="E893" s="25" t="s">
        <v>1679</v>
      </c>
      <c r="F893" s="25" t="s">
        <v>5</v>
      </c>
      <c r="G893" s="59" t="s">
        <v>1680</v>
      </c>
      <c r="H893" s="60">
        <v>0</v>
      </c>
      <c r="I893" s="60">
        <v>0</v>
      </c>
      <c r="J893" s="60">
        <v>0</v>
      </c>
      <c r="K893" s="60">
        <v>0</v>
      </c>
      <c r="L893" s="60">
        <v>0</v>
      </c>
      <c r="M893" s="60">
        <v>0</v>
      </c>
      <c r="N893" s="60">
        <v>0</v>
      </c>
      <c r="O893" s="60">
        <v>0</v>
      </c>
      <c r="P893" s="60">
        <v>0</v>
      </c>
      <c r="Q893" s="60">
        <v>0</v>
      </c>
      <c r="R893" s="60">
        <v>0</v>
      </c>
      <c r="S893" s="60">
        <v>0</v>
      </c>
      <c r="T893" s="60">
        <v>0</v>
      </c>
      <c r="U893" s="60">
        <v>0</v>
      </c>
      <c r="V893" s="60">
        <v>0</v>
      </c>
      <c r="W893" s="60">
        <v>0</v>
      </c>
      <c r="X893" s="60">
        <v>0</v>
      </c>
      <c r="Y893" s="60">
        <v>0</v>
      </c>
      <c r="Z893" s="60">
        <v>0</v>
      </c>
      <c r="AA893" s="60">
        <v>0</v>
      </c>
      <c r="AB893" s="60">
        <v>0</v>
      </c>
      <c r="AC893" s="60">
        <v>542.32000000000005</v>
      </c>
      <c r="AD893" s="60">
        <v>464.88</v>
      </c>
      <c r="AE893" s="60">
        <v>404.05</v>
      </c>
      <c r="AF893" s="60">
        <v>0</v>
      </c>
      <c r="AG893" s="60">
        <v>0</v>
      </c>
      <c r="AH893" s="60">
        <v>0</v>
      </c>
      <c r="AI893" s="60">
        <v>542.32000000000005</v>
      </c>
      <c r="AJ893" s="60">
        <v>464.88</v>
      </c>
      <c r="AK893" s="60">
        <v>404.05</v>
      </c>
      <c r="AL893" s="60">
        <v>0</v>
      </c>
      <c r="AM893" s="60">
        <v>0</v>
      </c>
      <c r="AN893" s="60">
        <v>0</v>
      </c>
      <c r="AO893" s="60">
        <v>542.32000000000005</v>
      </c>
      <c r="AP893" s="60">
        <v>464.88</v>
      </c>
      <c r="AQ893" s="60">
        <v>404.05</v>
      </c>
      <c r="AR893" s="61">
        <v>542.32000000000005</v>
      </c>
    </row>
    <row r="894" spans="1:44" x14ac:dyDescent="0.35">
      <c r="A894" s="49" t="str">
        <f>TEXT(32,"00")</f>
        <v>32</v>
      </c>
      <c r="B894" s="27">
        <v>66969</v>
      </c>
      <c r="C894" s="25" t="str">
        <f>TEXT(3230083,"0000000")</f>
        <v>3230083</v>
      </c>
      <c r="D894" s="26" t="s">
        <v>1688</v>
      </c>
      <c r="E894" s="25" t="s">
        <v>1686</v>
      </c>
      <c r="F894" s="25" t="s">
        <v>5</v>
      </c>
      <c r="G894" s="59" t="s">
        <v>1687</v>
      </c>
      <c r="H894" s="60">
        <v>0</v>
      </c>
      <c r="I894" s="60">
        <v>0</v>
      </c>
      <c r="J894" s="60">
        <v>0</v>
      </c>
      <c r="K894" s="60">
        <v>0</v>
      </c>
      <c r="L894" s="60">
        <v>0</v>
      </c>
      <c r="M894" s="60">
        <v>0</v>
      </c>
      <c r="N894" s="60">
        <v>0</v>
      </c>
      <c r="O894" s="60">
        <v>0</v>
      </c>
      <c r="P894" s="60">
        <v>0</v>
      </c>
      <c r="Q894" s="60">
        <v>0</v>
      </c>
      <c r="R894" s="60">
        <v>0</v>
      </c>
      <c r="S894" s="60">
        <v>0</v>
      </c>
      <c r="T894" s="60">
        <v>0</v>
      </c>
      <c r="U894" s="60">
        <v>0</v>
      </c>
      <c r="V894" s="60">
        <v>0</v>
      </c>
      <c r="W894" s="60">
        <v>0</v>
      </c>
      <c r="X894" s="60">
        <v>0</v>
      </c>
      <c r="Y894" s="60">
        <v>0</v>
      </c>
      <c r="Z894" s="60">
        <v>0</v>
      </c>
      <c r="AA894" s="60">
        <v>0</v>
      </c>
      <c r="AB894" s="60">
        <v>0</v>
      </c>
      <c r="AC894" s="60">
        <v>328.8</v>
      </c>
      <c r="AD894" s="60">
        <v>329.46</v>
      </c>
      <c r="AE894" s="60">
        <v>322.67</v>
      </c>
      <c r="AF894" s="60">
        <v>0</v>
      </c>
      <c r="AG894" s="60">
        <v>0</v>
      </c>
      <c r="AH894" s="60">
        <v>0</v>
      </c>
      <c r="AI894" s="60">
        <v>328.8</v>
      </c>
      <c r="AJ894" s="60">
        <v>329.46</v>
      </c>
      <c r="AK894" s="60">
        <v>322.67</v>
      </c>
      <c r="AL894" s="60">
        <v>0</v>
      </c>
      <c r="AM894" s="60">
        <v>0</v>
      </c>
      <c r="AN894" s="60">
        <v>0</v>
      </c>
      <c r="AO894" s="60">
        <v>328.8</v>
      </c>
      <c r="AP894" s="60">
        <v>329.46</v>
      </c>
      <c r="AQ894" s="60">
        <v>322.67</v>
      </c>
      <c r="AR894" s="61">
        <v>329.46</v>
      </c>
    </row>
    <row r="895" spans="1:44" x14ac:dyDescent="0.35">
      <c r="A895" s="49" t="str">
        <f>TEXT(1,"00")</f>
        <v>01</v>
      </c>
      <c r="B895" s="27">
        <v>61259</v>
      </c>
      <c r="C895" s="25" t="str">
        <f>TEXT(109819,"0000000")</f>
        <v>0109819</v>
      </c>
      <c r="D895" s="26" t="s">
        <v>87</v>
      </c>
      <c r="E895" s="25" t="s">
        <v>85</v>
      </c>
      <c r="F895" s="25" t="s">
        <v>5</v>
      </c>
      <c r="G895" s="59" t="s">
        <v>86</v>
      </c>
      <c r="H895" s="60">
        <v>0</v>
      </c>
      <c r="I895" s="60">
        <v>0</v>
      </c>
      <c r="J895" s="60">
        <v>0</v>
      </c>
      <c r="K895" s="60">
        <v>0</v>
      </c>
      <c r="L895" s="60">
        <v>0</v>
      </c>
      <c r="M895" s="60">
        <v>0</v>
      </c>
      <c r="N895" s="60">
        <v>0</v>
      </c>
      <c r="O895" s="60">
        <v>0</v>
      </c>
      <c r="P895" s="60">
        <v>0</v>
      </c>
      <c r="Q895" s="60">
        <v>0</v>
      </c>
      <c r="R895" s="60">
        <v>0</v>
      </c>
      <c r="S895" s="60">
        <v>0</v>
      </c>
      <c r="T895" s="60">
        <v>0</v>
      </c>
      <c r="U895" s="60">
        <v>0</v>
      </c>
      <c r="V895" s="60">
        <v>0</v>
      </c>
      <c r="W895" s="60">
        <v>0</v>
      </c>
      <c r="X895" s="60">
        <v>0</v>
      </c>
      <c r="Y895" s="60">
        <v>0</v>
      </c>
      <c r="Z895" s="60">
        <v>0</v>
      </c>
      <c r="AA895" s="60">
        <v>0</v>
      </c>
      <c r="AB895" s="60">
        <v>0</v>
      </c>
      <c r="AC895" s="60">
        <v>452.44</v>
      </c>
      <c r="AD895" s="60">
        <v>467.11</v>
      </c>
      <c r="AE895" s="60">
        <v>487.86</v>
      </c>
      <c r="AF895" s="60">
        <v>0</v>
      </c>
      <c r="AG895" s="60">
        <v>0</v>
      </c>
      <c r="AH895" s="60">
        <v>0</v>
      </c>
      <c r="AI895" s="60">
        <v>452.44</v>
      </c>
      <c r="AJ895" s="60">
        <v>467.11</v>
      </c>
      <c r="AK895" s="60">
        <v>487.86</v>
      </c>
      <c r="AL895" s="60">
        <v>0</v>
      </c>
      <c r="AM895" s="60">
        <v>0</v>
      </c>
      <c r="AN895" s="60">
        <v>0</v>
      </c>
      <c r="AO895" s="60">
        <v>452.44</v>
      </c>
      <c r="AP895" s="60">
        <v>467.11</v>
      </c>
      <c r="AQ895" s="60">
        <v>487.86</v>
      </c>
      <c r="AR895" s="61">
        <v>487.86</v>
      </c>
    </row>
    <row r="896" spans="1:44" x14ac:dyDescent="0.35">
      <c r="A896" s="49" t="str">
        <f t="shared" ref="A896:A905" si="78">TEXT(33,"00")</f>
        <v>33</v>
      </c>
      <c r="B896" s="27">
        <v>10330</v>
      </c>
      <c r="C896" s="25" t="str">
        <f>TEXT(125385,"0000000")</f>
        <v>0125385</v>
      </c>
      <c r="D896" s="27">
        <v>1369</v>
      </c>
      <c r="E896" s="25" t="s">
        <v>1698</v>
      </c>
      <c r="F896" s="25" t="s">
        <v>5</v>
      </c>
      <c r="G896" s="59" t="s">
        <v>1699</v>
      </c>
      <c r="H896" s="60">
        <v>0</v>
      </c>
      <c r="I896" s="60">
        <v>0</v>
      </c>
      <c r="J896" s="60">
        <v>0</v>
      </c>
      <c r="K896" s="60">
        <v>0</v>
      </c>
      <c r="L896" s="60">
        <v>0</v>
      </c>
      <c r="M896" s="60">
        <v>0</v>
      </c>
      <c r="N896" s="60">
        <v>0</v>
      </c>
      <c r="O896" s="60">
        <v>0</v>
      </c>
      <c r="P896" s="60">
        <v>0</v>
      </c>
      <c r="Q896" s="60">
        <v>0</v>
      </c>
      <c r="R896" s="60">
        <v>0</v>
      </c>
      <c r="S896" s="60">
        <v>0</v>
      </c>
      <c r="T896" s="60">
        <v>0</v>
      </c>
      <c r="U896" s="60">
        <v>0</v>
      </c>
      <c r="V896" s="60">
        <v>0</v>
      </c>
      <c r="W896" s="60">
        <v>0</v>
      </c>
      <c r="X896" s="60">
        <v>0</v>
      </c>
      <c r="Y896" s="60">
        <v>0</v>
      </c>
      <c r="Z896" s="60">
        <v>1235.07</v>
      </c>
      <c r="AA896" s="60">
        <v>1185.1300000000001</v>
      </c>
      <c r="AB896" s="60">
        <v>1034.82</v>
      </c>
      <c r="AC896" s="60">
        <v>0</v>
      </c>
      <c r="AD896" s="60">
        <v>0</v>
      </c>
      <c r="AE896" s="60">
        <v>0</v>
      </c>
      <c r="AF896" s="60">
        <v>0</v>
      </c>
      <c r="AG896" s="60">
        <v>0</v>
      </c>
      <c r="AH896" s="60">
        <v>0</v>
      </c>
      <c r="AI896" s="60">
        <v>1235.07</v>
      </c>
      <c r="AJ896" s="60">
        <v>1185.1300000000001</v>
      </c>
      <c r="AK896" s="60">
        <v>1034.82</v>
      </c>
      <c r="AL896" s="60">
        <v>0</v>
      </c>
      <c r="AM896" s="60">
        <v>0</v>
      </c>
      <c r="AN896" s="60">
        <v>0</v>
      </c>
      <c r="AO896" s="60">
        <v>1235.07</v>
      </c>
      <c r="AP896" s="60">
        <v>1185.1300000000001</v>
      </c>
      <c r="AQ896" s="60">
        <v>1034.82</v>
      </c>
      <c r="AR896" s="61">
        <v>1235.07</v>
      </c>
    </row>
    <row r="897" spans="1:44" x14ac:dyDescent="0.35">
      <c r="A897" s="49" t="str">
        <f t="shared" si="78"/>
        <v>33</v>
      </c>
      <c r="B897" s="27">
        <v>10330</v>
      </c>
      <c r="C897" s="25" t="str">
        <f>TEXT(128777,"0000000")</f>
        <v>0128777</v>
      </c>
      <c r="D897" s="27">
        <v>1602</v>
      </c>
      <c r="E897" s="25" t="s">
        <v>1700</v>
      </c>
      <c r="F897" s="25" t="s">
        <v>5</v>
      </c>
      <c r="G897" s="59" t="s">
        <v>1701</v>
      </c>
      <c r="H897" s="60">
        <v>0</v>
      </c>
      <c r="I897" s="60">
        <v>0</v>
      </c>
      <c r="J897" s="60">
        <v>0</v>
      </c>
      <c r="K897" s="60">
        <v>0</v>
      </c>
      <c r="L897" s="60">
        <v>0</v>
      </c>
      <c r="M897" s="60">
        <v>0</v>
      </c>
      <c r="N897" s="60">
        <v>0</v>
      </c>
      <c r="O897" s="60">
        <v>0</v>
      </c>
      <c r="P897" s="60">
        <v>0</v>
      </c>
      <c r="Q897" s="60">
        <v>0</v>
      </c>
      <c r="R897" s="60">
        <v>0</v>
      </c>
      <c r="S897" s="60">
        <v>0</v>
      </c>
      <c r="T897" s="60">
        <v>0</v>
      </c>
      <c r="U897" s="60">
        <v>0</v>
      </c>
      <c r="V897" s="60">
        <v>0</v>
      </c>
      <c r="W897" s="60">
        <v>0</v>
      </c>
      <c r="X897" s="60">
        <v>0</v>
      </c>
      <c r="Y897" s="60">
        <v>0</v>
      </c>
      <c r="Z897" s="60">
        <v>327.24</v>
      </c>
      <c r="AA897" s="60">
        <v>155.06</v>
      </c>
      <c r="AB897" s="60">
        <v>77.67</v>
      </c>
      <c r="AC897" s="60">
        <v>0</v>
      </c>
      <c r="AD897" s="60">
        <v>0</v>
      </c>
      <c r="AE897" s="60">
        <v>0</v>
      </c>
      <c r="AF897" s="60">
        <v>0</v>
      </c>
      <c r="AG897" s="60">
        <v>0</v>
      </c>
      <c r="AH897" s="60">
        <v>0</v>
      </c>
      <c r="AI897" s="60">
        <v>327.24</v>
      </c>
      <c r="AJ897" s="60">
        <v>155.06</v>
      </c>
      <c r="AK897" s="60">
        <v>77.67</v>
      </c>
      <c r="AL897" s="60">
        <v>0</v>
      </c>
      <c r="AM897" s="60">
        <v>0</v>
      </c>
      <c r="AN897" s="60">
        <v>0</v>
      </c>
      <c r="AO897" s="60">
        <v>327.24</v>
      </c>
      <c r="AP897" s="60">
        <v>155.06</v>
      </c>
      <c r="AQ897" s="60">
        <v>77.67</v>
      </c>
      <c r="AR897" s="61">
        <v>327.24</v>
      </c>
    </row>
    <row r="898" spans="1:44" x14ac:dyDescent="0.35">
      <c r="A898" s="49" t="str">
        <f t="shared" si="78"/>
        <v>33</v>
      </c>
      <c r="B898" s="27">
        <v>10330</v>
      </c>
      <c r="C898" s="25" t="str">
        <f>TEXT(136168,"0000000")</f>
        <v>0136168</v>
      </c>
      <c r="D898" s="27">
        <v>1873</v>
      </c>
      <c r="E898" s="25" t="s">
        <v>1702</v>
      </c>
      <c r="F898" s="25" t="s">
        <v>5</v>
      </c>
      <c r="G898" s="59" t="s">
        <v>1703</v>
      </c>
      <c r="H898" s="60">
        <v>0</v>
      </c>
      <c r="I898" s="60">
        <v>0</v>
      </c>
      <c r="J898" s="60">
        <v>0</v>
      </c>
      <c r="K898" s="60">
        <v>0</v>
      </c>
      <c r="L898" s="60">
        <v>0</v>
      </c>
      <c r="M898" s="60">
        <v>0</v>
      </c>
      <c r="N898" s="60">
        <v>0</v>
      </c>
      <c r="O898" s="60">
        <v>0</v>
      </c>
      <c r="P898" s="60">
        <v>0</v>
      </c>
      <c r="Q898" s="60">
        <v>0</v>
      </c>
      <c r="R898" s="60">
        <v>0</v>
      </c>
      <c r="S898" s="60">
        <v>0</v>
      </c>
      <c r="T898" s="60">
        <v>0</v>
      </c>
      <c r="U898" s="60">
        <v>0</v>
      </c>
      <c r="V898" s="60">
        <v>0</v>
      </c>
      <c r="W898" s="60">
        <v>0</v>
      </c>
      <c r="X898" s="60">
        <v>0</v>
      </c>
      <c r="Y898" s="60">
        <v>0</v>
      </c>
      <c r="Z898" s="60">
        <v>0</v>
      </c>
      <c r="AA898" s="60">
        <v>0</v>
      </c>
      <c r="AB898" s="60">
        <v>0</v>
      </c>
      <c r="AC898" s="60">
        <v>248.98</v>
      </c>
      <c r="AD898" s="60">
        <v>274</v>
      </c>
      <c r="AE898" s="60">
        <v>253.05</v>
      </c>
      <c r="AF898" s="60">
        <v>0</v>
      </c>
      <c r="AG898" s="60">
        <v>0</v>
      </c>
      <c r="AH898" s="60">
        <v>0</v>
      </c>
      <c r="AI898" s="60">
        <v>248.98</v>
      </c>
      <c r="AJ898" s="60">
        <v>274</v>
      </c>
      <c r="AK898" s="60">
        <v>253.05</v>
      </c>
      <c r="AL898" s="60">
        <v>0</v>
      </c>
      <c r="AM898" s="60">
        <v>0</v>
      </c>
      <c r="AN898" s="60">
        <v>0</v>
      </c>
      <c r="AO898" s="60">
        <v>248.98</v>
      </c>
      <c r="AP898" s="60">
        <v>274</v>
      </c>
      <c r="AQ898" s="60">
        <v>253.05</v>
      </c>
      <c r="AR898" s="61">
        <v>274</v>
      </c>
    </row>
    <row r="899" spans="1:44" x14ac:dyDescent="0.35">
      <c r="A899" s="49" t="str">
        <f t="shared" si="78"/>
        <v>33</v>
      </c>
      <c r="B899" s="27">
        <v>10330</v>
      </c>
      <c r="C899" s="25" t="str">
        <f>TEXT(137836,"0000000")</f>
        <v>0137836</v>
      </c>
      <c r="D899" s="27">
        <v>1984</v>
      </c>
      <c r="E899" s="25" t="s">
        <v>1704</v>
      </c>
      <c r="F899" s="25" t="s">
        <v>5</v>
      </c>
      <c r="G899" s="59" t="s">
        <v>1705</v>
      </c>
      <c r="H899" s="60">
        <v>0</v>
      </c>
      <c r="I899" s="60">
        <v>0</v>
      </c>
      <c r="J899" s="60">
        <v>0</v>
      </c>
      <c r="K899" s="60">
        <v>0</v>
      </c>
      <c r="L899" s="60">
        <v>0</v>
      </c>
      <c r="M899" s="60">
        <v>0</v>
      </c>
      <c r="N899" s="60">
        <v>0</v>
      </c>
      <c r="O899" s="60">
        <v>0</v>
      </c>
      <c r="P899" s="60">
        <v>0</v>
      </c>
      <c r="Q899" s="60">
        <v>0</v>
      </c>
      <c r="R899" s="60">
        <v>0</v>
      </c>
      <c r="S899" s="60">
        <v>0</v>
      </c>
      <c r="T899" s="60">
        <v>0</v>
      </c>
      <c r="U899" s="60">
        <v>0</v>
      </c>
      <c r="V899" s="60">
        <v>0</v>
      </c>
      <c r="W899" s="60">
        <v>0</v>
      </c>
      <c r="X899" s="60">
        <v>0</v>
      </c>
      <c r="Y899" s="60">
        <v>0</v>
      </c>
      <c r="Z899" s="60">
        <v>0</v>
      </c>
      <c r="AA899" s="60">
        <v>0</v>
      </c>
      <c r="AB899" s="60">
        <v>0</v>
      </c>
      <c r="AC899" s="60">
        <v>144.24</v>
      </c>
      <c r="AD899" s="60">
        <v>133.76</v>
      </c>
      <c r="AE899" s="60">
        <v>127.9</v>
      </c>
      <c r="AF899" s="60">
        <v>0</v>
      </c>
      <c r="AG899" s="60">
        <v>0</v>
      </c>
      <c r="AH899" s="60">
        <v>0</v>
      </c>
      <c r="AI899" s="60">
        <v>144.24</v>
      </c>
      <c r="AJ899" s="60">
        <v>133.76</v>
      </c>
      <c r="AK899" s="60">
        <v>127.9</v>
      </c>
      <c r="AL899" s="60">
        <v>0</v>
      </c>
      <c r="AM899" s="60">
        <v>0</v>
      </c>
      <c r="AN899" s="60">
        <v>0</v>
      </c>
      <c r="AO899" s="60">
        <v>144.24</v>
      </c>
      <c r="AP899" s="60">
        <v>133.76</v>
      </c>
      <c r="AQ899" s="60">
        <v>127.9</v>
      </c>
      <c r="AR899" s="61">
        <v>144.24</v>
      </c>
    </row>
    <row r="900" spans="1:44" x14ac:dyDescent="0.35">
      <c r="A900" s="49" t="str">
        <f t="shared" si="78"/>
        <v>33</v>
      </c>
      <c r="B900" s="27">
        <v>10330</v>
      </c>
      <c r="C900" s="25" t="str">
        <f>TEXT(138024,"0000000")</f>
        <v>0138024</v>
      </c>
      <c r="D900" s="27">
        <v>1974</v>
      </c>
      <c r="E900" s="25" t="s">
        <v>1712</v>
      </c>
      <c r="F900" s="25" t="s">
        <v>5</v>
      </c>
      <c r="G900" s="59" t="s">
        <v>1713</v>
      </c>
      <c r="H900" s="60">
        <v>0</v>
      </c>
      <c r="I900" s="60">
        <v>0</v>
      </c>
      <c r="J900" s="60">
        <v>0</v>
      </c>
      <c r="K900" s="60">
        <v>0</v>
      </c>
      <c r="L900" s="60">
        <v>0</v>
      </c>
      <c r="M900" s="60">
        <v>0</v>
      </c>
      <c r="N900" s="60">
        <v>0</v>
      </c>
      <c r="O900" s="60">
        <v>0</v>
      </c>
      <c r="P900" s="60">
        <v>0</v>
      </c>
      <c r="Q900" s="60">
        <v>0</v>
      </c>
      <c r="R900" s="60">
        <v>0</v>
      </c>
      <c r="S900" s="60">
        <v>0</v>
      </c>
      <c r="T900" s="60">
        <v>0</v>
      </c>
      <c r="U900" s="60">
        <v>0</v>
      </c>
      <c r="V900" s="60">
        <v>0</v>
      </c>
      <c r="W900" s="60">
        <v>0</v>
      </c>
      <c r="X900" s="60">
        <v>0</v>
      </c>
      <c r="Y900" s="60">
        <v>0</v>
      </c>
      <c r="Z900" s="60">
        <v>0</v>
      </c>
      <c r="AA900" s="60">
        <v>0</v>
      </c>
      <c r="AB900" s="60">
        <v>0</v>
      </c>
      <c r="AC900" s="60">
        <v>473.98</v>
      </c>
      <c r="AD900" s="60">
        <v>485.09</v>
      </c>
      <c r="AE900" s="60">
        <v>458.66</v>
      </c>
      <c r="AF900" s="60">
        <v>0</v>
      </c>
      <c r="AG900" s="60">
        <v>0</v>
      </c>
      <c r="AH900" s="60">
        <v>0</v>
      </c>
      <c r="AI900" s="60">
        <v>473.98</v>
      </c>
      <c r="AJ900" s="60">
        <v>485.09</v>
      </c>
      <c r="AK900" s="60">
        <v>458.66</v>
      </c>
      <c r="AL900" s="60">
        <v>0</v>
      </c>
      <c r="AM900" s="60">
        <v>0</v>
      </c>
      <c r="AN900" s="60">
        <v>0</v>
      </c>
      <c r="AO900" s="60">
        <v>473.98</v>
      </c>
      <c r="AP900" s="60">
        <v>485.09</v>
      </c>
      <c r="AQ900" s="60">
        <v>458.66</v>
      </c>
      <c r="AR900" s="61">
        <v>485.09</v>
      </c>
    </row>
    <row r="901" spans="1:44" x14ac:dyDescent="0.35">
      <c r="A901" s="49" t="str">
        <f t="shared" si="78"/>
        <v>33</v>
      </c>
      <c r="B901" s="27">
        <v>10330</v>
      </c>
      <c r="C901" s="25" t="str">
        <f>TEXT(138602,"0000000")</f>
        <v>0138602</v>
      </c>
      <c r="D901" s="27">
        <v>2018</v>
      </c>
      <c r="E901" s="25" t="s">
        <v>1714</v>
      </c>
      <c r="F901" s="25" t="s">
        <v>5</v>
      </c>
      <c r="G901" s="59" t="s">
        <v>1715</v>
      </c>
      <c r="H901" s="60">
        <v>0</v>
      </c>
      <c r="I901" s="60">
        <v>0</v>
      </c>
      <c r="J901" s="60">
        <v>0</v>
      </c>
      <c r="K901" s="60">
        <v>0</v>
      </c>
      <c r="L901" s="60">
        <v>0</v>
      </c>
      <c r="M901" s="60">
        <v>0</v>
      </c>
      <c r="N901" s="60">
        <v>0</v>
      </c>
      <c r="O901" s="60">
        <v>0</v>
      </c>
      <c r="P901" s="60">
        <v>0</v>
      </c>
      <c r="Q901" s="60">
        <v>0</v>
      </c>
      <c r="R901" s="60">
        <v>0</v>
      </c>
      <c r="S901" s="60">
        <v>0</v>
      </c>
      <c r="T901" s="60">
        <v>0</v>
      </c>
      <c r="U901" s="60">
        <v>0</v>
      </c>
      <c r="V901" s="60">
        <v>0</v>
      </c>
      <c r="W901" s="60">
        <v>0</v>
      </c>
      <c r="X901" s="60">
        <v>0</v>
      </c>
      <c r="Y901" s="60">
        <v>0</v>
      </c>
      <c r="Z901" s="60">
        <v>742.43</v>
      </c>
      <c r="AA901" s="60">
        <v>733.56</v>
      </c>
      <c r="AB901" s="60">
        <v>786.05</v>
      </c>
      <c r="AC901" s="60">
        <v>0</v>
      </c>
      <c r="AD901" s="60">
        <v>0</v>
      </c>
      <c r="AE901" s="60">
        <v>0</v>
      </c>
      <c r="AF901" s="60">
        <v>0</v>
      </c>
      <c r="AG901" s="60">
        <v>0</v>
      </c>
      <c r="AH901" s="60">
        <v>0</v>
      </c>
      <c r="AI901" s="60">
        <v>742.43</v>
      </c>
      <c r="AJ901" s="60">
        <v>733.56</v>
      </c>
      <c r="AK901" s="60">
        <v>786.05</v>
      </c>
      <c r="AL901" s="60">
        <v>0</v>
      </c>
      <c r="AM901" s="60">
        <v>0</v>
      </c>
      <c r="AN901" s="60">
        <v>0</v>
      </c>
      <c r="AO901" s="60">
        <v>742.43</v>
      </c>
      <c r="AP901" s="60">
        <v>733.56</v>
      </c>
      <c r="AQ901" s="60">
        <v>786.05</v>
      </c>
      <c r="AR901" s="61">
        <v>786.05</v>
      </c>
    </row>
    <row r="902" spans="1:44" ht="31" x14ac:dyDescent="0.35">
      <c r="A902" s="49" t="str">
        <f t="shared" si="78"/>
        <v>33</v>
      </c>
      <c r="B902" s="27">
        <v>10330</v>
      </c>
      <c r="C902" s="25" t="str">
        <f>TEXT(139428,"0000000")</f>
        <v>0139428</v>
      </c>
      <c r="D902" s="27">
        <v>2058</v>
      </c>
      <c r="E902" s="25" t="s">
        <v>1716</v>
      </c>
      <c r="F902" s="25" t="s">
        <v>5</v>
      </c>
      <c r="G902" s="59" t="s">
        <v>1717</v>
      </c>
      <c r="H902" s="60">
        <v>0</v>
      </c>
      <c r="I902" s="60">
        <v>0</v>
      </c>
      <c r="J902" s="60">
        <v>0</v>
      </c>
      <c r="K902" s="60">
        <v>0</v>
      </c>
      <c r="L902" s="60">
        <v>0</v>
      </c>
      <c r="M902" s="60">
        <v>0</v>
      </c>
      <c r="N902" s="60">
        <v>0</v>
      </c>
      <c r="O902" s="60">
        <v>0</v>
      </c>
      <c r="P902" s="60">
        <v>0</v>
      </c>
      <c r="Q902" s="60">
        <v>0</v>
      </c>
      <c r="R902" s="60">
        <v>0</v>
      </c>
      <c r="S902" s="60">
        <v>0</v>
      </c>
      <c r="T902" s="60">
        <v>0</v>
      </c>
      <c r="U902" s="60">
        <v>0</v>
      </c>
      <c r="V902" s="60">
        <v>0</v>
      </c>
      <c r="W902" s="60">
        <v>0</v>
      </c>
      <c r="X902" s="60">
        <v>0</v>
      </c>
      <c r="Y902" s="60">
        <v>0</v>
      </c>
      <c r="Z902" s="60">
        <v>0</v>
      </c>
      <c r="AA902" s="60">
        <v>0</v>
      </c>
      <c r="AB902" s="60">
        <v>0</v>
      </c>
      <c r="AC902" s="60">
        <v>179.75</v>
      </c>
      <c r="AD902" s="60">
        <v>140.13999999999999</v>
      </c>
      <c r="AE902" s="60">
        <v>107.72</v>
      </c>
      <c r="AF902" s="60">
        <v>0</v>
      </c>
      <c r="AG902" s="60">
        <v>0</v>
      </c>
      <c r="AH902" s="60">
        <v>0</v>
      </c>
      <c r="AI902" s="60">
        <v>179.75</v>
      </c>
      <c r="AJ902" s="60">
        <v>140.13999999999999</v>
      </c>
      <c r="AK902" s="60">
        <v>107.72</v>
      </c>
      <c r="AL902" s="60">
        <v>0</v>
      </c>
      <c r="AM902" s="60">
        <v>0</v>
      </c>
      <c r="AN902" s="60">
        <v>0</v>
      </c>
      <c r="AO902" s="60">
        <v>179.75</v>
      </c>
      <c r="AP902" s="60">
        <v>140.13999999999999</v>
      </c>
      <c r="AQ902" s="60">
        <v>107.72</v>
      </c>
      <c r="AR902" s="61">
        <v>179.75</v>
      </c>
    </row>
    <row r="903" spans="1:44" x14ac:dyDescent="0.35">
      <c r="A903" s="49" t="str">
        <f t="shared" si="78"/>
        <v>33</v>
      </c>
      <c r="B903" s="27">
        <v>10330</v>
      </c>
      <c r="C903" s="25" t="str">
        <f>TEXT(140780,"0000000")</f>
        <v>0140780</v>
      </c>
      <c r="D903" s="27">
        <v>2118</v>
      </c>
      <c r="E903" s="25" t="s">
        <v>1718</v>
      </c>
      <c r="F903" s="25" t="s">
        <v>5</v>
      </c>
      <c r="G903" s="59" t="s">
        <v>1719</v>
      </c>
      <c r="H903" s="60">
        <v>0</v>
      </c>
      <c r="I903" s="60">
        <v>0</v>
      </c>
      <c r="J903" s="60">
        <v>0</v>
      </c>
      <c r="K903" s="60">
        <v>0</v>
      </c>
      <c r="L903" s="60">
        <v>0</v>
      </c>
      <c r="M903" s="60">
        <v>0</v>
      </c>
      <c r="N903" s="60">
        <v>0</v>
      </c>
      <c r="O903" s="60">
        <v>0</v>
      </c>
      <c r="P903" s="60">
        <v>0</v>
      </c>
      <c r="Q903" s="60">
        <v>0</v>
      </c>
      <c r="R903" s="60">
        <v>0</v>
      </c>
      <c r="S903" s="60">
        <v>0</v>
      </c>
      <c r="T903" s="60">
        <v>0</v>
      </c>
      <c r="U903" s="60">
        <v>0</v>
      </c>
      <c r="V903" s="60">
        <v>0</v>
      </c>
      <c r="W903" s="60">
        <v>0</v>
      </c>
      <c r="X903" s="60">
        <v>0</v>
      </c>
      <c r="Y903" s="60">
        <v>0</v>
      </c>
      <c r="Z903" s="60">
        <v>0</v>
      </c>
      <c r="AA903" s="60">
        <v>0</v>
      </c>
      <c r="AB903" s="60">
        <v>0</v>
      </c>
      <c r="AC903" s="60">
        <v>274.88</v>
      </c>
      <c r="AD903" s="60">
        <v>248.18</v>
      </c>
      <c r="AE903" s="60">
        <v>245.79</v>
      </c>
      <c r="AF903" s="60">
        <v>0</v>
      </c>
      <c r="AG903" s="60">
        <v>0</v>
      </c>
      <c r="AH903" s="60">
        <v>0</v>
      </c>
      <c r="AI903" s="60">
        <v>274.88</v>
      </c>
      <c r="AJ903" s="60">
        <v>248.18</v>
      </c>
      <c r="AK903" s="60">
        <v>245.79</v>
      </c>
      <c r="AL903" s="60">
        <v>0</v>
      </c>
      <c r="AM903" s="60">
        <v>0</v>
      </c>
      <c r="AN903" s="60">
        <v>0</v>
      </c>
      <c r="AO903" s="60">
        <v>274.88</v>
      </c>
      <c r="AP903" s="60">
        <v>248.18</v>
      </c>
      <c r="AQ903" s="60">
        <v>245.79</v>
      </c>
      <c r="AR903" s="61">
        <v>274.88</v>
      </c>
    </row>
    <row r="904" spans="1:44" x14ac:dyDescent="0.35">
      <c r="A904" s="49" t="str">
        <f t="shared" si="78"/>
        <v>33</v>
      </c>
      <c r="B904" s="27">
        <v>66993</v>
      </c>
      <c r="C904" s="25" t="str">
        <f>TEXT(127142,"0000000")</f>
        <v>0127142</v>
      </c>
      <c r="D904" s="27">
        <v>1493</v>
      </c>
      <c r="E904" s="25" t="s">
        <v>1726</v>
      </c>
      <c r="F904" s="25" t="s">
        <v>5</v>
      </c>
      <c r="G904" s="59" t="s">
        <v>1727</v>
      </c>
      <c r="H904" s="60">
        <v>0</v>
      </c>
      <c r="I904" s="60">
        <v>0</v>
      </c>
      <c r="J904" s="60">
        <v>0</v>
      </c>
      <c r="K904" s="60">
        <v>0</v>
      </c>
      <c r="L904" s="60">
        <v>0</v>
      </c>
      <c r="M904" s="60">
        <v>0</v>
      </c>
      <c r="N904" s="60">
        <v>0</v>
      </c>
      <c r="O904" s="60">
        <v>0</v>
      </c>
      <c r="P904" s="60">
        <v>0</v>
      </c>
      <c r="Q904" s="60">
        <v>0</v>
      </c>
      <c r="R904" s="60">
        <v>0</v>
      </c>
      <c r="S904" s="60">
        <v>0</v>
      </c>
      <c r="T904" s="60">
        <v>0</v>
      </c>
      <c r="U904" s="60">
        <v>0</v>
      </c>
      <c r="V904" s="60">
        <v>0</v>
      </c>
      <c r="W904" s="60">
        <v>0</v>
      </c>
      <c r="X904" s="60">
        <v>0</v>
      </c>
      <c r="Y904" s="60">
        <v>0</v>
      </c>
      <c r="Z904" s="60">
        <v>0</v>
      </c>
      <c r="AA904" s="60">
        <v>0</v>
      </c>
      <c r="AB904" s="60">
        <v>0</v>
      </c>
      <c r="AC904" s="60">
        <v>313.54000000000002</v>
      </c>
      <c r="AD904" s="60">
        <v>302.98</v>
      </c>
      <c r="AE904" s="60">
        <v>303.39999999999998</v>
      </c>
      <c r="AF904" s="60">
        <v>0</v>
      </c>
      <c r="AG904" s="60">
        <v>0</v>
      </c>
      <c r="AH904" s="60">
        <v>0</v>
      </c>
      <c r="AI904" s="60">
        <v>313.54000000000002</v>
      </c>
      <c r="AJ904" s="60">
        <v>302.98</v>
      </c>
      <c r="AK904" s="60">
        <v>303.39999999999998</v>
      </c>
      <c r="AL904" s="60">
        <v>0</v>
      </c>
      <c r="AM904" s="60">
        <v>0</v>
      </c>
      <c r="AN904" s="60">
        <v>0</v>
      </c>
      <c r="AO904" s="60">
        <v>313.54000000000002</v>
      </c>
      <c r="AP904" s="60">
        <v>302.98</v>
      </c>
      <c r="AQ904" s="60">
        <v>303.39999999999998</v>
      </c>
      <c r="AR904" s="61">
        <v>313.54000000000002</v>
      </c>
    </row>
    <row r="905" spans="1:44" x14ac:dyDescent="0.35">
      <c r="A905" s="49" t="str">
        <f t="shared" si="78"/>
        <v>33</v>
      </c>
      <c r="B905" s="27">
        <v>66993</v>
      </c>
      <c r="C905" s="25" t="str">
        <f>TEXT(139360,"0000000")</f>
        <v>0139360</v>
      </c>
      <c r="D905" s="27">
        <v>2049</v>
      </c>
      <c r="E905" s="25" t="s">
        <v>1728</v>
      </c>
      <c r="F905" s="25" t="s">
        <v>5</v>
      </c>
      <c r="G905" s="59" t="s">
        <v>1729</v>
      </c>
      <c r="H905" s="60">
        <v>0</v>
      </c>
      <c r="I905" s="60">
        <v>0</v>
      </c>
      <c r="J905" s="60">
        <v>0</v>
      </c>
      <c r="K905" s="60">
        <v>0</v>
      </c>
      <c r="L905" s="60">
        <v>0</v>
      </c>
      <c r="M905" s="60">
        <v>0</v>
      </c>
      <c r="N905" s="60">
        <v>0</v>
      </c>
      <c r="O905" s="60">
        <v>0</v>
      </c>
      <c r="P905" s="60">
        <v>0</v>
      </c>
      <c r="Q905" s="60">
        <v>0</v>
      </c>
      <c r="R905" s="60">
        <v>0</v>
      </c>
      <c r="S905" s="60">
        <v>0</v>
      </c>
      <c r="T905" s="60">
        <v>0</v>
      </c>
      <c r="U905" s="60">
        <v>0</v>
      </c>
      <c r="V905" s="60">
        <v>0</v>
      </c>
      <c r="W905" s="60">
        <v>0</v>
      </c>
      <c r="X905" s="60">
        <v>0</v>
      </c>
      <c r="Y905" s="60">
        <v>0</v>
      </c>
      <c r="Z905" s="60">
        <v>0</v>
      </c>
      <c r="AA905" s="60">
        <v>0</v>
      </c>
      <c r="AB905" s="60">
        <v>0</v>
      </c>
      <c r="AC905" s="60">
        <v>5650.82</v>
      </c>
      <c r="AD905" s="60">
        <v>4790.72</v>
      </c>
      <c r="AE905" s="60">
        <v>4201.95</v>
      </c>
      <c r="AF905" s="60">
        <v>0</v>
      </c>
      <c r="AG905" s="60">
        <v>0</v>
      </c>
      <c r="AH905" s="60">
        <v>0</v>
      </c>
      <c r="AI905" s="60">
        <v>5650.82</v>
      </c>
      <c r="AJ905" s="60">
        <v>4790.72</v>
      </c>
      <c r="AK905" s="60">
        <v>4201.95</v>
      </c>
      <c r="AL905" s="60">
        <v>0</v>
      </c>
      <c r="AM905" s="60">
        <v>0</v>
      </c>
      <c r="AN905" s="60">
        <v>0</v>
      </c>
      <c r="AO905" s="60">
        <v>5650.82</v>
      </c>
      <c r="AP905" s="60">
        <v>4790.72</v>
      </c>
      <c r="AQ905" s="60">
        <v>4201.95</v>
      </c>
      <c r="AR905" s="61">
        <v>5650.82</v>
      </c>
    </row>
    <row r="906" spans="1:44" x14ac:dyDescent="0.35">
      <c r="A906" s="49" t="str">
        <f>TEXT(1,"00")</f>
        <v>01</v>
      </c>
      <c r="B906" s="27">
        <v>61259</v>
      </c>
      <c r="C906" s="25" t="str">
        <f>TEXT(111476,"0000000")</f>
        <v>0111476</v>
      </c>
      <c r="D906" s="26" t="s">
        <v>90</v>
      </c>
      <c r="E906" s="25" t="s">
        <v>88</v>
      </c>
      <c r="F906" s="25" t="s">
        <v>5</v>
      </c>
      <c r="G906" s="59" t="s">
        <v>89</v>
      </c>
      <c r="H906" s="60">
        <v>0</v>
      </c>
      <c r="I906" s="60">
        <v>0</v>
      </c>
      <c r="J906" s="60">
        <v>0</v>
      </c>
      <c r="K906" s="60">
        <v>0</v>
      </c>
      <c r="L906" s="60">
        <v>0</v>
      </c>
      <c r="M906" s="60">
        <v>0</v>
      </c>
      <c r="N906" s="60">
        <v>0</v>
      </c>
      <c r="O906" s="60">
        <v>0</v>
      </c>
      <c r="P906" s="60">
        <v>0</v>
      </c>
      <c r="Q906" s="60">
        <v>0</v>
      </c>
      <c r="R906" s="60">
        <v>0</v>
      </c>
      <c r="S906" s="60">
        <v>0</v>
      </c>
      <c r="T906" s="60">
        <v>0</v>
      </c>
      <c r="U906" s="60">
        <v>0</v>
      </c>
      <c r="V906" s="60">
        <v>0</v>
      </c>
      <c r="W906" s="60">
        <v>0</v>
      </c>
      <c r="X906" s="60">
        <v>0</v>
      </c>
      <c r="Y906" s="60">
        <v>0</v>
      </c>
      <c r="Z906" s="60">
        <v>0</v>
      </c>
      <c r="AA906" s="60">
        <v>0</v>
      </c>
      <c r="AB906" s="60">
        <v>0</v>
      </c>
      <c r="AC906" s="60">
        <v>516.48</v>
      </c>
      <c r="AD906" s="60">
        <v>518.34</v>
      </c>
      <c r="AE906" s="60">
        <v>497.11</v>
      </c>
      <c r="AF906" s="60">
        <v>0</v>
      </c>
      <c r="AG906" s="60">
        <v>0</v>
      </c>
      <c r="AH906" s="60">
        <v>0</v>
      </c>
      <c r="AI906" s="60">
        <v>516.48</v>
      </c>
      <c r="AJ906" s="60">
        <v>518.34</v>
      </c>
      <c r="AK906" s="60">
        <v>497.11</v>
      </c>
      <c r="AL906" s="60">
        <v>0</v>
      </c>
      <c r="AM906" s="60">
        <v>0</v>
      </c>
      <c r="AN906" s="60">
        <v>0</v>
      </c>
      <c r="AO906" s="60">
        <v>516.48</v>
      </c>
      <c r="AP906" s="60">
        <v>518.34</v>
      </c>
      <c r="AQ906" s="60">
        <v>497.11</v>
      </c>
      <c r="AR906" s="61">
        <v>518.34</v>
      </c>
    </row>
    <row r="907" spans="1:44" x14ac:dyDescent="0.35">
      <c r="A907" s="49" t="str">
        <f>TEXT(33,"00")</f>
        <v>33</v>
      </c>
      <c r="B907" s="27">
        <v>67215</v>
      </c>
      <c r="C907" s="25" t="str">
        <f>TEXT(126128,"0000000")</f>
        <v>0126128</v>
      </c>
      <c r="D907" s="27">
        <v>1409</v>
      </c>
      <c r="E907" s="25" t="s">
        <v>1761</v>
      </c>
      <c r="F907" s="25" t="s">
        <v>5</v>
      </c>
      <c r="G907" s="59" t="s">
        <v>1762</v>
      </c>
      <c r="H907" s="60">
        <v>0</v>
      </c>
      <c r="I907" s="60">
        <v>0</v>
      </c>
      <c r="J907" s="60">
        <v>0</v>
      </c>
      <c r="K907" s="60">
        <v>0</v>
      </c>
      <c r="L907" s="60">
        <v>0</v>
      </c>
      <c r="M907" s="60">
        <v>0</v>
      </c>
      <c r="N907" s="60">
        <v>0</v>
      </c>
      <c r="O907" s="60">
        <v>0</v>
      </c>
      <c r="P907" s="60">
        <v>0</v>
      </c>
      <c r="Q907" s="60">
        <v>0</v>
      </c>
      <c r="R907" s="60">
        <v>0</v>
      </c>
      <c r="S907" s="60">
        <v>0</v>
      </c>
      <c r="T907" s="60">
        <v>0</v>
      </c>
      <c r="U907" s="60">
        <v>0</v>
      </c>
      <c r="V907" s="60">
        <v>0</v>
      </c>
      <c r="W907" s="60">
        <v>0</v>
      </c>
      <c r="X907" s="60">
        <v>0</v>
      </c>
      <c r="Y907" s="60">
        <v>0</v>
      </c>
      <c r="Z907" s="60">
        <v>0</v>
      </c>
      <c r="AA907" s="60">
        <v>0</v>
      </c>
      <c r="AB907" s="60">
        <v>0</v>
      </c>
      <c r="AC907" s="60">
        <v>604.03</v>
      </c>
      <c r="AD907" s="60">
        <v>572.53</v>
      </c>
      <c r="AE907" s="60">
        <v>573.59</v>
      </c>
      <c r="AF907" s="60">
        <v>0</v>
      </c>
      <c r="AG907" s="60">
        <v>0</v>
      </c>
      <c r="AH907" s="60">
        <v>0</v>
      </c>
      <c r="AI907" s="60">
        <v>604.03</v>
      </c>
      <c r="AJ907" s="60">
        <v>572.53</v>
      </c>
      <c r="AK907" s="60">
        <v>573.59</v>
      </c>
      <c r="AL907" s="60">
        <v>0</v>
      </c>
      <c r="AM907" s="60">
        <v>0</v>
      </c>
      <c r="AN907" s="60">
        <v>0</v>
      </c>
      <c r="AO907" s="60">
        <v>604.03</v>
      </c>
      <c r="AP907" s="60">
        <v>572.53</v>
      </c>
      <c r="AQ907" s="60">
        <v>573.59</v>
      </c>
      <c r="AR907" s="61">
        <v>604.03</v>
      </c>
    </row>
    <row r="908" spans="1:44" x14ac:dyDescent="0.35">
      <c r="A908" s="49" t="str">
        <f>TEXT(33,"00")</f>
        <v>33</v>
      </c>
      <c r="B908" s="27">
        <v>73676</v>
      </c>
      <c r="C908" s="25" t="str">
        <f>TEXT(121673,"0000000")</f>
        <v>0121673</v>
      </c>
      <c r="D908" s="27">
        <v>1188</v>
      </c>
      <c r="E908" s="25" t="s">
        <v>1769</v>
      </c>
      <c r="F908" s="25" t="s">
        <v>5</v>
      </c>
      <c r="G908" s="59" t="s">
        <v>1770</v>
      </c>
      <c r="H908" s="60">
        <v>0</v>
      </c>
      <c r="I908" s="60">
        <v>0</v>
      </c>
      <c r="J908" s="60">
        <v>0</v>
      </c>
      <c r="K908" s="60">
        <v>0</v>
      </c>
      <c r="L908" s="60">
        <v>0</v>
      </c>
      <c r="M908" s="60">
        <v>0</v>
      </c>
      <c r="N908" s="60">
        <v>0</v>
      </c>
      <c r="O908" s="60">
        <v>0</v>
      </c>
      <c r="P908" s="60">
        <v>0</v>
      </c>
      <c r="Q908" s="60">
        <v>0</v>
      </c>
      <c r="R908" s="60">
        <v>0</v>
      </c>
      <c r="S908" s="60">
        <v>0</v>
      </c>
      <c r="T908" s="60">
        <v>0</v>
      </c>
      <c r="U908" s="60">
        <v>0</v>
      </c>
      <c r="V908" s="60">
        <v>0</v>
      </c>
      <c r="W908" s="60">
        <v>0</v>
      </c>
      <c r="X908" s="60">
        <v>0</v>
      </c>
      <c r="Y908" s="60">
        <v>0</v>
      </c>
      <c r="Z908" s="60">
        <v>0</v>
      </c>
      <c r="AA908" s="60">
        <v>0</v>
      </c>
      <c r="AB908" s="60">
        <v>0</v>
      </c>
      <c r="AC908" s="60">
        <v>210.17</v>
      </c>
      <c r="AD908" s="60">
        <v>207.76</v>
      </c>
      <c r="AE908" s="60">
        <v>210.87</v>
      </c>
      <c r="AF908" s="60">
        <v>0</v>
      </c>
      <c r="AG908" s="60">
        <v>0</v>
      </c>
      <c r="AH908" s="60">
        <v>0</v>
      </c>
      <c r="AI908" s="60">
        <v>210.17</v>
      </c>
      <c r="AJ908" s="60">
        <v>207.76</v>
      </c>
      <c r="AK908" s="60">
        <v>210.87</v>
      </c>
      <c r="AL908" s="60">
        <v>0</v>
      </c>
      <c r="AM908" s="60">
        <v>0</v>
      </c>
      <c r="AN908" s="60">
        <v>0</v>
      </c>
      <c r="AO908" s="60">
        <v>210.17</v>
      </c>
      <c r="AP908" s="60">
        <v>207.76</v>
      </c>
      <c r="AQ908" s="60">
        <v>210.87</v>
      </c>
      <c r="AR908" s="61">
        <v>210.87</v>
      </c>
    </row>
    <row r="909" spans="1:44" ht="31" x14ac:dyDescent="0.35">
      <c r="A909" s="49" t="str">
        <f>TEXT(33,"00")</f>
        <v>33</v>
      </c>
      <c r="B909" s="27">
        <v>75176</v>
      </c>
      <c r="C909" s="25" t="str">
        <f>TEXT(120204,"0000000")</f>
        <v>0120204</v>
      </c>
      <c r="D909" s="27">
        <v>1118</v>
      </c>
      <c r="E909" s="25" t="s">
        <v>1773</v>
      </c>
      <c r="F909" s="25" t="s">
        <v>5</v>
      </c>
      <c r="G909" s="59" t="s">
        <v>1774</v>
      </c>
      <c r="H909" s="60">
        <v>0</v>
      </c>
      <c r="I909" s="60">
        <v>0</v>
      </c>
      <c r="J909" s="60">
        <v>0</v>
      </c>
      <c r="K909" s="60">
        <v>0</v>
      </c>
      <c r="L909" s="60">
        <v>0</v>
      </c>
      <c r="M909" s="60">
        <v>0</v>
      </c>
      <c r="N909" s="60">
        <v>0</v>
      </c>
      <c r="O909" s="60">
        <v>0</v>
      </c>
      <c r="P909" s="60">
        <v>0</v>
      </c>
      <c r="Q909" s="60">
        <v>0</v>
      </c>
      <c r="R909" s="60">
        <v>0</v>
      </c>
      <c r="S909" s="60">
        <v>0</v>
      </c>
      <c r="T909" s="60">
        <v>0</v>
      </c>
      <c r="U909" s="60">
        <v>0</v>
      </c>
      <c r="V909" s="60">
        <v>0</v>
      </c>
      <c r="W909" s="60">
        <v>0</v>
      </c>
      <c r="X909" s="60">
        <v>0</v>
      </c>
      <c r="Y909" s="60">
        <v>0</v>
      </c>
      <c r="Z909" s="60">
        <v>0</v>
      </c>
      <c r="AA909" s="60">
        <v>0</v>
      </c>
      <c r="AB909" s="60">
        <v>0</v>
      </c>
      <c r="AC909" s="60">
        <v>474.64</v>
      </c>
      <c r="AD909" s="60">
        <v>484.46</v>
      </c>
      <c r="AE909" s="60">
        <v>567.32000000000005</v>
      </c>
      <c r="AF909" s="60">
        <v>0</v>
      </c>
      <c r="AG909" s="60">
        <v>0</v>
      </c>
      <c r="AH909" s="60">
        <v>0</v>
      </c>
      <c r="AI909" s="60">
        <v>474.64</v>
      </c>
      <c r="AJ909" s="60">
        <v>484.46</v>
      </c>
      <c r="AK909" s="60">
        <v>567.32000000000005</v>
      </c>
      <c r="AL909" s="60">
        <v>0</v>
      </c>
      <c r="AM909" s="60">
        <v>0</v>
      </c>
      <c r="AN909" s="60">
        <v>0</v>
      </c>
      <c r="AO909" s="60">
        <v>474.64</v>
      </c>
      <c r="AP909" s="60">
        <v>484.46</v>
      </c>
      <c r="AQ909" s="60">
        <v>567.32000000000005</v>
      </c>
      <c r="AR909" s="61">
        <v>567.32000000000005</v>
      </c>
    </row>
    <row r="910" spans="1:44" x14ac:dyDescent="0.35">
      <c r="A910" s="49" t="str">
        <f>TEXT(33,"00")</f>
        <v>33</v>
      </c>
      <c r="B910" s="27">
        <v>75192</v>
      </c>
      <c r="C910" s="25" t="str">
        <f>TEXT(3330917,"0000000")</f>
        <v>3330917</v>
      </c>
      <c r="D910" s="26" t="s">
        <v>1779</v>
      </c>
      <c r="E910" s="25" t="s">
        <v>1777</v>
      </c>
      <c r="F910" s="25" t="s">
        <v>5</v>
      </c>
      <c r="G910" s="59" t="s">
        <v>1778</v>
      </c>
      <c r="H910" s="60">
        <v>0</v>
      </c>
      <c r="I910" s="60">
        <v>0</v>
      </c>
      <c r="J910" s="60">
        <v>0</v>
      </c>
      <c r="K910" s="60">
        <v>0</v>
      </c>
      <c r="L910" s="60">
        <v>0</v>
      </c>
      <c r="M910" s="60">
        <v>0</v>
      </c>
      <c r="N910" s="60">
        <v>0</v>
      </c>
      <c r="O910" s="60">
        <v>0</v>
      </c>
      <c r="P910" s="60">
        <v>0</v>
      </c>
      <c r="Q910" s="60">
        <v>0</v>
      </c>
      <c r="R910" s="60">
        <v>0</v>
      </c>
      <c r="S910" s="60">
        <v>0</v>
      </c>
      <c r="T910" s="60">
        <v>0</v>
      </c>
      <c r="U910" s="60">
        <v>0</v>
      </c>
      <c r="V910" s="60">
        <v>0</v>
      </c>
      <c r="W910" s="60">
        <v>0</v>
      </c>
      <c r="X910" s="60">
        <v>0</v>
      </c>
      <c r="Y910" s="60">
        <v>0</v>
      </c>
      <c r="Z910" s="60">
        <v>0</v>
      </c>
      <c r="AA910" s="60">
        <v>0</v>
      </c>
      <c r="AB910" s="60">
        <v>0</v>
      </c>
      <c r="AC910" s="60">
        <v>1028.4000000000001</v>
      </c>
      <c r="AD910" s="60">
        <v>1018.76</v>
      </c>
      <c r="AE910" s="60">
        <v>1005.88</v>
      </c>
      <c r="AF910" s="60">
        <v>0</v>
      </c>
      <c r="AG910" s="60">
        <v>0</v>
      </c>
      <c r="AH910" s="60">
        <v>0</v>
      </c>
      <c r="AI910" s="60">
        <v>1028.4000000000001</v>
      </c>
      <c r="AJ910" s="60">
        <v>1018.76</v>
      </c>
      <c r="AK910" s="60">
        <v>1005.88</v>
      </c>
      <c r="AL910" s="60">
        <v>0</v>
      </c>
      <c r="AM910" s="60">
        <v>0</v>
      </c>
      <c r="AN910" s="60">
        <v>0</v>
      </c>
      <c r="AO910" s="60">
        <v>1028.4000000000001</v>
      </c>
      <c r="AP910" s="60">
        <v>1018.76</v>
      </c>
      <c r="AQ910" s="60">
        <v>1005.88</v>
      </c>
      <c r="AR910" s="61">
        <v>1028.4000000000001</v>
      </c>
    </row>
    <row r="911" spans="1:44" x14ac:dyDescent="0.35">
      <c r="A911" s="49" t="str">
        <f>TEXT(33,"00")</f>
        <v>33</v>
      </c>
      <c r="B911" s="27">
        <v>75192</v>
      </c>
      <c r="C911" s="25" t="str">
        <f>TEXT(6112551,"0000000")</f>
        <v>6112551</v>
      </c>
      <c r="D911" s="26" t="s">
        <v>1782</v>
      </c>
      <c r="E911" s="25" t="s">
        <v>1780</v>
      </c>
      <c r="F911" s="25" t="s">
        <v>5</v>
      </c>
      <c r="G911" s="59" t="s">
        <v>1781</v>
      </c>
      <c r="H911" s="60">
        <v>0</v>
      </c>
      <c r="I911" s="60">
        <v>0</v>
      </c>
      <c r="J911" s="60">
        <v>0</v>
      </c>
      <c r="K911" s="60">
        <v>0</v>
      </c>
      <c r="L911" s="60">
        <v>0</v>
      </c>
      <c r="M911" s="60">
        <v>0</v>
      </c>
      <c r="N911" s="60">
        <v>0</v>
      </c>
      <c r="O911" s="60">
        <v>0</v>
      </c>
      <c r="P911" s="60">
        <v>0</v>
      </c>
      <c r="Q911" s="60">
        <v>0</v>
      </c>
      <c r="R911" s="60">
        <v>0</v>
      </c>
      <c r="S911" s="60">
        <v>0</v>
      </c>
      <c r="T911" s="60">
        <v>0</v>
      </c>
      <c r="U911" s="60">
        <v>0</v>
      </c>
      <c r="V911" s="60">
        <v>0</v>
      </c>
      <c r="W911" s="60">
        <v>0</v>
      </c>
      <c r="X911" s="60">
        <v>0</v>
      </c>
      <c r="Y911" s="60">
        <v>0</v>
      </c>
      <c r="Z911" s="60">
        <v>0</v>
      </c>
      <c r="AA911" s="60">
        <v>0</v>
      </c>
      <c r="AB911" s="60">
        <v>0</v>
      </c>
      <c r="AC911" s="60">
        <v>497.68</v>
      </c>
      <c r="AD911" s="60">
        <v>508.56</v>
      </c>
      <c r="AE911" s="60">
        <v>497.84</v>
      </c>
      <c r="AF911" s="60">
        <v>0</v>
      </c>
      <c r="AG911" s="60">
        <v>0</v>
      </c>
      <c r="AH911" s="60">
        <v>0</v>
      </c>
      <c r="AI911" s="60">
        <v>497.68</v>
      </c>
      <c r="AJ911" s="60">
        <v>508.56</v>
      </c>
      <c r="AK911" s="60">
        <v>497.84</v>
      </c>
      <c r="AL911" s="60">
        <v>0</v>
      </c>
      <c r="AM911" s="60">
        <v>0</v>
      </c>
      <c r="AN911" s="60">
        <v>0</v>
      </c>
      <c r="AO911" s="60">
        <v>497.68</v>
      </c>
      <c r="AP911" s="60">
        <v>508.56</v>
      </c>
      <c r="AQ911" s="60">
        <v>497.84</v>
      </c>
      <c r="AR911" s="61">
        <v>508.56</v>
      </c>
    </row>
    <row r="912" spans="1:44" x14ac:dyDescent="0.35">
      <c r="A912" s="49" t="str">
        <f>TEXT(34,"00")</f>
        <v>34</v>
      </c>
      <c r="B912" s="27">
        <v>10348</v>
      </c>
      <c r="C912" s="25" t="str">
        <f>TEXT(136275,"0000000")</f>
        <v>0136275</v>
      </c>
      <c r="D912" s="27">
        <v>1313</v>
      </c>
      <c r="E912" s="25" t="s">
        <v>1787</v>
      </c>
      <c r="F912" s="25" t="s">
        <v>5</v>
      </c>
      <c r="G912" s="59" t="s">
        <v>1788</v>
      </c>
      <c r="H912" s="60">
        <v>0</v>
      </c>
      <c r="I912" s="60">
        <v>0</v>
      </c>
      <c r="J912" s="60">
        <v>0</v>
      </c>
      <c r="K912" s="60">
        <v>0</v>
      </c>
      <c r="L912" s="60">
        <v>0</v>
      </c>
      <c r="M912" s="60">
        <v>0</v>
      </c>
      <c r="N912" s="60">
        <v>0</v>
      </c>
      <c r="O912" s="60">
        <v>0</v>
      </c>
      <c r="P912" s="60">
        <v>0</v>
      </c>
      <c r="Q912" s="60">
        <v>0</v>
      </c>
      <c r="R912" s="60">
        <v>0</v>
      </c>
      <c r="S912" s="60">
        <v>0</v>
      </c>
      <c r="T912" s="60">
        <v>0</v>
      </c>
      <c r="U912" s="60">
        <v>0</v>
      </c>
      <c r="V912" s="60">
        <v>0</v>
      </c>
      <c r="W912" s="60">
        <v>0</v>
      </c>
      <c r="X912" s="60">
        <v>0</v>
      </c>
      <c r="Y912" s="60">
        <v>0</v>
      </c>
      <c r="Z912" s="60">
        <v>1578.34</v>
      </c>
      <c r="AA912" s="60">
        <v>1605.75</v>
      </c>
      <c r="AB912" s="60">
        <v>1476.17</v>
      </c>
      <c r="AC912" s="60">
        <v>0</v>
      </c>
      <c r="AD912" s="60">
        <v>0</v>
      </c>
      <c r="AE912" s="60">
        <v>0</v>
      </c>
      <c r="AF912" s="60">
        <v>0</v>
      </c>
      <c r="AG912" s="60">
        <v>0</v>
      </c>
      <c r="AH912" s="60">
        <v>0</v>
      </c>
      <c r="AI912" s="60">
        <v>1578.34</v>
      </c>
      <c r="AJ912" s="60">
        <v>1605.75</v>
      </c>
      <c r="AK912" s="60">
        <v>1476.17</v>
      </c>
      <c r="AL912" s="60">
        <v>0</v>
      </c>
      <c r="AM912" s="60">
        <v>0</v>
      </c>
      <c r="AN912" s="60">
        <v>0</v>
      </c>
      <c r="AO912" s="60">
        <v>1578.34</v>
      </c>
      <c r="AP912" s="60">
        <v>1605.75</v>
      </c>
      <c r="AQ912" s="60">
        <v>1476.17</v>
      </c>
      <c r="AR912" s="61">
        <v>1605.75</v>
      </c>
    </row>
    <row r="913" spans="1:44" x14ac:dyDescent="0.35">
      <c r="A913" s="49" t="str">
        <f>TEXT(34,"00")</f>
        <v>34</v>
      </c>
      <c r="B913" s="27">
        <v>10348</v>
      </c>
      <c r="C913" s="25" t="str">
        <f>TEXT(140160,"0000000")</f>
        <v>0140160</v>
      </c>
      <c r="D913" s="27">
        <v>2100</v>
      </c>
      <c r="E913" s="25" t="s">
        <v>1789</v>
      </c>
      <c r="F913" s="25" t="s">
        <v>5</v>
      </c>
      <c r="G913" s="59" t="s">
        <v>1790</v>
      </c>
      <c r="H913" s="60">
        <v>0</v>
      </c>
      <c r="I913" s="60">
        <v>0</v>
      </c>
      <c r="J913" s="60">
        <v>0</v>
      </c>
      <c r="K913" s="60">
        <v>0</v>
      </c>
      <c r="L913" s="60">
        <v>0</v>
      </c>
      <c r="M913" s="60">
        <v>0</v>
      </c>
      <c r="N913" s="60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  <c r="Z913" s="60">
        <v>0</v>
      </c>
      <c r="AA913" s="60">
        <v>0</v>
      </c>
      <c r="AB913" s="60">
        <v>0</v>
      </c>
      <c r="AC913" s="60">
        <v>101.52</v>
      </c>
      <c r="AD913" s="60">
        <v>76.16</v>
      </c>
      <c r="AE913" s="60">
        <v>54.08</v>
      </c>
      <c r="AF913" s="60">
        <v>0</v>
      </c>
      <c r="AG913" s="60">
        <v>0</v>
      </c>
      <c r="AH913" s="60">
        <v>0</v>
      </c>
      <c r="AI913" s="60">
        <v>101.52</v>
      </c>
      <c r="AJ913" s="60">
        <v>76.16</v>
      </c>
      <c r="AK913" s="60">
        <v>54.08</v>
      </c>
      <c r="AL913" s="60">
        <v>0</v>
      </c>
      <c r="AM913" s="60">
        <v>0</v>
      </c>
      <c r="AN913" s="60">
        <v>0</v>
      </c>
      <c r="AO913" s="60">
        <v>101.52</v>
      </c>
      <c r="AP913" s="60">
        <v>76.16</v>
      </c>
      <c r="AQ913" s="60">
        <v>54.08</v>
      </c>
      <c r="AR913" s="61">
        <v>101.52</v>
      </c>
    </row>
    <row r="914" spans="1:44" ht="31" x14ac:dyDescent="0.35">
      <c r="A914" s="49" t="str">
        <f>TEXT(34,"00")</f>
        <v>34</v>
      </c>
      <c r="B914" s="27">
        <v>67314</v>
      </c>
      <c r="C914" s="25" t="str">
        <f>TEXT(137281,"0000000")</f>
        <v>0137281</v>
      </c>
      <c r="D914" s="27">
        <v>1949</v>
      </c>
      <c r="E914" s="25" t="s">
        <v>1798</v>
      </c>
      <c r="F914" s="25" t="s">
        <v>5</v>
      </c>
      <c r="G914" s="59" t="s">
        <v>1799</v>
      </c>
      <c r="H914" s="60">
        <v>0</v>
      </c>
      <c r="I914" s="60">
        <v>0</v>
      </c>
      <c r="J914" s="60">
        <v>0</v>
      </c>
      <c r="K914" s="60">
        <v>0</v>
      </c>
      <c r="L914" s="60">
        <v>0</v>
      </c>
      <c r="M914" s="60">
        <v>0</v>
      </c>
      <c r="N914" s="60">
        <v>0</v>
      </c>
      <c r="O914" s="60">
        <v>0</v>
      </c>
      <c r="P914" s="60">
        <v>0</v>
      </c>
      <c r="Q914" s="60">
        <v>0</v>
      </c>
      <c r="R914" s="60">
        <v>0</v>
      </c>
      <c r="S914" s="60">
        <v>0</v>
      </c>
      <c r="T914" s="60">
        <v>0</v>
      </c>
      <c r="U914" s="60">
        <v>0</v>
      </c>
      <c r="V914" s="60">
        <v>0</v>
      </c>
      <c r="W914" s="60">
        <v>0</v>
      </c>
      <c r="X914" s="60">
        <v>0</v>
      </c>
      <c r="Y914" s="60">
        <v>0</v>
      </c>
      <c r="Z914" s="60">
        <v>0</v>
      </c>
      <c r="AA914" s="60">
        <v>0</v>
      </c>
      <c r="AB914" s="60">
        <v>0</v>
      </c>
      <c r="AC914" s="60">
        <v>350.34</v>
      </c>
      <c r="AD914" s="60">
        <v>355.3</v>
      </c>
      <c r="AE914" s="60">
        <v>270.39999999999998</v>
      </c>
      <c r="AF914" s="60">
        <v>0</v>
      </c>
      <c r="AG914" s="60">
        <v>0</v>
      </c>
      <c r="AH914" s="60">
        <v>0</v>
      </c>
      <c r="AI914" s="60">
        <v>350.34</v>
      </c>
      <c r="AJ914" s="60">
        <v>355.3</v>
      </c>
      <c r="AK914" s="60">
        <v>270.39999999999998</v>
      </c>
      <c r="AL914" s="60">
        <v>0</v>
      </c>
      <c r="AM914" s="60">
        <v>0</v>
      </c>
      <c r="AN914" s="60">
        <v>0</v>
      </c>
      <c r="AO914" s="60">
        <v>350.34</v>
      </c>
      <c r="AP914" s="60">
        <v>355.3</v>
      </c>
      <c r="AQ914" s="60">
        <v>270.39999999999998</v>
      </c>
      <c r="AR914" s="61">
        <v>355.3</v>
      </c>
    </row>
    <row r="915" spans="1:44" x14ac:dyDescent="0.35">
      <c r="A915" s="49" t="str">
        <f>TEXT(34,"00")</f>
        <v>34</v>
      </c>
      <c r="B915" s="27">
        <v>67413</v>
      </c>
      <c r="C915" s="25" t="str">
        <f>TEXT(114660,"0000000")</f>
        <v>0114660</v>
      </c>
      <c r="D915" s="26" t="s">
        <v>1812</v>
      </c>
      <c r="E915" s="25" t="s">
        <v>1810</v>
      </c>
      <c r="F915" s="25" t="s">
        <v>5</v>
      </c>
      <c r="G915" s="59" t="s">
        <v>1811</v>
      </c>
      <c r="H915" s="60">
        <v>0</v>
      </c>
      <c r="I915" s="60">
        <v>0</v>
      </c>
      <c r="J915" s="60">
        <v>0</v>
      </c>
      <c r="K915" s="60">
        <v>0</v>
      </c>
      <c r="L915" s="60">
        <v>0</v>
      </c>
      <c r="M915" s="60">
        <v>0</v>
      </c>
      <c r="N915" s="60">
        <v>0</v>
      </c>
      <c r="O915" s="60">
        <v>0</v>
      </c>
      <c r="P915" s="60">
        <v>0</v>
      </c>
      <c r="Q915" s="60">
        <v>0</v>
      </c>
      <c r="R915" s="60">
        <v>0</v>
      </c>
      <c r="S915" s="60">
        <v>0</v>
      </c>
      <c r="T915" s="60">
        <v>0</v>
      </c>
      <c r="U915" s="60">
        <v>0</v>
      </c>
      <c r="V915" s="60">
        <v>0</v>
      </c>
      <c r="W915" s="60">
        <v>0</v>
      </c>
      <c r="X915" s="60">
        <v>0</v>
      </c>
      <c r="Y915" s="60">
        <v>0</v>
      </c>
      <c r="Z915" s="60">
        <v>0</v>
      </c>
      <c r="AA915" s="60">
        <v>0</v>
      </c>
      <c r="AB915" s="60">
        <v>0</v>
      </c>
      <c r="AC915" s="60">
        <v>328.16</v>
      </c>
      <c r="AD915" s="60">
        <v>345.09</v>
      </c>
      <c r="AE915" s="60">
        <v>360.29</v>
      </c>
      <c r="AF915" s="60">
        <v>0</v>
      </c>
      <c r="AG915" s="60">
        <v>0</v>
      </c>
      <c r="AH915" s="60">
        <v>0</v>
      </c>
      <c r="AI915" s="60">
        <v>328.16</v>
      </c>
      <c r="AJ915" s="60">
        <v>345.09</v>
      </c>
      <c r="AK915" s="60">
        <v>360.29</v>
      </c>
      <c r="AL915" s="60">
        <v>0</v>
      </c>
      <c r="AM915" s="60">
        <v>0</v>
      </c>
      <c r="AN915" s="60">
        <v>0</v>
      </c>
      <c r="AO915" s="60">
        <v>328.16</v>
      </c>
      <c r="AP915" s="60">
        <v>345.09</v>
      </c>
      <c r="AQ915" s="60">
        <v>360.29</v>
      </c>
      <c r="AR915" s="61">
        <v>360.29</v>
      </c>
    </row>
    <row r="916" spans="1:44" x14ac:dyDescent="0.35">
      <c r="A916" s="49" t="str">
        <f>TEXT(34,"00")</f>
        <v>34</v>
      </c>
      <c r="B916" s="27">
        <v>67439</v>
      </c>
      <c r="C916" s="25" t="str">
        <f>TEXT(101048,"0000000")</f>
        <v>0101048</v>
      </c>
      <c r="D916" s="26" t="s">
        <v>1823</v>
      </c>
      <c r="E916" s="25" t="s">
        <v>1821</v>
      </c>
      <c r="F916" s="25" t="s">
        <v>5</v>
      </c>
      <c r="G916" s="59" t="s">
        <v>1822</v>
      </c>
      <c r="H916" s="60">
        <v>0</v>
      </c>
      <c r="I916" s="60">
        <v>0</v>
      </c>
      <c r="J916" s="60">
        <v>0</v>
      </c>
      <c r="K916" s="60">
        <v>0</v>
      </c>
      <c r="L916" s="60">
        <v>0</v>
      </c>
      <c r="M916" s="60">
        <v>0</v>
      </c>
      <c r="N916" s="60">
        <v>0</v>
      </c>
      <c r="O916" s="60">
        <v>0</v>
      </c>
      <c r="P916" s="60">
        <v>0</v>
      </c>
      <c r="Q916" s="60">
        <v>0</v>
      </c>
      <c r="R916" s="60">
        <v>0</v>
      </c>
      <c r="S916" s="60">
        <v>0</v>
      </c>
      <c r="T916" s="60">
        <v>0</v>
      </c>
      <c r="U916" s="60">
        <v>0</v>
      </c>
      <c r="V916" s="60">
        <v>0</v>
      </c>
      <c r="W916" s="60">
        <v>0</v>
      </c>
      <c r="X916" s="60">
        <v>0</v>
      </c>
      <c r="Y916" s="60">
        <v>0</v>
      </c>
      <c r="Z916" s="60">
        <v>0</v>
      </c>
      <c r="AA916" s="60">
        <v>0</v>
      </c>
      <c r="AB916" s="60">
        <v>0</v>
      </c>
      <c r="AC916" s="60">
        <v>442.66</v>
      </c>
      <c r="AD916" s="60">
        <v>492.08</v>
      </c>
      <c r="AE916" s="60">
        <v>503.02</v>
      </c>
      <c r="AF916" s="60">
        <v>0</v>
      </c>
      <c r="AG916" s="60">
        <v>0</v>
      </c>
      <c r="AH916" s="60">
        <v>0</v>
      </c>
      <c r="AI916" s="60">
        <v>442.66</v>
      </c>
      <c r="AJ916" s="60">
        <v>492.08</v>
      </c>
      <c r="AK916" s="60">
        <v>503.02</v>
      </c>
      <c r="AL916" s="60">
        <v>0</v>
      </c>
      <c r="AM916" s="60">
        <v>0</v>
      </c>
      <c r="AN916" s="60">
        <v>0</v>
      </c>
      <c r="AO916" s="60">
        <v>442.66</v>
      </c>
      <c r="AP916" s="60">
        <v>492.08</v>
      </c>
      <c r="AQ916" s="60">
        <v>503.02</v>
      </c>
      <c r="AR916" s="61">
        <v>503.02</v>
      </c>
    </row>
    <row r="917" spans="1:44" x14ac:dyDescent="0.35">
      <c r="A917" s="49" t="str">
        <f>TEXT(1,"00")</f>
        <v>01</v>
      </c>
      <c r="B917" s="27">
        <v>61259</v>
      </c>
      <c r="C917" s="25" t="str">
        <f>TEXT(111856,"0000000")</f>
        <v>0111856</v>
      </c>
      <c r="D917" s="26" t="s">
        <v>93</v>
      </c>
      <c r="E917" s="25" t="s">
        <v>91</v>
      </c>
      <c r="F917" s="25" t="s">
        <v>5</v>
      </c>
      <c r="G917" s="59" t="s">
        <v>92</v>
      </c>
      <c r="H917" s="60">
        <v>0</v>
      </c>
      <c r="I917" s="60">
        <v>0</v>
      </c>
      <c r="J917" s="60">
        <v>0</v>
      </c>
      <c r="K917" s="60">
        <v>0</v>
      </c>
      <c r="L917" s="60">
        <v>0</v>
      </c>
      <c r="M917" s="60">
        <v>0</v>
      </c>
      <c r="N917" s="60">
        <v>0</v>
      </c>
      <c r="O917" s="60">
        <v>0</v>
      </c>
      <c r="P917" s="60">
        <v>0</v>
      </c>
      <c r="Q917" s="60">
        <v>0</v>
      </c>
      <c r="R917" s="60">
        <v>0</v>
      </c>
      <c r="S917" s="60">
        <v>0</v>
      </c>
      <c r="T917" s="60">
        <v>0</v>
      </c>
      <c r="U917" s="60">
        <v>0</v>
      </c>
      <c r="V917" s="60">
        <v>0</v>
      </c>
      <c r="W917" s="60">
        <v>0</v>
      </c>
      <c r="X917" s="60">
        <v>0</v>
      </c>
      <c r="Y917" s="60">
        <v>0</v>
      </c>
      <c r="Z917" s="60">
        <v>0</v>
      </c>
      <c r="AA917" s="60">
        <v>0</v>
      </c>
      <c r="AB917" s="60">
        <v>0</v>
      </c>
      <c r="AC917" s="60">
        <v>349.04</v>
      </c>
      <c r="AD917" s="60">
        <v>405.56</v>
      </c>
      <c r="AE917" s="60">
        <v>0</v>
      </c>
      <c r="AF917" s="60">
        <v>0</v>
      </c>
      <c r="AG917" s="60">
        <v>0</v>
      </c>
      <c r="AH917" s="60">
        <v>0</v>
      </c>
      <c r="AI917" s="60">
        <v>349.04</v>
      </c>
      <c r="AJ917" s="60">
        <v>405.56</v>
      </c>
      <c r="AK917" s="60">
        <v>0</v>
      </c>
      <c r="AL917" s="60">
        <v>0</v>
      </c>
      <c r="AM917" s="60">
        <v>0</v>
      </c>
      <c r="AN917" s="60">
        <v>428.16</v>
      </c>
      <c r="AO917" s="60">
        <v>349.04</v>
      </c>
      <c r="AP917" s="60">
        <v>405.56</v>
      </c>
      <c r="AQ917" s="60">
        <v>428.16</v>
      </c>
      <c r="AR917" s="61">
        <v>428.16</v>
      </c>
    </row>
    <row r="918" spans="1:44" x14ac:dyDescent="0.35">
      <c r="A918" s="49" t="str">
        <f t="shared" ref="A918:A927" si="79">TEXT(34,"00")</f>
        <v>34</v>
      </c>
      <c r="B918" s="27">
        <v>67439</v>
      </c>
      <c r="C918" s="25" t="str">
        <f>TEXT(102038,"0000000")</f>
        <v>0102038</v>
      </c>
      <c r="D918" s="26" t="s">
        <v>1826</v>
      </c>
      <c r="E918" s="25" t="s">
        <v>1824</v>
      </c>
      <c r="F918" s="25" t="s">
        <v>5</v>
      </c>
      <c r="G918" s="59" t="s">
        <v>1825</v>
      </c>
      <c r="H918" s="60">
        <v>0</v>
      </c>
      <c r="I918" s="60">
        <v>0</v>
      </c>
      <c r="J918" s="60">
        <v>0</v>
      </c>
      <c r="K918" s="60">
        <v>0</v>
      </c>
      <c r="L918" s="60">
        <v>0</v>
      </c>
      <c r="M918" s="60">
        <v>0</v>
      </c>
      <c r="N918" s="60">
        <v>0</v>
      </c>
      <c r="O918" s="60">
        <v>0</v>
      </c>
      <c r="P918" s="60">
        <v>0</v>
      </c>
      <c r="Q918" s="60">
        <v>0</v>
      </c>
      <c r="R918" s="60">
        <v>0</v>
      </c>
      <c r="S918" s="60">
        <v>0</v>
      </c>
      <c r="T918" s="60">
        <v>0</v>
      </c>
      <c r="U918" s="60">
        <v>0</v>
      </c>
      <c r="V918" s="60">
        <v>0</v>
      </c>
      <c r="W918" s="60">
        <v>0</v>
      </c>
      <c r="X918" s="60">
        <v>0</v>
      </c>
      <c r="Y918" s="60">
        <v>0</v>
      </c>
      <c r="Z918" s="60">
        <v>0</v>
      </c>
      <c r="AA918" s="60">
        <v>0</v>
      </c>
      <c r="AB918" s="60">
        <v>0</v>
      </c>
      <c r="AC918" s="60">
        <v>310.14</v>
      </c>
      <c r="AD918" s="60">
        <v>320.94</v>
      </c>
      <c r="AE918" s="60">
        <v>366.66</v>
      </c>
      <c r="AF918" s="60">
        <v>0</v>
      </c>
      <c r="AG918" s="60">
        <v>0</v>
      </c>
      <c r="AH918" s="60">
        <v>0</v>
      </c>
      <c r="AI918" s="60">
        <v>310.14</v>
      </c>
      <c r="AJ918" s="60">
        <v>320.94</v>
      </c>
      <c r="AK918" s="60">
        <v>366.66</v>
      </c>
      <c r="AL918" s="60">
        <v>0</v>
      </c>
      <c r="AM918" s="60">
        <v>0</v>
      </c>
      <c r="AN918" s="60">
        <v>0</v>
      </c>
      <c r="AO918" s="60">
        <v>310.14</v>
      </c>
      <c r="AP918" s="60">
        <v>320.94</v>
      </c>
      <c r="AQ918" s="60">
        <v>366.66</v>
      </c>
      <c r="AR918" s="61">
        <v>366.66</v>
      </c>
    </row>
    <row r="919" spans="1:44" x14ac:dyDescent="0.35">
      <c r="A919" s="49" t="str">
        <f t="shared" si="79"/>
        <v>34</v>
      </c>
      <c r="B919" s="27">
        <v>67439</v>
      </c>
      <c r="C919" s="25" t="str">
        <f>TEXT(102343,"0000000")</f>
        <v>0102343</v>
      </c>
      <c r="D919" s="26" t="s">
        <v>1829</v>
      </c>
      <c r="E919" s="25" t="s">
        <v>1827</v>
      </c>
      <c r="F919" s="25" t="s">
        <v>5</v>
      </c>
      <c r="G919" s="59" t="s">
        <v>1828</v>
      </c>
      <c r="H919" s="60">
        <v>0</v>
      </c>
      <c r="I919" s="60">
        <v>0</v>
      </c>
      <c r="J919" s="60">
        <v>0</v>
      </c>
      <c r="K919" s="60">
        <v>0</v>
      </c>
      <c r="L919" s="60">
        <v>0</v>
      </c>
      <c r="M919" s="60">
        <v>0</v>
      </c>
      <c r="N919" s="60">
        <v>0</v>
      </c>
      <c r="O919" s="60">
        <v>0</v>
      </c>
      <c r="P919" s="60">
        <v>0</v>
      </c>
      <c r="Q919" s="60">
        <v>0</v>
      </c>
      <c r="R919" s="60">
        <v>0</v>
      </c>
      <c r="S919" s="60">
        <v>0</v>
      </c>
      <c r="T919" s="60">
        <v>0</v>
      </c>
      <c r="U919" s="60">
        <v>0</v>
      </c>
      <c r="V919" s="60">
        <v>0</v>
      </c>
      <c r="W919" s="60">
        <v>0</v>
      </c>
      <c r="X919" s="60">
        <v>0</v>
      </c>
      <c r="Y919" s="60">
        <v>0</v>
      </c>
      <c r="Z919" s="60">
        <v>0</v>
      </c>
      <c r="AA919" s="60">
        <v>0</v>
      </c>
      <c r="AB919" s="60">
        <v>0</v>
      </c>
      <c r="AC919" s="60">
        <v>187.48</v>
      </c>
      <c r="AD919" s="60">
        <v>161.06</v>
      </c>
      <c r="AE919" s="60">
        <v>176.11</v>
      </c>
      <c r="AF919" s="60">
        <v>0</v>
      </c>
      <c r="AG919" s="60">
        <v>0</v>
      </c>
      <c r="AH919" s="60">
        <v>0</v>
      </c>
      <c r="AI919" s="60">
        <v>187.48</v>
      </c>
      <c r="AJ919" s="60">
        <v>161.06</v>
      </c>
      <c r="AK919" s="60">
        <v>176.11</v>
      </c>
      <c r="AL919" s="60">
        <v>0</v>
      </c>
      <c r="AM919" s="60">
        <v>0</v>
      </c>
      <c r="AN919" s="60">
        <v>0</v>
      </c>
      <c r="AO919" s="60">
        <v>187.48</v>
      </c>
      <c r="AP919" s="60">
        <v>161.06</v>
      </c>
      <c r="AQ919" s="60">
        <v>176.11</v>
      </c>
      <c r="AR919" s="61">
        <v>187.48</v>
      </c>
    </row>
    <row r="920" spans="1:44" x14ac:dyDescent="0.35">
      <c r="A920" s="49" t="str">
        <f t="shared" si="79"/>
        <v>34</v>
      </c>
      <c r="B920" s="27">
        <v>67439</v>
      </c>
      <c r="C920" s="25" t="str">
        <f>TEXT(106898,"0000000")</f>
        <v>0106898</v>
      </c>
      <c r="D920" s="26" t="s">
        <v>1832</v>
      </c>
      <c r="E920" s="25" t="s">
        <v>1830</v>
      </c>
      <c r="F920" s="25" t="s">
        <v>5</v>
      </c>
      <c r="G920" s="59" t="s">
        <v>1831</v>
      </c>
      <c r="H920" s="60">
        <v>0</v>
      </c>
      <c r="I920" s="60">
        <v>0</v>
      </c>
      <c r="J920" s="60">
        <v>0</v>
      </c>
      <c r="K920" s="60">
        <v>0</v>
      </c>
      <c r="L920" s="60">
        <v>0</v>
      </c>
      <c r="M920" s="60">
        <v>0</v>
      </c>
      <c r="N920" s="60">
        <v>0</v>
      </c>
      <c r="O920" s="60">
        <v>0</v>
      </c>
      <c r="P920" s="60">
        <v>0</v>
      </c>
      <c r="Q920" s="60">
        <v>0</v>
      </c>
      <c r="R920" s="60">
        <v>0</v>
      </c>
      <c r="S920" s="60">
        <v>0</v>
      </c>
      <c r="T920" s="60">
        <v>0</v>
      </c>
      <c r="U920" s="60">
        <v>0</v>
      </c>
      <c r="V920" s="60">
        <v>0</v>
      </c>
      <c r="W920" s="60">
        <v>0</v>
      </c>
      <c r="X920" s="60">
        <v>0</v>
      </c>
      <c r="Y920" s="60">
        <v>0</v>
      </c>
      <c r="Z920" s="60">
        <v>0</v>
      </c>
      <c r="AA920" s="60">
        <v>0</v>
      </c>
      <c r="AB920" s="60">
        <v>0</v>
      </c>
      <c r="AC920" s="60">
        <v>586.72</v>
      </c>
      <c r="AD920" s="60">
        <v>576.53</v>
      </c>
      <c r="AE920" s="60">
        <v>570.35</v>
      </c>
      <c r="AF920" s="60">
        <v>0</v>
      </c>
      <c r="AG920" s="60">
        <v>0</v>
      </c>
      <c r="AH920" s="60">
        <v>0</v>
      </c>
      <c r="AI920" s="60">
        <v>586.72</v>
      </c>
      <c r="AJ920" s="60">
        <v>576.53</v>
      </c>
      <c r="AK920" s="60">
        <v>570.35</v>
      </c>
      <c r="AL920" s="60">
        <v>0</v>
      </c>
      <c r="AM920" s="60">
        <v>0</v>
      </c>
      <c r="AN920" s="60">
        <v>0</v>
      </c>
      <c r="AO920" s="60">
        <v>586.72</v>
      </c>
      <c r="AP920" s="60">
        <v>576.53</v>
      </c>
      <c r="AQ920" s="60">
        <v>570.35</v>
      </c>
      <c r="AR920" s="61">
        <v>586.72</v>
      </c>
    </row>
    <row r="921" spans="1:44" ht="31" x14ac:dyDescent="0.35">
      <c r="A921" s="49" t="str">
        <f t="shared" si="79"/>
        <v>34</v>
      </c>
      <c r="B921" s="27">
        <v>67439</v>
      </c>
      <c r="C921" s="25" t="str">
        <f>TEXT(121665,"0000000")</f>
        <v>0121665</v>
      </c>
      <c r="D921" s="27">
        <v>1186</v>
      </c>
      <c r="E921" s="25" t="s">
        <v>1836</v>
      </c>
      <c r="F921" s="25" t="s">
        <v>5</v>
      </c>
      <c r="G921" s="59" t="s">
        <v>1837</v>
      </c>
      <c r="H921" s="60">
        <v>0</v>
      </c>
      <c r="I921" s="60">
        <v>0</v>
      </c>
      <c r="J921" s="60">
        <v>0</v>
      </c>
      <c r="K921" s="60">
        <v>0</v>
      </c>
      <c r="L921" s="60">
        <v>0</v>
      </c>
      <c r="M921" s="60">
        <v>0</v>
      </c>
      <c r="N921" s="60">
        <v>0</v>
      </c>
      <c r="O921" s="60">
        <v>0</v>
      </c>
      <c r="P921" s="60">
        <v>0</v>
      </c>
      <c r="Q921" s="60">
        <v>0</v>
      </c>
      <c r="R921" s="60">
        <v>0</v>
      </c>
      <c r="S921" s="60">
        <v>0</v>
      </c>
      <c r="T921" s="60">
        <v>0</v>
      </c>
      <c r="U921" s="60">
        <v>0</v>
      </c>
      <c r="V921" s="60">
        <v>0</v>
      </c>
      <c r="W921" s="60">
        <v>0</v>
      </c>
      <c r="X921" s="60">
        <v>0</v>
      </c>
      <c r="Y921" s="60">
        <v>0</v>
      </c>
      <c r="Z921" s="60">
        <v>0</v>
      </c>
      <c r="AA921" s="60">
        <v>0</v>
      </c>
      <c r="AB921" s="60">
        <v>0</v>
      </c>
      <c r="AC921" s="60">
        <v>434.45</v>
      </c>
      <c r="AD921" s="60">
        <v>381.84</v>
      </c>
      <c r="AE921" s="60">
        <v>388.62</v>
      </c>
      <c r="AF921" s="60">
        <v>0</v>
      </c>
      <c r="AG921" s="60">
        <v>0</v>
      </c>
      <c r="AH921" s="60">
        <v>0</v>
      </c>
      <c r="AI921" s="60">
        <v>434.45</v>
      </c>
      <c r="AJ921" s="60">
        <v>381.84</v>
      </c>
      <c r="AK921" s="60">
        <v>388.62</v>
      </c>
      <c r="AL921" s="60">
        <v>0</v>
      </c>
      <c r="AM921" s="60">
        <v>0</v>
      </c>
      <c r="AN921" s="60">
        <v>0</v>
      </c>
      <c r="AO921" s="60">
        <v>434.45</v>
      </c>
      <c r="AP921" s="60">
        <v>381.84</v>
      </c>
      <c r="AQ921" s="60">
        <v>388.62</v>
      </c>
      <c r="AR921" s="61">
        <v>434.45</v>
      </c>
    </row>
    <row r="922" spans="1:44" x14ac:dyDescent="0.35">
      <c r="A922" s="49" t="str">
        <f t="shared" si="79"/>
        <v>34</v>
      </c>
      <c r="B922" s="27">
        <v>67439</v>
      </c>
      <c r="C922" s="25" t="str">
        <f>TEXT(123901,"0000000")</f>
        <v>0123901</v>
      </c>
      <c r="D922" s="27">
        <v>1273</v>
      </c>
      <c r="E922" s="25" t="s">
        <v>1838</v>
      </c>
      <c r="F922" s="25" t="s">
        <v>5</v>
      </c>
      <c r="G922" s="59" t="s">
        <v>1839</v>
      </c>
      <c r="H922" s="60">
        <v>0</v>
      </c>
      <c r="I922" s="60">
        <v>0</v>
      </c>
      <c r="J922" s="60">
        <v>0</v>
      </c>
      <c r="K922" s="60">
        <v>0</v>
      </c>
      <c r="L922" s="60">
        <v>0</v>
      </c>
      <c r="M922" s="60">
        <v>0</v>
      </c>
      <c r="N922" s="60">
        <v>0</v>
      </c>
      <c r="O922" s="60">
        <v>0</v>
      </c>
      <c r="P922" s="60">
        <v>0</v>
      </c>
      <c r="Q922" s="60">
        <v>0</v>
      </c>
      <c r="R922" s="60">
        <v>0</v>
      </c>
      <c r="S922" s="60">
        <v>0</v>
      </c>
      <c r="T922" s="60">
        <v>0</v>
      </c>
      <c r="U922" s="60">
        <v>0</v>
      </c>
      <c r="V922" s="60">
        <v>0</v>
      </c>
      <c r="W922" s="60">
        <v>0</v>
      </c>
      <c r="X922" s="60">
        <v>0</v>
      </c>
      <c r="Y922" s="60">
        <v>0</v>
      </c>
      <c r="Z922" s="60">
        <v>0</v>
      </c>
      <c r="AA922" s="60">
        <v>0</v>
      </c>
      <c r="AB922" s="60">
        <v>0</v>
      </c>
      <c r="AC922" s="60">
        <v>404.27</v>
      </c>
      <c r="AD922" s="60">
        <v>382.63</v>
      </c>
      <c r="AE922" s="60">
        <v>397.23</v>
      </c>
      <c r="AF922" s="60">
        <v>0</v>
      </c>
      <c r="AG922" s="60">
        <v>0</v>
      </c>
      <c r="AH922" s="60">
        <v>0</v>
      </c>
      <c r="AI922" s="60">
        <v>404.27</v>
      </c>
      <c r="AJ922" s="60">
        <v>382.63</v>
      </c>
      <c r="AK922" s="60">
        <v>397.23</v>
      </c>
      <c r="AL922" s="60">
        <v>0</v>
      </c>
      <c r="AM922" s="60">
        <v>0</v>
      </c>
      <c r="AN922" s="60">
        <v>0</v>
      </c>
      <c r="AO922" s="60">
        <v>404.27</v>
      </c>
      <c r="AP922" s="60">
        <v>382.63</v>
      </c>
      <c r="AQ922" s="60">
        <v>397.23</v>
      </c>
      <c r="AR922" s="61">
        <v>404.27</v>
      </c>
    </row>
    <row r="923" spans="1:44" x14ac:dyDescent="0.35">
      <c r="A923" s="49" t="str">
        <f t="shared" si="79"/>
        <v>34</v>
      </c>
      <c r="B923" s="27">
        <v>67439</v>
      </c>
      <c r="C923" s="25" t="str">
        <f>TEXT(135343,"0000000")</f>
        <v>0135343</v>
      </c>
      <c r="D923" s="27">
        <v>1848</v>
      </c>
      <c r="E923" s="25" t="s">
        <v>1840</v>
      </c>
      <c r="F923" s="25" t="s">
        <v>5</v>
      </c>
      <c r="G923" s="59" t="s">
        <v>1841</v>
      </c>
      <c r="H923" s="60">
        <v>0</v>
      </c>
      <c r="I923" s="60">
        <v>0</v>
      </c>
      <c r="J923" s="60">
        <v>0</v>
      </c>
      <c r="K923" s="60">
        <v>0</v>
      </c>
      <c r="L923" s="60">
        <v>0</v>
      </c>
      <c r="M923" s="60">
        <v>0</v>
      </c>
      <c r="N923" s="60">
        <v>0</v>
      </c>
      <c r="O923" s="60">
        <v>0</v>
      </c>
      <c r="P923" s="60">
        <v>0</v>
      </c>
      <c r="Q923" s="60">
        <v>0</v>
      </c>
      <c r="R923" s="60">
        <v>0</v>
      </c>
      <c r="S923" s="60">
        <v>0</v>
      </c>
      <c r="T923" s="60">
        <v>0</v>
      </c>
      <c r="U923" s="60">
        <v>0</v>
      </c>
      <c r="V923" s="60">
        <v>0</v>
      </c>
      <c r="W923" s="60">
        <v>0</v>
      </c>
      <c r="X923" s="60">
        <v>0</v>
      </c>
      <c r="Y923" s="60">
        <v>0</v>
      </c>
      <c r="Z923" s="60">
        <v>0</v>
      </c>
      <c r="AA923" s="60">
        <v>0</v>
      </c>
      <c r="AB923" s="60">
        <v>0</v>
      </c>
      <c r="AC923" s="60">
        <v>264.25</v>
      </c>
      <c r="AD923" s="60">
        <v>247.35</v>
      </c>
      <c r="AE923" s="60">
        <v>215.1</v>
      </c>
      <c r="AF923" s="60">
        <v>0</v>
      </c>
      <c r="AG923" s="60">
        <v>0</v>
      </c>
      <c r="AH923" s="60">
        <v>0</v>
      </c>
      <c r="AI923" s="60">
        <v>264.25</v>
      </c>
      <c r="AJ923" s="60">
        <v>247.35</v>
      </c>
      <c r="AK923" s="60">
        <v>215.1</v>
      </c>
      <c r="AL923" s="60">
        <v>0</v>
      </c>
      <c r="AM923" s="60">
        <v>0</v>
      </c>
      <c r="AN923" s="60">
        <v>0</v>
      </c>
      <c r="AO923" s="60">
        <v>264.25</v>
      </c>
      <c r="AP923" s="60">
        <v>247.35</v>
      </c>
      <c r="AQ923" s="60">
        <v>215.1</v>
      </c>
      <c r="AR923" s="61">
        <v>264.25</v>
      </c>
    </row>
    <row r="924" spans="1:44" ht="31" x14ac:dyDescent="0.35">
      <c r="A924" s="49" t="str">
        <f t="shared" si="79"/>
        <v>34</v>
      </c>
      <c r="B924" s="27">
        <v>67439</v>
      </c>
      <c r="C924" s="25" t="str">
        <f>TEXT(137406,"0000000")</f>
        <v>0137406</v>
      </c>
      <c r="D924" s="27">
        <v>1948</v>
      </c>
      <c r="E924" s="25" t="s">
        <v>1842</v>
      </c>
      <c r="F924" s="25" t="s">
        <v>5</v>
      </c>
      <c r="G924" s="59" t="s">
        <v>1843</v>
      </c>
      <c r="H924" s="60">
        <v>0</v>
      </c>
      <c r="I924" s="60">
        <v>0</v>
      </c>
      <c r="J924" s="60">
        <v>0</v>
      </c>
      <c r="K924" s="60">
        <v>0</v>
      </c>
      <c r="L924" s="60">
        <v>0</v>
      </c>
      <c r="M924" s="60">
        <v>0</v>
      </c>
      <c r="N924" s="60">
        <v>0</v>
      </c>
      <c r="O924" s="60">
        <v>0</v>
      </c>
      <c r="P924" s="60">
        <v>0</v>
      </c>
      <c r="Q924" s="60">
        <v>0</v>
      </c>
      <c r="R924" s="60">
        <v>0</v>
      </c>
      <c r="S924" s="60">
        <v>0</v>
      </c>
      <c r="T924" s="60">
        <v>0</v>
      </c>
      <c r="U924" s="60">
        <v>0</v>
      </c>
      <c r="V924" s="60">
        <v>0</v>
      </c>
      <c r="W924" s="60">
        <v>0</v>
      </c>
      <c r="X924" s="60">
        <v>0</v>
      </c>
      <c r="Y924" s="60">
        <v>0</v>
      </c>
      <c r="Z924" s="60">
        <v>0</v>
      </c>
      <c r="AA924" s="60">
        <v>0</v>
      </c>
      <c r="AB924" s="60">
        <v>0</v>
      </c>
      <c r="AC924" s="60">
        <v>640.4</v>
      </c>
      <c r="AD924" s="60">
        <v>662.77</v>
      </c>
      <c r="AE924" s="60">
        <v>650.75</v>
      </c>
      <c r="AF924" s="60">
        <v>0</v>
      </c>
      <c r="AG924" s="60">
        <v>0</v>
      </c>
      <c r="AH924" s="60">
        <v>0</v>
      </c>
      <c r="AI924" s="60">
        <v>640.4</v>
      </c>
      <c r="AJ924" s="60">
        <v>662.77</v>
      </c>
      <c r="AK924" s="60">
        <v>650.75</v>
      </c>
      <c r="AL924" s="60">
        <v>0</v>
      </c>
      <c r="AM924" s="60">
        <v>0</v>
      </c>
      <c r="AN924" s="60">
        <v>0</v>
      </c>
      <c r="AO924" s="60">
        <v>640.4</v>
      </c>
      <c r="AP924" s="60">
        <v>662.77</v>
      </c>
      <c r="AQ924" s="60">
        <v>650.75</v>
      </c>
      <c r="AR924" s="61">
        <v>662.77</v>
      </c>
    </row>
    <row r="925" spans="1:44" ht="31" x14ac:dyDescent="0.35">
      <c r="A925" s="49" t="str">
        <f t="shared" si="79"/>
        <v>34</v>
      </c>
      <c r="B925" s="27">
        <v>67447</v>
      </c>
      <c r="C925" s="25" t="str">
        <f>TEXT(120469,"0000000")</f>
        <v>0120469</v>
      </c>
      <c r="D925" s="27">
        <v>1554</v>
      </c>
      <c r="E925" s="25" t="s">
        <v>1849</v>
      </c>
      <c r="F925" s="25" t="s">
        <v>5</v>
      </c>
      <c r="G925" s="59" t="s">
        <v>1850</v>
      </c>
      <c r="H925" s="60">
        <v>0</v>
      </c>
      <c r="I925" s="60">
        <v>0</v>
      </c>
      <c r="J925" s="60">
        <v>0</v>
      </c>
      <c r="K925" s="60">
        <v>0</v>
      </c>
      <c r="L925" s="60">
        <v>0</v>
      </c>
      <c r="M925" s="60">
        <v>0</v>
      </c>
      <c r="N925" s="60">
        <v>0</v>
      </c>
      <c r="O925" s="60">
        <v>0</v>
      </c>
      <c r="P925" s="60">
        <v>0</v>
      </c>
      <c r="Q925" s="60">
        <v>0</v>
      </c>
      <c r="R925" s="60">
        <v>0</v>
      </c>
      <c r="S925" s="60">
        <v>0</v>
      </c>
      <c r="T925" s="60">
        <v>0</v>
      </c>
      <c r="U925" s="60">
        <v>0</v>
      </c>
      <c r="V925" s="60">
        <v>0</v>
      </c>
      <c r="W925" s="60">
        <v>0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393.6</v>
      </c>
      <c r="AD925" s="60">
        <v>385.55</v>
      </c>
      <c r="AE925" s="60">
        <v>372.98</v>
      </c>
      <c r="AF925" s="60">
        <v>0</v>
      </c>
      <c r="AG925" s="60">
        <v>0</v>
      </c>
      <c r="AH925" s="60">
        <v>0</v>
      </c>
      <c r="AI925" s="60">
        <v>393.6</v>
      </c>
      <c r="AJ925" s="60">
        <v>385.55</v>
      </c>
      <c r="AK925" s="60">
        <v>372.98</v>
      </c>
      <c r="AL925" s="60">
        <v>0</v>
      </c>
      <c r="AM925" s="60">
        <v>0</v>
      </c>
      <c r="AN925" s="60">
        <v>0</v>
      </c>
      <c r="AO925" s="60">
        <v>393.6</v>
      </c>
      <c r="AP925" s="60">
        <v>385.55</v>
      </c>
      <c r="AQ925" s="60">
        <v>372.98</v>
      </c>
      <c r="AR925" s="61">
        <v>393.6</v>
      </c>
    </row>
    <row r="926" spans="1:44" x14ac:dyDescent="0.35">
      <c r="A926" s="49" t="str">
        <f t="shared" si="79"/>
        <v>34</v>
      </c>
      <c r="B926" s="27">
        <v>67447</v>
      </c>
      <c r="C926" s="25" t="str">
        <f>TEXT(121467,"0000000")</f>
        <v>0121467</v>
      </c>
      <c r="D926" s="27">
        <v>1555</v>
      </c>
      <c r="E926" s="25" t="s">
        <v>1851</v>
      </c>
      <c r="F926" s="25" t="s">
        <v>5</v>
      </c>
      <c r="G926" s="59" t="s">
        <v>1852</v>
      </c>
      <c r="H926" s="60">
        <v>0</v>
      </c>
      <c r="I926" s="60">
        <v>0</v>
      </c>
      <c r="J926" s="60">
        <v>0</v>
      </c>
      <c r="K926" s="60">
        <v>0</v>
      </c>
      <c r="L926" s="60">
        <v>0</v>
      </c>
      <c r="M926" s="60">
        <v>0</v>
      </c>
      <c r="N926" s="60">
        <v>0</v>
      </c>
      <c r="O926" s="60">
        <v>0</v>
      </c>
      <c r="P926" s="60">
        <v>0</v>
      </c>
      <c r="Q926" s="60">
        <v>0</v>
      </c>
      <c r="R926" s="60">
        <v>0</v>
      </c>
      <c r="S926" s="60">
        <v>0</v>
      </c>
      <c r="T926" s="60">
        <v>0</v>
      </c>
      <c r="U926" s="60">
        <v>0</v>
      </c>
      <c r="V926" s="60">
        <v>0</v>
      </c>
      <c r="W926" s="60">
        <v>0</v>
      </c>
      <c r="X926" s="60">
        <v>0</v>
      </c>
      <c r="Y926" s="60">
        <v>0</v>
      </c>
      <c r="Z926" s="60">
        <v>0</v>
      </c>
      <c r="AA926" s="60">
        <v>0</v>
      </c>
      <c r="AB926" s="60">
        <v>0</v>
      </c>
      <c r="AC926" s="60">
        <v>429.13</v>
      </c>
      <c r="AD926" s="60">
        <v>453.04</v>
      </c>
      <c r="AE926" s="60">
        <v>466.31</v>
      </c>
      <c r="AF926" s="60">
        <v>0</v>
      </c>
      <c r="AG926" s="60">
        <v>0</v>
      </c>
      <c r="AH926" s="60">
        <v>0</v>
      </c>
      <c r="AI926" s="60">
        <v>429.13</v>
      </c>
      <c r="AJ926" s="60">
        <v>453.04</v>
      </c>
      <c r="AK926" s="60">
        <v>466.31</v>
      </c>
      <c r="AL926" s="60">
        <v>0</v>
      </c>
      <c r="AM926" s="60">
        <v>0</v>
      </c>
      <c r="AN926" s="60">
        <v>0</v>
      </c>
      <c r="AO926" s="60">
        <v>429.13</v>
      </c>
      <c r="AP926" s="60">
        <v>453.04</v>
      </c>
      <c r="AQ926" s="60">
        <v>466.31</v>
      </c>
      <c r="AR926" s="61">
        <v>466.31</v>
      </c>
    </row>
    <row r="927" spans="1:44" x14ac:dyDescent="0.35">
      <c r="A927" s="49" t="str">
        <f t="shared" si="79"/>
        <v>34</v>
      </c>
      <c r="B927" s="27">
        <v>67447</v>
      </c>
      <c r="C927" s="25" t="str">
        <f>TEXT(128124,"0000000")</f>
        <v>0128124</v>
      </c>
      <c r="D927" s="27">
        <v>1563</v>
      </c>
      <c r="E927" s="25" t="s">
        <v>1853</v>
      </c>
      <c r="F927" s="25" t="s">
        <v>5</v>
      </c>
      <c r="G927" s="59" t="s">
        <v>1854</v>
      </c>
      <c r="H927" s="60">
        <v>0</v>
      </c>
      <c r="I927" s="60">
        <v>0</v>
      </c>
      <c r="J927" s="60">
        <v>0</v>
      </c>
      <c r="K927" s="60">
        <v>0</v>
      </c>
      <c r="L927" s="60">
        <v>0</v>
      </c>
      <c r="M927" s="60">
        <v>0</v>
      </c>
      <c r="N927" s="60">
        <v>0</v>
      </c>
      <c r="O927" s="60">
        <v>0</v>
      </c>
      <c r="P927" s="60">
        <v>0</v>
      </c>
      <c r="Q927" s="60">
        <v>0</v>
      </c>
      <c r="R927" s="60">
        <v>0</v>
      </c>
      <c r="S927" s="60">
        <v>0</v>
      </c>
      <c r="T927" s="60">
        <v>0</v>
      </c>
      <c r="U927" s="60">
        <v>0</v>
      </c>
      <c r="V927" s="60">
        <v>0</v>
      </c>
      <c r="W927" s="60">
        <v>0</v>
      </c>
      <c r="X927" s="60">
        <v>0</v>
      </c>
      <c r="Y927" s="60">
        <v>0</v>
      </c>
      <c r="Z927" s="60">
        <v>0</v>
      </c>
      <c r="AA927" s="60">
        <v>0</v>
      </c>
      <c r="AB927" s="60">
        <v>0</v>
      </c>
      <c r="AC927" s="60">
        <v>555.26</v>
      </c>
      <c r="AD927" s="60">
        <v>539.33000000000004</v>
      </c>
      <c r="AE927" s="60">
        <v>485.13</v>
      </c>
      <c r="AF927" s="60">
        <v>0</v>
      </c>
      <c r="AG927" s="60">
        <v>0</v>
      </c>
      <c r="AH927" s="60">
        <v>0</v>
      </c>
      <c r="AI927" s="60">
        <v>555.26</v>
      </c>
      <c r="AJ927" s="60">
        <v>539.33000000000004</v>
      </c>
      <c r="AK927" s="60">
        <v>485.13</v>
      </c>
      <c r="AL927" s="60">
        <v>0</v>
      </c>
      <c r="AM927" s="60">
        <v>0</v>
      </c>
      <c r="AN927" s="60">
        <v>0</v>
      </c>
      <c r="AO927" s="60">
        <v>555.26</v>
      </c>
      <c r="AP927" s="60">
        <v>539.33000000000004</v>
      </c>
      <c r="AQ927" s="60">
        <v>485.13</v>
      </c>
      <c r="AR927" s="61">
        <v>555.26</v>
      </c>
    </row>
    <row r="928" spans="1:44" x14ac:dyDescent="0.35">
      <c r="A928" s="49" t="str">
        <f>TEXT(1,"00")</f>
        <v>01</v>
      </c>
      <c r="B928" s="27">
        <v>61259</v>
      </c>
      <c r="C928" s="25" t="str">
        <f>TEXT(114363,"0000000")</f>
        <v>0114363</v>
      </c>
      <c r="D928" s="26" t="s">
        <v>96</v>
      </c>
      <c r="E928" s="25" t="s">
        <v>94</v>
      </c>
      <c r="F928" s="25" t="s">
        <v>5</v>
      </c>
      <c r="G928" s="59" t="s">
        <v>3507</v>
      </c>
      <c r="H928" s="60">
        <v>0</v>
      </c>
      <c r="I928" s="60">
        <v>0</v>
      </c>
      <c r="J928" s="60">
        <v>0</v>
      </c>
      <c r="K928" s="60">
        <v>0</v>
      </c>
      <c r="L928" s="60">
        <v>0</v>
      </c>
      <c r="M928" s="60">
        <v>0</v>
      </c>
      <c r="N928" s="60">
        <v>0</v>
      </c>
      <c r="O928" s="60">
        <v>0</v>
      </c>
      <c r="P928" s="60">
        <v>0</v>
      </c>
      <c r="Q928" s="60">
        <v>0</v>
      </c>
      <c r="R928" s="60">
        <v>0</v>
      </c>
      <c r="S928" s="60">
        <v>0</v>
      </c>
      <c r="T928" s="60">
        <v>0</v>
      </c>
      <c r="U928" s="60">
        <v>0</v>
      </c>
      <c r="V928" s="60">
        <v>0</v>
      </c>
      <c r="W928" s="60">
        <v>0</v>
      </c>
      <c r="X928" s="60">
        <v>0</v>
      </c>
      <c r="Y928" s="60">
        <v>0</v>
      </c>
      <c r="Z928" s="60">
        <v>0</v>
      </c>
      <c r="AA928" s="60">
        <v>0</v>
      </c>
      <c r="AB928" s="60">
        <v>0</v>
      </c>
      <c r="AC928" s="60">
        <v>604.49</v>
      </c>
      <c r="AD928" s="60">
        <v>597.22</v>
      </c>
      <c r="AE928" s="60">
        <v>0</v>
      </c>
      <c r="AF928" s="60">
        <v>0</v>
      </c>
      <c r="AG928" s="60">
        <v>0</v>
      </c>
      <c r="AH928" s="60">
        <v>0</v>
      </c>
      <c r="AI928" s="60">
        <v>604.49</v>
      </c>
      <c r="AJ928" s="60">
        <v>597.22</v>
      </c>
      <c r="AK928" s="60">
        <v>0</v>
      </c>
      <c r="AL928" s="60">
        <v>0</v>
      </c>
      <c r="AM928" s="60">
        <v>0</v>
      </c>
      <c r="AN928" s="60">
        <v>620.24</v>
      </c>
      <c r="AO928" s="60">
        <v>604.49</v>
      </c>
      <c r="AP928" s="60">
        <v>597.22</v>
      </c>
      <c r="AQ928" s="60">
        <v>620.24</v>
      </c>
      <c r="AR928" s="61">
        <v>620.24</v>
      </c>
    </row>
    <row r="929" spans="1:44" x14ac:dyDescent="0.35">
      <c r="A929" s="49" t="str">
        <f t="shared" ref="A929:A934" si="80">TEXT(34,"00")</f>
        <v>34</v>
      </c>
      <c r="B929" s="27">
        <v>75283</v>
      </c>
      <c r="C929" s="25" t="str">
        <f>TEXT(108860,"0000000")</f>
        <v>0108860</v>
      </c>
      <c r="D929" s="26" t="s">
        <v>1861</v>
      </c>
      <c r="E929" s="25" t="s">
        <v>1859</v>
      </c>
      <c r="F929" s="25" t="s">
        <v>5</v>
      </c>
      <c r="G929" s="59" t="s">
        <v>1860</v>
      </c>
      <c r="H929" s="60">
        <v>0</v>
      </c>
      <c r="I929" s="60">
        <v>0</v>
      </c>
      <c r="J929" s="60">
        <v>0</v>
      </c>
      <c r="K929" s="60">
        <v>0</v>
      </c>
      <c r="L929" s="60">
        <v>0</v>
      </c>
      <c r="M929" s="60">
        <v>0</v>
      </c>
      <c r="N929" s="60">
        <v>0</v>
      </c>
      <c r="O929" s="60">
        <v>0</v>
      </c>
      <c r="P929" s="60">
        <v>0</v>
      </c>
      <c r="Q929" s="60">
        <v>0</v>
      </c>
      <c r="R929" s="60">
        <v>0</v>
      </c>
      <c r="S929" s="60">
        <v>0</v>
      </c>
      <c r="T929" s="60">
        <v>0</v>
      </c>
      <c r="U929" s="60">
        <v>0</v>
      </c>
      <c r="V929" s="60">
        <v>0</v>
      </c>
      <c r="W929" s="60">
        <v>0</v>
      </c>
      <c r="X929" s="60">
        <v>0</v>
      </c>
      <c r="Y929" s="60">
        <v>0</v>
      </c>
      <c r="Z929" s="60">
        <v>0</v>
      </c>
      <c r="AA929" s="60">
        <v>0</v>
      </c>
      <c r="AB929" s="60">
        <v>0</v>
      </c>
      <c r="AC929" s="60">
        <v>1294.07</v>
      </c>
      <c r="AD929" s="60">
        <v>1160.83</v>
      </c>
      <c r="AE929" s="60">
        <v>1046.73</v>
      </c>
      <c r="AF929" s="60">
        <v>0</v>
      </c>
      <c r="AG929" s="60">
        <v>0</v>
      </c>
      <c r="AH929" s="60">
        <v>0</v>
      </c>
      <c r="AI929" s="60">
        <v>1294.07</v>
      </c>
      <c r="AJ929" s="60">
        <v>1160.83</v>
      </c>
      <c r="AK929" s="60">
        <v>1046.73</v>
      </c>
      <c r="AL929" s="60">
        <v>0</v>
      </c>
      <c r="AM929" s="60">
        <v>0</v>
      </c>
      <c r="AN929" s="60">
        <v>0</v>
      </c>
      <c r="AO929" s="60">
        <v>1294.07</v>
      </c>
      <c r="AP929" s="60">
        <v>1160.83</v>
      </c>
      <c r="AQ929" s="60">
        <v>1046.73</v>
      </c>
      <c r="AR929" s="61">
        <v>1294.07</v>
      </c>
    </row>
    <row r="930" spans="1:44" x14ac:dyDescent="0.35">
      <c r="A930" s="49" t="str">
        <f t="shared" si="80"/>
        <v>34</v>
      </c>
      <c r="B930" s="27">
        <v>76505</v>
      </c>
      <c r="C930" s="25" t="str">
        <f>TEXT(101766,"0000000")</f>
        <v>0101766</v>
      </c>
      <c r="D930" s="26" t="s">
        <v>1869</v>
      </c>
      <c r="E930" s="25" t="s">
        <v>1867</v>
      </c>
      <c r="F930" s="25" t="s">
        <v>5</v>
      </c>
      <c r="G930" s="59" t="s">
        <v>1868</v>
      </c>
      <c r="H930" s="60">
        <v>0</v>
      </c>
      <c r="I930" s="60">
        <v>0</v>
      </c>
      <c r="J930" s="60">
        <v>0</v>
      </c>
      <c r="K930" s="60">
        <v>0</v>
      </c>
      <c r="L930" s="60">
        <v>0</v>
      </c>
      <c r="M930" s="60">
        <v>0</v>
      </c>
      <c r="N930" s="60">
        <v>0</v>
      </c>
      <c r="O930" s="60">
        <v>0</v>
      </c>
      <c r="P930" s="60">
        <v>0</v>
      </c>
      <c r="Q930" s="60">
        <v>0</v>
      </c>
      <c r="R930" s="60">
        <v>0</v>
      </c>
      <c r="S930" s="60">
        <v>0</v>
      </c>
      <c r="T930" s="60">
        <v>0</v>
      </c>
      <c r="U930" s="60">
        <v>0</v>
      </c>
      <c r="V930" s="60">
        <v>0</v>
      </c>
      <c r="W930" s="60">
        <v>0</v>
      </c>
      <c r="X930" s="60">
        <v>0</v>
      </c>
      <c r="Y930" s="60">
        <v>0</v>
      </c>
      <c r="Z930" s="60">
        <v>0</v>
      </c>
      <c r="AA930" s="60">
        <v>0</v>
      </c>
      <c r="AB930" s="60">
        <v>0</v>
      </c>
      <c r="AC930" s="60">
        <v>1684.61</v>
      </c>
      <c r="AD930" s="60">
        <v>1594.97</v>
      </c>
      <c r="AE930" s="60">
        <v>1444.33</v>
      </c>
      <c r="AF930" s="60">
        <v>0</v>
      </c>
      <c r="AG930" s="60">
        <v>0</v>
      </c>
      <c r="AH930" s="60">
        <v>0</v>
      </c>
      <c r="AI930" s="60">
        <v>1684.61</v>
      </c>
      <c r="AJ930" s="60">
        <v>1594.97</v>
      </c>
      <c r="AK930" s="60">
        <v>1444.33</v>
      </c>
      <c r="AL930" s="60">
        <v>0</v>
      </c>
      <c r="AM930" s="60">
        <v>0</v>
      </c>
      <c r="AN930" s="60">
        <v>0</v>
      </c>
      <c r="AO930" s="60">
        <v>1684.61</v>
      </c>
      <c r="AP930" s="60">
        <v>1594.97</v>
      </c>
      <c r="AQ930" s="60">
        <v>1444.33</v>
      </c>
      <c r="AR930" s="61">
        <v>1684.61</v>
      </c>
    </row>
    <row r="931" spans="1:44" x14ac:dyDescent="0.35">
      <c r="A931" s="49" t="str">
        <f t="shared" si="80"/>
        <v>34</v>
      </c>
      <c r="B931" s="27">
        <v>76505</v>
      </c>
      <c r="C931" s="25" t="str">
        <f>TEXT(101832,"0000000")</f>
        <v>0101832</v>
      </c>
      <c r="D931" s="26" t="s">
        <v>1872</v>
      </c>
      <c r="E931" s="25" t="s">
        <v>1870</v>
      </c>
      <c r="F931" s="25" t="s">
        <v>5</v>
      </c>
      <c r="G931" s="59" t="s">
        <v>1871</v>
      </c>
      <c r="H931" s="60">
        <v>0</v>
      </c>
      <c r="I931" s="60">
        <v>0</v>
      </c>
      <c r="J931" s="60">
        <v>0</v>
      </c>
      <c r="K931" s="60">
        <v>0</v>
      </c>
      <c r="L931" s="60">
        <v>0</v>
      </c>
      <c r="M931" s="60">
        <v>0</v>
      </c>
      <c r="N931" s="60">
        <v>0</v>
      </c>
      <c r="O931" s="60">
        <v>0</v>
      </c>
      <c r="P931" s="60">
        <v>0</v>
      </c>
      <c r="Q931" s="60">
        <v>0</v>
      </c>
      <c r="R931" s="60">
        <v>0</v>
      </c>
      <c r="S931" s="60">
        <v>0</v>
      </c>
      <c r="T931" s="60">
        <v>0</v>
      </c>
      <c r="U931" s="60">
        <v>0</v>
      </c>
      <c r="V931" s="60">
        <v>0</v>
      </c>
      <c r="W931" s="60">
        <v>0</v>
      </c>
      <c r="X931" s="60">
        <v>0</v>
      </c>
      <c r="Y931" s="60">
        <v>0</v>
      </c>
      <c r="Z931" s="60">
        <v>0</v>
      </c>
      <c r="AA931" s="60">
        <v>0</v>
      </c>
      <c r="AB931" s="60">
        <v>0</v>
      </c>
      <c r="AC931" s="60">
        <v>447.77</v>
      </c>
      <c r="AD931" s="60">
        <v>433.86</v>
      </c>
      <c r="AE931" s="60">
        <v>392.84</v>
      </c>
      <c r="AF931" s="60">
        <v>0</v>
      </c>
      <c r="AG931" s="60">
        <v>0</v>
      </c>
      <c r="AH931" s="60">
        <v>0</v>
      </c>
      <c r="AI931" s="60">
        <v>447.77</v>
      </c>
      <c r="AJ931" s="60">
        <v>433.86</v>
      </c>
      <c r="AK931" s="60">
        <v>392.84</v>
      </c>
      <c r="AL931" s="60">
        <v>0</v>
      </c>
      <c r="AM931" s="60">
        <v>0</v>
      </c>
      <c r="AN931" s="60">
        <v>0</v>
      </c>
      <c r="AO931" s="60">
        <v>447.77</v>
      </c>
      <c r="AP931" s="60">
        <v>433.86</v>
      </c>
      <c r="AQ931" s="60">
        <v>392.84</v>
      </c>
      <c r="AR931" s="61">
        <v>447.77</v>
      </c>
    </row>
    <row r="932" spans="1:44" x14ac:dyDescent="0.35">
      <c r="A932" s="49" t="str">
        <f t="shared" si="80"/>
        <v>34</v>
      </c>
      <c r="B932" s="27">
        <v>76505</v>
      </c>
      <c r="C932" s="25" t="str">
        <f>TEXT(108837,"0000000")</f>
        <v>0108837</v>
      </c>
      <c r="D932" s="26" t="s">
        <v>1875</v>
      </c>
      <c r="E932" s="25" t="s">
        <v>1873</v>
      </c>
      <c r="F932" s="25" t="s">
        <v>5</v>
      </c>
      <c r="G932" s="59" t="s">
        <v>1874</v>
      </c>
      <c r="H932" s="60">
        <v>0</v>
      </c>
      <c r="I932" s="60">
        <v>0</v>
      </c>
      <c r="J932" s="60">
        <v>0</v>
      </c>
      <c r="K932" s="60">
        <v>0</v>
      </c>
      <c r="L932" s="60">
        <v>0</v>
      </c>
      <c r="M932" s="60">
        <v>0</v>
      </c>
      <c r="N932" s="60">
        <v>0</v>
      </c>
      <c r="O932" s="60">
        <v>0</v>
      </c>
      <c r="P932" s="60">
        <v>0</v>
      </c>
      <c r="Q932" s="60">
        <v>0</v>
      </c>
      <c r="R932" s="60">
        <v>0</v>
      </c>
      <c r="S932" s="60">
        <v>0</v>
      </c>
      <c r="T932" s="60">
        <v>0</v>
      </c>
      <c r="U932" s="60">
        <v>0</v>
      </c>
      <c r="V932" s="60">
        <v>0</v>
      </c>
      <c r="W932" s="60">
        <v>0</v>
      </c>
      <c r="X932" s="60">
        <v>0</v>
      </c>
      <c r="Y932" s="60">
        <v>0</v>
      </c>
      <c r="Z932" s="60">
        <v>0</v>
      </c>
      <c r="AA932" s="60">
        <v>0</v>
      </c>
      <c r="AB932" s="60">
        <v>0</v>
      </c>
      <c r="AC932" s="60">
        <v>633.4</v>
      </c>
      <c r="AD932" s="60">
        <v>568.51</v>
      </c>
      <c r="AE932" s="60">
        <v>422.08</v>
      </c>
      <c r="AF932" s="60">
        <v>0</v>
      </c>
      <c r="AG932" s="60">
        <v>0</v>
      </c>
      <c r="AH932" s="60">
        <v>0</v>
      </c>
      <c r="AI932" s="60">
        <v>633.4</v>
      </c>
      <c r="AJ932" s="60">
        <v>568.51</v>
      </c>
      <c r="AK932" s="60">
        <v>422.08</v>
      </c>
      <c r="AL932" s="60">
        <v>0</v>
      </c>
      <c r="AM932" s="60">
        <v>0</v>
      </c>
      <c r="AN932" s="60">
        <v>0</v>
      </c>
      <c r="AO932" s="60">
        <v>633.4</v>
      </c>
      <c r="AP932" s="60">
        <v>568.51</v>
      </c>
      <c r="AQ932" s="60">
        <v>422.08</v>
      </c>
      <c r="AR932" s="61">
        <v>633.4</v>
      </c>
    </row>
    <row r="933" spans="1:44" x14ac:dyDescent="0.35">
      <c r="A933" s="49" t="str">
        <f t="shared" si="80"/>
        <v>34</v>
      </c>
      <c r="B933" s="27">
        <v>76505</v>
      </c>
      <c r="C933" s="25" t="str">
        <f>TEXT(113878,"0000000")</f>
        <v>0113878</v>
      </c>
      <c r="D933" s="26" t="s">
        <v>1878</v>
      </c>
      <c r="E933" s="25" t="s">
        <v>1876</v>
      </c>
      <c r="F933" s="25" t="s">
        <v>5</v>
      </c>
      <c r="G933" s="59" t="s">
        <v>1877</v>
      </c>
      <c r="H933" s="60">
        <v>0</v>
      </c>
      <c r="I933" s="60">
        <v>0</v>
      </c>
      <c r="J933" s="60">
        <v>0</v>
      </c>
      <c r="K933" s="60">
        <v>0</v>
      </c>
      <c r="L933" s="60">
        <v>0</v>
      </c>
      <c r="M933" s="60">
        <v>0</v>
      </c>
      <c r="N933" s="60">
        <v>0</v>
      </c>
      <c r="O933" s="60">
        <v>0</v>
      </c>
      <c r="P933" s="60">
        <v>0</v>
      </c>
      <c r="Q933" s="60">
        <v>0</v>
      </c>
      <c r="R933" s="60">
        <v>0</v>
      </c>
      <c r="S933" s="60">
        <v>0</v>
      </c>
      <c r="T933" s="60">
        <v>0</v>
      </c>
      <c r="U933" s="60">
        <v>0</v>
      </c>
      <c r="V933" s="60">
        <v>0</v>
      </c>
      <c r="W933" s="60">
        <v>0</v>
      </c>
      <c r="X933" s="60">
        <v>0</v>
      </c>
      <c r="Y933" s="60">
        <v>0</v>
      </c>
      <c r="Z933" s="60">
        <v>0</v>
      </c>
      <c r="AA933" s="60">
        <v>0</v>
      </c>
      <c r="AB933" s="60">
        <v>0</v>
      </c>
      <c r="AC933" s="60">
        <v>490.3</v>
      </c>
      <c r="AD933" s="60">
        <v>483.05</v>
      </c>
      <c r="AE933" s="60">
        <v>416.1</v>
      </c>
      <c r="AF933" s="60">
        <v>0</v>
      </c>
      <c r="AG933" s="60">
        <v>0</v>
      </c>
      <c r="AH933" s="60">
        <v>0</v>
      </c>
      <c r="AI933" s="60">
        <v>490.3</v>
      </c>
      <c r="AJ933" s="60">
        <v>483.05</v>
      </c>
      <c r="AK933" s="60">
        <v>416.1</v>
      </c>
      <c r="AL933" s="60">
        <v>0</v>
      </c>
      <c r="AM933" s="60">
        <v>0</v>
      </c>
      <c r="AN933" s="60">
        <v>0</v>
      </c>
      <c r="AO933" s="60">
        <v>490.3</v>
      </c>
      <c r="AP933" s="60">
        <v>483.05</v>
      </c>
      <c r="AQ933" s="60">
        <v>416.1</v>
      </c>
      <c r="AR933" s="61">
        <v>490.3</v>
      </c>
    </row>
    <row r="934" spans="1:44" ht="31" x14ac:dyDescent="0.35">
      <c r="A934" s="49" t="str">
        <f t="shared" si="80"/>
        <v>34</v>
      </c>
      <c r="B934" s="27">
        <v>76505</v>
      </c>
      <c r="C934" s="25" t="str">
        <f>TEXT(114272,"0000000")</f>
        <v>0114272</v>
      </c>
      <c r="D934" s="26" t="s">
        <v>1881</v>
      </c>
      <c r="E934" s="25" t="s">
        <v>1879</v>
      </c>
      <c r="F934" s="25" t="s">
        <v>5</v>
      </c>
      <c r="G934" s="59" t="s">
        <v>1880</v>
      </c>
      <c r="H934" s="60">
        <v>0</v>
      </c>
      <c r="I934" s="60">
        <v>0</v>
      </c>
      <c r="J934" s="60">
        <v>0</v>
      </c>
      <c r="K934" s="60">
        <v>0</v>
      </c>
      <c r="L934" s="60">
        <v>0</v>
      </c>
      <c r="M934" s="60">
        <v>0</v>
      </c>
      <c r="N934" s="60">
        <v>0</v>
      </c>
      <c r="O934" s="60">
        <v>0</v>
      </c>
      <c r="P934" s="60">
        <v>0</v>
      </c>
      <c r="Q934" s="60">
        <v>0</v>
      </c>
      <c r="R934" s="60">
        <v>0</v>
      </c>
      <c r="S934" s="60">
        <v>0</v>
      </c>
      <c r="T934" s="60">
        <v>0</v>
      </c>
      <c r="U934" s="60">
        <v>0</v>
      </c>
      <c r="V934" s="60">
        <v>0</v>
      </c>
      <c r="W934" s="60">
        <v>0</v>
      </c>
      <c r="X934" s="60">
        <v>0</v>
      </c>
      <c r="Y934" s="60">
        <v>0</v>
      </c>
      <c r="Z934" s="60">
        <v>0</v>
      </c>
      <c r="AA934" s="60">
        <v>0</v>
      </c>
      <c r="AB934" s="60">
        <v>0</v>
      </c>
      <c r="AC934" s="60">
        <v>194.01</v>
      </c>
      <c r="AD934" s="60">
        <v>177.16</v>
      </c>
      <c r="AE934" s="60">
        <v>154.86000000000001</v>
      </c>
      <c r="AF934" s="60">
        <v>0</v>
      </c>
      <c r="AG934" s="60">
        <v>0</v>
      </c>
      <c r="AH934" s="60">
        <v>0</v>
      </c>
      <c r="AI934" s="60">
        <v>194.01</v>
      </c>
      <c r="AJ934" s="60">
        <v>177.16</v>
      </c>
      <c r="AK934" s="60">
        <v>154.86000000000001</v>
      </c>
      <c r="AL934" s="60">
        <v>0</v>
      </c>
      <c r="AM934" s="60">
        <v>0</v>
      </c>
      <c r="AN934" s="60">
        <v>0</v>
      </c>
      <c r="AO934" s="60">
        <v>194.01</v>
      </c>
      <c r="AP934" s="60">
        <v>177.16</v>
      </c>
      <c r="AQ934" s="60">
        <v>154.86000000000001</v>
      </c>
      <c r="AR934" s="61">
        <v>194.01</v>
      </c>
    </row>
    <row r="935" spans="1:44" x14ac:dyDescent="0.35">
      <c r="A935" s="49" t="str">
        <f>TEXT(35,"00")</f>
        <v>35</v>
      </c>
      <c r="B935" s="27">
        <v>67470</v>
      </c>
      <c r="C935" s="25" t="str">
        <f>TEXT(127688,"0000000")</f>
        <v>0127688</v>
      </c>
      <c r="D935" s="27">
        <v>1507</v>
      </c>
      <c r="E935" s="25" t="s">
        <v>1890</v>
      </c>
      <c r="F935" s="25" t="s">
        <v>5</v>
      </c>
      <c r="G935" s="59" t="s">
        <v>1891</v>
      </c>
      <c r="H935" s="60">
        <v>0</v>
      </c>
      <c r="I935" s="60">
        <v>0</v>
      </c>
      <c r="J935" s="60">
        <v>0</v>
      </c>
      <c r="K935" s="60">
        <v>0</v>
      </c>
      <c r="L935" s="60">
        <v>0</v>
      </c>
      <c r="M935" s="60">
        <v>0</v>
      </c>
      <c r="N935" s="60">
        <v>0</v>
      </c>
      <c r="O935" s="60">
        <v>0</v>
      </c>
      <c r="P935" s="60">
        <v>0</v>
      </c>
      <c r="Q935" s="60">
        <v>0</v>
      </c>
      <c r="R935" s="60">
        <v>0</v>
      </c>
      <c r="S935" s="60">
        <v>0</v>
      </c>
      <c r="T935" s="60">
        <v>0</v>
      </c>
      <c r="U935" s="60">
        <v>0</v>
      </c>
      <c r="V935" s="60">
        <v>0</v>
      </c>
      <c r="W935" s="60">
        <v>0</v>
      </c>
      <c r="X935" s="60">
        <v>0</v>
      </c>
      <c r="Y935" s="60">
        <v>0</v>
      </c>
      <c r="Z935" s="60">
        <v>0</v>
      </c>
      <c r="AA935" s="60">
        <v>0</v>
      </c>
      <c r="AB935" s="60">
        <v>0</v>
      </c>
      <c r="AC935" s="60">
        <v>507.1</v>
      </c>
      <c r="AD935" s="60">
        <v>494.75</v>
      </c>
      <c r="AE935" s="60">
        <v>505.73</v>
      </c>
      <c r="AF935" s="60">
        <v>0</v>
      </c>
      <c r="AG935" s="60">
        <v>0</v>
      </c>
      <c r="AH935" s="60">
        <v>0</v>
      </c>
      <c r="AI935" s="60">
        <v>507.1</v>
      </c>
      <c r="AJ935" s="60">
        <v>494.75</v>
      </c>
      <c r="AK935" s="60">
        <v>505.73</v>
      </c>
      <c r="AL935" s="60">
        <v>0</v>
      </c>
      <c r="AM935" s="60">
        <v>0</v>
      </c>
      <c r="AN935" s="60">
        <v>0</v>
      </c>
      <c r="AO935" s="60">
        <v>507.1</v>
      </c>
      <c r="AP935" s="60">
        <v>494.75</v>
      </c>
      <c r="AQ935" s="60">
        <v>505.73</v>
      </c>
      <c r="AR935" s="61">
        <v>507.1</v>
      </c>
    </row>
    <row r="936" spans="1:44" ht="31" x14ac:dyDescent="0.35">
      <c r="A936" s="49" t="str">
        <f>TEXT(36,"00")</f>
        <v>36</v>
      </c>
      <c r="B936" s="27">
        <v>10363</v>
      </c>
      <c r="C936" s="25" t="str">
        <f>TEXT(139147,"0000000")</f>
        <v>0139147</v>
      </c>
      <c r="D936" s="27">
        <v>2036</v>
      </c>
      <c r="E936" s="25" t="s">
        <v>1915</v>
      </c>
      <c r="F936" s="25" t="s">
        <v>5</v>
      </c>
      <c r="G936" s="59" t="s">
        <v>1916</v>
      </c>
      <c r="H936" s="60">
        <v>0</v>
      </c>
      <c r="I936" s="60">
        <v>0</v>
      </c>
      <c r="J936" s="60">
        <v>0</v>
      </c>
      <c r="K936" s="60">
        <v>0</v>
      </c>
      <c r="L936" s="60">
        <v>0</v>
      </c>
      <c r="M936" s="60">
        <v>0</v>
      </c>
      <c r="N936" s="60">
        <v>0</v>
      </c>
      <c r="O936" s="60">
        <v>0</v>
      </c>
      <c r="P936" s="60">
        <v>0</v>
      </c>
      <c r="Q936" s="60">
        <v>0</v>
      </c>
      <c r="R936" s="60">
        <v>0</v>
      </c>
      <c r="S936" s="60">
        <v>0</v>
      </c>
      <c r="T936" s="60">
        <v>0</v>
      </c>
      <c r="U936" s="60">
        <v>0</v>
      </c>
      <c r="V936" s="60">
        <v>0</v>
      </c>
      <c r="W936" s="60">
        <v>0</v>
      </c>
      <c r="X936" s="60">
        <v>0</v>
      </c>
      <c r="Y936" s="60">
        <v>0</v>
      </c>
      <c r="Z936" s="60">
        <v>0</v>
      </c>
      <c r="AA936" s="60">
        <v>0</v>
      </c>
      <c r="AB936" s="60">
        <v>0</v>
      </c>
      <c r="AC936" s="60">
        <v>286.44</v>
      </c>
      <c r="AD936" s="60">
        <v>290.08</v>
      </c>
      <c r="AE936" s="60">
        <v>253.78</v>
      </c>
      <c r="AF936" s="60">
        <v>0</v>
      </c>
      <c r="AG936" s="60">
        <v>0</v>
      </c>
      <c r="AH936" s="60">
        <v>0</v>
      </c>
      <c r="AI936" s="60">
        <v>286.44</v>
      </c>
      <c r="AJ936" s="60">
        <v>290.08</v>
      </c>
      <c r="AK936" s="60">
        <v>253.78</v>
      </c>
      <c r="AL936" s="60">
        <v>0</v>
      </c>
      <c r="AM936" s="60">
        <v>0</v>
      </c>
      <c r="AN936" s="60">
        <v>0</v>
      </c>
      <c r="AO936" s="60">
        <v>286.44</v>
      </c>
      <c r="AP936" s="60">
        <v>290.08</v>
      </c>
      <c r="AQ936" s="60">
        <v>253.78</v>
      </c>
      <c r="AR936" s="61">
        <v>290.08</v>
      </c>
    </row>
    <row r="937" spans="1:44" x14ac:dyDescent="0.35">
      <c r="A937" s="49" t="str">
        <f>TEXT(36,"00")</f>
        <v>36</v>
      </c>
      <c r="B937" s="27">
        <v>10363</v>
      </c>
      <c r="C937" s="25" t="str">
        <f>TEXT(140012,"0000000")</f>
        <v>0140012</v>
      </c>
      <c r="D937" s="27">
        <v>2095</v>
      </c>
      <c r="E937" s="25" t="s">
        <v>1917</v>
      </c>
      <c r="F937" s="25" t="s">
        <v>5</v>
      </c>
      <c r="G937" s="59" t="s">
        <v>1918</v>
      </c>
      <c r="H937" s="60">
        <v>0</v>
      </c>
      <c r="I937" s="60">
        <v>0</v>
      </c>
      <c r="J937" s="60">
        <v>0</v>
      </c>
      <c r="K937" s="60">
        <v>0</v>
      </c>
      <c r="L937" s="60">
        <v>0</v>
      </c>
      <c r="M937" s="60">
        <v>0</v>
      </c>
      <c r="N937" s="60">
        <v>0</v>
      </c>
      <c r="O937" s="60">
        <v>0</v>
      </c>
      <c r="P937" s="60">
        <v>0</v>
      </c>
      <c r="Q937" s="60">
        <v>0</v>
      </c>
      <c r="R937" s="60">
        <v>0</v>
      </c>
      <c r="S937" s="60">
        <v>0</v>
      </c>
      <c r="T937" s="60">
        <v>0</v>
      </c>
      <c r="U937" s="60">
        <v>0</v>
      </c>
      <c r="V937" s="60">
        <v>0</v>
      </c>
      <c r="W937" s="60">
        <v>0</v>
      </c>
      <c r="X937" s="60">
        <v>0</v>
      </c>
      <c r="Y937" s="60">
        <v>0</v>
      </c>
      <c r="Z937" s="60">
        <v>0</v>
      </c>
      <c r="AA937" s="60">
        <v>0</v>
      </c>
      <c r="AB937" s="60">
        <v>0</v>
      </c>
      <c r="AC937" s="60">
        <v>475.04</v>
      </c>
      <c r="AD937" s="60">
        <v>261.2</v>
      </c>
      <c r="AE937" s="60">
        <v>131.69999999999999</v>
      </c>
      <c r="AF937" s="60">
        <v>0</v>
      </c>
      <c r="AG937" s="60">
        <v>0</v>
      </c>
      <c r="AH937" s="60">
        <v>0</v>
      </c>
      <c r="AI937" s="60">
        <v>475.04</v>
      </c>
      <c r="AJ937" s="60">
        <v>261.2</v>
      </c>
      <c r="AK937" s="60">
        <v>131.69999999999999</v>
      </c>
      <c r="AL937" s="60">
        <v>0</v>
      </c>
      <c r="AM937" s="60">
        <v>0</v>
      </c>
      <c r="AN937" s="60">
        <v>0</v>
      </c>
      <c r="AO937" s="60">
        <v>475.04</v>
      </c>
      <c r="AP937" s="60">
        <v>261.2</v>
      </c>
      <c r="AQ937" s="60">
        <v>131.69999999999999</v>
      </c>
      <c r="AR937" s="61">
        <v>475.04</v>
      </c>
    </row>
    <row r="938" spans="1:44" x14ac:dyDescent="0.35">
      <c r="A938" s="49" t="str">
        <f>TEXT(36,"00")</f>
        <v>36</v>
      </c>
      <c r="B938" s="27">
        <v>67736</v>
      </c>
      <c r="C938" s="25" t="str">
        <f>TEXT(136937,"0000000")</f>
        <v>0136937</v>
      </c>
      <c r="D938" s="27">
        <v>1919</v>
      </c>
      <c r="E938" s="25" t="s">
        <v>1955</v>
      </c>
      <c r="F938" s="25" t="s">
        <v>5</v>
      </c>
      <c r="G938" s="59" t="s">
        <v>1956</v>
      </c>
      <c r="H938" s="60">
        <v>0</v>
      </c>
      <c r="I938" s="60">
        <v>0</v>
      </c>
      <c r="J938" s="60">
        <v>0</v>
      </c>
      <c r="K938" s="60">
        <v>0</v>
      </c>
      <c r="L938" s="60">
        <v>0</v>
      </c>
      <c r="M938" s="60">
        <v>0</v>
      </c>
      <c r="N938" s="60">
        <v>0</v>
      </c>
      <c r="O938" s="60">
        <v>0</v>
      </c>
      <c r="P938" s="60">
        <v>0</v>
      </c>
      <c r="Q938" s="60">
        <v>0</v>
      </c>
      <c r="R938" s="60">
        <v>0</v>
      </c>
      <c r="S938" s="60">
        <v>0</v>
      </c>
      <c r="T938" s="60">
        <v>0</v>
      </c>
      <c r="U938" s="60">
        <v>0</v>
      </c>
      <c r="V938" s="60">
        <v>0</v>
      </c>
      <c r="W938" s="60">
        <v>0</v>
      </c>
      <c r="X938" s="60">
        <v>0</v>
      </c>
      <c r="Y938" s="60">
        <v>0</v>
      </c>
      <c r="Z938" s="60">
        <v>0</v>
      </c>
      <c r="AA938" s="60">
        <v>0</v>
      </c>
      <c r="AB938" s="60">
        <v>0</v>
      </c>
      <c r="AC938" s="60">
        <v>680.09</v>
      </c>
      <c r="AD938" s="60">
        <v>621.48</v>
      </c>
      <c r="AE938" s="60">
        <v>646.4</v>
      </c>
      <c r="AF938" s="60">
        <v>0</v>
      </c>
      <c r="AG938" s="60">
        <v>0</v>
      </c>
      <c r="AH938" s="60">
        <v>0</v>
      </c>
      <c r="AI938" s="60">
        <v>680.09</v>
      </c>
      <c r="AJ938" s="60">
        <v>621.48</v>
      </c>
      <c r="AK938" s="60">
        <v>646.4</v>
      </c>
      <c r="AL938" s="60">
        <v>0</v>
      </c>
      <c r="AM938" s="60">
        <v>0</v>
      </c>
      <c r="AN938" s="60">
        <v>0</v>
      </c>
      <c r="AO938" s="60">
        <v>680.09</v>
      </c>
      <c r="AP938" s="60">
        <v>621.48</v>
      </c>
      <c r="AQ938" s="60">
        <v>646.4</v>
      </c>
      <c r="AR938" s="61">
        <v>680.09</v>
      </c>
    </row>
    <row r="939" spans="1:44" x14ac:dyDescent="0.35">
      <c r="A939" s="49" t="str">
        <f>TEXT(1,"00")</f>
        <v>01</v>
      </c>
      <c r="B939" s="27">
        <v>61259</v>
      </c>
      <c r="C939" s="25" t="str">
        <f>TEXT(114868,"0000000")</f>
        <v>0114868</v>
      </c>
      <c r="D939" s="26" t="s">
        <v>99</v>
      </c>
      <c r="E939" s="25" t="s">
        <v>97</v>
      </c>
      <c r="F939" s="25" t="s">
        <v>5</v>
      </c>
      <c r="G939" s="59" t="s">
        <v>98</v>
      </c>
      <c r="H939" s="60">
        <v>0</v>
      </c>
      <c r="I939" s="60">
        <v>0</v>
      </c>
      <c r="J939" s="60">
        <v>0</v>
      </c>
      <c r="K939" s="60">
        <v>0</v>
      </c>
      <c r="L939" s="60">
        <v>0</v>
      </c>
      <c r="M939" s="60">
        <v>0</v>
      </c>
      <c r="N939" s="60">
        <v>0</v>
      </c>
      <c r="O939" s="60">
        <v>0</v>
      </c>
      <c r="P939" s="60">
        <v>0</v>
      </c>
      <c r="Q939" s="60">
        <v>0</v>
      </c>
      <c r="R939" s="60">
        <v>0</v>
      </c>
      <c r="S939" s="60">
        <v>0</v>
      </c>
      <c r="T939" s="60">
        <v>0</v>
      </c>
      <c r="U939" s="60">
        <v>0</v>
      </c>
      <c r="V939" s="60">
        <v>0</v>
      </c>
      <c r="W939" s="60">
        <v>0</v>
      </c>
      <c r="X939" s="60">
        <v>0</v>
      </c>
      <c r="Y939" s="60">
        <v>0</v>
      </c>
      <c r="Z939" s="60">
        <v>0</v>
      </c>
      <c r="AA939" s="60">
        <v>0</v>
      </c>
      <c r="AB939" s="60">
        <v>0</v>
      </c>
      <c r="AC939" s="60">
        <v>332.08</v>
      </c>
      <c r="AD939" s="60">
        <v>394.48</v>
      </c>
      <c r="AE939" s="60">
        <v>418.23</v>
      </c>
      <c r="AF939" s="60">
        <v>0</v>
      </c>
      <c r="AG939" s="60">
        <v>0</v>
      </c>
      <c r="AH939" s="60">
        <v>0</v>
      </c>
      <c r="AI939" s="60">
        <v>332.08</v>
      </c>
      <c r="AJ939" s="60">
        <v>394.48</v>
      </c>
      <c r="AK939" s="60">
        <v>418.23</v>
      </c>
      <c r="AL939" s="60">
        <v>0</v>
      </c>
      <c r="AM939" s="60">
        <v>0</v>
      </c>
      <c r="AN939" s="60">
        <v>0</v>
      </c>
      <c r="AO939" s="60">
        <v>332.08</v>
      </c>
      <c r="AP939" s="60">
        <v>394.48</v>
      </c>
      <c r="AQ939" s="60">
        <v>418.23</v>
      </c>
      <c r="AR939" s="61">
        <v>418.23</v>
      </c>
    </row>
    <row r="940" spans="1:44" x14ac:dyDescent="0.35">
      <c r="A940" s="49" t="str">
        <f t="shared" ref="A940:A945" si="81">TEXT(36,"00")</f>
        <v>36</v>
      </c>
      <c r="B940" s="27">
        <v>67876</v>
      </c>
      <c r="C940" s="25" t="str">
        <f>TEXT(122317,"0000000")</f>
        <v>0122317</v>
      </c>
      <c r="D940" s="27">
        <v>1155</v>
      </c>
      <c r="E940" s="25" t="s">
        <v>1986</v>
      </c>
      <c r="F940" s="25" t="s">
        <v>5</v>
      </c>
      <c r="G940" s="59" t="s">
        <v>1987</v>
      </c>
      <c r="H940" s="60">
        <v>0</v>
      </c>
      <c r="I940" s="60">
        <v>0</v>
      </c>
      <c r="J940" s="60">
        <v>0</v>
      </c>
      <c r="K940" s="60">
        <v>0</v>
      </c>
      <c r="L940" s="60">
        <v>0</v>
      </c>
      <c r="M940" s="60">
        <v>0</v>
      </c>
      <c r="N940" s="60">
        <v>0</v>
      </c>
      <c r="O940" s="60">
        <v>0</v>
      </c>
      <c r="P940" s="60">
        <v>0</v>
      </c>
      <c r="Q940" s="60">
        <v>0</v>
      </c>
      <c r="R940" s="60">
        <v>0</v>
      </c>
      <c r="S940" s="60">
        <v>0</v>
      </c>
      <c r="T940" s="60">
        <v>0</v>
      </c>
      <c r="U940" s="60">
        <v>0</v>
      </c>
      <c r="V940" s="60">
        <v>0</v>
      </c>
      <c r="W940" s="60">
        <v>0</v>
      </c>
      <c r="X940" s="60">
        <v>0</v>
      </c>
      <c r="Y940" s="60">
        <v>0</v>
      </c>
      <c r="Z940" s="60">
        <v>0</v>
      </c>
      <c r="AA940" s="60">
        <v>0</v>
      </c>
      <c r="AB940" s="60">
        <v>0</v>
      </c>
      <c r="AC940" s="60">
        <v>295.79000000000002</v>
      </c>
      <c r="AD940" s="60">
        <v>286.64</v>
      </c>
      <c r="AE940" s="60">
        <v>297.49</v>
      </c>
      <c r="AF940" s="60">
        <v>0</v>
      </c>
      <c r="AG940" s="60">
        <v>0</v>
      </c>
      <c r="AH940" s="60">
        <v>0</v>
      </c>
      <c r="AI940" s="60">
        <v>295.79000000000002</v>
      </c>
      <c r="AJ940" s="60">
        <v>286.64</v>
      </c>
      <c r="AK940" s="60">
        <v>297.49</v>
      </c>
      <c r="AL940" s="60">
        <v>0</v>
      </c>
      <c r="AM940" s="60">
        <v>0</v>
      </c>
      <c r="AN940" s="60">
        <v>0</v>
      </c>
      <c r="AO940" s="60">
        <v>295.79000000000002</v>
      </c>
      <c r="AP940" s="60">
        <v>286.64</v>
      </c>
      <c r="AQ940" s="60">
        <v>297.49</v>
      </c>
      <c r="AR940" s="61">
        <v>297.49</v>
      </c>
    </row>
    <row r="941" spans="1:44" x14ac:dyDescent="0.35">
      <c r="A941" s="49" t="str">
        <f t="shared" si="81"/>
        <v>36</v>
      </c>
      <c r="B941" s="27">
        <v>67959</v>
      </c>
      <c r="C941" s="25" t="str">
        <f>TEXT(114256,"0000000")</f>
        <v>0114256</v>
      </c>
      <c r="D941" s="26" t="s">
        <v>2001</v>
      </c>
      <c r="E941" s="25" t="s">
        <v>1999</v>
      </c>
      <c r="F941" s="25" t="s">
        <v>5</v>
      </c>
      <c r="G941" s="59" t="s">
        <v>2000</v>
      </c>
      <c r="H941" s="60">
        <v>0</v>
      </c>
      <c r="I941" s="60">
        <v>0</v>
      </c>
      <c r="J941" s="60">
        <v>0</v>
      </c>
      <c r="K941" s="60">
        <v>0</v>
      </c>
      <c r="L941" s="60">
        <v>0</v>
      </c>
      <c r="M941" s="60">
        <v>0</v>
      </c>
      <c r="N941" s="60">
        <v>0</v>
      </c>
      <c r="O941" s="60">
        <v>0</v>
      </c>
      <c r="P941" s="60">
        <v>0</v>
      </c>
      <c r="Q941" s="60">
        <v>0</v>
      </c>
      <c r="R941" s="60">
        <v>0</v>
      </c>
      <c r="S941" s="60">
        <v>0</v>
      </c>
      <c r="T941" s="60">
        <v>0</v>
      </c>
      <c r="U941" s="60">
        <v>0</v>
      </c>
      <c r="V941" s="60">
        <v>0</v>
      </c>
      <c r="W941" s="60">
        <v>0</v>
      </c>
      <c r="X941" s="60">
        <v>0</v>
      </c>
      <c r="Y941" s="60">
        <v>0</v>
      </c>
      <c r="Z941" s="60">
        <v>0</v>
      </c>
      <c r="AA941" s="60">
        <v>0</v>
      </c>
      <c r="AB941" s="60">
        <v>0</v>
      </c>
      <c r="AC941" s="60">
        <v>965.79</v>
      </c>
      <c r="AD941" s="60">
        <v>947.67</v>
      </c>
      <c r="AE941" s="60">
        <v>953.75</v>
      </c>
      <c r="AF941" s="60">
        <v>0</v>
      </c>
      <c r="AG941" s="60">
        <v>0</v>
      </c>
      <c r="AH941" s="60">
        <v>0</v>
      </c>
      <c r="AI941" s="60">
        <v>965.79</v>
      </c>
      <c r="AJ941" s="60">
        <v>947.67</v>
      </c>
      <c r="AK941" s="60">
        <v>953.75</v>
      </c>
      <c r="AL941" s="60">
        <v>0</v>
      </c>
      <c r="AM941" s="60">
        <v>0</v>
      </c>
      <c r="AN941" s="60">
        <v>0</v>
      </c>
      <c r="AO941" s="60">
        <v>965.79</v>
      </c>
      <c r="AP941" s="60">
        <v>947.67</v>
      </c>
      <c r="AQ941" s="60">
        <v>953.75</v>
      </c>
      <c r="AR941" s="61">
        <v>965.79</v>
      </c>
    </row>
    <row r="942" spans="1:44" x14ac:dyDescent="0.35">
      <c r="A942" s="49" t="str">
        <f t="shared" si="81"/>
        <v>36</v>
      </c>
      <c r="B942" s="27">
        <v>75044</v>
      </c>
      <c r="C942" s="25" t="str">
        <f>TEXT(107516,"0000000")</f>
        <v>0107516</v>
      </c>
      <c r="D942" s="26" t="s">
        <v>2012</v>
      </c>
      <c r="E942" s="25" t="s">
        <v>2010</v>
      </c>
      <c r="F942" s="25" t="s">
        <v>5</v>
      </c>
      <c r="G942" s="59" t="s">
        <v>2011</v>
      </c>
      <c r="H942" s="60">
        <v>0</v>
      </c>
      <c r="I942" s="60">
        <v>0</v>
      </c>
      <c r="J942" s="60">
        <v>0</v>
      </c>
      <c r="K942" s="60">
        <v>0</v>
      </c>
      <c r="L942" s="60">
        <v>0</v>
      </c>
      <c r="M942" s="60">
        <v>0</v>
      </c>
      <c r="N942" s="60">
        <v>0</v>
      </c>
      <c r="O942" s="60">
        <v>0</v>
      </c>
      <c r="P942" s="60">
        <v>0</v>
      </c>
      <c r="Q942" s="60">
        <v>0</v>
      </c>
      <c r="R942" s="60">
        <v>0</v>
      </c>
      <c r="S942" s="60">
        <v>0</v>
      </c>
      <c r="T942" s="60">
        <v>0</v>
      </c>
      <c r="U942" s="60">
        <v>0</v>
      </c>
      <c r="V942" s="60">
        <v>0</v>
      </c>
      <c r="W942" s="60">
        <v>0</v>
      </c>
      <c r="X942" s="60">
        <v>0</v>
      </c>
      <c r="Y942" s="60">
        <v>0</v>
      </c>
      <c r="Z942" s="60">
        <v>0</v>
      </c>
      <c r="AA942" s="60">
        <v>0</v>
      </c>
      <c r="AB942" s="60">
        <v>0</v>
      </c>
      <c r="AC942" s="60">
        <v>188.32</v>
      </c>
      <c r="AD942" s="60">
        <v>187</v>
      </c>
      <c r="AE942" s="60">
        <v>203.45</v>
      </c>
      <c r="AF942" s="60">
        <v>0</v>
      </c>
      <c r="AG942" s="60">
        <v>0</v>
      </c>
      <c r="AH942" s="60">
        <v>0</v>
      </c>
      <c r="AI942" s="60">
        <v>188.32</v>
      </c>
      <c r="AJ942" s="60">
        <v>187</v>
      </c>
      <c r="AK942" s="60">
        <v>203.45</v>
      </c>
      <c r="AL942" s="60">
        <v>0</v>
      </c>
      <c r="AM942" s="60">
        <v>0</v>
      </c>
      <c r="AN942" s="60">
        <v>0</v>
      </c>
      <c r="AO942" s="60">
        <v>188.32</v>
      </c>
      <c r="AP942" s="60">
        <v>187</v>
      </c>
      <c r="AQ942" s="60">
        <v>203.45</v>
      </c>
      <c r="AR942" s="61">
        <v>203.45</v>
      </c>
    </row>
    <row r="943" spans="1:44" x14ac:dyDescent="0.35">
      <c r="A943" s="49" t="str">
        <f t="shared" si="81"/>
        <v>36</v>
      </c>
      <c r="B943" s="27">
        <v>75044</v>
      </c>
      <c r="C943" s="25" t="str">
        <f>TEXT(114389,"0000000")</f>
        <v>0114389</v>
      </c>
      <c r="D943" s="26" t="s">
        <v>2018</v>
      </c>
      <c r="E943" s="25" t="s">
        <v>2016</v>
      </c>
      <c r="F943" s="25" t="s">
        <v>5</v>
      </c>
      <c r="G943" s="59" t="s">
        <v>2017</v>
      </c>
      <c r="H943" s="60">
        <v>0</v>
      </c>
      <c r="I943" s="60">
        <v>0</v>
      </c>
      <c r="J943" s="60">
        <v>0</v>
      </c>
      <c r="K943" s="60">
        <v>0</v>
      </c>
      <c r="L943" s="60">
        <v>0</v>
      </c>
      <c r="M943" s="60">
        <v>0</v>
      </c>
      <c r="N943" s="60">
        <v>0</v>
      </c>
      <c r="O943" s="60">
        <v>0</v>
      </c>
      <c r="P943" s="60">
        <v>0</v>
      </c>
      <c r="Q943" s="60">
        <v>0</v>
      </c>
      <c r="R943" s="60">
        <v>0</v>
      </c>
      <c r="S943" s="60">
        <v>0</v>
      </c>
      <c r="T943" s="60">
        <v>0</v>
      </c>
      <c r="U943" s="60">
        <v>0</v>
      </c>
      <c r="V943" s="60">
        <v>0</v>
      </c>
      <c r="W943" s="60">
        <v>0</v>
      </c>
      <c r="X943" s="60">
        <v>0</v>
      </c>
      <c r="Y943" s="60">
        <v>0</v>
      </c>
      <c r="Z943" s="60">
        <v>0</v>
      </c>
      <c r="AA943" s="60">
        <v>0</v>
      </c>
      <c r="AB943" s="60">
        <v>0</v>
      </c>
      <c r="AC943" s="60">
        <v>320.88</v>
      </c>
      <c r="AD943" s="60">
        <v>292.51</v>
      </c>
      <c r="AE943" s="60">
        <v>322.14</v>
      </c>
      <c r="AF943" s="60">
        <v>0</v>
      </c>
      <c r="AG943" s="60">
        <v>0</v>
      </c>
      <c r="AH943" s="60">
        <v>0</v>
      </c>
      <c r="AI943" s="60">
        <v>320.88</v>
      </c>
      <c r="AJ943" s="60">
        <v>292.51</v>
      </c>
      <c r="AK943" s="60">
        <v>322.14</v>
      </c>
      <c r="AL943" s="60">
        <v>0</v>
      </c>
      <c r="AM943" s="60">
        <v>0</v>
      </c>
      <c r="AN943" s="60">
        <v>0</v>
      </c>
      <c r="AO943" s="60">
        <v>320.88</v>
      </c>
      <c r="AP943" s="60">
        <v>292.51</v>
      </c>
      <c r="AQ943" s="60">
        <v>322.14</v>
      </c>
      <c r="AR943" s="61">
        <v>322.14</v>
      </c>
    </row>
    <row r="944" spans="1:44" x14ac:dyDescent="0.35">
      <c r="A944" s="49" t="str">
        <f t="shared" si="81"/>
        <v>36</v>
      </c>
      <c r="B944" s="27">
        <v>75051</v>
      </c>
      <c r="C944" s="25" t="str">
        <f>TEXT(136432,"0000000")</f>
        <v>0136432</v>
      </c>
      <c r="D944" s="27">
        <v>1895</v>
      </c>
      <c r="E944" s="25" t="s">
        <v>2029</v>
      </c>
      <c r="F944" s="25" t="s">
        <v>5</v>
      </c>
      <c r="G944" s="59" t="s">
        <v>2030</v>
      </c>
      <c r="H944" s="60">
        <v>0</v>
      </c>
      <c r="I944" s="60">
        <v>0</v>
      </c>
      <c r="J944" s="60">
        <v>0</v>
      </c>
      <c r="K944" s="60">
        <v>0</v>
      </c>
      <c r="L944" s="60">
        <v>0</v>
      </c>
      <c r="M944" s="60">
        <v>0</v>
      </c>
      <c r="N944" s="60">
        <v>0</v>
      </c>
      <c r="O944" s="60">
        <v>0</v>
      </c>
      <c r="P944" s="60">
        <v>0</v>
      </c>
      <c r="Q944" s="60">
        <v>0</v>
      </c>
      <c r="R944" s="60">
        <v>0</v>
      </c>
      <c r="S944" s="60">
        <v>0</v>
      </c>
      <c r="T944" s="60">
        <v>0</v>
      </c>
      <c r="U944" s="60">
        <v>0</v>
      </c>
      <c r="V944" s="60">
        <v>0</v>
      </c>
      <c r="W944" s="60">
        <v>0</v>
      </c>
      <c r="X944" s="60">
        <v>0</v>
      </c>
      <c r="Y944" s="60">
        <v>0</v>
      </c>
      <c r="Z944" s="60">
        <v>0</v>
      </c>
      <c r="AA944" s="60">
        <v>0</v>
      </c>
      <c r="AB944" s="60">
        <v>0</v>
      </c>
      <c r="AC944" s="60">
        <v>2402.29</v>
      </c>
      <c r="AD944" s="60">
        <v>2026.69</v>
      </c>
      <c r="AE944" s="60">
        <v>2011.92</v>
      </c>
      <c r="AF944" s="60">
        <v>0</v>
      </c>
      <c r="AG944" s="60">
        <v>0</v>
      </c>
      <c r="AH944" s="60">
        <v>0</v>
      </c>
      <c r="AI944" s="60">
        <v>2402.29</v>
      </c>
      <c r="AJ944" s="60">
        <v>2026.69</v>
      </c>
      <c r="AK944" s="60">
        <v>2011.92</v>
      </c>
      <c r="AL944" s="60">
        <v>0</v>
      </c>
      <c r="AM944" s="60">
        <v>0</v>
      </c>
      <c r="AN944" s="60">
        <v>0</v>
      </c>
      <c r="AO944" s="60">
        <v>2402.29</v>
      </c>
      <c r="AP944" s="60">
        <v>2026.69</v>
      </c>
      <c r="AQ944" s="60">
        <v>2011.92</v>
      </c>
      <c r="AR944" s="61">
        <v>2402.29</v>
      </c>
    </row>
    <row r="945" spans="1:44" ht="31" x14ac:dyDescent="0.35">
      <c r="A945" s="49" t="str">
        <f t="shared" si="81"/>
        <v>36</v>
      </c>
      <c r="B945" s="27">
        <v>75051</v>
      </c>
      <c r="C945" s="25" t="str">
        <f>TEXT(137794,"0000000")</f>
        <v>0137794</v>
      </c>
      <c r="D945" s="27">
        <v>1977</v>
      </c>
      <c r="E945" s="25" t="s">
        <v>2033</v>
      </c>
      <c r="F945" s="25" t="s">
        <v>5</v>
      </c>
      <c r="G945" s="59" t="s">
        <v>2034</v>
      </c>
      <c r="H945" s="60">
        <v>0</v>
      </c>
      <c r="I945" s="60">
        <v>0</v>
      </c>
      <c r="J945" s="60">
        <v>0</v>
      </c>
      <c r="K945" s="60">
        <v>0</v>
      </c>
      <c r="L945" s="60">
        <v>0</v>
      </c>
      <c r="M945" s="60">
        <v>0</v>
      </c>
      <c r="N945" s="60">
        <v>0</v>
      </c>
      <c r="O945" s="60">
        <v>0</v>
      </c>
      <c r="P945" s="60">
        <v>0</v>
      </c>
      <c r="Q945" s="60">
        <v>0</v>
      </c>
      <c r="R945" s="60">
        <v>0</v>
      </c>
      <c r="S945" s="60">
        <v>0</v>
      </c>
      <c r="T945" s="60">
        <v>0</v>
      </c>
      <c r="U945" s="60">
        <v>0</v>
      </c>
      <c r="V945" s="60">
        <v>0</v>
      </c>
      <c r="W945" s="60">
        <v>0</v>
      </c>
      <c r="X945" s="60">
        <v>0</v>
      </c>
      <c r="Y945" s="60">
        <v>0</v>
      </c>
      <c r="Z945" s="60">
        <v>0</v>
      </c>
      <c r="AA945" s="60">
        <v>0</v>
      </c>
      <c r="AB945" s="60">
        <v>0</v>
      </c>
      <c r="AC945" s="60">
        <v>1409.62</v>
      </c>
      <c r="AD945" s="60">
        <v>1273.96</v>
      </c>
      <c r="AE945" s="60">
        <v>1271.9000000000001</v>
      </c>
      <c r="AF945" s="60">
        <v>0</v>
      </c>
      <c r="AG945" s="60">
        <v>0</v>
      </c>
      <c r="AH945" s="60">
        <v>0</v>
      </c>
      <c r="AI945" s="60">
        <v>1409.62</v>
      </c>
      <c r="AJ945" s="60">
        <v>1273.96</v>
      </c>
      <c r="AK945" s="60">
        <v>1271.9000000000001</v>
      </c>
      <c r="AL945" s="60">
        <v>0</v>
      </c>
      <c r="AM945" s="60">
        <v>0</v>
      </c>
      <c r="AN945" s="60">
        <v>0</v>
      </c>
      <c r="AO945" s="60">
        <v>1409.62</v>
      </c>
      <c r="AP945" s="60">
        <v>1273.96</v>
      </c>
      <c r="AQ945" s="60">
        <v>1271.9000000000001</v>
      </c>
      <c r="AR945" s="61">
        <v>1409.62</v>
      </c>
    </row>
    <row r="946" spans="1:44" x14ac:dyDescent="0.35">
      <c r="A946" s="49" t="str">
        <f>TEXT(37,"00")</f>
        <v>37</v>
      </c>
      <c r="B946" s="27">
        <v>10371</v>
      </c>
      <c r="C946" s="25" t="str">
        <f>TEXT(108548,"0000000")</f>
        <v>0108548</v>
      </c>
      <c r="D946" s="26" t="s">
        <v>2056</v>
      </c>
      <c r="E946" s="25" t="s">
        <v>2054</v>
      </c>
      <c r="F946" s="25" t="s">
        <v>5</v>
      </c>
      <c r="G946" s="59" t="s">
        <v>2055</v>
      </c>
      <c r="H946" s="60">
        <v>0</v>
      </c>
      <c r="I946" s="60">
        <v>0</v>
      </c>
      <c r="J946" s="60">
        <v>0</v>
      </c>
      <c r="K946" s="60">
        <v>0</v>
      </c>
      <c r="L946" s="60">
        <v>0</v>
      </c>
      <c r="M946" s="60">
        <v>0</v>
      </c>
      <c r="N946" s="60">
        <v>0</v>
      </c>
      <c r="O946" s="60">
        <v>0</v>
      </c>
      <c r="P946" s="60">
        <v>0</v>
      </c>
      <c r="Q946" s="60">
        <v>0</v>
      </c>
      <c r="R946" s="60">
        <v>0</v>
      </c>
      <c r="S946" s="60">
        <v>0</v>
      </c>
      <c r="T946" s="60">
        <v>0</v>
      </c>
      <c r="U946" s="60">
        <v>0</v>
      </c>
      <c r="V946" s="60">
        <v>0</v>
      </c>
      <c r="W946" s="60">
        <v>0</v>
      </c>
      <c r="X946" s="60">
        <v>0</v>
      </c>
      <c r="Y946" s="60">
        <v>0</v>
      </c>
      <c r="Z946" s="60">
        <v>0</v>
      </c>
      <c r="AA946" s="60">
        <v>0</v>
      </c>
      <c r="AB946" s="60">
        <v>0</v>
      </c>
      <c r="AC946" s="60">
        <v>445.34</v>
      </c>
      <c r="AD946" s="60">
        <v>386.36</v>
      </c>
      <c r="AE946" s="60">
        <v>373.9</v>
      </c>
      <c r="AF946" s="60">
        <v>0</v>
      </c>
      <c r="AG946" s="60">
        <v>0</v>
      </c>
      <c r="AH946" s="60">
        <v>0</v>
      </c>
      <c r="AI946" s="60">
        <v>445.34</v>
      </c>
      <c r="AJ946" s="60">
        <v>386.36</v>
      </c>
      <c r="AK946" s="60">
        <v>373.9</v>
      </c>
      <c r="AL946" s="60">
        <v>0</v>
      </c>
      <c r="AM946" s="60">
        <v>0</v>
      </c>
      <c r="AN946" s="60">
        <v>0</v>
      </c>
      <c r="AO946" s="60">
        <v>445.34</v>
      </c>
      <c r="AP946" s="60">
        <v>386.36</v>
      </c>
      <c r="AQ946" s="60">
        <v>373.9</v>
      </c>
      <c r="AR946" s="61">
        <v>445.34</v>
      </c>
    </row>
    <row r="947" spans="1:44" x14ac:dyDescent="0.35">
      <c r="A947" s="49" t="str">
        <f>TEXT(37,"00")</f>
        <v>37</v>
      </c>
      <c r="B947" s="27">
        <v>10371</v>
      </c>
      <c r="C947" s="25" t="str">
        <f>TEXT(124321,"0000000")</f>
        <v>0124321</v>
      </c>
      <c r="D947" s="27">
        <v>1308</v>
      </c>
      <c r="E947" s="25" t="s">
        <v>2057</v>
      </c>
      <c r="F947" s="25" t="s">
        <v>5</v>
      </c>
      <c r="G947" s="59" t="s">
        <v>2058</v>
      </c>
      <c r="H947" s="60">
        <v>0</v>
      </c>
      <c r="I947" s="60">
        <v>0</v>
      </c>
      <c r="J947" s="60">
        <v>0</v>
      </c>
      <c r="K947" s="60">
        <v>0</v>
      </c>
      <c r="L947" s="60">
        <v>0</v>
      </c>
      <c r="M947" s="60">
        <v>0</v>
      </c>
      <c r="N947" s="60">
        <v>0</v>
      </c>
      <c r="O947" s="60">
        <v>0</v>
      </c>
      <c r="P947" s="60">
        <v>0</v>
      </c>
      <c r="Q947" s="60">
        <v>0</v>
      </c>
      <c r="R947" s="60">
        <v>0</v>
      </c>
      <c r="S947" s="60">
        <v>0</v>
      </c>
      <c r="T947" s="60">
        <v>0</v>
      </c>
      <c r="U947" s="60">
        <v>0</v>
      </c>
      <c r="V947" s="60">
        <v>0</v>
      </c>
      <c r="W947" s="60">
        <v>0</v>
      </c>
      <c r="X947" s="60">
        <v>0</v>
      </c>
      <c r="Y947" s="60">
        <v>0</v>
      </c>
      <c r="Z947" s="60">
        <v>0</v>
      </c>
      <c r="AA947" s="60">
        <v>0</v>
      </c>
      <c r="AB947" s="60">
        <v>0</v>
      </c>
      <c r="AC947" s="60">
        <v>168.72</v>
      </c>
      <c r="AD947" s="60">
        <v>205.95</v>
      </c>
      <c r="AE947" s="60">
        <v>180.69</v>
      </c>
      <c r="AF947" s="60">
        <v>0</v>
      </c>
      <c r="AG947" s="60">
        <v>0</v>
      </c>
      <c r="AH947" s="60">
        <v>0</v>
      </c>
      <c r="AI947" s="60">
        <v>168.72</v>
      </c>
      <c r="AJ947" s="60">
        <v>205.95</v>
      </c>
      <c r="AK947" s="60">
        <v>180.69</v>
      </c>
      <c r="AL947" s="60">
        <v>0</v>
      </c>
      <c r="AM947" s="60">
        <v>0</v>
      </c>
      <c r="AN947" s="60">
        <v>0</v>
      </c>
      <c r="AO947" s="60">
        <v>168.72</v>
      </c>
      <c r="AP947" s="60">
        <v>205.95</v>
      </c>
      <c r="AQ947" s="60">
        <v>180.69</v>
      </c>
      <c r="AR947" s="61">
        <v>205.95</v>
      </c>
    </row>
    <row r="948" spans="1:44" x14ac:dyDescent="0.35">
      <c r="A948" s="49" t="str">
        <f>TEXT(37,"00")</f>
        <v>37</v>
      </c>
      <c r="B948" s="27">
        <v>10371</v>
      </c>
      <c r="C948" s="25" t="str">
        <f>TEXT(134577,"0000000")</f>
        <v>0134577</v>
      </c>
      <c r="D948" s="27">
        <v>1835</v>
      </c>
      <c r="E948" s="25" t="s">
        <v>2059</v>
      </c>
      <c r="F948" s="25" t="s">
        <v>5</v>
      </c>
      <c r="G948" s="59" t="s">
        <v>2060</v>
      </c>
      <c r="H948" s="60">
        <v>0</v>
      </c>
      <c r="I948" s="60">
        <v>0</v>
      </c>
      <c r="J948" s="60">
        <v>0</v>
      </c>
      <c r="K948" s="60">
        <v>0</v>
      </c>
      <c r="L948" s="60">
        <v>0</v>
      </c>
      <c r="M948" s="60">
        <v>0</v>
      </c>
      <c r="N948" s="60">
        <v>0</v>
      </c>
      <c r="O948" s="60">
        <v>0</v>
      </c>
      <c r="P948" s="60">
        <v>0</v>
      </c>
      <c r="Q948" s="60">
        <v>0</v>
      </c>
      <c r="R948" s="60">
        <v>0</v>
      </c>
      <c r="S948" s="60">
        <v>0</v>
      </c>
      <c r="T948" s="60">
        <v>0</v>
      </c>
      <c r="U948" s="60">
        <v>0</v>
      </c>
      <c r="V948" s="60">
        <v>0</v>
      </c>
      <c r="W948" s="60">
        <v>0</v>
      </c>
      <c r="X948" s="60">
        <v>0</v>
      </c>
      <c r="Y948" s="60">
        <v>0</v>
      </c>
      <c r="Z948" s="60">
        <v>0</v>
      </c>
      <c r="AA948" s="60">
        <v>0</v>
      </c>
      <c r="AB948" s="60">
        <v>0</v>
      </c>
      <c r="AC948" s="60">
        <v>309.22000000000003</v>
      </c>
      <c r="AD948" s="60">
        <v>256.26</v>
      </c>
      <c r="AE948" s="60">
        <v>229.98</v>
      </c>
      <c r="AF948" s="60">
        <v>0</v>
      </c>
      <c r="AG948" s="60">
        <v>0</v>
      </c>
      <c r="AH948" s="60">
        <v>0</v>
      </c>
      <c r="AI948" s="60">
        <v>309.22000000000003</v>
      </c>
      <c r="AJ948" s="60">
        <v>256.26</v>
      </c>
      <c r="AK948" s="60">
        <v>229.98</v>
      </c>
      <c r="AL948" s="60">
        <v>0</v>
      </c>
      <c r="AM948" s="60">
        <v>0</v>
      </c>
      <c r="AN948" s="60">
        <v>0</v>
      </c>
      <c r="AO948" s="60">
        <v>309.22000000000003</v>
      </c>
      <c r="AP948" s="60">
        <v>256.26</v>
      </c>
      <c r="AQ948" s="60">
        <v>229.98</v>
      </c>
      <c r="AR948" s="61">
        <v>309.22000000000003</v>
      </c>
    </row>
    <row r="949" spans="1:44" x14ac:dyDescent="0.35">
      <c r="A949" s="49" t="str">
        <f>TEXT(37,"00")</f>
        <v>37</v>
      </c>
      <c r="B949" s="27">
        <v>10371</v>
      </c>
      <c r="C949" s="25" t="str">
        <f>TEXT(136085,"0000000")</f>
        <v>0136085</v>
      </c>
      <c r="D949" s="27">
        <v>1883</v>
      </c>
      <c r="E949" s="25" t="s">
        <v>2061</v>
      </c>
      <c r="F949" s="25" t="s">
        <v>5</v>
      </c>
      <c r="G949" s="59" t="s">
        <v>2062</v>
      </c>
      <c r="H949" s="60">
        <v>0</v>
      </c>
      <c r="I949" s="60">
        <v>0</v>
      </c>
      <c r="J949" s="60">
        <v>0</v>
      </c>
      <c r="K949" s="60">
        <v>0</v>
      </c>
      <c r="L949" s="60">
        <v>0</v>
      </c>
      <c r="M949" s="60">
        <v>0</v>
      </c>
      <c r="N949" s="60">
        <v>0</v>
      </c>
      <c r="O949" s="60">
        <v>0</v>
      </c>
      <c r="P949" s="60">
        <v>0</v>
      </c>
      <c r="Q949" s="60">
        <v>0</v>
      </c>
      <c r="R949" s="60">
        <v>0</v>
      </c>
      <c r="S949" s="60">
        <v>0</v>
      </c>
      <c r="T949" s="60">
        <v>0</v>
      </c>
      <c r="U949" s="60">
        <v>0</v>
      </c>
      <c r="V949" s="60">
        <v>0</v>
      </c>
      <c r="W949" s="60">
        <v>0</v>
      </c>
      <c r="X949" s="60">
        <v>0</v>
      </c>
      <c r="Y949" s="60">
        <v>0</v>
      </c>
      <c r="Z949" s="60">
        <v>0</v>
      </c>
      <c r="AA949" s="60">
        <v>0</v>
      </c>
      <c r="AB949" s="60">
        <v>0</v>
      </c>
      <c r="AC949" s="60">
        <v>495.7</v>
      </c>
      <c r="AD949" s="60">
        <v>500.85</v>
      </c>
      <c r="AE949" s="60">
        <v>483.54</v>
      </c>
      <c r="AF949" s="60">
        <v>0</v>
      </c>
      <c r="AG949" s="60">
        <v>0</v>
      </c>
      <c r="AH949" s="60">
        <v>0</v>
      </c>
      <c r="AI949" s="60">
        <v>495.7</v>
      </c>
      <c r="AJ949" s="60">
        <v>500.85</v>
      </c>
      <c r="AK949" s="60">
        <v>483.54</v>
      </c>
      <c r="AL949" s="60">
        <v>0</v>
      </c>
      <c r="AM949" s="60">
        <v>0</v>
      </c>
      <c r="AN949" s="60">
        <v>0</v>
      </c>
      <c r="AO949" s="60">
        <v>495.7</v>
      </c>
      <c r="AP949" s="60">
        <v>500.85</v>
      </c>
      <c r="AQ949" s="60">
        <v>483.54</v>
      </c>
      <c r="AR949" s="61">
        <v>500.85</v>
      </c>
    </row>
    <row r="950" spans="1:44" x14ac:dyDescent="0.35">
      <c r="A950" s="49" t="str">
        <f>TEXT(1,"00")</f>
        <v>01</v>
      </c>
      <c r="B950" s="27">
        <v>61259</v>
      </c>
      <c r="C950" s="25" t="str">
        <f>TEXT(115014,"0000000")</f>
        <v>0115014</v>
      </c>
      <c r="D950" s="26" t="s">
        <v>102</v>
      </c>
      <c r="E950" s="25" t="s">
        <v>100</v>
      </c>
      <c r="F950" s="25" t="s">
        <v>5</v>
      </c>
      <c r="G950" s="59" t="s">
        <v>101</v>
      </c>
      <c r="H950" s="60">
        <v>0</v>
      </c>
      <c r="I950" s="60">
        <v>0</v>
      </c>
      <c r="J950" s="60">
        <v>0</v>
      </c>
      <c r="K950" s="60">
        <v>0</v>
      </c>
      <c r="L950" s="60">
        <v>0</v>
      </c>
      <c r="M950" s="60">
        <v>0</v>
      </c>
      <c r="N950" s="60">
        <v>0</v>
      </c>
      <c r="O950" s="60">
        <v>0</v>
      </c>
      <c r="P950" s="60">
        <v>0</v>
      </c>
      <c r="Q950" s="60">
        <v>0</v>
      </c>
      <c r="R950" s="60">
        <v>0</v>
      </c>
      <c r="S950" s="60">
        <v>0</v>
      </c>
      <c r="T950" s="60">
        <v>0</v>
      </c>
      <c r="U950" s="60">
        <v>0</v>
      </c>
      <c r="V950" s="60">
        <v>0</v>
      </c>
      <c r="W950" s="60">
        <v>0</v>
      </c>
      <c r="X950" s="60">
        <v>0</v>
      </c>
      <c r="Y950" s="60">
        <v>0</v>
      </c>
      <c r="Z950" s="60">
        <v>0</v>
      </c>
      <c r="AA950" s="60">
        <v>0</v>
      </c>
      <c r="AB950" s="60">
        <v>0</v>
      </c>
      <c r="AC950" s="60">
        <v>430.83</v>
      </c>
      <c r="AD950" s="60">
        <v>436.35</v>
      </c>
      <c r="AE950" s="60">
        <v>450.66</v>
      </c>
      <c r="AF950" s="60">
        <v>0</v>
      </c>
      <c r="AG950" s="60">
        <v>0</v>
      </c>
      <c r="AH950" s="60">
        <v>0</v>
      </c>
      <c r="AI950" s="60">
        <v>430.83</v>
      </c>
      <c r="AJ950" s="60">
        <v>436.35</v>
      </c>
      <c r="AK950" s="60">
        <v>450.66</v>
      </c>
      <c r="AL950" s="60">
        <v>0</v>
      </c>
      <c r="AM950" s="60">
        <v>0</v>
      </c>
      <c r="AN950" s="60">
        <v>0</v>
      </c>
      <c r="AO950" s="60">
        <v>430.83</v>
      </c>
      <c r="AP950" s="60">
        <v>436.35</v>
      </c>
      <c r="AQ950" s="60">
        <v>450.66</v>
      </c>
      <c r="AR950" s="61">
        <v>450.66</v>
      </c>
    </row>
    <row r="951" spans="1:44" x14ac:dyDescent="0.35">
      <c r="A951" s="49" t="str">
        <f t="shared" ref="A951:A960" si="82">TEXT(37,"00")</f>
        <v>37</v>
      </c>
      <c r="B951" s="27">
        <v>10371</v>
      </c>
      <c r="C951" s="25" t="str">
        <f>TEXT(137695,"0000000")</f>
        <v>0137695</v>
      </c>
      <c r="D951" s="27">
        <v>1947</v>
      </c>
      <c r="E951" s="25" t="s">
        <v>2063</v>
      </c>
      <c r="F951" s="25" t="s">
        <v>5</v>
      </c>
      <c r="G951" s="59" t="s">
        <v>2064</v>
      </c>
      <c r="H951" s="60">
        <v>0</v>
      </c>
      <c r="I951" s="60">
        <v>0</v>
      </c>
      <c r="J951" s="60">
        <v>0</v>
      </c>
      <c r="K951" s="60">
        <v>0</v>
      </c>
      <c r="L951" s="60">
        <v>0</v>
      </c>
      <c r="M951" s="60">
        <v>0</v>
      </c>
      <c r="N951" s="60">
        <v>0</v>
      </c>
      <c r="O951" s="60">
        <v>0</v>
      </c>
      <c r="P951" s="60">
        <v>0</v>
      </c>
      <c r="Q951" s="60">
        <v>0</v>
      </c>
      <c r="R951" s="60">
        <v>0</v>
      </c>
      <c r="S951" s="60">
        <v>0</v>
      </c>
      <c r="T951" s="60">
        <v>0</v>
      </c>
      <c r="U951" s="60">
        <v>0</v>
      </c>
      <c r="V951" s="60">
        <v>0</v>
      </c>
      <c r="W951" s="60">
        <v>0</v>
      </c>
      <c r="X951" s="60">
        <v>0</v>
      </c>
      <c r="Y951" s="60">
        <v>0</v>
      </c>
      <c r="Z951" s="60">
        <v>780.56</v>
      </c>
      <c r="AA951" s="60">
        <v>757.43</v>
      </c>
      <c r="AB951" s="60">
        <v>738.59</v>
      </c>
      <c r="AC951" s="60">
        <v>0</v>
      </c>
      <c r="AD951" s="60">
        <v>0</v>
      </c>
      <c r="AE951" s="60">
        <v>0</v>
      </c>
      <c r="AF951" s="60">
        <v>0</v>
      </c>
      <c r="AG951" s="60">
        <v>0</v>
      </c>
      <c r="AH951" s="60">
        <v>0</v>
      </c>
      <c r="AI951" s="60">
        <v>780.56</v>
      </c>
      <c r="AJ951" s="60">
        <v>757.43</v>
      </c>
      <c r="AK951" s="60">
        <v>738.59</v>
      </c>
      <c r="AL951" s="60">
        <v>0</v>
      </c>
      <c r="AM951" s="60">
        <v>0</v>
      </c>
      <c r="AN951" s="60">
        <v>0</v>
      </c>
      <c r="AO951" s="60">
        <v>780.56</v>
      </c>
      <c r="AP951" s="60">
        <v>757.43</v>
      </c>
      <c r="AQ951" s="60">
        <v>738.59</v>
      </c>
      <c r="AR951" s="61">
        <v>780.56</v>
      </c>
    </row>
    <row r="952" spans="1:44" x14ac:dyDescent="0.35">
      <c r="A952" s="49" t="str">
        <f t="shared" si="82"/>
        <v>37</v>
      </c>
      <c r="B952" s="27">
        <v>10371</v>
      </c>
      <c r="C952" s="25" t="str">
        <f>TEXT(137752,"0000000")</f>
        <v>0137752</v>
      </c>
      <c r="D952" s="27">
        <v>1946</v>
      </c>
      <c r="E952" s="25" t="s">
        <v>2065</v>
      </c>
      <c r="F952" s="25" t="s">
        <v>5</v>
      </c>
      <c r="G952" s="59" t="s">
        <v>2066</v>
      </c>
      <c r="H952" s="60">
        <v>0</v>
      </c>
      <c r="I952" s="60">
        <v>0</v>
      </c>
      <c r="J952" s="60">
        <v>0</v>
      </c>
      <c r="K952" s="60">
        <v>0</v>
      </c>
      <c r="L952" s="60">
        <v>0</v>
      </c>
      <c r="M952" s="60">
        <v>0</v>
      </c>
      <c r="N952" s="60">
        <v>0</v>
      </c>
      <c r="O952" s="60">
        <v>0</v>
      </c>
      <c r="P952" s="60">
        <v>0</v>
      </c>
      <c r="Q952" s="60">
        <v>0</v>
      </c>
      <c r="R952" s="60">
        <v>0</v>
      </c>
      <c r="S952" s="60">
        <v>0</v>
      </c>
      <c r="T952" s="60">
        <v>0</v>
      </c>
      <c r="U952" s="60">
        <v>0</v>
      </c>
      <c r="V952" s="60">
        <v>0</v>
      </c>
      <c r="W952" s="60">
        <v>0</v>
      </c>
      <c r="X952" s="60">
        <v>0</v>
      </c>
      <c r="Y952" s="60">
        <v>0</v>
      </c>
      <c r="Z952" s="60">
        <v>502.97</v>
      </c>
      <c r="AA952" s="60">
        <v>465.27</v>
      </c>
      <c r="AB952" s="60">
        <v>510.03</v>
      </c>
      <c r="AC952" s="60">
        <v>0</v>
      </c>
      <c r="AD952" s="60">
        <v>0</v>
      </c>
      <c r="AE952" s="60">
        <v>0</v>
      </c>
      <c r="AF952" s="60">
        <v>0</v>
      </c>
      <c r="AG952" s="60">
        <v>0</v>
      </c>
      <c r="AH952" s="60">
        <v>0</v>
      </c>
      <c r="AI952" s="60">
        <v>502.97</v>
      </c>
      <c r="AJ952" s="60">
        <v>465.27</v>
      </c>
      <c r="AK952" s="60">
        <v>510.03</v>
      </c>
      <c r="AL952" s="60">
        <v>0</v>
      </c>
      <c r="AM952" s="60">
        <v>0</v>
      </c>
      <c r="AN952" s="60">
        <v>0</v>
      </c>
      <c r="AO952" s="60">
        <v>502.97</v>
      </c>
      <c r="AP952" s="60">
        <v>465.27</v>
      </c>
      <c r="AQ952" s="60">
        <v>510.03</v>
      </c>
      <c r="AR952" s="61">
        <v>510.03</v>
      </c>
    </row>
    <row r="953" spans="1:44" x14ac:dyDescent="0.35">
      <c r="A953" s="49" t="str">
        <f t="shared" si="82"/>
        <v>37</v>
      </c>
      <c r="B953" s="27">
        <v>10371</v>
      </c>
      <c r="C953" s="25" t="str">
        <f>TEXT(138016,"0000000")</f>
        <v>0138016</v>
      </c>
      <c r="D953" s="27">
        <v>1989</v>
      </c>
      <c r="E953" s="25" t="s">
        <v>2067</v>
      </c>
      <c r="F953" s="25" t="s">
        <v>5</v>
      </c>
      <c r="G953" s="59" t="s">
        <v>2068</v>
      </c>
      <c r="H953" s="60">
        <v>0</v>
      </c>
      <c r="I953" s="60">
        <v>0</v>
      </c>
      <c r="J953" s="60">
        <v>0</v>
      </c>
      <c r="K953" s="60">
        <v>0</v>
      </c>
      <c r="L953" s="60">
        <v>0</v>
      </c>
      <c r="M953" s="60">
        <v>0</v>
      </c>
      <c r="N953" s="60">
        <v>0</v>
      </c>
      <c r="O953" s="60">
        <v>0</v>
      </c>
      <c r="P953" s="60">
        <v>0</v>
      </c>
      <c r="Q953" s="60">
        <v>0</v>
      </c>
      <c r="R953" s="60">
        <v>0</v>
      </c>
      <c r="S953" s="60">
        <v>0</v>
      </c>
      <c r="T953" s="60">
        <v>0</v>
      </c>
      <c r="U953" s="60">
        <v>0</v>
      </c>
      <c r="V953" s="60">
        <v>0</v>
      </c>
      <c r="W953" s="60">
        <v>0</v>
      </c>
      <c r="X953" s="60">
        <v>0</v>
      </c>
      <c r="Y953" s="60">
        <v>0</v>
      </c>
      <c r="Z953" s="60">
        <v>0</v>
      </c>
      <c r="AA953" s="60">
        <v>0</v>
      </c>
      <c r="AB953" s="60">
        <v>0</v>
      </c>
      <c r="AC953" s="60">
        <v>551.53</v>
      </c>
      <c r="AD953" s="60">
        <v>513.99</v>
      </c>
      <c r="AE953" s="60">
        <v>484.55</v>
      </c>
      <c r="AF953" s="60">
        <v>0</v>
      </c>
      <c r="AG953" s="60">
        <v>0</v>
      </c>
      <c r="AH953" s="60">
        <v>0</v>
      </c>
      <c r="AI953" s="60">
        <v>551.53</v>
      </c>
      <c r="AJ953" s="60">
        <v>513.99</v>
      </c>
      <c r="AK953" s="60">
        <v>484.55</v>
      </c>
      <c r="AL953" s="60">
        <v>0</v>
      </c>
      <c r="AM953" s="60">
        <v>0</v>
      </c>
      <c r="AN953" s="60">
        <v>0</v>
      </c>
      <c r="AO953" s="60">
        <v>551.53</v>
      </c>
      <c r="AP953" s="60">
        <v>513.99</v>
      </c>
      <c r="AQ953" s="60">
        <v>484.55</v>
      </c>
      <c r="AR953" s="61">
        <v>551.53</v>
      </c>
    </row>
    <row r="954" spans="1:44" x14ac:dyDescent="0.35">
      <c r="A954" s="49" t="str">
        <f t="shared" si="82"/>
        <v>37</v>
      </c>
      <c r="B954" s="27">
        <v>10371</v>
      </c>
      <c r="C954" s="25" t="str">
        <f>TEXT(138404,"0000000")</f>
        <v>0138404</v>
      </c>
      <c r="D954" s="27">
        <v>2016</v>
      </c>
      <c r="E954" s="25" t="s">
        <v>2069</v>
      </c>
      <c r="F954" s="25" t="s">
        <v>5</v>
      </c>
      <c r="G954" s="59" t="s">
        <v>2070</v>
      </c>
      <c r="H954" s="60">
        <v>0</v>
      </c>
      <c r="I954" s="60">
        <v>0</v>
      </c>
      <c r="J954" s="60">
        <v>0</v>
      </c>
      <c r="K954" s="60">
        <v>0</v>
      </c>
      <c r="L954" s="60">
        <v>0</v>
      </c>
      <c r="M954" s="60">
        <v>0</v>
      </c>
      <c r="N954" s="60">
        <v>0</v>
      </c>
      <c r="O954" s="60">
        <v>0</v>
      </c>
      <c r="P954" s="60">
        <v>0</v>
      </c>
      <c r="Q954" s="60">
        <v>0</v>
      </c>
      <c r="R954" s="60">
        <v>0</v>
      </c>
      <c r="S954" s="60">
        <v>0</v>
      </c>
      <c r="T954" s="60">
        <v>0</v>
      </c>
      <c r="U954" s="60">
        <v>0</v>
      </c>
      <c r="V954" s="60">
        <v>0</v>
      </c>
      <c r="W954" s="60">
        <v>0</v>
      </c>
      <c r="X954" s="60">
        <v>0</v>
      </c>
      <c r="Y954" s="60">
        <v>0</v>
      </c>
      <c r="Z954" s="60">
        <v>0</v>
      </c>
      <c r="AA954" s="60">
        <v>0</v>
      </c>
      <c r="AB954" s="60">
        <v>0</v>
      </c>
      <c r="AC954" s="60">
        <v>621.36</v>
      </c>
      <c r="AD954" s="60">
        <v>572.89</v>
      </c>
      <c r="AE954" s="60">
        <v>636.76</v>
      </c>
      <c r="AF954" s="60">
        <v>0</v>
      </c>
      <c r="AG954" s="60">
        <v>0</v>
      </c>
      <c r="AH954" s="60">
        <v>0</v>
      </c>
      <c r="AI954" s="60">
        <v>621.36</v>
      </c>
      <c r="AJ954" s="60">
        <v>572.89</v>
      </c>
      <c r="AK954" s="60">
        <v>636.76</v>
      </c>
      <c r="AL954" s="60">
        <v>0</v>
      </c>
      <c r="AM954" s="60">
        <v>0</v>
      </c>
      <c r="AN954" s="60">
        <v>0</v>
      </c>
      <c r="AO954" s="60">
        <v>621.36</v>
      </c>
      <c r="AP954" s="60">
        <v>572.89</v>
      </c>
      <c r="AQ954" s="60">
        <v>636.76</v>
      </c>
      <c r="AR954" s="61">
        <v>636.76</v>
      </c>
    </row>
    <row r="955" spans="1:44" x14ac:dyDescent="0.35">
      <c r="A955" s="49" t="str">
        <f t="shared" si="82"/>
        <v>37</v>
      </c>
      <c r="B955" s="27">
        <v>10371</v>
      </c>
      <c r="C955" s="25" t="str">
        <f>TEXT(138594,"0000000")</f>
        <v>0138594</v>
      </c>
      <c r="D955" s="27">
        <v>2023</v>
      </c>
      <c r="E955" s="25" t="s">
        <v>2071</v>
      </c>
      <c r="F955" s="25" t="s">
        <v>5</v>
      </c>
      <c r="G955" s="59" t="s">
        <v>2072</v>
      </c>
      <c r="H955" s="60">
        <v>0</v>
      </c>
      <c r="I955" s="60">
        <v>0</v>
      </c>
      <c r="J955" s="60">
        <v>0</v>
      </c>
      <c r="K955" s="60">
        <v>0</v>
      </c>
      <c r="L955" s="60">
        <v>0</v>
      </c>
      <c r="M955" s="60">
        <v>0</v>
      </c>
      <c r="N955" s="60">
        <v>0</v>
      </c>
      <c r="O955" s="60">
        <v>0</v>
      </c>
      <c r="P955" s="60">
        <v>0</v>
      </c>
      <c r="Q955" s="60">
        <v>0</v>
      </c>
      <c r="R955" s="60">
        <v>0</v>
      </c>
      <c r="S955" s="60">
        <v>0</v>
      </c>
      <c r="T955" s="60">
        <v>0</v>
      </c>
      <c r="U955" s="60">
        <v>0</v>
      </c>
      <c r="V955" s="60">
        <v>0</v>
      </c>
      <c r="W955" s="60">
        <v>0</v>
      </c>
      <c r="X955" s="60">
        <v>0</v>
      </c>
      <c r="Y955" s="60">
        <v>0</v>
      </c>
      <c r="Z955" s="60">
        <v>0</v>
      </c>
      <c r="AA955" s="60">
        <v>0</v>
      </c>
      <c r="AB955" s="60">
        <v>0</v>
      </c>
      <c r="AC955" s="60">
        <v>250.57</v>
      </c>
      <c r="AD955" s="60">
        <v>218.03</v>
      </c>
      <c r="AE955" s="60">
        <v>223.48</v>
      </c>
      <c r="AF955" s="60">
        <v>0</v>
      </c>
      <c r="AG955" s="60">
        <v>0</v>
      </c>
      <c r="AH955" s="60">
        <v>0</v>
      </c>
      <c r="AI955" s="60">
        <v>250.57</v>
      </c>
      <c r="AJ955" s="60">
        <v>218.03</v>
      </c>
      <c r="AK955" s="60">
        <v>223.48</v>
      </c>
      <c r="AL955" s="60">
        <v>0</v>
      </c>
      <c r="AM955" s="60">
        <v>0</v>
      </c>
      <c r="AN955" s="60">
        <v>0</v>
      </c>
      <c r="AO955" s="60">
        <v>250.57</v>
      </c>
      <c r="AP955" s="60">
        <v>218.03</v>
      </c>
      <c r="AQ955" s="60">
        <v>223.48</v>
      </c>
      <c r="AR955" s="61">
        <v>250.57</v>
      </c>
    </row>
    <row r="956" spans="1:44" x14ac:dyDescent="0.35">
      <c r="A956" s="49" t="str">
        <f t="shared" si="82"/>
        <v>37</v>
      </c>
      <c r="B956" s="27">
        <v>10371</v>
      </c>
      <c r="C956" s="25" t="str">
        <f>TEXT(138792,"0000000")</f>
        <v>0138792</v>
      </c>
      <c r="D956" s="27">
        <v>2024</v>
      </c>
      <c r="E956" s="25" t="s">
        <v>2073</v>
      </c>
      <c r="F956" s="25" t="s">
        <v>5</v>
      </c>
      <c r="G956" s="59" t="s">
        <v>2074</v>
      </c>
      <c r="H956" s="60">
        <v>0</v>
      </c>
      <c r="I956" s="60">
        <v>0</v>
      </c>
      <c r="J956" s="60">
        <v>0</v>
      </c>
      <c r="K956" s="60">
        <v>0</v>
      </c>
      <c r="L956" s="60">
        <v>0</v>
      </c>
      <c r="M956" s="60">
        <v>0</v>
      </c>
      <c r="N956" s="60">
        <v>0</v>
      </c>
      <c r="O956" s="60">
        <v>0</v>
      </c>
      <c r="P956" s="60">
        <v>0</v>
      </c>
      <c r="Q956" s="60">
        <v>0</v>
      </c>
      <c r="R956" s="60">
        <v>0</v>
      </c>
      <c r="S956" s="60">
        <v>0</v>
      </c>
      <c r="T956" s="60">
        <v>0</v>
      </c>
      <c r="U956" s="60">
        <v>0</v>
      </c>
      <c r="V956" s="60">
        <v>0</v>
      </c>
      <c r="W956" s="60">
        <v>0</v>
      </c>
      <c r="X956" s="60">
        <v>0</v>
      </c>
      <c r="Y956" s="60">
        <v>0</v>
      </c>
      <c r="Z956" s="60">
        <v>0</v>
      </c>
      <c r="AA956" s="60">
        <v>0</v>
      </c>
      <c r="AB956" s="60">
        <v>0</v>
      </c>
      <c r="AC956" s="60">
        <v>198.35</v>
      </c>
      <c r="AD956" s="60">
        <v>226.31</v>
      </c>
      <c r="AE956" s="60">
        <v>229.12</v>
      </c>
      <c r="AF956" s="60">
        <v>0</v>
      </c>
      <c r="AG956" s="60">
        <v>0</v>
      </c>
      <c r="AH956" s="60">
        <v>0</v>
      </c>
      <c r="AI956" s="60">
        <v>198.35</v>
      </c>
      <c r="AJ956" s="60">
        <v>226.31</v>
      </c>
      <c r="AK956" s="60">
        <v>229.12</v>
      </c>
      <c r="AL956" s="60">
        <v>0</v>
      </c>
      <c r="AM956" s="60">
        <v>0</v>
      </c>
      <c r="AN956" s="60">
        <v>0</v>
      </c>
      <c r="AO956" s="60">
        <v>198.35</v>
      </c>
      <c r="AP956" s="60">
        <v>226.31</v>
      </c>
      <c r="AQ956" s="60">
        <v>229.12</v>
      </c>
      <c r="AR956" s="61">
        <v>229.12</v>
      </c>
    </row>
    <row r="957" spans="1:44" x14ac:dyDescent="0.35">
      <c r="A957" s="49" t="str">
        <f t="shared" si="82"/>
        <v>37</v>
      </c>
      <c r="B957" s="27">
        <v>10371</v>
      </c>
      <c r="C957" s="25" t="str">
        <f>TEXT(6119119,"0000000")</f>
        <v>6119119</v>
      </c>
      <c r="D957" s="26" t="s">
        <v>2077</v>
      </c>
      <c r="E957" s="25" t="s">
        <v>2075</v>
      </c>
      <c r="F957" s="25" t="s">
        <v>5</v>
      </c>
      <c r="G957" s="59" t="s">
        <v>2076</v>
      </c>
      <c r="H957" s="60">
        <v>0</v>
      </c>
      <c r="I957" s="60">
        <v>0</v>
      </c>
      <c r="J957" s="60">
        <v>0</v>
      </c>
      <c r="K957" s="60">
        <v>0</v>
      </c>
      <c r="L957" s="60">
        <v>0</v>
      </c>
      <c r="M957" s="60">
        <v>0</v>
      </c>
      <c r="N957" s="60">
        <v>0</v>
      </c>
      <c r="O957" s="60">
        <v>0</v>
      </c>
      <c r="P957" s="60">
        <v>0</v>
      </c>
      <c r="Q957" s="60">
        <v>0</v>
      </c>
      <c r="R957" s="60">
        <v>0</v>
      </c>
      <c r="S957" s="60">
        <v>0</v>
      </c>
      <c r="T957" s="60">
        <v>0</v>
      </c>
      <c r="U957" s="60">
        <v>0</v>
      </c>
      <c r="V957" s="60">
        <v>0</v>
      </c>
      <c r="W957" s="60">
        <v>0</v>
      </c>
      <c r="X957" s="60">
        <v>0</v>
      </c>
      <c r="Y957" s="60">
        <v>0</v>
      </c>
      <c r="Z957" s="60">
        <v>0</v>
      </c>
      <c r="AA957" s="60">
        <v>0</v>
      </c>
      <c r="AB957" s="60">
        <v>0</v>
      </c>
      <c r="AC957" s="60">
        <v>1978.36</v>
      </c>
      <c r="AD957" s="60">
        <v>1907.63</v>
      </c>
      <c r="AE957" s="60">
        <v>1847.83</v>
      </c>
      <c r="AF957" s="60">
        <v>0</v>
      </c>
      <c r="AG957" s="60">
        <v>0</v>
      </c>
      <c r="AH957" s="60">
        <v>0</v>
      </c>
      <c r="AI957" s="60">
        <v>1978.36</v>
      </c>
      <c r="AJ957" s="60">
        <v>1907.63</v>
      </c>
      <c r="AK957" s="60">
        <v>1847.83</v>
      </c>
      <c r="AL957" s="60">
        <v>0</v>
      </c>
      <c r="AM957" s="60">
        <v>0</v>
      </c>
      <c r="AN957" s="60">
        <v>0</v>
      </c>
      <c r="AO957" s="60">
        <v>1978.36</v>
      </c>
      <c r="AP957" s="60">
        <v>1907.63</v>
      </c>
      <c r="AQ957" s="60">
        <v>1847.83</v>
      </c>
      <c r="AR957" s="61">
        <v>1978.36</v>
      </c>
    </row>
    <row r="958" spans="1:44" x14ac:dyDescent="0.35">
      <c r="A958" s="49" t="str">
        <f t="shared" si="82"/>
        <v>37</v>
      </c>
      <c r="B958" s="27">
        <v>67983</v>
      </c>
      <c r="C958" s="25" t="str">
        <f>TEXT(134890,"0000000")</f>
        <v>0134890</v>
      </c>
      <c r="D958" s="27">
        <v>1832</v>
      </c>
      <c r="E958" s="25" t="s">
        <v>2082</v>
      </c>
      <c r="F958" s="25" t="s">
        <v>5</v>
      </c>
      <c r="G958" s="59" t="s">
        <v>2083</v>
      </c>
      <c r="H958" s="60">
        <v>0</v>
      </c>
      <c r="I958" s="60">
        <v>0</v>
      </c>
      <c r="J958" s="60">
        <v>0</v>
      </c>
      <c r="K958" s="60">
        <v>0</v>
      </c>
      <c r="L958" s="60">
        <v>0</v>
      </c>
      <c r="M958" s="60">
        <v>0</v>
      </c>
      <c r="N958" s="60">
        <v>0</v>
      </c>
      <c r="O958" s="60">
        <v>0</v>
      </c>
      <c r="P958" s="60">
        <v>0</v>
      </c>
      <c r="Q958" s="60">
        <v>0</v>
      </c>
      <c r="R958" s="60">
        <v>0</v>
      </c>
      <c r="S958" s="60">
        <v>0</v>
      </c>
      <c r="T958" s="60">
        <v>0</v>
      </c>
      <c r="U958" s="60">
        <v>0</v>
      </c>
      <c r="V958" s="60">
        <v>0</v>
      </c>
      <c r="W958" s="60">
        <v>0</v>
      </c>
      <c r="X958" s="60">
        <v>0</v>
      </c>
      <c r="Y958" s="60">
        <v>0</v>
      </c>
      <c r="Z958" s="60">
        <v>0</v>
      </c>
      <c r="AA958" s="60">
        <v>0</v>
      </c>
      <c r="AB958" s="60">
        <v>0</v>
      </c>
      <c r="AC958" s="60">
        <v>2635.48</v>
      </c>
      <c r="AD958" s="60">
        <v>2520.38</v>
      </c>
      <c r="AE958" s="60">
        <v>2534.16</v>
      </c>
      <c r="AF958" s="60">
        <v>0</v>
      </c>
      <c r="AG958" s="60">
        <v>0</v>
      </c>
      <c r="AH958" s="60">
        <v>0</v>
      </c>
      <c r="AI958" s="60">
        <v>2635.48</v>
      </c>
      <c r="AJ958" s="60">
        <v>2520.38</v>
      </c>
      <c r="AK958" s="60">
        <v>2534.16</v>
      </c>
      <c r="AL958" s="60">
        <v>0</v>
      </c>
      <c r="AM958" s="60">
        <v>0</v>
      </c>
      <c r="AN958" s="60">
        <v>0</v>
      </c>
      <c r="AO958" s="60">
        <v>2635.48</v>
      </c>
      <c r="AP958" s="60">
        <v>2520.38</v>
      </c>
      <c r="AQ958" s="60">
        <v>2534.16</v>
      </c>
      <c r="AR958" s="61">
        <v>2635.48</v>
      </c>
    </row>
    <row r="959" spans="1:44" x14ac:dyDescent="0.35">
      <c r="A959" s="49" t="str">
        <f t="shared" si="82"/>
        <v>37</v>
      </c>
      <c r="B959" s="27">
        <v>68023</v>
      </c>
      <c r="C959" s="25" t="str">
        <f>TEXT(138073,"0000000")</f>
        <v>0138073</v>
      </c>
      <c r="D959" s="27">
        <v>2001</v>
      </c>
      <c r="E959" s="25" t="s">
        <v>2092</v>
      </c>
      <c r="F959" s="25" t="s">
        <v>5</v>
      </c>
      <c r="G959" s="59" t="s">
        <v>2093</v>
      </c>
      <c r="H959" s="60">
        <v>0</v>
      </c>
      <c r="I959" s="60">
        <v>0</v>
      </c>
      <c r="J959" s="60">
        <v>0</v>
      </c>
      <c r="K959" s="60">
        <v>0</v>
      </c>
      <c r="L959" s="60">
        <v>0</v>
      </c>
      <c r="M959" s="60">
        <v>0</v>
      </c>
      <c r="N959" s="60">
        <v>0</v>
      </c>
      <c r="O959" s="60">
        <v>0</v>
      </c>
      <c r="P959" s="60">
        <v>0</v>
      </c>
      <c r="Q959" s="60">
        <v>0</v>
      </c>
      <c r="R959" s="60">
        <v>0</v>
      </c>
      <c r="S959" s="60">
        <v>0</v>
      </c>
      <c r="T959" s="60">
        <v>0</v>
      </c>
      <c r="U959" s="60">
        <v>0</v>
      </c>
      <c r="V959" s="60">
        <v>0</v>
      </c>
      <c r="W959" s="60">
        <v>0</v>
      </c>
      <c r="X959" s="60">
        <v>0</v>
      </c>
      <c r="Y959" s="60">
        <v>0</v>
      </c>
      <c r="Z959" s="60">
        <v>0</v>
      </c>
      <c r="AA959" s="60">
        <v>0</v>
      </c>
      <c r="AB959" s="60">
        <v>0</v>
      </c>
      <c r="AC959" s="60">
        <v>413.74</v>
      </c>
      <c r="AD959" s="60">
        <v>388.77</v>
      </c>
      <c r="AE959" s="60">
        <v>397.28</v>
      </c>
      <c r="AF959" s="60">
        <v>0</v>
      </c>
      <c r="AG959" s="60">
        <v>0</v>
      </c>
      <c r="AH959" s="60">
        <v>0</v>
      </c>
      <c r="AI959" s="60">
        <v>413.74</v>
      </c>
      <c r="AJ959" s="60">
        <v>388.77</v>
      </c>
      <c r="AK959" s="60">
        <v>397.28</v>
      </c>
      <c r="AL959" s="60">
        <v>0</v>
      </c>
      <c r="AM959" s="60">
        <v>0</v>
      </c>
      <c r="AN959" s="60">
        <v>0</v>
      </c>
      <c r="AO959" s="60">
        <v>413.74</v>
      </c>
      <c r="AP959" s="60">
        <v>388.77</v>
      </c>
      <c r="AQ959" s="60">
        <v>397.28</v>
      </c>
      <c r="AR959" s="61">
        <v>413.74</v>
      </c>
    </row>
    <row r="960" spans="1:44" x14ac:dyDescent="0.35">
      <c r="A960" s="49" t="str">
        <f t="shared" si="82"/>
        <v>37</v>
      </c>
      <c r="B960" s="27">
        <v>68049</v>
      </c>
      <c r="C960" s="25" t="str">
        <f>TEXT(127118,"0000000")</f>
        <v>0127118</v>
      </c>
      <c r="D960" s="27">
        <v>1488</v>
      </c>
      <c r="E960" s="25" t="s">
        <v>2098</v>
      </c>
      <c r="F960" s="25" t="s">
        <v>5</v>
      </c>
      <c r="G960" s="59" t="s">
        <v>2099</v>
      </c>
      <c r="H960" s="60">
        <v>0</v>
      </c>
      <c r="I960" s="60">
        <v>0</v>
      </c>
      <c r="J960" s="60">
        <v>0</v>
      </c>
      <c r="K960" s="60">
        <v>0</v>
      </c>
      <c r="L960" s="60">
        <v>0</v>
      </c>
      <c r="M960" s="60">
        <v>0</v>
      </c>
      <c r="N960" s="60">
        <v>0</v>
      </c>
      <c r="O960" s="60">
        <v>0</v>
      </c>
      <c r="P960" s="60">
        <v>0</v>
      </c>
      <c r="Q960" s="60">
        <v>0</v>
      </c>
      <c r="R960" s="60">
        <v>0</v>
      </c>
      <c r="S960" s="60">
        <v>0</v>
      </c>
      <c r="T960" s="60">
        <v>0</v>
      </c>
      <c r="U960" s="60">
        <v>0</v>
      </c>
      <c r="V960" s="60">
        <v>0</v>
      </c>
      <c r="W960" s="60">
        <v>0</v>
      </c>
      <c r="X960" s="60">
        <v>0</v>
      </c>
      <c r="Y960" s="60">
        <v>0</v>
      </c>
      <c r="Z960" s="60">
        <v>0</v>
      </c>
      <c r="AA960" s="60">
        <v>0</v>
      </c>
      <c r="AB960" s="60">
        <v>0</v>
      </c>
      <c r="AC960" s="60">
        <v>282.01</v>
      </c>
      <c r="AD960" s="60">
        <v>264.3</v>
      </c>
      <c r="AE960" s="60">
        <v>0</v>
      </c>
      <c r="AF960" s="60">
        <v>0</v>
      </c>
      <c r="AG960" s="60">
        <v>0</v>
      </c>
      <c r="AH960" s="60">
        <v>0</v>
      </c>
      <c r="AI960" s="60">
        <v>282.01</v>
      </c>
      <c r="AJ960" s="60">
        <v>264.3</v>
      </c>
      <c r="AK960" s="60">
        <v>0</v>
      </c>
      <c r="AL960" s="60">
        <v>0</v>
      </c>
      <c r="AM960" s="60">
        <v>0</v>
      </c>
      <c r="AN960" s="60">
        <v>264.29000000000002</v>
      </c>
      <c r="AO960" s="60">
        <v>282.01</v>
      </c>
      <c r="AP960" s="60">
        <v>264.3</v>
      </c>
      <c r="AQ960" s="60">
        <v>264.29000000000002</v>
      </c>
      <c r="AR960" s="61">
        <v>282.01</v>
      </c>
    </row>
    <row r="961" spans="1:44" x14ac:dyDescent="0.35">
      <c r="A961" s="49" t="str">
        <f>TEXT(1,"00")</f>
        <v>01</v>
      </c>
      <c r="B961" s="27">
        <v>61259</v>
      </c>
      <c r="C961" s="25" t="str">
        <f>TEXT(115238,"0000000")</f>
        <v>0115238</v>
      </c>
      <c r="D961" s="26" t="s">
        <v>105</v>
      </c>
      <c r="E961" s="25" t="s">
        <v>103</v>
      </c>
      <c r="F961" s="25" t="s">
        <v>5</v>
      </c>
      <c r="G961" s="59" t="s">
        <v>104</v>
      </c>
      <c r="H961" s="60">
        <v>0</v>
      </c>
      <c r="I961" s="60">
        <v>0</v>
      </c>
      <c r="J961" s="60">
        <v>0</v>
      </c>
      <c r="K961" s="60">
        <v>0</v>
      </c>
      <c r="L961" s="60">
        <v>0</v>
      </c>
      <c r="M961" s="60">
        <v>0</v>
      </c>
      <c r="N961" s="60">
        <v>0</v>
      </c>
      <c r="O961" s="60">
        <v>0</v>
      </c>
      <c r="P961" s="60">
        <v>0</v>
      </c>
      <c r="Q961" s="60">
        <v>0</v>
      </c>
      <c r="R961" s="60">
        <v>0</v>
      </c>
      <c r="S961" s="60">
        <v>0</v>
      </c>
      <c r="T961" s="60">
        <v>0</v>
      </c>
      <c r="U961" s="60">
        <v>0</v>
      </c>
      <c r="V961" s="60">
        <v>0</v>
      </c>
      <c r="W961" s="60">
        <v>0</v>
      </c>
      <c r="X961" s="60">
        <v>0</v>
      </c>
      <c r="Y961" s="60">
        <v>0</v>
      </c>
      <c r="Z961" s="60">
        <v>0</v>
      </c>
      <c r="AA961" s="60">
        <v>0</v>
      </c>
      <c r="AB961" s="60">
        <v>0</v>
      </c>
      <c r="AC961" s="60">
        <v>370.29</v>
      </c>
      <c r="AD961" s="60">
        <v>371.11</v>
      </c>
      <c r="AE961" s="60">
        <v>361.98</v>
      </c>
      <c r="AF961" s="60">
        <v>0</v>
      </c>
      <c r="AG961" s="60">
        <v>0</v>
      </c>
      <c r="AH961" s="60">
        <v>0</v>
      </c>
      <c r="AI961" s="60">
        <v>370.29</v>
      </c>
      <c r="AJ961" s="60">
        <v>371.11</v>
      </c>
      <c r="AK961" s="60">
        <v>361.98</v>
      </c>
      <c r="AL961" s="60">
        <v>0</v>
      </c>
      <c r="AM961" s="60">
        <v>0</v>
      </c>
      <c r="AN961" s="60">
        <v>0</v>
      </c>
      <c r="AO961" s="60">
        <v>370.29</v>
      </c>
      <c r="AP961" s="60">
        <v>371.11</v>
      </c>
      <c r="AQ961" s="60">
        <v>361.98</v>
      </c>
      <c r="AR961" s="61">
        <v>371.11</v>
      </c>
    </row>
    <row r="962" spans="1:44" x14ac:dyDescent="0.35">
      <c r="A962" s="49" t="str">
        <f t="shared" ref="A962:A971" si="83">TEXT(37,"00")</f>
        <v>37</v>
      </c>
      <c r="B962" s="27">
        <v>68049</v>
      </c>
      <c r="C962" s="25" t="str">
        <f>TEXT(129221,"0000000")</f>
        <v>0129221</v>
      </c>
      <c r="D962" s="27">
        <v>1617</v>
      </c>
      <c r="E962" s="25" t="s">
        <v>2100</v>
      </c>
      <c r="F962" s="25" t="s">
        <v>5</v>
      </c>
      <c r="G962" s="59" t="s">
        <v>2101</v>
      </c>
      <c r="H962" s="60">
        <v>0</v>
      </c>
      <c r="I962" s="60">
        <v>0</v>
      </c>
      <c r="J962" s="60">
        <v>0</v>
      </c>
      <c r="K962" s="60">
        <v>0</v>
      </c>
      <c r="L962" s="60">
        <v>0</v>
      </c>
      <c r="M962" s="60">
        <v>0</v>
      </c>
      <c r="N962" s="60">
        <v>0</v>
      </c>
      <c r="O962" s="60">
        <v>0</v>
      </c>
      <c r="P962" s="60">
        <v>0</v>
      </c>
      <c r="Q962" s="60">
        <v>0</v>
      </c>
      <c r="R962" s="60">
        <v>0</v>
      </c>
      <c r="S962" s="60">
        <v>0</v>
      </c>
      <c r="T962" s="60">
        <v>0</v>
      </c>
      <c r="U962" s="60">
        <v>0</v>
      </c>
      <c r="V962" s="60">
        <v>0</v>
      </c>
      <c r="W962" s="60">
        <v>0</v>
      </c>
      <c r="X962" s="60">
        <v>0</v>
      </c>
      <c r="Y962" s="60">
        <v>0</v>
      </c>
      <c r="Z962" s="60">
        <v>0</v>
      </c>
      <c r="AA962" s="60">
        <v>0</v>
      </c>
      <c r="AB962" s="60">
        <v>0</v>
      </c>
      <c r="AC962" s="60">
        <v>539.54</v>
      </c>
      <c r="AD962" s="60">
        <v>445.02</v>
      </c>
      <c r="AE962" s="60">
        <v>0</v>
      </c>
      <c r="AF962" s="60">
        <v>0</v>
      </c>
      <c r="AG962" s="60">
        <v>0</v>
      </c>
      <c r="AH962" s="60">
        <v>0</v>
      </c>
      <c r="AI962" s="60">
        <v>539.54</v>
      </c>
      <c r="AJ962" s="60">
        <v>445.02</v>
      </c>
      <c r="AK962" s="60">
        <v>0</v>
      </c>
      <c r="AL962" s="60">
        <v>0</v>
      </c>
      <c r="AM962" s="60">
        <v>0</v>
      </c>
      <c r="AN962" s="60">
        <v>333.27</v>
      </c>
      <c r="AO962" s="60">
        <v>539.54</v>
      </c>
      <c r="AP962" s="60">
        <v>445.02</v>
      </c>
      <c r="AQ962" s="60">
        <v>333.27</v>
      </c>
      <c r="AR962" s="61">
        <v>539.54</v>
      </c>
    </row>
    <row r="963" spans="1:44" x14ac:dyDescent="0.35">
      <c r="A963" s="49" t="str">
        <f t="shared" si="83"/>
        <v>37</v>
      </c>
      <c r="B963" s="27">
        <v>68049</v>
      </c>
      <c r="C963" s="25" t="str">
        <f>TEXT(132506,"0000000")</f>
        <v>0132506</v>
      </c>
      <c r="D963" s="27">
        <v>1748</v>
      </c>
      <c r="E963" s="25" t="s">
        <v>2102</v>
      </c>
      <c r="F963" s="25" t="s">
        <v>5</v>
      </c>
      <c r="G963" s="59" t="s">
        <v>2103</v>
      </c>
      <c r="H963" s="60">
        <v>0</v>
      </c>
      <c r="I963" s="60">
        <v>0</v>
      </c>
      <c r="J963" s="60">
        <v>0</v>
      </c>
      <c r="K963" s="60">
        <v>0</v>
      </c>
      <c r="L963" s="60">
        <v>0</v>
      </c>
      <c r="M963" s="60">
        <v>0</v>
      </c>
      <c r="N963" s="60">
        <v>0</v>
      </c>
      <c r="O963" s="60">
        <v>0</v>
      </c>
      <c r="P963" s="60">
        <v>0</v>
      </c>
      <c r="Q963" s="60">
        <v>0</v>
      </c>
      <c r="R963" s="60">
        <v>0</v>
      </c>
      <c r="S963" s="60">
        <v>0</v>
      </c>
      <c r="T963" s="60">
        <v>0</v>
      </c>
      <c r="U963" s="60">
        <v>0</v>
      </c>
      <c r="V963" s="60">
        <v>0</v>
      </c>
      <c r="W963" s="60">
        <v>0</v>
      </c>
      <c r="X963" s="60">
        <v>0</v>
      </c>
      <c r="Y963" s="60">
        <v>0</v>
      </c>
      <c r="Z963" s="60">
        <v>0</v>
      </c>
      <c r="AA963" s="60">
        <v>0</v>
      </c>
      <c r="AB963" s="60">
        <v>0</v>
      </c>
      <c r="AC963" s="60">
        <v>4847.3599999999997</v>
      </c>
      <c r="AD963" s="60">
        <v>4261.92</v>
      </c>
      <c r="AE963" s="60">
        <v>4123.2299999999996</v>
      </c>
      <c r="AF963" s="60">
        <v>0</v>
      </c>
      <c r="AG963" s="60">
        <v>0</v>
      </c>
      <c r="AH963" s="60">
        <v>0</v>
      </c>
      <c r="AI963" s="60">
        <v>4847.3599999999997</v>
      </c>
      <c r="AJ963" s="60">
        <v>4261.92</v>
      </c>
      <c r="AK963" s="60">
        <v>4123.2299999999996</v>
      </c>
      <c r="AL963" s="60">
        <v>0</v>
      </c>
      <c r="AM963" s="60">
        <v>0</v>
      </c>
      <c r="AN963" s="60">
        <v>0</v>
      </c>
      <c r="AO963" s="60">
        <v>4847.3599999999997</v>
      </c>
      <c r="AP963" s="60">
        <v>4261.92</v>
      </c>
      <c r="AQ963" s="60">
        <v>4123.2299999999996</v>
      </c>
      <c r="AR963" s="61">
        <v>4847.3599999999997</v>
      </c>
    </row>
    <row r="964" spans="1:44" x14ac:dyDescent="0.35">
      <c r="A964" s="49" t="str">
        <f t="shared" si="83"/>
        <v>37</v>
      </c>
      <c r="B964" s="27">
        <v>68049</v>
      </c>
      <c r="C964" s="25" t="str">
        <f>TEXT(136416,"0000000")</f>
        <v>0136416</v>
      </c>
      <c r="D964" s="27">
        <v>1892</v>
      </c>
      <c r="E964" s="25" t="s">
        <v>2104</v>
      </c>
      <c r="F964" s="25" t="s">
        <v>5</v>
      </c>
      <c r="G964" s="59" t="s">
        <v>2105</v>
      </c>
      <c r="H964" s="60">
        <v>0</v>
      </c>
      <c r="I964" s="60">
        <v>0</v>
      </c>
      <c r="J964" s="60">
        <v>0</v>
      </c>
      <c r="K964" s="60">
        <v>0</v>
      </c>
      <c r="L964" s="60">
        <v>0</v>
      </c>
      <c r="M964" s="60">
        <v>0</v>
      </c>
      <c r="N964" s="60">
        <v>0</v>
      </c>
      <c r="O964" s="60">
        <v>0</v>
      </c>
      <c r="P964" s="60">
        <v>0</v>
      </c>
      <c r="Q964" s="60">
        <v>0</v>
      </c>
      <c r="R964" s="60">
        <v>0</v>
      </c>
      <c r="S964" s="60">
        <v>0</v>
      </c>
      <c r="T964" s="60">
        <v>0</v>
      </c>
      <c r="U964" s="60">
        <v>0</v>
      </c>
      <c r="V964" s="60">
        <v>0</v>
      </c>
      <c r="W964" s="60">
        <v>0</v>
      </c>
      <c r="X964" s="60">
        <v>0</v>
      </c>
      <c r="Y964" s="60">
        <v>0</v>
      </c>
      <c r="Z964" s="60">
        <v>0</v>
      </c>
      <c r="AA964" s="60">
        <v>0</v>
      </c>
      <c r="AB964" s="60">
        <v>0</v>
      </c>
      <c r="AC964" s="60">
        <v>5600.42</v>
      </c>
      <c r="AD964" s="60">
        <v>4846.8100000000004</v>
      </c>
      <c r="AE964" s="60">
        <v>4390.25</v>
      </c>
      <c r="AF964" s="60">
        <v>0</v>
      </c>
      <c r="AG964" s="60">
        <v>0</v>
      </c>
      <c r="AH964" s="60">
        <v>0</v>
      </c>
      <c r="AI964" s="60">
        <v>5600.42</v>
      </c>
      <c r="AJ964" s="60">
        <v>4846.8100000000004</v>
      </c>
      <c r="AK964" s="60">
        <v>4390.25</v>
      </c>
      <c r="AL964" s="60">
        <v>0</v>
      </c>
      <c r="AM964" s="60">
        <v>0</v>
      </c>
      <c r="AN964" s="60">
        <v>0</v>
      </c>
      <c r="AO964" s="60">
        <v>5600.42</v>
      </c>
      <c r="AP964" s="60">
        <v>4846.8100000000004</v>
      </c>
      <c r="AQ964" s="60">
        <v>4390.25</v>
      </c>
      <c r="AR964" s="61">
        <v>5600.42</v>
      </c>
    </row>
    <row r="965" spans="1:44" x14ac:dyDescent="0.35">
      <c r="A965" s="49" t="str">
        <f t="shared" si="83"/>
        <v>37</v>
      </c>
      <c r="B965" s="27">
        <v>68049</v>
      </c>
      <c r="C965" s="25" t="str">
        <f>TEXT(136614,"0000000")</f>
        <v>0136614</v>
      </c>
      <c r="D965" s="27">
        <v>1909</v>
      </c>
      <c r="E965" s="25" t="s">
        <v>2106</v>
      </c>
      <c r="F965" s="25" t="s">
        <v>5</v>
      </c>
      <c r="G965" s="59" t="s">
        <v>2107</v>
      </c>
      <c r="H965" s="60">
        <v>0</v>
      </c>
      <c r="I965" s="60">
        <v>0</v>
      </c>
      <c r="J965" s="60">
        <v>0</v>
      </c>
      <c r="K965" s="60">
        <v>0</v>
      </c>
      <c r="L965" s="60">
        <v>0</v>
      </c>
      <c r="M965" s="60">
        <v>0</v>
      </c>
      <c r="N965" s="60">
        <v>0</v>
      </c>
      <c r="O965" s="60">
        <v>0</v>
      </c>
      <c r="P965" s="60">
        <v>0</v>
      </c>
      <c r="Q965" s="60">
        <v>0</v>
      </c>
      <c r="R965" s="60">
        <v>0</v>
      </c>
      <c r="S965" s="60">
        <v>0</v>
      </c>
      <c r="T965" s="60">
        <v>0</v>
      </c>
      <c r="U965" s="60">
        <v>0</v>
      </c>
      <c r="V965" s="60">
        <v>0</v>
      </c>
      <c r="W965" s="60">
        <v>0</v>
      </c>
      <c r="X965" s="60">
        <v>0</v>
      </c>
      <c r="Y965" s="60">
        <v>0</v>
      </c>
      <c r="Z965" s="60">
        <v>0</v>
      </c>
      <c r="AA965" s="60">
        <v>0</v>
      </c>
      <c r="AB965" s="60">
        <v>0</v>
      </c>
      <c r="AC965" s="60">
        <v>302.95</v>
      </c>
      <c r="AD965" s="60">
        <v>324.87</v>
      </c>
      <c r="AE965" s="60">
        <v>337.57</v>
      </c>
      <c r="AF965" s="60">
        <v>0</v>
      </c>
      <c r="AG965" s="60">
        <v>0</v>
      </c>
      <c r="AH965" s="60">
        <v>0</v>
      </c>
      <c r="AI965" s="60">
        <v>302.95</v>
      </c>
      <c r="AJ965" s="60">
        <v>324.87</v>
      </c>
      <c r="AK965" s="60">
        <v>337.57</v>
      </c>
      <c r="AL965" s="60">
        <v>0</v>
      </c>
      <c r="AM965" s="60">
        <v>0</v>
      </c>
      <c r="AN965" s="60">
        <v>0</v>
      </c>
      <c r="AO965" s="60">
        <v>302.95</v>
      </c>
      <c r="AP965" s="60">
        <v>324.87</v>
      </c>
      <c r="AQ965" s="60">
        <v>337.57</v>
      </c>
      <c r="AR965" s="61">
        <v>337.57</v>
      </c>
    </row>
    <row r="966" spans="1:44" x14ac:dyDescent="0.35">
      <c r="A966" s="49" t="str">
        <f t="shared" si="83"/>
        <v>37</v>
      </c>
      <c r="B966" s="27">
        <v>68098</v>
      </c>
      <c r="C966" s="25" t="str">
        <f>TEXT(6116776,"0000000")</f>
        <v>6116776</v>
      </c>
      <c r="D966" s="26" t="s">
        <v>2116</v>
      </c>
      <c r="E966" s="25" t="s">
        <v>2114</v>
      </c>
      <c r="F966" s="25" t="s">
        <v>5</v>
      </c>
      <c r="G966" s="59" t="s">
        <v>2115</v>
      </c>
      <c r="H966" s="60">
        <v>0</v>
      </c>
      <c r="I966" s="60">
        <v>0</v>
      </c>
      <c r="J966" s="60">
        <v>0</v>
      </c>
      <c r="K966" s="60">
        <v>0</v>
      </c>
      <c r="L966" s="60">
        <v>0</v>
      </c>
      <c r="M966" s="60">
        <v>0</v>
      </c>
      <c r="N966" s="60">
        <v>0</v>
      </c>
      <c r="O966" s="60">
        <v>0</v>
      </c>
      <c r="P966" s="60">
        <v>0</v>
      </c>
      <c r="Q966" s="60">
        <v>0</v>
      </c>
      <c r="R966" s="60">
        <v>0</v>
      </c>
      <c r="S966" s="60">
        <v>0</v>
      </c>
      <c r="T966" s="60">
        <v>0</v>
      </c>
      <c r="U966" s="60">
        <v>0</v>
      </c>
      <c r="V966" s="60">
        <v>0</v>
      </c>
      <c r="W966" s="60">
        <v>0</v>
      </c>
      <c r="X966" s="60">
        <v>0</v>
      </c>
      <c r="Y966" s="60">
        <v>0</v>
      </c>
      <c r="Z966" s="60">
        <v>0</v>
      </c>
      <c r="AA966" s="60">
        <v>0</v>
      </c>
      <c r="AB966" s="60">
        <v>0</v>
      </c>
      <c r="AC966" s="60">
        <v>1550.73</v>
      </c>
      <c r="AD966" s="60">
        <v>1519.31</v>
      </c>
      <c r="AE966" s="60">
        <v>1545.78</v>
      </c>
      <c r="AF966" s="60">
        <v>0</v>
      </c>
      <c r="AG966" s="60">
        <v>0</v>
      </c>
      <c r="AH966" s="60">
        <v>0</v>
      </c>
      <c r="AI966" s="60">
        <v>1550.73</v>
      </c>
      <c r="AJ966" s="60">
        <v>1519.31</v>
      </c>
      <c r="AK966" s="60">
        <v>1545.78</v>
      </c>
      <c r="AL966" s="60">
        <v>0</v>
      </c>
      <c r="AM966" s="60">
        <v>0</v>
      </c>
      <c r="AN966" s="60">
        <v>0</v>
      </c>
      <c r="AO966" s="60">
        <v>1550.73</v>
      </c>
      <c r="AP966" s="60">
        <v>1519.31</v>
      </c>
      <c r="AQ966" s="60">
        <v>1545.78</v>
      </c>
      <c r="AR966" s="61">
        <v>1550.73</v>
      </c>
    </row>
    <row r="967" spans="1:44" x14ac:dyDescent="0.35">
      <c r="A967" s="49" t="str">
        <f t="shared" si="83"/>
        <v>37</v>
      </c>
      <c r="B967" s="27">
        <v>68106</v>
      </c>
      <c r="C967" s="25" t="str">
        <f>TEXT(111195,"0000000")</f>
        <v>0111195</v>
      </c>
      <c r="D967" s="26" t="s">
        <v>2121</v>
      </c>
      <c r="E967" s="25" t="s">
        <v>2119</v>
      </c>
      <c r="F967" s="25" t="s">
        <v>5</v>
      </c>
      <c r="G967" s="59" t="s">
        <v>2120</v>
      </c>
      <c r="H967" s="60">
        <v>0</v>
      </c>
      <c r="I967" s="60">
        <v>0</v>
      </c>
      <c r="J967" s="60">
        <v>0</v>
      </c>
      <c r="K967" s="60">
        <v>0</v>
      </c>
      <c r="L967" s="60">
        <v>0</v>
      </c>
      <c r="M967" s="60">
        <v>0</v>
      </c>
      <c r="N967" s="60">
        <v>0</v>
      </c>
      <c r="O967" s="60">
        <v>0</v>
      </c>
      <c r="P967" s="60">
        <v>0</v>
      </c>
      <c r="Q967" s="60">
        <v>0</v>
      </c>
      <c r="R967" s="60">
        <v>0</v>
      </c>
      <c r="S967" s="60">
        <v>0</v>
      </c>
      <c r="T967" s="60">
        <v>0</v>
      </c>
      <c r="U967" s="60">
        <v>0</v>
      </c>
      <c r="V967" s="60">
        <v>0</v>
      </c>
      <c r="W967" s="60">
        <v>0</v>
      </c>
      <c r="X967" s="60">
        <v>0</v>
      </c>
      <c r="Y967" s="60">
        <v>0</v>
      </c>
      <c r="Z967" s="60">
        <v>0</v>
      </c>
      <c r="AA967" s="60">
        <v>0</v>
      </c>
      <c r="AB967" s="60">
        <v>0</v>
      </c>
      <c r="AC967" s="60">
        <v>1274.73</v>
      </c>
      <c r="AD967" s="60">
        <v>1257.6099999999999</v>
      </c>
      <c r="AE967" s="60">
        <v>1230.95</v>
      </c>
      <c r="AF967" s="60">
        <v>0</v>
      </c>
      <c r="AG967" s="60">
        <v>0</v>
      </c>
      <c r="AH967" s="60">
        <v>0</v>
      </c>
      <c r="AI967" s="60">
        <v>1274.73</v>
      </c>
      <c r="AJ967" s="60">
        <v>1257.6099999999999</v>
      </c>
      <c r="AK967" s="60">
        <v>1230.95</v>
      </c>
      <c r="AL967" s="60">
        <v>0</v>
      </c>
      <c r="AM967" s="60">
        <v>0</v>
      </c>
      <c r="AN967" s="60">
        <v>0</v>
      </c>
      <c r="AO967" s="60">
        <v>1274.73</v>
      </c>
      <c r="AP967" s="60">
        <v>1257.6099999999999</v>
      </c>
      <c r="AQ967" s="60">
        <v>1230.95</v>
      </c>
      <c r="AR967" s="61">
        <v>1274.73</v>
      </c>
    </row>
    <row r="968" spans="1:44" x14ac:dyDescent="0.35">
      <c r="A968" s="49" t="str">
        <f t="shared" si="83"/>
        <v>37</v>
      </c>
      <c r="B968" s="27">
        <v>68106</v>
      </c>
      <c r="C968" s="25" t="str">
        <f>TEXT(137034,"0000000")</f>
        <v>0137034</v>
      </c>
      <c r="D968" s="27">
        <v>1935</v>
      </c>
      <c r="E968" s="25" t="s">
        <v>2122</v>
      </c>
      <c r="F968" s="25" t="s">
        <v>5</v>
      </c>
      <c r="G968" s="59" t="s">
        <v>2123</v>
      </c>
      <c r="H968" s="60">
        <v>0</v>
      </c>
      <c r="I968" s="60">
        <v>0</v>
      </c>
      <c r="J968" s="60">
        <v>0</v>
      </c>
      <c r="K968" s="60">
        <v>0</v>
      </c>
      <c r="L968" s="60">
        <v>0</v>
      </c>
      <c r="M968" s="60">
        <v>0</v>
      </c>
      <c r="N968" s="60">
        <v>0</v>
      </c>
      <c r="O968" s="60">
        <v>0</v>
      </c>
      <c r="P968" s="60">
        <v>0</v>
      </c>
      <c r="Q968" s="60">
        <v>0</v>
      </c>
      <c r="R968" s="60">
        <v>0</v>
      </c>
      <c r="S968" s="60">
        <v>0</v>
      </c>
      <c r="T968" s="60">
        <v>0</v>
      </c>
      <c r="U968" s="60">
        <v>0</v>
      </c>
      <c r="V968" s="60">
        <v>0</v>
      </c>
      <c r="W968" s="60">
        <v>0</v>
      </c>
      <c r="X968" s="60">
        <v>0</v>
      </c>
      <c r="Y968" s="60">
        <v>0</v>
      </c>
      <c r="Z968" s="60">
        <v>0</v>
      </c>
      <c r="AA968" s="60">
        <v>0</v>
      </c>
      <c r="AB968" s="60">
        <v>0</v>
      </c>
      <c r="AC968" s="60">
        <v>169.79</v>
      </c>
      <c r="AD968" s="60">
        <v>127.79</v>
      </c>
      <c r="AE968" s="60">
        <v>119.18</v>
      </c>
      <c r="AF968" s="60">
        <v>0</v>
      </c>
      <c r="AG968" s="60">
        <v>0</v>
      </c>
      <c r="AH968" s="60">
        <v>0</v>
      </c>
      <c r="AI968" s="60">
        <v>169.79</v>
      </c>
      <c r="AJ968" s="60">
        <v>127.79</v>
      </c>
      <c r="AK968" s="60">
        <v>119.18</v>
      </c>
      <c r="AL968" s="60">
        <v>0</v>
      </c>
      <c r="AM968" s="60">
        <v>0</v>
      </c>
      <c r="AN968" s="60">
        <v>0</v>
      </c>
      <c r="AO968" s="60">
        <v>169.79</v>
      </c>
      <c r="AP968" s="60">
        <v>127.79</v>
      </c>
      <c r="AQ968" s="60">
        <v>119.18</v>
      </c>
      <c r="AR968" s="61">
        <v>169.79</v>
      </c>
    </row>
    <row r="969" spans="1:44" x14ac:dyDescent="0.35">
      <c r="A969" s="49" t="str">
        <f t="shared" si="83"/>
        <v>37</v>
      </c>
      <c r="B969" s="27">
        <v>68130</v>
      </c>
      <c r="C969" s="25" t="str">
        <f>TEXT(139063,"0000000")</f>
        <v>0139063</v>
      </c>
      <c r="D969" s="27">
        <v>2039</v>
      </c>
      <c r="E969" s="25" t="s">
        <v>2130</v>
      </c>
      <c r="F969" s="25" t="s">
        <v>5</v>
      </c>
      <c r="G969" s="59" t="s">
        <v>2131</v>
      </c>
      <c r="H969" s="60">
        <v>0</v>
      </c>
      <c r="I969" s="60">
        <v>0</v>
      </c>
      <c r="J969" s="60">
        <v>0</v>
      </c>
      <c r="K969" s="60">
        <v>0</v>
      </c>
      <c r="L969" s="60">
        <v>0</v>
      </c>
      <c r="M969" s="60">
        <v>0</v>
      </c>
      <c r="N969" s="60">
        <v>0</v>
      </c>
      <c r="O969" s="60">
        <v>0</v>
      </c>
      <c r="P969" s="60">
        <v>0</v>
      </c>
      <c r="Q969" s="60">
        <v>0</v>
      </c>
      <c r="R969" s="60">
        <v>0</v>
      </c>
      <c r="S969" s="60">
        <v>0</v>
      </c>
      <c r="T969" s="60">
        <v>0</v>
      </c>
      <c r="U969" s="60">
        <v>0</v>
      </c>
      <c r="V969" s="60">
        <v>0</v>
      </c>
      <c r="W969" s="60">
        <v>0</v>
      </c>
      <c r="X969" s="60">
        <v>0</v>
      </c>
      <c r="Y969" s="60">
        <v>0</v>
      </c>
      <c r="Z969" s="60">
        <v>0</v>
      </c>
      <c r="AA969" s="60">
        <v>0</v>
      </c>
      <c r="AB969" s="60">
        <v>0</v>
      </c>
      <c r="AC969" s="60">
        <v>443.4</v>
      </c>
      <c r="AD969" s="60">
        <v>412</v>
      </c>
      <c r="AE969" s="60">
        <v>358.68</v>
      </c>
      <c r="AF969" s="60">
        <v>0</v>
      </c>
      <c r="AG969" s="60">
        <v>0</v>
      </c>
      <c r="AH969" s="60">
        <v>0</v>
      </c>
      <c r="AI969" s="60">
        <v>443.4</v>
      </c>
      <c r="AJ969" s="60">
        <v>412</v>
      </c>
      <c r="AK969" s="60">
        <v>358.68</v>
      </c>
      <c r="AL969" s="60">
        <v>0</v>
      </c>
      <c r="AM969" s="60">
        <v>0</v>
      </c>
      <c r="AN969" s="60">
        <v>0</v>
      </c>
      <c r="AO969" s="60">
        <v>443.4</v>
      </c>
      <c r="AP969" s="60">
        <v>412</v>
      </c>
      <c r="AQ969" s="60">
        <v>358.68</v>
      </c>
      <c r="AR969" s="61">
        <v>443.4</v>
      </c>
    </row>
    <row r="970" spans="1:44" x14ac:dyDescent="0.35">
      <c r="A970" s="49" t="str">
        <f t="shared" si="83"/>
        <v>37</v>
      </c>
      <c r="B970" s="27">
        <v>68163</v>
      </c>
      <c r="C970" s="25" t="str">
        <f>TEXT(137109,"0000000")</f>
        <v>0137109</v>
      </c>
      <c r="D970" s="27">
        <v>1934</v>
      </c>
      <c r="E970" s="25" t="s">
        <v>2138</v>
      </c>
      <c r="F970" s="25" t="s">
        <v>5</v>
      </c>
      <c r="G970" s="59" t="s">
        <v>2139</v>
      </c>
      <c r="H970" s="60">
        <v>0</v>
      </c>
      <c r="I970" s="60">
        <v>0</v>
      </c>
      <c r="J970" s="60">
        <v>0</v>
      </c>
      <c r="K970" s="60">
        <v>0</v>
      </c>
      <c r="L970" s="60">
        <v>0</v>
      </c>
      <c r="M970" s="60">
        <v>0</v>
      </c>
      <c r="N970" s="60">
        <v>0</v>
      </c>
      <c r="O970" s="60">
        <v>0</v>
      </c>
      <c r="P970" s="60">
        <v>0</v>
      </c>
      <c r="Q970" s="60">
        <v>0</v>
      </c>
      <c r="R970" s="60">
        <v>0</v>
      </c>
      <c r="S970" s="60">
        <v>0</v>
      </c>
      <c r="T970" s="60">
        <v>0</v>
      </c>
      <c r="U970" s="60">
        <v>0</v>
      </c>
      <c r="V970" s="60">
        <v>0</v>
      </c>
      <c r="W970" s="60">
        <v>0</v>
      </c>
      <c r="X970" s="60">
        <v>0</v>
      </c>
      <c r="Y970" s="60">
        <v>0</v>
      </c>
      <c r="Z970" s="60">
        <v>0</v>
      </c>
      <c r="AA970" s="60">
        <v>0</v>
      </c>
      <c r="AB970" s="60">
        <v>0</v>
      </c>
      <c r="AC970" s="60">
        <v>435.22</v>
      </c>
      <c r="AD970" s="60">
        <v>428.67</v>
      </c>
      <c r="AE970" s="60">
        <v>343.52</v>
      </c>
      <c r="AF970" s="60">
        <v>0</v>
      </c>
      <c r="AG970" s="60">
        <v>0</v>
      </c>
      <c r="AH970" s="60">
        <v>0</v>
      </c>
      <c r="AI970" s="60">
        <v>435.22</v>
      </c>
      <c r="AJ970" s="60">
        <v>428.67</v>
      </c>
      <c r="AK970" s="60">
        <v>343.52</v>
      </c>
      <c r="AL970" s="60">
        <v>0</v>
      </c>
      <c r="AM970" s="60">
        <v>0</v>
      </c>
      <c r="AN970" s="60">
        <v>0</v>
      </c>
      <c r="AO970" s="60">
        <v>435.22</v>
      </c>
      <c r="AP970" s="60">
        <v>428.67</v>
      </c>
      <c r="AQ970" s="60">
        <v>343.52</v>
      </c>
      <c r="AR970" s="61">
        <v>435.22</v>
      </c>
    </row>
    <row r="971" spans="1:44" x14ac:dyDescent="0.35">
      <c r="A971" s="49" t="str">
        <f t="shared" si="83"/>
        <v>37</v>
      </c>
      <c r="B971" s="27">
        <v>68163</v>
      </c>
      <c r="C971" s="25" t="str">
        <f>TEXT(138156,"0000000")</f>
        <v>0138156</v>
      </c>
      <c r="D971" s="27">
        <v>1992</v>
      </c>
      <c r="E971" s="25" t="s">
        <v>2140</v>
      </c>
      <c r="F971" s="25" t="s">
        <v>5</v>
      </c>
      <c r="G971" s="59" t="s">
        <v>2141</v>
      </c>
      <c r="H971" s="60">
        <v>0</v>
      </c>
      <c r="I971" s="60">
        <v>0</v>
      </c>
      <c r="J971" s="60">
        <v>0</v>
      </c>
      <c r="K971" s="60">
        <v>0</v>
      </c>
      <c r="L971" s="60">
        <v>0</v>
      </c>
      <c r="M971" s="60">
        <v>0</v>
      </c>
      <c r="N971" s="60">
        <v>0</v>
      </c>
      <c r="O971" s="60">
        <v>0</v>
      </c>
      <c r="P971" s="60">
        <v>0</v>
      </c>
      <c r="Q971" s="60">
        <v>0</v>
      </c>
      <c r="R971" s="60">
        <v>0</v>
      </c>
      <c r="S971" s="60">
        <v>0</v>
      </c>
      <c r="T971" s="60">
        <v>0</v>
      </c>
      <c r="U971" s="60">
        <v>0</v>
      </c>
      <c r="V971" s="60">
        <v>0</v>
      </c>
      <c r="W971" s="60">
        <v>0</v>
      </c>
      <c r="X971" s="60">
        <v>0</v>
      </c>
      <c r="Y971" s="60">
        <v>0</v>
      </c>
      <c r="Z971" s="60">
        <v>0</v>
      </c>
      <c r="AA971" s="60">
        <v>0</v>
      </c>
      <c r="AB971" s="60">
        <v>0</v>
      </c>
      <c r="AC971" s="60">
        <v>253</v>
      </c>
      <c r="AD971" s="60">
        <v>237.3</v>
      </c>
      <c r="AE971" s="60">
        <v>225.86</v>
      </c>
      <c r="AF971" s="60">
        <v>0</v>
      </c>
      <c r="AG971" s="60">
        <v>0</v>
      </c>
      <c r="AH971" s="60">
        <v>0</v>
      </c>
      <c r="AI971" s="60">
        <v>253</v>
      </c>
      <c r="AJ971" s="60">
        <v>237.3</v>
      </c>
      <c r="AK971" s="60">
        <v>225.86</v>
      </c>
      <c r="AL971" s="60">
        <v>0</v>
      </c>
      <c r="AM971" s="60">
        <v>0</v>
      </c>
      <c r="AN971" s="60">
        <v>0</v>
      </c>
      <c r="AO971" s="60">
        <v>253</v>
      </c>
      <c r="AP971" s="60">
        <v>237.3</v>
      </c>
      <c r="AQ971" s="60">
        <v>225.86</v>
      </c>
      <c r="AR971" s="61">
        <v>253</v>
      </c>
    </row>
    <row r="972" spans="1:44" x14ac:dyDescent="0.35">
      <c r="A972" s="49" t="str">
        <f>TEXT(1,"00")</f>
        <v>01</v>
      </c>
      <c r="B972" s="27">
        <v>61259</v>
      </c>
      <c r="C972" s="25" t="str">
        <f>TEXT(115592,"0000000")</f>
        <v>0115592</v>
      </c>
      <c r="D972" s="27">
        <v>1442</v>
      </c>
      <c r="E972" s="25" t="s">
        <v>106</v>
      </c>
      <c r="F972" s="25" t="s">
        <v>5</v>
      </c>
      <c r="G972" s="59" t="s">
        <v>107</v>
      </c>
      <c r="H972" s="60">
        <v>0</v>
      </c>
      <c r="I972" s="60">
        <v>0</v>
      </c>
      <c r="J972" s="60">
        <v>0</v>
      </c>
      <c r="K972" s="60">
        <v>0</v>
      </c>
      <c r="L972" s="60">
        <v>0</v>
      </c>
      <c r="M972" s="60">
        <v>0</v>
      </c>
      <c r="N972" s="60">
        <v>0</v>
      </c>
      <c r="O972" s="60">
        <v>0</v>
      </c>
      <c r="P972" s="60">
        <v>0</v>
      </c>
      <c r="Q972" s="60">
        <v>0</v>
      </c>
      <c r="R972" s="60">
        <v>0</v>
      </c>
      <c r="S972" s="60">
        <v>0</v>
      </c>
      <c r="T972" s="60">
        <v>0</v>
      </c>
      <c r="U972" s="60">
        <v>0</v>
      </c>
      <c r="V972" s="60">
        <v>0</v>
      </c>
      <c r="W972" s="60">
        <v>0</v>
      </c>
      <c r="X972" s="60">
        <v>0</v>
      </c>
      <c r="Y972" s="60">
        <v>0</v>
      </c>
      <c r="Z972" s="60">
        <v>0</v>
      </c>
      <c r="AA972" s="60">
        <v>0</v>
      </c>
      <c r="AB972" s="60">
        <v>0</v>
      </c>
      <c r="AC972" s="60">
        <v>327.92</v>
      </c>
      <c r="AD972" s="60">
        <v>337.74</v>
      </c>
      <c r="AE972" s="60">
        <v>328.72</v>
      </c>
      <c r="AF972" s="60">
        <v>0</v>
      </c>
      <c r="AG972" s="60">
        <v>0</v>
      </c>
      <c r="AH972" s="60">
        <v>0</v>
      </c>
      <c r="AI972" s="60">
        <v>327.92</v>
      </c>
      <c r="AJ972" s="60">
        <v>337.74</v>
      </c>
      <c r="AK972" s="60">
        <v>328.72</v>
      </c>
      <c r="AL972" s="60">
        <v>0</v>
      </c>
      <c r="AM972" s="60">
        <v>0</v>
      </c>
      <c r="AN972" s="60">
        <v>0</v>
      </c>
      <c r="AO972" s="60">
        <v>327.92</v>
      </c>
      <c r="AP972" s="60">
        <v>337.74</v>
      </c>
      <c r="AQ972" s="60">
        <v>328.72</v>
      </c>
      <c r="AR972" s="61">
        <v>337.74</v>
      </c>
    </row>
    <row r="973" spans="1:44" x14ac:dyDescent="0.35">
      <c r="A973" s="49" t="str">
        <f t="shared" ref="A973:A982" si="84">TEXT(37,"00")</f>
        <v>37</v>
      </c>
      <c r="B973" s="27">
        <v>68163</v>
      </c>
      <c r="C973" s="25" t="str">
        <f>TEXT(138628,"0000000")</f>
        <v>0138628</v>
      </c>
      <c r="D973" s="27">
        <v>2022</v>
      </c>
      <c r="E973" s="25" t="s">
        <v>2142</v>
      </c>
      <c r="F973" s="25" t="s">
        <v>5</v>
      </c>
      <c r="G973" s="59" t="s">
        <v>2143</v>
      </c>
      <c r="H973" s="60">
        <v>0</v>
      </c>
      <c r="I973" s="60">
        <v>0</v>
      </c>
      <c r="J973" s="60">
        <v>0</v>
      </c>
      <c r="K973" s="60">
        <v>0</v>
      </c>
      <c r="L973" s="60">
        <v>0</v>
      </c>
      <c r="M973" s="60">
        <v>0</v>
      </c>
      <c r="N973" s="60">
        <v>0</v>
      </c>
      <c r="O973" s="60">
        <v>0</v>
      </c>
      <c r="P973" s="60">
        <v>0</v>
      </c>
      <c r="Q973" s="60">
        <v>0</v>
      </c>
      <c r="R973" s="60">
        <v>0</v>
      </c>
      <c r="S973" s="60">
        <v>0</v>
      </c>
      <c r="T973" s="60">
        <v>0</v>
      </c>
      <c r="U973" s="60">
        <v>0</v>
      </c>
      <c r="V973" s="60">
        <v>0</v>
      </c>
      <c r="W973" s="60">
        <v>0</v>
      </c>
      <c r="X973" s="60">
        <v>0</v>
      </c>
      <c r="Y973" s="60">
        <v>0</v>
      </c>
      <c r="Z973" s="60">
        <v>0</v>
      </c>
      <c r="AA973" s="60">
        <v>0</v>
      </c>
      <c r="AB973" s="60">
        <v>0</v>
      </c>
      <c r="AC973" s="60">
        <v>121.42</v>
      </c>
      <c r="AD973" s="60">
        <v>135.85</v>
      </c>
      <c r="AE973" s="60">
        <v>172.71</v>
      </c>
      <c r="AF973" s="60">
        <v>0</v>
      </c>
      <c r="AG973" s="60">
        <v>0</v>
      </c>
      <c r="AH973" s="60">
        <v>0</v>
      </c>
      <c r="AI973" s="60">
        <v>121.42</v>
      </c>
      <c r="AJ973" s="60">
        <v>135.85</v>
      </c>
      <c r="AK973" s="60">
        <v>172.71</v>
      </c>
      <c r="AL973" s="60">
        <v>0</v>
      </c>
      <c r="AM973" s="60">
        <v>0</v>
      </c>
      <c r="AN973" s="60">
        <v>0</v>
      </c>
      <c r="AO973" s="60">
        <v>121.42</v>
      </c>
      <c r="AP973" s="60">
        <v>135.85</v>
      </c>
      <c r="AQ973" s="60">
        <v>172.71</v>
      </c>
      <c r="AR973" s="61">
        <v>172.71</v>
      </c>
    </row>
    <row r="974" spans="1:44" x14ac:dyDescent="0.35">
      <c r="A974" s="49" t="str">
        <f t="shared" si="84"/>
        <v>37</v>
      </c>
      <c r="B974" s="27">
        <v>68163</v>
      </c>
      <c r="C974" s="25" t="str">
        <f>TEXT(3731239,"0000000")</f>
        <v>3731239</v>
      </c>
      <c r="D974" s="26" t="s">
        <v>2146</v>
      </c>
      <c r="E974" s="25" t="s">
        <v>2144</v>
      </c>
      <c r="F974" s="25" t="s">
        <v>5</v>
      </c>
      <c r="G974" s="59" t="s">
        <v>2145</v>
      </c>
      <c r="H974" s="60">
        <v>0</v>
      </c>
      <c r="I974" s="60">
        <v>0</v>
      </c>
      <c r="J974" s="60">
        <v>0</v>
      </c>
      <c r="K974" s="60">
        <v>0</v>
      </c>
      <c r="L974" s="60">
        <v>0</v>
      </c>
      <c r="M974" s="60">
        <v>0</v>
      </c>
      <c r="N974" s="60">
        <v>0</v>
      </c>
      <c r="O974" s="60">
        <v>0</v>
      </c>
      <c r="P974" s="60">
        <v>0</v>
      </c>
      <c r="Q974" s="60">
        <v>0</v>
      </c>
      <c r="R974" s="60">
        <v>0</v>
      </c>
      <c r="S974" s="60">
        <v>0</v>
      </c>
      <c r="T974" s="60">
        <v>0</v>
      </c>
      <c r="U974" s="60">
        <v>0</v>
      </c>
      <c r="V974" s="60">
        <v>0</v>
      </c>
      <c r="W974" s="60">
        <v>0</v>
      </c>
      <c r="X974" s="60">
        <v>0</v>
      </c>
      <c r="Y974" s="60">
        <v>0</v>
      </c>
      <c r="Z974" s="60">
        <v>0</v>
      </c>
      <c r="AA974" s="60">
        <v>0</v>
      </c>
      <c r="AB974" s="60">
        <v>0</v>
      </c>
      <c r="AC974" s="60">
        <v>195.55</v>
      </c>
      <c r="AD974" s="60">
        <v>195.6</v>
      </c>
      <c r="AE974" s="60">
        <v>192.29</v>
      </c>
      <c r="AF974" s="60">
        <v>0</v>
      </c>
      <c r="AG974" s="60">
        <v>0</v>
      </c>
      <c r="AH974" s="60">
        <v>0</v>
      </c>
      <c r="AI974" s="60">
        <v>195.55</v>
      </c>
      <c r="AJ974" s="60">
        <v>195.6</v>
      </c>
      <c r="AK974" s="60">
        <v>192.29</v>
      </c>
      <c r="AL974" s="60">
        <v>0</v>
      </c>
      <c r="AM974" s="60">
        <v>0</v>
      </c>
      <c r="AN974" s="60">
        <v>0</v>
      </c>
      <c r="AO974" s="60">
        <v>195.55</v>
      </c>
      <c r="AP974" s="60">
        <v>195.6</v>
      </c>
      <c r="AQ974" s="60">
        <v>192.29</v>
      </c>
      <c r="AR974" s="61">
        <v>195.6</v>
      </c>
    </row>
    <row r="975" spans="1:44" x14ac:dyDescent="0.35">
      <c r="A975" s="49" t="str">
        <f t="shared" si="84"/>
        <v>37</v>
      </c>
      <c r="B975" s="27">
        <v>68213</v>
      </c>
      <c r="C975" s="25" t="str">
        <f>TEXT(127084,"0000000")</f>
        <v>0127084</v>
      </c>
      <c r="D975" s="27">
        <v>1454</v>
      </c>
      <c r="E975" s="25" t="s">
        <v>2159</v>
      </c>
      <c r="F975" s="25" t="s">
        <v>5</v>
      </c>
      <c r="G975" s="59" t="s">
        <v>2160</v>
      </c>
      <c r="H975" s="60">
        <v>0</v>
      </c>
      <c r="I975" s="60">
        <v>0</v>
      </c>
      <c r="J975" s="60">
        <v>0</v>
      </c>
      <c r="K975" s="60">
        <v>0</v>
      </c>
      <c r="L975" s="60">
        <v>0</v>
      </c>
      <c r="M975" s="60">
        <v>0</v>
      </c>
      <c r="N975" s="60">
        <v>0</v>
      </c>
      <c r="O975" s="60">
        <v>0</v>
      </c>
      <c r="P975" s="60">
        <v>0</v>
      </c>
      <c r="Q975" s="60">
        <v>0</v>
      </c>
      <c r="R975" s="60">
        <v>0</v>
      </c>
      <c r="S975" s="60">
        <v>0</v>
      </c>
      <c r="T975" s="60">
        <v>0</v>
      </c>
      <c r="U975" s="60">
        <v>0</v>
      </c>
      <c r="V975" s="60">
        <v>0</v>
      </c>
      <c r="W975" s="60">
        <v>0</v>
      </c>
      <c r="X975" s="60">
        <v>0</v>
      </c>
      <c r="Y975" s="60">
        <v>0</v>
      </c>
      <c r="Z975" s="60">
        <v>0</v>
      </c>
      <c r="AA975" s="60">
        <v>0</v>
      </c>
      <c r="AB975" s="60">
        <v>0</v>
      </c>
      <c r="AC975" s="60">
        <v>791.52</v>
      </c>
      <c r="AD975" s="60">
        <v>796.95</v>
      </c>
      <c r="AE975" s="60">
        <v>850.99</v>
      </c>
      <c r="AF975" s="60">
        <v>0</v>
      </c>
      <c r="AG975" s="60">
        <v>0</v>
      </c>
      <c r="AH975" s="60">
        <v>0</v>
      </c>
      <c r="AI975" s="60">
        <v>791.52</v>
      </c>
      <c r="AJ975" s="60">
        <v>796.95</v>
      </c>
      <c r="AK975" s="60">
        <v>850.99</v>
      </c>
      <c r="AL975" s="60">
        <v>0</v>
      </c>
      <c r="AM975" s="60">
        <v>0</v>
      </c>
      <c r="AN975" s="60">
        <v>0</v>
      </c>
      <c r="AO975" s="60">
        <v>791.52</v>
      </c>
      <c r="AP975" s="60">
        <v>796.95</v>
      </c>
      <c r="AQ975" s="60">
        <v>850.99</v>
      </c>
      <c r="AR975" s="61">
        <v>850.99</v>
      </c>
    </row>
    <row r="976" spans="1:44" x14ac:dyDescent="0.35">
      <c r="A976" s="49" t="str">
        <f t="shared" si="84"/>
        <v>37</v>
      </c>
      <c r="B976" s="27">
        <v>68213</v>
      </c>
      <c r="C976" s="25" t="str">
        <f>TEXT(136978,"0000000")</f>
        <v>0136978</v>
      </c>
      <c r="D976" s="27">
        <v>1924</v>
      </c>
      <c r="E976" s="25" t="s">
        <v>2163</v>
      </c>
      <c r="F976" s="25" t="s">
        <v>5</v>
      </c>
      <c r="G976" s="59" t="s">
        <v>2164</v>
      </c>
      <c r="H976" s="60">
        <v>0</v>
      </c>
      <c r="I976" s="60">
        <v>0</v>
      </c>
      <c r="J976" s="60">
        <v>0</v>
      </c>
      <c r="K976" s="60">
        <v>0</v>
      </c>
      <c r="L976" s="60">
        <v>0</v>
      </c>
      <c r="M976" s="60">
        <v>0</v>
      </c>
      <c r="N976" s="60">
        <v>0</v>
      </c>
      <c r="O976" s="60">
        <v>0</v>
      </c>
      <c r="P976" s="60">
        <v>0</v>
      </c>
      <c r="Q976" s="60">
        <v>0</v>
      </c>
      <c r="R976" s="60">
        <v>0</v>
      </c>
      <c r="S976" s="60">
        <v>0</v>
      </c>
      <c r="T976" s="60">
        <v>0</v>
      </c>
      <c r="U976" s="60">
        <v>0</v>
      </c>
      <c r="V976" s="60">
        <v>0</v>
      </c>
      <c r="W976" s="60">
        <v>0</v>
      </c>
      <c r="X976" s="60">
        <v>0</v>
      </c>
      <c r="Y976" s="60">
        <v>0</v>
      </c>
      <c r="Z976" s="60">
        <v>0</v>
      </c>
      <c r="AA976" s="60">
        <v>0</v>
      </c>
      <c r="AB976" s="60">
        <v>0</v>
      </c>
      <c r="AC976" s="60">
        <v>977.19</v>
      </c>
      <c r="AD976" s="60">
        <v>929.66</v>
      </c>
      <c r="AE976" s="60">
        <v>721.23</v>
      </c>
      <c r="AF976" s="60">
        <v>0</v>
      </c>
      <c r="AG976" s="60">
        <v>0</v>
      </c>
      <c r="AH976" s="60">
        <v>0</v>
      </c>
      <c r="AI976" s="60">
        <v>977.19</v>
      </c>
      <c r="AJ976" s="60">
        <v>929.66</v>
      </c>
      <c r="AK976" s="60">
        <v>721.23</v>
      </c>
      <c r="AL976" s="60">
        <v>0</v>
      </c>
      <c r="AM976" s="60">
        <v>0</v>
      </c>
      <c r="AN976" s="60">
        <v>0</v>
      </c>
      <c r="AO976" s="60">
        <v>977.19</v>
      </c>
      <c r="AP976" s="60">
        <v>929.66</v>
      </c>
      <c r="AQ976" s="60">
        <v>721.23</v>
      </c>
      <c r="AR976" s="61">
        <v>977.19</v>
      </c>
    </row>
    <row r="977" spans="1:44" x14ac:dyDescent="0.35">
      <c r="A977" s="49" t="str">
        <f t="shared" si="84"/>
        <v>37</v>
      </c>
      <c r="B977" s="27">
        <v>68213</v>
      </c>
      <c r="C977" s="25" t="str">
        <f>TEXT(138636,"0000000")</f>
        <v>0138636</v>
      </c>
      <c r="D977" s="27">
        <v>2021</v>
      </c>
      <c r="E977" s="25" t="s">
        <v>2165</v>
      </c>
      <c r="F977" s="25" t="s">
        <v>5</v>
      </c>
      <c r="G977" s="59" t="s">
        <v>2166</v>
      </c>
      <c r="H977" s="60">
        <v>0</v>
      </c>
      <c r="I977" s="60">
        <v>0</v>
      </c>
      <c r="J977" s="60">
        <v>0</v>
      </c>
      <c r="K977" s="60">
        <v>0</v>
      </c>
      <c r="L977" s="60">
        <v>0</v>
      </c>
      <c r="M977" s="60">
        <v>0</v>
      </c>
      <c r="N977" s="60">
        <v>0</v>
      </c>
      <c r="O977" s="60">
        <v>0</v>
      </c>
      <c r="P977" s="60">
        <v>0</v>
      </c>
      <c r="Q977" s="60">
        <v>0</v>
      </c>
      <c r="R977" s="60">
        <v>0</v>
      </c>
      <c r="S977" s="60">
        <v>0</v>
      </c>
      <c r="T977" s="60">
        <v>0</v>
      </c>
      <c r="U977" s="60">
        <v>0</v>
      </c>
      <c r="V977" s="60">
        <v>0</v>
      </c>
      <c r="W977" s="60">
        <v>0</v>
      </c>
      <c r="X977" s="60">
        <v>0</v>
      </c>
      <c r="Y977" s="60">
        <v>0</v>
      </c>
      <c r="Z977" s="60">
        <v>0</v>
      </c>
      <c r="AA977" s="60">
        <v>0</v>
      </c>
      <c r="AB977" s="60">
        <v>0</v>
      </c>
      <c r="AC977" s="60">
        <v>158</v>
      </c>
      <c r="AD977" s="60">
        <v>145.29</v>
      </c>
      <c r="AE977" s="60">
        <v>181.76</v>
      </c>
      <c r="AF977" s="60">
        <v>0</v>
      </c>
      <c r="AG977" s="60">
        <v>0</v>
      </c>
      <c r="AH977" s="60">
        <v>0</v>
      </c>
      <c r="AI977" s="60">
        <v>158</v>
      </c>
      <c r="AJ977" s="60">
        <v>145.29</v>
      </c>
      <c r="AK977" s="60">
        <v>181.76</v>
      </c>
      <c r="AL977" s="60">
        <v>0</v>
      </c>
      <c r="AM977" s="60">
        <v>0</v>
      </c>
      <c r="AN977" s="60">
        <v>0</v>
      </c>
      <c r="AO977" s="60">
        <v>158</v>
      </c>
      <c r="AP977" s="60">
        <v>145.29</v>
      </c>
      <c r="AQ977" s="60">
        <v>181.76</v>
      </c>
      <c r="AR977" s="61">
        <v>181.76</v>
      </c>
    </row>
    <row r="978" spans="1:44" x14ac:dyDescent="0.35">
      <c r="A978" s="49" t="str">
        <f t="shared" si="84"/>
        <v>37</v>
      </c>
      <c r="B978" s="27">
        <v>68338</v>
      </c>
      <c r="C978" s="25" t="str">
        <f>TEXT(101204,"0000000")</f>
        <v>0101204</v>
      </c>
      <c r="D978" s="26" t="s">
        <v>2179</v>
      </c>
      <c r="E978" s="25" t="s">
        <v>2177</v>
      </c>
      <c r="F978" s="25" t="s">
        <v>5</v>
      </c>
      <c r="G978" s="59" t="s">
        <v>2178</v>
      </c>
      <c r="H978" s="60">
        <v>0</v>
      </c>
      <c r="I978" s="60">
        <v>0</v>
      </c>
      <c r="J978" s="60">
        <v>0</v>
      </c>
      <c r="K978" s="60">
        <v>0</v>
      </c>
      <c r="L978" s="60">
        <v>0</v>
      </c>
      <c r="M978" s="60">
        <v>0</v>
      </c>
      <c r="N978" s="60">
        <v>0</v>
      </c>
      <c r="O978" s="60">
        <v>0</v>
      </c>
      <c r="P978" s="60">
        <v>0</v>
      </c>
      <c r="Q978" s="60">
        <v>0</v>
      </c>
      <c r="R978" s="60">
        <v>0</v>
      </c>
      <c r="S978" s="60">
        <v>0</v>
      </c>
      <c r="T978" s="60">
        <v>0</v>
      </c>
      <c r="U978" s="60">
        <v>0</v>
      </c>
      <c r="V978" s="60">
        <v>0</v>
      </c>
      <c r="W978" s="60">
        <v>0</v>
      </c>
      <c r="X978" s="60">
        <v>0</v>
      </c>
      <c r="Y978" s="60">
        <v>0</v>
      </c>
      <c r="Z978" s="60">
        <v>0</v>
      </c>
      <c r="AA978" s="60">
        <v>0</v>
      </c>
      <c r="AB978" s="60">
        <v>0</v>
      </c>
      <c r="AC978" s="60">
        <v>303.82</v>
      </c>
      <c r="AD978" s="60">
        <v>301.89999999999998</v>
      </c>
      <c r="AE978" s="60">
        <v>289.94</v>
      </c>
      <c r="AF978" s="60">
        <v>0</v>
      </c>
      <c r="AG978" s="60">
        <v>0</v>
      </c>
      <c r="AH978" s="60">
        <v>0</v>
      </c>
      <c r="AI978" s="60">
        <v>303.82</v>
      </c>
      <c r="AJ978" s="60">
        <v>301.89999999999998</v>
      </c>
      <c r="AK978" s="60">
        <v>289.94</v>
      </c>
      <c r="AL978" s="60">
        <v>0</v>
      </c>
      <c r="AM978" s="60">
        <v>0</v>
      </c>
      <c r="AN978" s="60">
        <v>0</v>
      </c>
      <c r="AO978" s="60">
        <v>303.82</v>
      </c>
      <c r="AP978" s="60">
        <v>301.89999999999998</v>
      </c>
      <c r="AQ978" s="60">
        <v>289.94</v>
      </c>
      <c r="AR978" s="61">
        <v>303.82</v>
      </c>
    </row>
    <row r="979" spans="1:44" x14ac:dyDescent="0.35">
      <c r="A979" s="49" t="str">
        <f t="shared" si="84"/>
        <v>37</v>
      </c>
      <c r="B979" s="27">
        <v>68338</v>
      </c>
      <c r="C979" s="25" t="str">
        <f>TEXT(101345,"0000000")</f>
        <v>0101345</v>
      </c>
      <c r="D979" s="26" t="s">
        <v>2182</v>
      </c>
      <c r="E979" s="25" t="s">
        <v>2180</v>
      </c>
      <c r="F979" s="25" t="s">
        <v>5</v>
      </c>
      <c r="G979" s="59" t="s">
        <v>2181</v>
      </c>
      <c r="H979" s="60">
        <v>0</v>
      </c>
      <c r="I979" s="60">
        <v>0</v>
      </c>
      <c r="J979" s="60">
        <v>0</v>
      </c>
      <c r="K979" s="60">
        <v>0</v>
      </c>
      <c r="L979" s="60">
        <v>0</v>
      </c>
      <c r="M979" s="60">
        <v>0</v>
      </c>
      <c r="N979" s="60">
        <v>0</v>
      </c>
      <c r="O979" s="60">
        <v>0</v>
      </c>
      <c r="P979" s="60">
        <v>0</v>
      </c>
      <c r="Q979" s="60">
        <v>0</v>
      </c>
      <c r="R979" s="60">
        <v>0</v>
      </c>
      <c r="S979" s="60">
        <v>0</v>
      </c>
      <c r="T979" s="60">
        <v>0</v>
      </c>
      <c r="U979" s="60">
        <v>0</v>
      </c>
      <c r="V979" s="60">
        <v>0</v>
      </c>
      <c r="W979" s="60">
        <v>0</v>
      </c>
      <c r="X979" s="60">
        <v>0</v>
      </c>
      <c r="Y979" s="60">
        <v>0</v>
      </c>
      <c r="Z979" s="60">
        <v>0</v>
      </c>
      <c r="AA979" s="60">
        <v>0</v>
      </c>
      <c r="AB979" s="60">
        <v>0</v>
      </c>
      <c r="AC979" s="60">
        <v>282.89</v>
      </c>
      <c r="AD979" s="60">
        <v>304.8</v>
      </c>
      <c r="AE979" s="60">
        <v>310.45</v>
      </c>
      <c r="AF979" s="60">
        <v>0</v>
      </c>
      <c r="AG979" s="60">
        <v>0</v>
      </c>
      <c r="AH979" s="60">
        <v>0</v>
      </c>
      <c r="AI979" s="60">
        <v>282.89</v>
      </c>
      <c r="AJ979" s="60">
        <v>304.8</v>
      </c>
      <c r="AK979" s="60">
        <v>310.45</v>
      </c>
      <c r="AL979" s="60">
        <v>0</v>
      </c>
      <c r="AM979" s="60">
        <v>0</v>
      </c>
      <c r="AN979" s="60">
        <v>0</v>
      </c>
      <c r="AO979" s="60">
        <v>282.89</v>
      </c>
      <c r="AP979" s="60">
        <v>304.8</v>
      </c>
      <c r="AQ979" s="60">
        <v>310.45</v>
      </c>
      <c r="AR979" s="61">
        <v>310.45</v>
      </c>
    </row>
    <row r="980" spans="1:44" x14ac:dyDescent="0.35">
      <c r="A980" s="49" t="str">
        <f t="shared" si="84"/>
        <v>37</v>
      </c>
      <c r="B980" s="27">
        <v>68338</v>
      </c>
      <c r="C980" s="25" t="str">
        <f>TEXT(106732,"0000000")</f>
        <v>0106732</v>
      </c>
      <c r="D980" s="26" t="s">
        <v>2185</v>
      </c>
      <c r="E980" s="25" t="s">
        <v>2183</v>
      </c>
      <c r="F980" s="25" t="s">
        <v>5</v>
      </c>
      <c r="G980" s="59" t="s">
        <v>2184</v>
      </c>
      <c r="H980" s="60">
        <v>0</v>
      </c>
      <c r="I980" s="60">
        <v>0</v>
      </c>
      <c r="J980" s="60">
        <v>0</v>
      </c>
      <c r="K980" s="60">
        <v>0</v>
      </c>
      <c r="L980" s="60">
        <v>0</v>
      </c>
      <c r="M980" s="60">
        <v>0</v>
      </c>
      <c r="N980" s="60">
        <v>0</v>
      </c>
      <c r="O980" s="60">
        <v>0</v>
      </c>
      <c r="P980" s="60">
        <v>0</v>
      </c>
      <c r="Q980" s="60">
        <v>0</v>
      </c>
      <c r="R980" s="60">
        <v>0</v>
      </c>
      <c r="S980" s="60">
        <v>0</v>
      </c>
      <c r="T980" s="60">
        <v>0</v>
      </c>
      <c r="U980" s="60">
        <v>0</v>
      </c>
      <c r="V980" s="60">
        <v>0</v>
      </c>
      <c r="W980" s="60">
        <v>0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60">
        <v>355.44</v>
      </c>
      <c r="AD980" s="60">
        <v>362.51</v>
      </c>
      <c r="AE980" s="60">
        <v>364.87</v>
      </c>
      <c r="AF980" s="60">
        <v>0</v>
      </c>
      <c r="AG980" s="60">
        <v>0</v>
      </c>
      <c r="AH980" s="60">
        <v>0</v>
      </c>
      <c r="AI980" s="60">
        <v>355.44</v>
      </c>
      <c r="AJ980" s="60">
        <v>362.51</v>
      </c>
      <c r="AK980" s="60">
        <v>364.87</v>
      </c>
      <c r="AL980" s="60">
        <v>0</v>
      </c>
      <c r="AM980" s="60">
        <v>0</v>
      </c>
      <c r="AN980" s="60">
        <v>0</v>
      </c>
      <c r="AO980" s="60">
        <v>355.44</v>
      </c>
      <c r="AP980" s="60">
        <v>362.51</v>
      </c>
      <c r="AQ980" s="60">
        <v>364.87</v>
      </c>
      <c r="AR980" s="61">
        <v>364.87</v>
      </c>
    </row>
    <row r="981" spans="1:44" x14ac:dyDescent="0.35">
      <c r="A981" s="49" t="str">
        <f t="shared" si="84"/>
        <v>37</v>
      </c>
      <c r="B981" s="27">
        <v>68338</v>
      </c>
      <c r="C981" s="25" t="str">
        <f>TEXT(106799,"0000000")</f>
        <v>0106799</v>
      </c>
      <c r="D981" s="26" t="s">
        <v>2188</v>
      </c>
      <c r="E981" s="25" t="s">
        <v>2186</v>
      </c>
      <c r="F981" s="25" t="s">
        <v>5</v>
      </c>
      <c r="G981" s="59" t="s">
        <v>2187</v>
      </c>
      <c r="H981" s="60">
        <v>0</v>
      </c>
      <c r="I981" s="60">
        <v>0</v>
      </c>
      <c r="J981" s="60">
        <v>0</v>
      </c>
      <c r="K981" s="60">
        <v>0</v>
      </c>
      <c r="L981" s="60">
        <v>0</v>
      </c>
      <c r="M981" s="60">
        <v>0</v>
      </c>
      <c r="N981" s="60">
        <v>0</v>
      </c>
      <c r="O981" s="60">
        <v>0</v>
      </c>
      <c r="P981" s="60">
        <v>0</v>
      </c>
      <c r="Q981" s="60">
        <v>0</v>
      </c>
      <c r="R981" s="60">
        <v>0</v>
      </c>
      <c r="S981" s="60">
        <v>0</v>
      </c>
      <c r="T981" s="60">
        <v>0</v>
      </c>
      <c r="U981" s="60">
        <v>0</v>
      </c>
      <c r="V981" s="60">
        <v>0</v>
      </c>
      <c r="W981" s="60">
        <v>0</v>
      </c>
      <c r="X981" s="60">
        <v>0</v>
      </c>
      <c r="Y981" s="60">
        <v>0</v>
      </c>
      <c r="Z981" s="60">
        <v>0</v>
      </c>
      <c r="AA981" s="60">
        <v>0</v>
      </c>
      <c r="AB981" s="60">
        <v>0</v>
      </c>
      <c r="AC981" s="60">
        <v>188.09</v>
      </c>
      <c r="AD981" s="60">
        <v>167.88</v>
      </c>
      <c r="AE981" s="60">
        <v>169.45</v>
      </c>
      <c r="AF981" s="60">
        <v>0</v>
      </c>
      <c r="AG981" s="60">
        <v>0</v>
      </c>
      <c r="AH981" s="60">
        <v>0</v>
      </c>
      <c r="AI981" s="60">
        <v>188.09</v>
      </c>
      <c r="AJ981" s="60">
        <v>167.88</v>
      </c>
      <c r="AK981" s="60">
        <v>169.45</v>
      </c>
      <c r="AL981" s="60">
        <v>0</v>
      </c>
      <c r="AM981" s="60">
        <v>0</v>
      </c>
      <c r="AN981" s="60">
        <v>0</v>
      </c>
      <c r="AO981" s="60">
        <v>188.09</v>
      </c>
      <c r="AP981" s="60">
        <v>167.88</v>
      </c>
      <c r="AQ981" s="60">
        <v>169.45</v>
      </c>
      <c r="AR981" s="61">
        <v>188.09</v>
      </c>
    </row>
    <row r="982" spans="1:44" x14ac:dyDescent="0.35">
      <c r="A982" s="49" t="str">
        <f t="shared" si="84"/>
        <v>37</v>
      </c>
      <c r="B982" s="27">
        <v>68338</v>
      </c>
      <c r="C982" s="25" t="str">
        <f>TEXT(107573,"0000000")</f>
        <v>0107573</v>
      </c>
      <c r="D982" s="26" t="s">
        <v>2191</v>
      </c>
      <c r="E982" s="25" t="s">
        <v>2189</v>
      </c>
      <c r="F982" s="25" t="s">
        <v>5</v>
      </c>
      <c r="G982" s="59" t="s">
        <v>2190</v>
      </c>
      <c r="H982" s="60">
        <v>0</v>
      </c>
      <c r="I982" s="60">
        <v>0</v>
      </c>
      <c r="J982" s="60">
        <v>0</v>
      </c>
      <c r="K982" s="60">
        <v>0</v>
      </c>
      <c r="L982" s="60">
        <v>0</v>
      </c>
      <c r="M982" s="60">
        <v>0</v>
      </c>
      <c r="N982" s="60">
        <v>0</v>
      </c>
      <c r="O982" s="60">
        <v>0</v>
      </c>
      <c r="P982" s="60">
        <v>0</v>
      </c>
      <c r="Q982" s="60">
        <v>0</v>
      </c>
      <c r="R982" s="60">
        <v>0</v>
      </c>
      <c r="S982" s="60">
        <v>0</v>
      </c>
      <c r="T982" s="60">
        <v>0</v>
      </c>
      <c r="U982" s="60">
        <v>0</v>
      </c>
      <c r="V982" s="60">
        <v>0</v>
      </c>
      <c r="W982" s="60">
        <v>0</v>
      </c>
      <c r="X982" s="60">
        <v>0</v>
      </c>
      <c r="Y982" s="60">
        <v>0</v>
      </c>
      <c r="Z982" s="60">
        <v>0</v>
      </c>
      <c r="AA982" s="60">
        <v>0</v>
      </c>
      <c r="AB982" s="60">
        <v>0</v>
      </c>
      <c r="AC982" s="60">
        <v>311.08</v>
      </c>
      <c r="AD982" s="60">
        <v>310.89999999999998</v>
      </c>
      <c r="AE982" s="60">
        <v>308.23</v>
      </c>
      <c r="AF982" s="60">
        <v>0</v>
      </c>
      <c r="AG982" s="60">
        <v>0</v>
      </c>
      <c r="AH982" s="60">
        <v>0</v>
      </c>
      <c r="AI982" s="60">
        <v>311.08</v>
      </c>
      <c r="AJ982" s="60">
        <v>310.89999999999998</v>
      </c>
      <c r="AK982" s="60">
        <v>308.23</v>
      </c>
      <c r="AL982" s="60">
        <v>0</v>
      </c>
      <c r="AM982" s="60">
        <v>0</v>
      </c>
      <c r="AN982" s="60">
        <v>0</v>
      </c>
      <c r="AO982" s="60">
        <v>311.08</v>
      </c>
      <c r="AP982" s="60">
        <v>310.89999999999998</v>
      </c>
      <c r="AQ982" s="60">
        <v>308.23</v>
      </c>
      <c r="AR982" s="61">
        <v>311.08</v>
      </c>
    </row>
    <row r="983" spans="1:44" ht="31" x14ac:dyDescent="0.35">
      <c r="A983" s="49" t="str">
        <f>TEXT(1,"00")</f>
        <v>01</v>
      </c>
      <c r="B983" s="27">
        <v>61259</v>
      </c>
      <c r="C983" s="25" t="str">
        <f>TEXT(118224,"0000000")</f>
        <v>0118224</v>
      </c>
      <c r="D983" s="27">
        <v>1023</v>
      </c>
      <c r="E983" s="25" t="s">
        <v>108</v>
      </c>
      <c r="F983" s="25" t="s">
        <v>5</v>
      </c>
      <c r="G983" s="59" t="s">
        <v>109</v>
      </c>
      <c r="H983" s="60">
        <v>0</v>
      </c>
      <c r="I983" s="60">
        <v>0</v>
      </c>
      <c r="J983" s="60">
        <v>0</v>
      </c>
      <c r="K983" s="60">
        <v>0</v>
      </c>
      <c r="L983" s="60">
        <v>0</v>
      </c>
      <c r="M983" s="60">
        <v>0</v>
      </c>
      <c r="N983" s="60">
        <v>0</v>
      </c>
      <c r="O983" s="60">
        <v>0</v>
      </c>
      <c r="P983" s="60">
        <v>0</v>
      </c>
      <c r="Q983" s="60">
        <v>0</v>
      </c>
      <c r="R983" s="60">
        <v>0</v>
      </c>
      <c r="S983" s="60">
        <v>0</v>
      </c>
      <c r="T983" s="60">
        <v>0</v>
      </c>
      <c r="U983" s="60">
        <v>0</v>
      </c>
      <c r="V983" s="60">
        <v>0</v>
      </c>
      <c r="W983" s="60">
        <v>0</v>
      </c>
      <c r="X983" s="60">
        <v>0</v>
      </c>
      <c r="Y983" s="60">
        <v>0</v>
      </c>
      <c r="Z983" s="60">
        <v>0</v>
      </c>
      <c r="AA983" s="60">
        <v>0</v>
      </c>
      <c r="AB983" s="60">
        <v>0</v>
      </c>
      <c r="AC983" s="60">
        <v>395.15</v>
      </c>
      <c r="AD983" s="60">
        <v>398.33</v>
      </c>
      <c r="AE983" s="60">
        <v>469.35</v>
      </c>
      <c r="AF983" s="60">
        <v>0</v>
      </c>
      <c r="AG983" s="60">
        <v>0</v>
      </c>
      <c r="AH983" s="60">
        <v>0</v>
      </c>
      <c r="AI983" s="60">
        <v>395.15</v>
      </c>
      <c r="AJ983" s="60">
        <v>398.33</v>
      </c>
      <c r="AK983" s="60">
        <v>469.35</v>
      </c>
      <c r="AL983" s="60">
        <v>0</v>
      </c>
      <c r="AM983" s="60">
        <v>0</v>
      </c>
      <c r="AN983" s="60">
        <v>0</v>
      </c>
      <c r="AO983" s="60">
        <v>395.15</v>
      </c>
      <c r="AP983" s="60">
        <v>398.33</v>
      </c>
      <c r="AQ983" s="60">
        <v>469.35</v>
      </c>
      <c r="AR983" s="61">
        <v>469.35</v>
      </c>
    </row>
    <row r="984" spans="1:44" x14ac:dyDescent="0.35">
      <c r="A984" s="49" t="str">
        <f t="shared" ref="A984:A993" si="85">TEXT(37,"00")</f>
        <v>37</v>
      </c>
      <c r="B984" s="27">
        <v>68338</v>
      </c>
      <c r="C984" s="25" t="str">
        <f>TEXT(108787,"0000000")</f>
        <v>0108787</v>
      </c>
      <c r="D984" s="26" t="s">
        <v>2194</v>
      </c>
      <c r="E984" s="25" t="s">
        <v>2192</v>
      </c>
      <c r="F984" s="25" t="s">
        <v>5</v>
      </c>
      <c r="G984" s="59" t="s">
        <v>2193</v>
      </c>
      <c r="H984" s="60">
        <v>0</v>
      </c>
      <c r="I984" s="60">
        <v>0</v>
      </c>
      <c r="J984" s="60">
        <v>0</v>
      </c>
      <c r="K984" s="60">
        <v>0</v>
      </c>
      <c r="L984" s="60">
        <v>0</v>
      </c>
      <c r="M984" s="60">
        <v>0</v>
      </c>
      <c r="N984" s="60">
        <v>0</v>
      </c>
      <c r="O984" s="60">
        <v>0</v>
      </c>
      <c r="P984" s="60">
        <v>0</v>
      </c>
      <c r="Q984" s="60">
        <v>0</v>
      </c>
      <c r="R984" s="60">
        <v>0</v>
      </c>
      <c r="S984" s="60">
        <v>0</v>
      </c>
      <c r="T984" s="60">
        <v>0</v>
      </c>
      <c r="U984" s="60">
        <v>0</v>
      </c>
      <c r="V984" s="60">
        <v>0</v>
      </c>
      <c r="W984" s="60">
        <v>0</v>
      </c>
      <c r="X984" s="60">
        <v>0</v>
      </c>
      <c r="Y984" s="60">
        <v>0</v>
      </c>
      <c r="Z984" s="60">
        <v>0</v>
      </c>
      <c r="AA984" s="60">
        <v>0</v>
      </c>
      <c r="AB984" s="60">
        <v>0</v>
      </c>
      <c r="AC984" s="60">
        <v>348.8</v>
      </c>
      <c r="AD984" s="60">
        <v>352.98</v>
      </c>
      <c r="AE984" s="60">
        <v>353.34</v>
      </c>
      <c r="AF984" s="60">
        <v>0</v>
      </c>
      <c r="AG984" s="60">
        <v>0</v>
      </c>
      <c r="AH984" s="60">
        <v>0</v>
      </c>
      <c r="AI984" s="60">
        <v>348.8</v>
      </c>
      <c r="AJ984" s="60">
        <v>352.98</v>
      </c>
      <c r="AK984" s="60">
        <v>353.34</v>
      </c>
      <c r="AL984" s="60">
        <v>0</v>
      </c>
      <c r="AM984" s="60">
        <v>0</v>
      </c>
      <c r="AN984" s="60">
        <v>0</v>
      </c>
      <c r="AO984" s="60">
        <v>348.8</v>
      </c>
      <c r="AP984" s="60">
        <v>352.98</v>
      </c>
      <c r="AQ984" s="60">
        <v>353.34</v>
      </c>
      <c r="AR984" s="61">
        <v>353.34</v>
      </c>
    </row>
    <row r="985" spans="1:44" x14ac:dyDescent="0.35">
      <c r="A985" s="49" t="str">
        <f t="shared" si="85"/>
        <v>37</v>
      </c>
      <c r="B985" s="27">
        <v>68338</v>
      </c>
      <c r="C985" s="25" t="str">
        <f>TEXT(109033,"0000000")</f>
        <v>0109033</v>
      </c>
      <c r="D985" s="26" t="s">
        <v>2197</v>
      </c>
      <c r="E985" s="25" t="s">
        <v>2195</v>
      </c>
      <c r="F985" s="25" t="s">
        <v>5</v>
      </c>
      <c r="G985" s="59" t="s">
        <v>2196</v>
      </c>
      <c r="H985" s="60">
        <v>0</v>
      </c>
      <c r="I985" s="60">
        <v>0</v>
      </c>
      <c r="J985" s="60">
        <v>0</v>
      </c>
      <c r="K985" s="60">
        <v>0</v>
      </c>
      <c r="L985" s="60">
        <v>0</v>
      </c>
      <c r="M985" s="60">
        <v>0</v>
      </c>
      <c r="N985" s="60">
        <v>0</v>
      </c>
      <c r="O985" s="60">
        <v>0</v>
      </c>
      <c r="P985" s="60">
        <v>0</v>
      </c>
      <c r="Q985" s="60">
        <v>0</v>
      </c>
      <c r="R985" s="60">
        <v>0</v>
      </c>
      <c r="S985" s="60">
        <v>0</v>
      </c>
      <c r="T985" s="60">
        <v>0</v>
      </c>
      <c r="U985" s="60">
        <v>0</v>
      </c>
      <c r="V985" s="60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0</v>
      </c>
      <c r="AC985" s="60">
        <v>148.41</v>
      </c>
      <c r="AD985" s="60">
        <v>166.37</v>
      </c>
      <c r="AE985" s="60">
        <v>212.26</v>
      </c>
      <c r="AF985" s="60">
        <v>0</v>
      </c>
      <c r="AG985" s="60">
        <v>0</v>
      </c>
      <c r="AH985" s="60">
        <v>0</v>
      </c>
      <c r="AI985" s="60">
        <v>148.41</v>
      </c>
      <c r="AJ985" s="60">
        <v>166.37</v>
      </c>
      <c r="AK985" s="60">
        <v>212.26</v>
      </c>
      <c r="AL985" s="60">
        <v>0</v>
      </c>
      <c r="AM985" s="60">
        <v>0</v>
      </c>
      <c r="AN985" s="60">
        <v>0</v>
      </c>
      <c r="AO985" s="60">
        <v>148.41</v>
      </c>
      <c r="AP985" s="60">
        <v>166.37</v>
      </c>
      <c r="AQ985" s="60">
        <v>212.26</v>
      </c>
      <c r="AR985" s="61">
        <v>212.26</v>
      </c>
    </row>
    <row r="986" spans="1:44" x14ac:dyDescent="0.35">
      <c r="A986" s="49" t="str">
        <f t="shared" si="85"/>
        <v>37</v>
      </c>
      <c r="B986" s="27">
        <v>68338</v>
      </c>
      <c r="C986" s="25" t="str">
        <f>TEXT(109157,"0000000")</f>
        <v>0109157</v>
      </c>
      <c r="D986" s="26" t="s">
        <v>2200</v>
      </c>
      <c r="E986" s="25" t="s">
        <v>2198</v>
      </c>
      <c r="F986" s="25" t="s">
        <v>5</v>
      </c>
      <c r="G986" s="59" t="s">
        <v>2199</v>
      </c>
      <c r="H986" s="60">
        <v>0</v>
      </c>
      <c r="I986" s="60">
        <v>0</v>
      </c>
      <c r="J986" s="60">
        <v>0</v>
      </c>
      <c r="K986" s="60">
        <v>0</v>
      </c>
      <c r="L986" s="60">
        <v>0</v>
      </c>
      <c r="M986" s="60">
        <v>0</v>
      </c>
      <c r="N986" s="60">
        <v>0</v>
      </c>
      <c r="O986" s="60">
        <v>0</v>
      </c>
      <c r="P986" s="60">
        <v>0</v>
      </c>
      <c r="Q986" s="60">
        <v>0</v>
      </c>
      <c r="R986" s="60">
        <v>0</v>
      </c>
      <c r="S986" s="60">
        <v>0</v>
      </c>
      <c r="T986" s="60">
        <v>0</v>
      </c>
      <c r="U986" s="60">
        <v>0</v>
      </c>
      <c r="V986" s="60">
        <v>0</v>
      </c>
      <c r="W986" s="60">
        <v>0</v>
      </c>
      <c r="X986" s="60">
        <v>0</v>
      </c>
      <c r="Y986" s="60">
        <v>0</v>
      </c>
      <c r="Z986" s="60">
        <v>0</v>
      </c>
      <c r="AA986" s="60">
        <v>0</v>
      </c>
      <c r="AB986" s="60">
        <v>0</v>
      </c>
      <c r="AC986" s="60">
        <v>413.05</v>
      </c>
      <c r="AD986" s="60">
        <v>389.96</v>
      </c>
      <c r="AE986" s="60">
        <v>392.11</v>
      </c>
      <c r="AF986" s="60">
        <v>0</v>
      </c>
      <c r="AG986" s="60">
        <v>0</v>
      </c>
      <c r="AH986" s="60">
        <v>0</v>
      </c>
      <c r="AI986" s="60">
        <v>413.05</v>
      </c>
      <c r="AJ986" s="60">
        <v>389.96</v>
      </c>
      <c r="AK986" s="60">
        <v>392.11</v>
      </c>
      <c r="AL986" s="60">
        <v>0</v>
      </c>
      <c r="AM986" s="60">
        <v>0</v>
      </c>
      <c r="AN986" s="60">
        <v>0</v>
      </c>
      <c r="AO986" s="60">
        <v>413.05</v>
      </c>
      <c r="AP986" s="60">
        <v>389.96</v>
      </c>
      <c r="AQ986" s="60">
        <v>392.11</v>
      </c>
      <c r="AR986" s="61">
        <v>413.05</v>
      </c>
    </row>
    <row r="987" spans="1:44" x14ac:dyDescent="0.35">
      <c r="A987" s="49" t="str">
        <f t="shared" si="85"/>
        <v>37</v>
      </c>
      <c r="B987" s="27">
        <v>68338</v>
      </c>
      <c r="C987" s="25" t="str">
        <f>TEXT(111898,"0000000")</f>
        <v>0111898</v>
      </c>
      <c r="D987" s="26" t="s">
        <v>2203</v>
      </c>
      <c r="E987" s="25" t="s">
        <v>2201</v>
      </c>
      <c r="F987" s="25" t="s">
        <v>5</v>
      </c>
      <c r="G987" s="59" t="s">
        <v>2202</v>
      </c>
      <c r="H987" s="60">
        <v>0</v>
      </c>
      <c r="I987" s="60">
        <v>0</v>
      </c>
      <c r="J987" s="60">
        <v>0</v>
      </c>
      <c r="K987" s="60">
        <v>0</v>
      </c>
      <c r="L987" s="60">
        <v>0</v>
      </c>
      <c r="M987" s="60">
        <v>0</v>
      </c>
      <c r="N987" s="60">
        <v>0</v>
      </c>
      <c r="O987" s="60">
        <v>0</v>
      </c>
      <c r="P987" s="60">
        <v>0</v>
      </c>
      <c r="Q987" s="60">
        <v>0</v>
      </c>
      <c r="R987" s="60">
        <v>0</v>
      </c>
      <c r="S987" s="60">
        <v>0</v>
      </c>
      <c r="T987" s="60">
        <v>0</v>
      </c>
      <c r="U987" s="60">
        <v>0</v>
      </c>
      <c r="V987" s="60">
        <v>0</v>
      </c>
      <c r="W987" s="60">
        <v>0</v>
      </c>
      <c r="X987" s="60">
        <v>0</v>
      </c>
      <c r="Y987" s="60">
        <v>0</v>
      </c>
      <c r="Z987" s="60">
        <v>0</v>
      </c>
      <c r="AA987" s="60">
        <v>0</v>
      </c>
      <c r="AB987" s="60">
        <v>0</v>
      </c>
      <c r="AC987" s="60">
        <v>1366.58</v>
      </c>
      <c r="AD987" s="60">
        <v>1348.03</v>
      </c>
      <c r="AE987" s="60">
        <v>1319.26</v>
      </c>
      <c r="AF987" s="60">
        <v>0</v>
      </c>
      <c r="AG987" s="60">
        <v>0</v>
      </c>
      <c r="AH987" s="60">
        <v>0</v>
      </c>
      <c r="AI987" s="60">
        <v>1366.58</v>
      </c>
      <c r="AJ987" s="60">
        <v>1348.03</v>
      </c>
      <c r="AK987" s="60">
        <v>1319.26</v>
      </c>
      <c r="AL987" s="60">
        <v>0</v>
      </c>
      <c r="AM987" s="60">
        <v>0</v>
      </c>
      <c r="AN987" s="60">
        <v>0</v>
      </c>
      <c r="AO987" s="60">
        <v>1366.58</v>
      </c>
      <c r="AP987" s="60">
        <v>1348.03</v>
      </c>
      <c r="AQ987" s="60">
        <v>1319.26</v>
      </c>
      <c r="AR987" s="61">
        <v>1366.58</v>
      </c>
    </row>
    <row r="988" spans="1:44" x14ac:dyDescent="0.35">
      <c r="A988" s="49" t="str">
        <f t="shared" si="85"/>
        <v>37</v>
      </c>
      <c r="B988" s="27">
        <v>68338</v>
      </c>
      <c r="C988" s="25" t="str">
        <f>TEXT(111906,"0000000")</f>
        <v>0111906</v>
      </c>
      <c r="D988" s="26" t="s">
        <v>2206</v>
      </c>
      <c r="E988" s="25" t="s">
        <v>2204</v>
      </c>
      <c r="F988" s="25" t="s">
        <v>5</v>
      </c>
      <c r="G988" s="59" t="s">
        <v>2205</v>
      </c>
      <c r="H988" s="60">
        <v>0</v>
      </c>
      <c r="I988" s="60">
        <v>0</v>
      </c>
      <c r="J988" s="60">
        <v>0</v>
      </c>
      <c r="K988" s="60">
        <v>0</v>
      </c>
      <c r="L988" s="60">
        <v>0</v>
      </c>
      <c r="M988" s="60">
        <v>0</v>
      </c>
      <c r="N988" s="60">
        <v>0</v>
      </c>
      <c r="O988" s="60">
        <v>0</v>
      </c>
      <c r="P988" s="60">
        <v>0</v>
      </c>
      <c r="Q988" s="60">
        <v>0</v>
      </c>
      <c r="R988" s="60">
        <v>0</v>
      </c>
      <c r="S988" s="60">
        <v>0</v>
      </c>
      <c r="T988" s="60">
        <v>0</v>
      </c>
      <c r="U988" s="60">
        <v>0</v>
      </c>
      <c r="V988" s="60">
        <v>0</v>
      </c>
      <c r="W988" s="60">
        <v>0</v>
      </c>
      <c r="X988" s="60">
        <v>0</v>
      </c>
      <c r="Y988" s="60">
        <v>0</v>
      </c>
      <c r="Z988" s="60">
        <v>0</v>
      </c>
      <c r="AA988" s="60">
        <v>0</v>
      </c>
      <c r="AB988" s="60">
        <v>0</v>
      </c>
      <c r="AC988" s="60">
        <v>216.38</v>
      </c>
      <c r="AD988" s="60">
        <v>241.43</v>
      </c>
      <c r="AE988" s="60">
        <v>269.62</v>
      </c>
      <c r="AF988" s="60">
        <v>0</v>
      </c>
      <c r="AG988" s="60">
        <v>0</v>
      </c>
      <c r="AH988" s="60">
        <v>0</v>
      </c>
      <c r="AI988" s="60">
        <v>216.38</v>
      </c>
      <c r="AJ988" s="60">
        <v>241.43</v>
      </c>
      <c r="AK988" s="60">
        <v>269.62</v>
      </c>
      <c r="AL988" s="60">
        <v>0</v>
      </c>
      <c r="AM988" s="60">
        <v>0</v>
      </c>
      <c r="AN988" s="60">
        <v>0</v>
      </c>
      <c r="AO988" s="60">
        <v>216.38</v>
      </c>
      <c r="AP988" s="60">
        <v>241.43</v>
      </c>
      <c r="AQ988" s="60">
        <v>269.62</v>
      </c>
      <c r="AR988" s="61">
        <v>269.62</v>
      </c>
    </row>
    <row r="989" spans="1:44" x14ac:dyDescent="0.35">
      <c r="A989" s="49" t="str">
        <f t="shared" si="85"/>
        <v>37</v>
      </c>
      <c r="B989" s="27">
        <v>68338</v>
      </c>
      <c r="C989" s="25" t="str">
        <f>TEXT(118083,"0000000")</f>
        <v>0118083</v>
      </c>
      <c r="D989" s="27">
        <v>1024</v>
      </c>
      <c r="E989" s="25" t="s">
        <v>2210</v>
      </c>
      <c r="F989" s="25" t="s">
        <v>5</v>
      </c>
      <c r="G989" s="59" t="s">
        <v>2211</v>
      </c>
      <c r="H989" s="60">
        <v>0</v>
      </c>
      <c r="I989" s="60">
        <v>0</v>
      </c>
      <c r="J989" s="60">
        <v>0</v>
      </c>
      <c r="K989" s="60">
        <v>0</v>
      </c>
      <c r="L989" s="60">
        <v>0</v>
      </c>
      <c r="M989" s="60">
        <v>0</v>
      </c>
      <c r="N989" s="60">
        <v>0</v>
      </c>
      <c r="O989" s="60">
        <v>0</v>
      </c>
      <c r="P989" s="60">
        <v>0</v>
      </c>
      <c r="Q989" s="60">
        <v>0</v>
      </c>
      <c r="R989" s="60">
        <v>0</v>
      </c>
      <c r="S989" s="60">
        <v>0</v>
      </c>
      <c r="T989" s="60">
        <v>0</v>
      </c>
      <c r="U989" s="60">
        <v>0</v>
      </c>
      <c r="V989" s="60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416.85</v>
      </c>
      <c r="AD989" s="60">
        <v>440.39</v>
      </c>
      <c r="AE989" s="60">
        <v>456.95</v>
      </c>
      <c r="AF989" s="60">
        <v>0</v>
      </c>
      <c r="AG989" s="60">
        <v>0</v>
      </c>
      <c r="AH989" s="60">
        <v>0</v>
      </c>
      <c r="AI989" s="60">
        <v>416.85</v>
      </c>
      <c r="AJ989" s="60">
        <v>440.39</v>
      </c>
      <c r="AK989" s="60">
        <v>456.95</v>
      </c>
      <c r="AL989" s="60">
        <v>0</v>
      </c>
      <c r="AM989" s="60">
        <v>0</v>
      </c>
      <c r="AN989" s="60">
        <v>0</v>
      </c>
      <c r="AO989" s="60">
        <v>416.85</v>
      </c>
      <c r="AP989" s="60">
        <v>440.39</v>
      </c>
      <c r="AQ989" s="60">
        <v>456.95</v>
      </c>
      <c r="AR989" s="61">
        <v>456.95</v>
      </c>
    </row>
    <row r="990" spans="1:44" x14ac:dyDescent="0.35">
      <c r="A990" s="49" t="str">
        <f t="shared" si="85"/>
        <v>37</v>
      </c>
      <c r="B990" s="27">
        <v>68338</v>
      </c>
      <c r="C990" s="25" t="str">
        <f>TEXT(118851,"0000000")</f>
        <v>0118851</v>
      </c>
      <c r="D990" s="27">
        <v>1015</v>
      </c>
      <c r="E990" s="25" t="s">
        <v>2212</v>
      </c>
      <c r="F990" s="25" t="s">
        <v>5</v>
      </c>
      <c r="G990" s="59" t="s">
        <v>2213</v>
      </c>
      <c r="H990" s="60">
        <v>0</v>
      </c>
      <c r="I990" s="60">
        <v>0</v>
      </c>
      <c r="J990" s="60">
        <v>0</v>
      </c>
      <c r="K990" s="60">
        <v>0</v>
      </c>
      <c r="L990" s="60">
        <v>0</v>
      </c>
      <c r="M990" s="60">
        <v>0</v>
      </c>
      <c r="N990" s="60">
        <v>0</v>
      </c>
      <c r="O990" s="60">
        <v>0</v>
      </c>
      <c r="P990" s="60">
        <v>0</v>
      </c>
      <c r="Q990" s="60">
        <v>0</v>
      </c>
      <c r="R990" s="60">
        <v>0</v>
      </c>
      <c r="S990" s="60">
        <v>0</v>
      </c>
      <c r="T990" s="60">
        <v>0</v>
      </c>
      <c r="U990" s="60">
        <v>0</v>
      </c>
      <c r="V990" s="60">
        <v>0</v>
      </c>
      <c r="W990" s="60">
        <v>0</v>
      </c>
      <c r="X990" s="60">
        <v>0</v>
      </c>
      <c r="Y990" s="60">
        <v>0</v>
      </c>
      <c r="Z990" s="60">
        <v>0</v>
      </c>
      <c r="AA990" s="60">
        <v>0</v>
      </c>
      <c r="AB990" s="60">
        <v>0</v>
      </c>
      <c r="AC990" s="60">
        <v>215.77</v>
      </c>
      <c r="AD990" s="60">
        <v>227.28</v>
      </c>
      <c r="AE990" s="60">
        <v>267.91000000000003</v>
      </c>
      <c r="AF990" s="60">
        <v>0</v>
      </c>
      <c r="AG990" s="60">
        <v>0</v>
      </c>
      <c r="AH990" s="60">
        <v>0</v>
      </c>
      <c r="AI990" s="60">
        <v>215.77</v>
      </c>
      <c r="AJ990" s="60">
        <v>227.28</v>
      </c>
      <c r="AK990" s="60">
        <v>267.91000000000003</v>
      </c>
      <c r="AL990" s="60">
        <v>0</v>
      </c>
      <c r="AM990" s="60">
        <v>0</v>
      </c>
      <c r="AN990" s="60">
        <v>0</v>
      </c>
      <c r="AO990" s="60">
        <v>215.77</v>
      </c>
      <c r="AP990" s="60">
        <v>227.28</v>
      </c>
      <c r="AQ990" s="60">
        <v>267.91000000000003</v>
      </c>
      <c r="AR990" s="61">
        <v>267.91000000000003</v>
      </c>
    </row>
    <row r="991" spans="1:44" x14ac:dyDescent="0.35">
      <c r="A991" s="49" t="str">
        <f t="shared" si="85"/>
        <v>37</v>
      </c>
      <c r="B991" s="27">
        <v>68338</v>
      </c>
      <c r="C991" s="25" t="str">
        <f>TEXT(119610,"0000000")</f>
        <v>0119610</v>
      </c>
      <c r="D991" s="27">
        <v>1080</v>
      </c>
      <c r="E991" s="25" t="s">
        <v>2214</v>
      </c>
      <c r="F991" s="25" t="s">
        <v>5</v>
      </c>
      <c r="G991" s="59" t="s">
        <v>2215</v>
      </c>
      <c r="H991" s="60">
        <v>0</v>
      </c>
      <c r="I991" s="60">
        <v>0</v>
      </c>
      <c r="J991" s="60">
        <v>0</v>
      </c>
      <c r="K991" s="60">
        <v>0</v>
      </c>
      <c r="L991" s="60">
        <v>0</v>
      </c>
      <c r="M991" s="60">
        <v>0</v>
      </c>
      <c r="N991" s="60">
        <v>0</v>
      </c>
      <c r="O991" s="60">
        <v>0</v>
      </c>
      <c r="P991" s="60">
        <v>0</v>
      </c>
      <c r="Q991" s="60">
        <v>0</v>
      </c>
      <c r="R991" s="60">
        <v>0</v>
      </c>
      <c r="S991" s="60">
        <v>0</v>
      </c>
      <c r="T991" s="60">
        <v>0</v>
      </c>
      <c r="U991" s="60">
        <v>0</v>
      </c>
      <c r="V991" s="60">
        <v>0</v>
      </c>
      <c r="W991" s="60">
        <v>0</v>
      </c>
      <c r="X991" s="60">
        <v>0</v>
      </c>
      <c r="Y991" s="60">
        <v>0</v>
      </c>
      <c r="Z991" s="60">
        <v>0</v>
      </c>
      <c r="AA991" s="60">
        <v>0</v>
      </c>
      <c r="AB991" s="60">
        <v>0</v>
      </c>
      <c r="AC991" s="60">
        <v>1129.01</v>
      </c>
      <c r="AD991" s="60">
        <v>1159.07</v>
      </c>
      <c r="AE991" s="60">
        <v>1155.76</v>
      </c>
      <c r="AF991" s="60">
        <v>0</v>
      </c>
      <c r="AG991" s="60">
        <v>0</v>
      </c>
      <c r="AH991" s="60">
        <v>0</v>
      </c>
      <c r="AI991" s="60">
        <v>1129.01</v>
      </c>
      <c r="AJ991" s="60">
        <v>1159.07</v>
      </c>
      <c r="AK991" s="60">
        <v>1155.76</v>
      </c>
      <c r="AL991" s="60">
        <v>0</v>
      </c>
      <c r="AM991" s="60">
        <v>0</v>
      </c>
      <c r="AN991" s="60">
        <v>0</v>
      </c>
      <c r="AO991" s="60">
        <v>1129.01</v>
      </c>
      <c r="AP991" s="60">
        <v>1159.07</v>
      </c>
      <c r="AQ991" s="60">
        <v>1155.76</v>
      </c>
      <c r="AR991" s="61">
        <v>1159.07</v>
      </c>
    </row>
    <row r="992" spans="1:44" x14ac:dyDescent="0.35">
      <c r="A992" s="49" t="str">
        <f t="shared" si="85"/>
        <v>37</v>
      </c>
      <c r="B992" s="27">
        <v>68338</v>
      </c>
      <c r="C992" s="25" t="str">
        <f>TEXT(121681,"0000000")</f>
        <v>0121681</v>
      </c>
      <c r="D992" s="27">
        <v>1190</v>
      </c>
      <c r="E992" s="25" t="s">
        <v>2216</v>
      </c>
      <c r="F992" s="25" t="s">
        <v>5</v>
      </c>
      <c r="G992" s="59" t="s">
        <v>3537</v>
      </c>
      <c r="H992" s="60">
        <v>0</v>
      </c>
      <c r="I992" s="60">
        <v>0</v>
      </c>
      <c r="J992" s="60">
        <v>0</v>
      </c>
      <c r="K992" s="60">
        <v>0</v>
      </c>
      <c r="L992" s="60">
        <v>0</v>
      </c>
      <c r="M992" s="60">
        <v>0</v>
      </c>
      <c r="N992" s="60">
        <v>0</v>
      </c>
      <c r="O992" s="60">
        <v>0</v>
      </c>
      <c r="P992" s="60">
        <v>0</v>
      </c>
      <c r="Q992" s="60">
        <v>0</v>
      </c>
      <c r="R992" s="60">
        <v>0</v>
      </c>
      <c r="S992" s="60">
        <v>0</v>
      </c>
      <c r="T992" s="60">
        <v>0</v>
      </c>
      <c r="U992" s="60">
        <v>0</v>
      </c>
      <c r="V992" s="60">
        <v>0</v>
      </c>
      <c r="W992" s="60">
        <v>0</v>
      </c>
      <c r="X992" s="60">
        <v>0</v>
      </c>
      <c r="Y992" s="60">
        <v>0</v>
      </c>
      <c r="Z992" s="60">
        <v>0</v>
      </c>
      <c r="AA992" s="60">
        <v>0</v>
      </c>
      <c r="AB992" s="60">
        <v>0</v>
      </c>
      <c r="AC992" s="60">
        <v>402.89</v>
      </c>
      <c r="AD992" s="60">
        <v>386.56</v>
      </c>
      <c r="AE992" s="60">
        <v>376.73</v>
      </c>
      <c r="AF992" s="60">
        <v>0</v>
      </c>
      <c r="AG992" s="60">
        <v>0</v>
      </c>
      <c r="AH992" s="60">
        <v>0</v>
      </c>
      <c r="AI992" s="60">
        <v>402.89</v>
      </c>
      <c r="AJ992" s="60">
        <v>386.56</v>
      </c>
      <c r="AK992" s="60">
        <v>376.73</v>
      </c>
      <c r="AL992" s="60">
        <v>0</v>
      </c>
      <c r="AM992" s="60">
        <v>0</v>
      </c>
      <c r="AN992" s="60">
        <v>0</v>
      </c>
      <c r="AO992" s="60">
        <v>402.89</v>
      </c>
      <c r="AP992" s="60">
        <v>386.56</v>
      </c>
      <c r="AQ992" s="60">
        <v>376.73</v>
      </c>
      <c r="AR992" s="61">
        <v>402.89</v>
      </c>
    </row>
    <row r="993" spans="1:44" x14ac:dyDescent="0.35">
      <c r="A993" s="49" t="str">
        <f t="shared" si="85"/>
        <v>37</v>
      </c>
      <c r="B993" s="27">
        <v>68338</v>
      </c>
      <c r="C993" s="25" t="str">
        <f>TEXT(122788,"0000000")</f>
        <v>0122788</v>
      </c>
      <c r="D993" s="27">
        <v>1253</v>
      </c>
      <c r="E993" s="25" t="s">
        <v>2218</v>
      </c>
      <c r="F993" s="25" t="s">
        <v>5</v>
      </c>
      <c r="G993" s="59" t="s">
        <v>2219</v>
      </c>
      <c r="H993" s="60">
        <v>0</v>
      </c>
      <c r="I993" s="60">
        <v>0</v>
      </c>
      <c r="J993" s="60">
        <v>0</v>
      </c>
      <c r="K993" s="60">
        <v>0</v>
      </c>
      <c r="L993" s="60">
        <v>0</v>
      </c>
      <c r="M993" s="60">
        <v>0</v>
      </c>
      <c r="N993" s="60">
        <v>0</v>
      </c>
      <c r="O993" s="60">
        <v>0</v>
      </c>
      <c r="P993" s="60">
        <v>0</v>
      </c>
      <c r="Q993" s="60">
        <v>0</v>
      </c>
      <c r="R993" s="60">
        <v>0</v>
      </c>
      <c r="S993" s="60">
        <v>0</v>
      </c>
      <c r="T993" s="60">
        <v>0</v>
      </c>
      <c r="U993" s="60">
        <v>0</v>
      </c>
      <c r="V993" s="60">
        <v>0</v>
      </c>
      <c r="W993" s="60">
        <v>0</v>
      </c>
      <c r="X993" s="60">
        <v>0</v>
      </c>
      <c r="Y993" s="60">
        <v>0</v>
      </c>
      <c r="Z993" s="60">
        <v>0</v>
      </c>
      <c r="AA993" s="60">
        <v>0</v>
      </c>
      <c r="AB993" s="60">
        <v>0</v>
      </c>
      <c r="AC993" s="60">
        <v>227.28</v>
      </c>
      <c r="AD993" s="60">
        <v>207.87</v>
      </c>
      <c r="AE993" s="60">
        <v>199.66</v>
      </c>
      <c r="AF993" s="60">
        <v>0</v>
      </c>
      <c r="AG993" s="60">
        <v>0</v>
      </c>
      <c r="AH993" s="60">
        <v>0</v>
      </c>
      <c r="AI993" s="60">
        <v>227.28</v>
      </c>
      <c r="AJ993" s="60">
        <v>207.87</v>
      </c>
      <c r="AK993" s="60">
        <v>199.66</v>
      </c>
      <c r="AL993" s="60">
        <v>0</v>
      </c>
      <c r="AM993" s="60">
        <v>0</v>
      </c>
      <c r="AN993" s="60">
        <v>0</v>
      </c>
      <c r="AO993" s="60">
        <v>227.28</v>
      </c>
      <c r="AP993" s="60">
        <v>207.87</v>
      </c>
      <c r="AQ993" s="60">
        <v>199.66</v>
      </c>
      <c r="AR993" s="61">
        <v>227.28</v>
      </c>
    </row>
    <row r="994" spans="1:44" x14ac:dyDescent="0.35">
      <c r="A994" s="49" t="str">
        <f>TEXT(1,"00")</f>
        <v>01</v>
      </c>
      <c r="B994" s="27">
        <v>61259</v>
      </c>
      <c r="C994" s="25" t="str">
        <f>TEXT(126748,"0000000")</f>
        <v>0126748</v>
      </c>
      <c r="D994" s="27">
        <v>1449</v>
      </c>
      <c r="E994" s="25" t="s">
        <v>110</v>
      </c>
      <c r="F994" s="25" t="s">
        <v>5</v>
      </c>
      <c r="G994" s="59" t="s">
        <v>111</v>
      </c>
      <c r="H994" s="60">
        <v>0</v>
      </c>
      <c r="I994" s="60">
        <v>0</v>
      </c>
      <c r="J994" s="60">
        <v>0</v>
      </c>
      <c r="K994" s="60">
        <v>0</v>
      </c>
      <c r="L994" s="60">
        <v>0</v>
      </c>
      <c r="M994" s="60">
        <v>0</v>
      </c>
      <c r="N994" s="60">
        <v>0</v>
      </c>
      <c r="O994" s="60">
        <v>0</v>
      </c>
      <c r="P994" s="60">
        <v>0</v>
      </c>
      <c r="Q994" s="60">
        <v>0</v>
      </c>
      <c r="R994" s="60">
        <v>0</v>
      </c>
      <c r="S994" s="60">
        <v>0</v>
      </c>
      <c r="T994" s="60">
        <v>0</v>
      </c>
      <c r="U994" s="60">
        <v>0</v>
      </c>
      <c r="V994" s="60">
        <v>0</v>
      </c>
      <c r="W994" s="60">
        <v>0</v>
      </c>
      <c r="X994" s="60">
        <v>0</v>
      </c>
      <c r="Y994" s="60">
        <v>0</v>
      </c>
      <c r="Z994" s="60">
        <v>0</v>
      </c>
      <c r="AA994" s="60">
        <v>0</v>
      </c>
      <c r="AB994" s="60">
        <v>0</v>
      </c>
      <c r="AC994" s="60">
        <v>187.52</v>
      </c>
      <c r="AD994" s="60">
        <v>293.23</v>
      </c>
      <c r="AE994" s="60">
        <v>363.47</v>
      </c>
      <c r="AF994" s="60">
        <v>0</v>
      </c>
      <c r="AG994" s="60">
        <v>0</v>
      </c>
      <c r="AH994" s="60">
        <v>0</v>
      </c>
      <c r="AI994" s="60">
        <v>187.52</v>
      </c>
      <c r="AJ994" s="60">
        <v>293.23</v>
      </c>
      <c r="AK994" s="60">
        <v>363.47</v>
      </c>
      <c r="AL994" s="60">
        <v>0</v>
      </c>
      <c r="AM994" s="60">
        <v>0</v>
      </c>
      <c r="AN994" s="60">
        <v>0</v>
      </c>
      <c r="AO994" s="60">
        <v>187.52</v>
      </c>
      <c r="AP994" s="60">
        <v>293.23</v>
      </c>
      <c r="AQ994" s="60">
        <v>363.47</v>
      </c>
      <c r="AR994" s="61">
        <v>363.47</v>
      </c>
    </row>
    <row r="995" spans="1:44" x14ac:dyDescent="0.35">
      <c r="A995" s="49" t="str">
        <f t="shared" ref="A995:A1004" si="86">TEXT(37,"00")</f>
        <v>37</v>
      </c>
      <c r="B995" s="27">
        <v>68338</v>
      </c>
      <c r="C995" s="25" t="str">
        <f>TEXT(123778,"0000000")</f>
        <v>0123778</v>
      </c>
      <c r="D995" s="27">
        <v>1279</v>
      </c>
      <c r="E995" s="25" t="s">
        <v>2220</v>
      </c>
      <c r="F995" s="25" t="s">
        <v>5</v>
      </c>
      <c r="G995" s="59" t="s">
        <v>2221</v>
      </c>
      <c r="H995" s="60">
        <v>0</v>
      </c>
      <c r="I995" s="60">
        <v>0</v>
      </c>
      <c r="J995" s="60">
        <v>0</v>
      </c>
      <c r="K995" s="60">
        <v>0</v>
      </c>
      <c r="L995" s="60">
        <v>0</v>
      </c>
      <c r="M995" s="60">
        <v>0</v>
      </c>
      <c r="N995" s="60">
        <v>0</v>
      </c>
      <c r="O995" s="60">
        <v>0</v>
      </c>
      <c r="P995" s="60">
        <v>0</v>
      </c>
      <c r="Q995" s="60">
        <v>0</v>
      </c>
      <c r="R995" s="60">
        <v>0</v>
      </c>
      <c r="S995" s="60">
        <v>0</v>
      </c>
      <c r="T995" s="60">
        <v>0</v>
      </c>
      <c r="U995" s="60">
        <v>0</v>
      </c>
      <c r="V995" s="60">
        <v>0</v>
      </c>
      <c r="W995" s="60">
        <v>0</v>
      </c>
      <c r="X995" s="60">
        <v>0</v>
      </c>
      <c r="Y995" s="60">
        <v>0</v>
      </c>
      <c r="Z995" s="60">
        <v>0</v>
      </c>
      <c r="AA995" s="60">
        <v>0</v>
      </c>
      <c r="AB995" s="60">
        <v>0</v>
      </c>
      <c r="AC995" s="60">
        <v>182.29</v>
      </c>
      <c r="AD995" s="60">
        <v>208.86</v>
      </c>
      <c r="AE995" s="60">
        <v>246.84</v>
      </c>
      <c r="AF995" s="60">
        <v>0</v>
      </c>
      <c r="AG995" s="60">
        <v>0</v>
      </c>
      <c r="AH995" s="60">
        <v>0</v>
      </c>
      <c r="AI995" s="60">
        <v>182.29</v>
      </c>
      <c r="AJ995" s="60">
        <v>208.86</v>
      </c>
      <c r="AK995" s="60">
        <v>246.84</v>
      </c>
      <c r="AL995" s="60">
        <v>0</v>
      </c>
      <c r="AM995" s="60">
        <v>0</v>
      </c>
      <c r="AN995" s="60">
        <v>0</v>
      </c>
      <c r="AO995" s="60">
        <v>182.29</v>
      </c>
      <c r="AP995" s="60">
        <v>208.86</v>
      </c>
      <c r="AQ995" s="60">
        <v>246.84</v>
      </c>
      <c r="AR995" s="61">
        <v>246.84</v>
      </c>
    </row>
    <row r="996" spans="1:44" x14ac:dyDescent="0.35">
      <c r="A996" s="49" t="str">
        <f t="shared" si="86"/>
        <v>37</v>
      </c>
      <c r="B996" s="27">
        <v>68338</v>
      </c>
      <c r="C996" s="25" t="str">
        <f>TEXT(124347,"0000000")</f>
        <v>0124347</v>
      </c>
      <c r="D996" s="27">
        <v>1312</v>
      </c>
      <c r="E996" s="25" t="s">
        <v>2222</v>
      </c>
      <c r="F996" s="25" t="s">
        <v>5</v>
      </c>
      <c r="G996" s="59" t="s">
        <v>2223</v>
      </c>
      <c r="H996" s="60">
        <v>0</v>
      </c>
      <c r="I996" s="60">
        <v>0</v>
      </c>
      <c r="J996" s="60">
        <v>0</v>
      </c>
      <c r="K996" s="60">
        <v>0</v>
      </c>
      <c r="L996" s="60">
        <v>0</v>
      </c>
      <c r="M996" s="60">
        <v>0</v>
      </c>
      <c r="N996" s="60">
        <v>0</v>
      </c>
      <c r="O996" s="60">
        <v>0</v>
      </c>
      <c r="P996" s="60">
        <v>0</v>
      </c>
      <c r="Q996" s="60">
        <v>0</v>
      </c>
      <c r="R996" s="60">
        <v>0</v>
      </c>
      <c r="S996" s="60">
        <v>0</v>
      </c>
      <c r="T996" s="60">
        <v>0</v>
      </c>
      <c r="U996" s="60">
        <v>0</v>
      </c>
      <c r="V996" s="60">
        <v>0</v>
      </c>
      <c r="W996" s="60">
        <v>0</v>
      </c>
      <c r="X996" s="60">
        <v>0</v>
      </c>
      <c r="Y996" s="60">
        <v>0</v>
      </c>
      <c r="Z996" s="60">
        <v>0</v>
      </c>
      <c r="AA996" s="60">
        <v>0</v>
      </c>
      <c r="AB996" s="60">
        <v>0</v>
      </c>
      <c r="AC996" s="60">
        <v>149.13999999999999</v>
      </c>
      <c r="AD996" s="60">
        <v>133.80000000000001</v>
      </c>
      <c r="AE996" s="60">
        <v>112.27</v>
      </c>
      <c r="AF996" s="60">
        <v>0</v>
      </c>
      <c r="AG996" s="60">
        <v>0</v>
      </c>
      <c r="AH996" s="60">
        <v>0</v>
      </c>
      <c r="AI996" s="60">
        <v>149.13999999999999</v>
      </c>
      <c r="AJ996" s="60">
        <v>133.80000000000001</v>
      </c>
      <c r="AK996" s="60">
        <v>112.27</v>
      </c>
      <c r="AL996" s="60">
        <v>0</v>
      </c>
      <c r="AM996" s="60">
        <v>0</v>
      </c>
      <c r="AN996" s="60">
        <v>0</v>
      </c>
      <c r="AO996" s="60">
        <v>149.13999999999999</v>
      </c>
      <c r="AP996" s="60">
        <v>133.80000000000001</v>
      </c>
      <c r="AQ996" s="60">
        <v>112.27</v>
      </c>
      <c r="AR996" s="61">
        <v>149.13999999999999</v>
      </c>
    </row>
    <row r="997" spans="1:44" x14ac:dyDescent="0.35">
      <c r="A997" s="49" t="str">
        <f t="shared" si="86"/>
        <v>37</v>
      </c>
      <c r="B997" s="27">
        <v>68338</v>
      </c>
      <c r="C997" s="25" t="str">
        <f>TEXT(126730,"0000000")</f>
        <v>0126730</v>
      </c>
      <c r="D997" s="27">
        <v>1447</v>
      </c>
      <c r="E997" s="25" t="s">
        <v>2224</v>
      </c>
      <c r="F997" s="25" t="s">
        <v>5</v>
      </c>
      <c r="G997" s="59" t="s">
        <v>2225</v>
      </c>
      <c r="H997" s="60">
        <v>0</v>
      </c>
      <c r="I997" s="60">
        <v>0</v>
      </c>
      <c r="J997" s="60">
        <v>0</v>
      </c>
      <c r="K997" s="60">
        <v>0</v>
      </c>
      <c r="L997" s="60">
        <v>0</v>
      </c>
      <c r="M997" s="60">
        <v>0</v>
      </c>
      <c r="N997" s="60">
        <v>0</v>
      </c>
      <c r="O997" s="60">
        <v>0</v>
      </c>
      <c r="P997" s="60">
        <v>0</v>
      </c>
      <c r="Q997" s="60">
        <v>0</v>
      </c>
      <c r="R997" s="60">
        <v>0</v>
      </c>
      <c r="S997" s="60">
        <v>0</v>
      </c>
      <c r="T997" s="60">
        <v>0</v>
      </c>
      <c r="U997" s="60">
        <v>0</v>
      </c>
      <c r="V997" s="60">
        <v>0</v>
      </c>
      <c r="W997" s="60">
        <v>0</v>
      </c>
      <c r="X997" s="60">
        <v>0</v>
      </c>
      <c r="Y997" s="60">
        <v>0</v>
      </c>
      <c r="Z997" s="60">
        <v>0</v>
      </c>
      <c r="AA997" s="60">
        <v>0</v>
      </c>
      <c r="AB997" s="60">
        <v>0</v>
      </c>
      <c r="AC997" s="60">
        <v>365.81</v>
      </c>
      <c r="AD997" s="60">
        <v>357.56</v>
      </c>
      <c r="AE997" s="60">
        <v>370.27</v>
      </c>
      <c r="AF997" s="60">
        <v>0</v>
      </c>
      <c r="AG997" s="60">
        <v>0</v>
      </c>
      <c r="AH997" s="60">
        <v>0</v>
      </c>
      <c r="AI997" s="60">
        <v>365.81</v>
      </c>
      <c r="AJ997" s="60">
        <v>357.56</v>
      </c>
      <c r="AK997" s="60">
        <v>370.27</v>
      </c>
      <c r="AL997" s="60">
        <v>0</v>
      </c>
      <c r="AM997" s="60">
        <v>0</v>
      </c>
      <c r="AN997" s="60">
        <v>0</v>
      </c>
      <c r="AO997" s="60">
        <v>365.81</v>
      </c>
      <c r="AP997" s="60">
        <v>357.56</v>
      </c>
      <c r="AQ997" s="60">
        <v>370.27</v>
      </c>
      <c r="AR997" s="61">
        <v>370.27</v>
      </c>
    </row>
    <row r="998" spans="1:44" x14ac:dyDescent="0.35">
      <c r="A998" s="49" t="str">
        <f t="shared" si="86"/>
        <v>37</v>
      </c>
      <c r="B998" s="27">
        <v>68338</v>
      </c>
      <c r="C998" s="25" t="str">
        <f>TEXT(127647,"0000000")</f>
        <v>0127647</v>
      </c>
      <c r="D998" s="27">
        <v>1302</v>
      </c>
      <c r="E998" s="25" t="s">
        <v>2226</v>
      </c>
      <c r="F998" s="25" t="s">
        <v>5</v>
      </c>
      <c r="G998" s="59" t="s">
        <v>2227</v>
      </c>
      <c r="H998" s="60">
        <v>0</v>
      </c>
      <c r="I998" s="60">
        <v>0</v>
      </c>
      <c r="J998" s="60">
        <v>0</v>
      </c>
      <c r="K998" s="60">
        <v>0</v>
      </c>
      <c r="L998" s="60">
        <v>0</v>
      </c>
      <c r="M998" s="60">
        <v>0</v>
      </c>
      <c r="N998" s="60">
        <v>0</v>
      </c>
      <c r="O998" s="60">
        <v>0</v>
      </c>
      <c r="P998" s="60">
        <v>0</v>
      </c>
      <c r="Q998" s="60">
        <v>0</v>
      </c>
      <c r="R998" s="60">
        <v>0</v>
      </c>
      <c r="S998" s="60">
        <v>0</v>
      </c>
      <c r="T998" s="60">
        <v>0</v>
      </c>
      <c r="U998" s="60">
        <v>0</v>
      </c>
      <c r="V998" s="60">
        <v>0</v>
      </c>
      <c r="W998" s="60">
        <v>0</v>
      </c>
      <c r="X998" s="60">
        <v>0</v>
      </c>
      <c r="Y998" s="60">
        <v>0</v>
      </c>
      <c r="Z998" s="60">
        <v>0</v>
      </c>
      <c r="AA998" s="60">
        <v>0</v>
      </c>
      <c r="AB998" s="60">
        <v>0</v>
      </c>
      <c r="AC998" s="60">
        <v>327.18</v>
      </c>
      <c r="AD998" s="60">
        <v>352.29</v>
      </c>
      <c r="AE998" s="60">
        <v>365.36</v>
      </c>
      <c r="AF998" s="60">
        <v>0</v>
      </c>
      <c r="AG998" s="60">
        <v>0</v>
      </c>
      <c r="AH998" s="60">
        <v>0</v>
      </c>
      <c r="AI998" s="60">
        <v>327.18</v>
      </c>
      <c r="AJ998" s="60">
        <v>352.29</v>
      </c>
      <c r="AK998" s="60">
        <v>365.36</v>
      </c>
      <c r="AL998" s="60">
        <v>0</v>
      </c>
      <c r="AM998" s="60">
        <v>0</v>
      </c>
      <c r="AN998" s="60">
        <v>0</v>
      </c>
      <c r="AO998" s="60">
        <v>327.18</v>
      </c>
      <c r="AP998" s="60">
        <v>352.29</v>
      </c>
      <c r="AQ998" s="60">
        <v>365.36</v>
      </c>
      <c r="AR998" s="61">
        <v>365.36</v>
      </c>
    </row>
    <row r="999" spans="1:44" x14ac:dyDescent="0.35">
      <c r="A999" s="49" t="str">
        <f t="shared" si="86"/>
        <v>37</v>
      </c>
      <c r="B999" s="27">
        <v>68338</v>
      </c>
      <c r="C999" s="25" t="str">
        <f>TEXT(129387,"0000000")</f>
        <v>0129387</v>
      </c>
      <c r="D999" s="27">
        <v>1634</v>
      </c>
      <c r="E999" s="25" t="s">
        <v>2228</v>
      </c>
      <c r="F999" s="25" t="s">
        <v>5</v>
      </c>
      <c r="G999" s="59" t="s">
        <v>2229</v>
      </c>
      <c r="H999" s="60">
        <v>0</v>
      </c>
      <c r="I999" s="60">
        <v>0</v>
      </c>
      <c r="J999" s="60">
        <v>0</v>
      </c>
      <c r="K999" s="60">
        <v>0</v>
      </c>
      <c r="L999" s="60">
        <v>0</v>
      </c>
      <c r="M999" s="60">
        <v>0</v>
      </c>
      <c r="N999" s="60">
        <v>0</v>
      </c>
      <c r="O999" s="60">
        <v>0</v>
      </c>
      <c r="P999" s="60">
        <v>0</v>
      </c>
      <c r="Q999" s="60">
        <v>0</v>
      </c>
      <c r="R999" s="60">
        <v>0</v>
      </c>
      <c r="S999" s="60">
        <v>0</v>
      </c>
      <c r="T999" s="60">
        <v>0</v>
      </c>
      <c r="U999" s="60">
        <v>0</v>
      </c>
      <c r="V999" s="60">
        <v>0</v>
      </c>
      <c r="W999" s="60">
        <v>0</v>
      </c>
      <c r="X999" s="60">
        <v>0</v>
      </c>
      <c r="Y999" s="60">
        <v>0</v>
      </c>
      <c r="Z999" s="60">
        <v>0</v>
      </c>
      <c r="AA999" s="60">
        <v>0</v>
      </c>
      <c r="AB999" s="60">
        <v>0</v>
      </c>
      <c r="AC999" s="60">
        <v>137.03</v>
      </c>
      <c r="AD999" s="60">
        <v>133.94999999999999</v>
      </c>
      <c r="AE999" s="60">
        <v>114.14</v>
      </c>
      <c r="AF999" s="60">
        <v>0</v>
      </c>
      <c r="AG999" s="60">
        <v>0</v>
      </c>
      <c r="AH999" s="60">
        <v>0</v>
      </c>
      <c r="AI999" s="60">
        <v>137.03</v>
      </c>
      <c r="AJ999" s="60">
        <v>133.94999999999999</v>
      </c>
      <c r="AK999" s="60">
        <v>114.14</v>
      </c>
      <c r="AL999" s="60">
        <v>0</v>
      </c>
      <c r="AM999" s="60">
        <v>0</v>
      </c>
      <c r="AN999" s="60">
        <v>0</v>
      </c>
      <c r="AO999" s="60">
        <v>137.03</v>
      </c>
      <c r="AP999" s="60">
        <v>133.94999999999999</v>
      </c>
      <c r="AQ999" s="60">
        <v>114.14</v>
      </c>
      <c r="AR999" s="61">
        <v>137.03</v>
      </c>
    </row>
    <row r="1000" spans="1:44" x14ac:dyDescent="0.35">
      <c r="A1000" s="49" t="str">
        <f t="shared" si="86"/>
        <v>37</v>
      </c>
      <c r="B1000" s="27">
        <v>68338</v>
      </c>
      <c r="C1000" s="25" t="str">
        <f>TEXT(129395,"0000000")</f>
        <v>0129395</v>
      </c>
      <c r="D1000" s="27">
        <v>1633</v>
      </c>
      <c r="E1000" s="25" t="s">
        <v>2230</v>
      </c>
      <c r="F1000" s="25" t="s">
        <v>5</v>
      </c>
      <c r="G1000" s="59" t="s">
        <v>2231</v>
      </c>
      <c r="H1000" s="60">
        <v>0</v>
      </c>
      <c r="I1000" s="60">
        <v>0</v>
      </c>
      <c r="J1000" s="60">
        <v>0</v>
      </c>
      <c r="K1000" s="60">
        <v>0</v>
      </c>
      <c r="L1000" s="60">
        <v>0</v>
      </c>
      <c r="M1000" s="60">
        <v>0</v>
      </c>
      <c r="N1000" s="60">
        <v>0</v>
      </c>
      <c r="O1000" s="60">
        <v>0</v>
      </c>
      <c r="P1000" s="60">
        <v>0</v>
      </c>
      <c r="Q1000" s="60">
        <v>0</v>
      </c>
      <c r="R1000" s="60">
        <v>0</v>
      </c>
      <c r="S1000" s="60">
        <v>0</v>
      </c>
      <c r="T1000" s="60">
        <v>0</v>
      </c>
      <c r="U1000" s="60">
        <v>0</v>
      </c>
      <c r="V1000" s="60">
        <v>0</v>
      </c>
      <c r="W1000" s="60">
        <v>0</v>
      </c>
      <c r="X1000" s="60">
        <v>0</v>
      </c>
      <c r="Y1000" s="60">
        <v>0</v>
      </c>
      <c r="Z1000" s="60">
        <v>0</v>
      </c>
      <c r="AA1000" s="60">
        <v>0</v>
      </c>
      <c r="AB1000" s="60">
        <v>0</v>
      </c>
      <c r="AC1000" s="60">
        <v>451.4</v>
      </c>
      <c r="AD1000" s="60">
        <v>437.94</v>
      </c>
      <c r="AE1000" s="60">
        <v>392.42</v>
      </c>
      <c r="AF1000" s="60">
        <v>0</v>
      </c>
      <c r="AG1000" s="60">
        <v>0</v>
      </c>
      <c r="AH1000" s="60">
        <v>0</v>
      </c>
      <c r="AI1000" s="60">
        <v>451.4</v>
      </c>
      <c r="AJ1000" s="60">
        <v>437.94</v>
      </c>
      <c r="AK1000" s="60">
        <v>392.42</v>
      </c>
      <c r="AL1000" s="60">
        <v>0</v>
      </c>
      <c r="AM1000" s="60">
        <v>0</v>
      </c>
      <c r="AN1000" s="60">
        <v>0</v>
      </c>
      <c r="AO1000" s="60">
        <v>451.4</v>
      </c>
      <c r="AP1000" s="60">
        <v>437.94</v>
      </c>
      <c r="AQ1000" s="60">
        <v>392.42</v>
      </c>
      <c r="AR1000" s="61">
        <v>451.4</v>
      </c>
    </row>
    <row r="1001" spans="1:44" x14ac:dyDescent="0.35">
      <c r="A1001" s="49" t="str">
        <f t="shared" si="86"/>
        <v>37</v>
      </c>
      <c r="B1001" s="27">
        <v>68338</v>
      </c>
      <c r="C1001" s="25" t="str">
        <f>TEXT(131565,"0000000")</f>
        <v>0131565</v>
      </c>
      <c r="D1001" s="27">
        <v>1709</v>
      </c>
      <c r="E1001" s="25" t="s">
        <v>2232</v>
      </c>
      <c r="F1001" s="25" t="s">
        <v>5</v>
      </c>
      <c r="G1001" s="59" t="s">
        <v>2233</v>
      </c>
      <c r="H1001" s="60">
        <v>0</v>
      </c>
      <c r="I1001" s="60">
        <v>0</v>
      </c>
      <c r="J1001" s="60">
        <v>0</v>
      </c>
      <c r="K1001" s="60">
        <v>0</v>
      </c>
      <c r="L1001" s="60">
        <v>0</v>
      </c>
      <c r="M1001" s="60">
        <v>0</v>
      </c>
      <c r="N1001" s="60">
        <v>0</v>
      </c>
      <c r="O1001" s="60">
        <v>0</v>
      </c>
      <c r="P1001" s="60">
        <v>0</v>
      </c>
      <c r="Q1001" s="60">
        <v>0</v>
      </c>
      <c r="R1001" s="60">
        <v>0</v>
      </c>
      <c r="S1001" s="60">
        <v>0</v>
      </c>
      <c r="T1001" s="60">
        <v>0</v>
      </c>
      <c r="U1001" s="60">
        <v>0</v>
      </c>
      <c r="V1001" s="60">
        <v>0</v>
      </c>
      <c r="W1001" s="60">
        <v>0</v>
      </c>
      <c r="X1001" s="60">
        <v>0</v>
      </c>
      <c r="Y1001" s="60">
        <v>0</v>
      </c>
      <c r="Z1001" s="60">
        <v>0</v>
      </c>
      <c r="AA1001" s="60">
        <v>0</v>
      </c>
      <c r="AB1001" s="60">
        <v>0</v>
      </c>
      <c r="AC1001" s="60">
        <v>384.32</v>
      </c>
      <c r="AD1001" s="60">
        <v>390.16</v>
      </c>
      <c r="AE1001" s="60">
        <v>370.18</v>
      </c>
      <c r="AF1001" s="60">
        <v>0</v>
      </c>
      <c r="AG1001" s="60">
        <v>0</v>
      </c>
      <c r="AH1001" s="60">
        <v>0</v>
      </c>
      <c r="AI1001" s="60">
        <v>384.32</v>
      </c>
      <c r="AJ1001" s="60">
        <v>390.16</v>
      </c>
      <c r="AK1001" s="60">
        <v>370.18</v>
      </c>
      <c r="AL1001" s="60">
        <v>0</v>
      </c>
      <c r="AM1001" s="60">
        <v>0</v>
      </c>
      <c r="AN1001" s="60">
        <v>0</v>
      </c>
      <c r="AO1001" s="60">
        <v>384.32</v>
      </c>
      <c r="AP1001" s="60">
        <v>390.16</v>
      </c>
      <c r="AQ1001" s="60">
        <v>370.18</v>
      </c>
      <c r="AR1001" s="61">
        <v>390.16</v>
      </c>
    </row>
    <row r="1002" spans="1:44" x14ac:dyDescent="0.35">
      <c r="A1002" s="49" t="str">
        <f t="shared" si="86"/>
        <v>37</v>
      </c>
      <c r="B1002" s="27">
        <v>68338</v>
      </c>
      <c r="C1002" s="25" t="str">
        <f>TEXT(131979,"0000000")</f>
        <v>0131979</v>
      </c>
      <c r="D1002" s="27">
        <v>1719</v>
      </c>
      <c r="E1002" s="25" t="s">
        <v>2234</v>
      </c>
      <c r="F1002" s="25" t="s">
        <v>5</v>
      </c>
      <c r="G1002" s="59" t="s">
        <v>2235</v>
      </c>
      <c r="H1002" s="60">
        <v>0</v>
      </c>
      <c r="I1002" s="60">
        <v>0</v>
      </c>
      <c r="J1002" s="60">
        <v>0</v>
      </c>
      <c r="K1002" s="60">
        <v>0</v>
      </c>
      <c r="L1002" s="60">
        <v>0</v>
      </c>
      <c r="M1002" s="60">
        <v>0</v>
      </c>
      <c r="N1002" s="60">
        <v>0</v>
      </c>
      <c r="O1002" s="60">
        <v>0</v>
      </c>
      <c r="P1002" s="60">
        <v>0</v>
      </c>
      <c r="Q1002" s="60">
        <v>0</v>
      </c>
      <c r="R1002" s="60">
        <v>0</v>
      </c>
      <c r="S1002" s="60">
        <v>0</v>
      </c>
      <c r="T1002" s="60">
        <v>0</v>
      </c>
      <c r="U1002" s="60">
        <v>0</v>
      </c>
      <c r="V1002" s="60">
        <v>0</v>
      </c>
      <c r="W1002" s="60">
        <v>0</v>
      </c>
      <c r="X1002" s="60">
        <v>0</v>
      </c>
      <c r="Y1002" s="60">
        <v>0</v>
      </c>
      <c r="Z1002" s="60">
        <v>0</v>
      </c>
      <c r="AA1002" s="60">
        <v>0</v>
      </c>
      <c r="AB1002" s="60">
        <v>0</v>
      </c>
      <c r="AC1002" s="60">
        <v>148.13</v>
      </c>
      <c r="AD1002" s="60">
        <v>177.41</v>
      </c>
      <c r="AE1002" s="60">
        <v>190.47</v>
      </c>
      <c r="AF1002" s="60">
        <v>0</v>
      </c>
      <c r="AG1002" s="60">
        <v>0</v>
      </c>
      <c r="AH1002" s="60">
        <v>0</v>
      </c>
      <c r="AI1002" s="60">
        <v>148.13</v>
      </c>
      <c r="AJ1002" s="60">
        <v>177.41</v>
      </c>
      <c r="AK1002" s="60">
        <v>190.47</v>
      </c>
      <c r="AL1002" s="60">
        <v>0</v>
      </c>
      <c r="AM1002" s="60">
        <v>0</v>
      </c>
      <c r="AN1002" s="60">
        <v>0</v>
      </c>
      <c r="AO1002" s="60">
        <v>148.13</v>
      </c>
      <c r="AP1002" s="60">
        <v>177.41</v>
      </c>
      <c r="AQ1002" s="60">
        <v>190.47</v>
      </c>
      <c r="AR1002" s="61">
        <v>190.47</v>
      </c>
    </row>
    <row r="1003" spans="1:44" x14ac:dyDescent="0.35">
      <c r="A1003" s="49" t="str">
        <f t="shared" si="86"/>
        <v>37</v>
      </c>
      <c r="B1003" s="27">
        <v>68338</v>
      </c>
      <c r="C1003" s="25" t="str">
        <f>TEXT(135913,"0000000")</f>
        <v>0135913</v>
      </c>
      <c r="D1003" s="27">
        <v>1008</v>
      </c>
      <c r="E1003" s="25" t="s">
        <v>2236</v>
      </c>
      <c r="F1003" s="25" t="s">
        <v>5</v>
      </c>
      <c r="G1003" s="59" t="s">
        <v>2237</v>
      </c>
      <c r="H1003" s="60">
        <v>0</v>
      </c>
      <c r="I1003" s="60">
        <v>0</v>
      </c>
      <c r="J1003" s="60">
        <v>0</v>
      </c>
      <c r="K1003" s="60">
        <v>0</v>
      </c>
      <c r="L1003" s="60">
        <v>0</v>
      </c>
      <c r="M1003" s="60">
        <v>0</v>
      </c>
      <c r="N1003" s="60">
        <v>0</v>
      </c>
      <c r="O1003" s="60">
        <v>0</v>
      </c>
      <c r="P1003" s="60">
        <v>0</v>
      </c>
      <c r="Q1003" s="60">
        <v>0</v>
      </c>
      <c r="R1003" s="60">
        <v>0</v>
      </c>
      <c r="S1003" s="60">
        <v>0</v>
      </c>
      <c r="T1003" s="60">
        <v>0</v>
      </c>
      <c r="U1003" s="60">
        <v>0</v>
      </c>
      <c r="V1003" s="60">
        <v>0</v>
      </c>
      <c r="W1003" s="60">
        <v>0</v>
      </c>
      <c r="X1003" s="60">
        <v>0</v>
      </c>
      <c r="Y1003" s="60">
        <v>0</v>
      </c>
      <c r="Z1003" s="60">
        <v>0</v>
      </c>
      <c r="AA1003" s="60">
        <v>0</v>
      </c>
      <c r="AB1003" s="60">
        <v>0</v>
      </c>
      <c r="AC1003" s="60">
        <v>280.33</v>
      </c>
      <c r="AD1003" s="60">
        <v>327.87</v>
      </c>
      <c r="AE1003" s="60">
        <v>420.52</v>
      </c>
      <c r="AF1003" s="60">
        <v>0</v>
      </c>
      <c r="AG1003" s="60">
        <v>0</v>
      </c>
      <c r="AH1003" s="60">
        <v>0</v>
      </c>
      <c r="AI1003" s="60">
        <v>280.33</v>
      </c>
      <c r="AJ1003" s="60">
        <v>327.87</v>
      </c>
      <c r="AK1003" s="60">
        <v>420.52</v>
      </c>
      <c r="AL1003" s="60">
        <v>0</v>
      </c>
      <c r="AM1003" s="60">
        <v>0</v>
      </c>
      <c r="AN1003" s="60">
        <v>0</v>
      </c>
      <c r="AO1003" s="60">
        <v>280.33</v>
      </c>
      <c r="AP1003" s="60">
        <v>327.87</v>
      </c>
      <c r="AQ1003" s="60">
        <v>420.52</v>
      </c>
      <c r="AR1003" s="61">
        <v>420.52</v>
      </c>
    </row>
    <row r="1004" spans="1:44" x14ac:dyDescent="0.35">
      <c r="A1004" s="49" t="str">
        <f t="shared" si="86"/>
        <v>37</v>
      </c>
      <c r="B1004" s="27">
        <v>68338</v>
      </c>
      <c r="C1004" s="25" t="str">
        <f>TEXT(136663,"0000000")</f>
        <v>0136663</v>
      </c>
      <c r="D1004" s="27">
        <v>1301</v>
      </c>
      <c r="E1004" s="25" t="s">
        <v>2238</v>
      </c>
      <c r="F1004" s="25" t="s">
        <v>5</v>
      </c>
      <c r="G1004" s="59" t="s">
        <v>2239</v>
      </c>
      <c r="H1004" s="60">
        <v>0</v>
      </c>
      <c r="I1004" s="60">
        <v>0</v>
      </c>
      <c r="J1004" s="60">
        <v>0</v>
      </c>
      <c r="K1004" s="60">
        <v>0</v>
      </c>
      <c r="L1004" s="60">
        <v>0</v>
      </c>
      <c r="M1004" s="60">
        <v>0</v>
      </c>
      <c r="N1004" s="60">
        <v>0</v>
      </c>
      <c r="O1004" s="60">
        <v>0</v>
      </c>
      <c r="P1004" s="60">
        <v>0</v>
      </c>
      <c r="Q1004" s="60">
        <v>0</v>
      </c>
      <c r="R1004" s="60">
        <v>0</v>
      </c>
      <c r="S1004" s="60">
        <v>0</v>
      </c>
      <c r="T1004" s="60">
        <v>0</v>
      </c>
      <c r="U1004" s="60">
        <v>0</v>
      </c>
      <c r="V1004" s="60">
        <v>0</v>
      </c>
      <c r="W1004" s="60">
        <v>0</v>
      </c>
      <c r="X1004" s="60">
        <v>0</v>
      </c>
      <c r="Y1004" s="60">
        <v>0</v>
      </c>
      <c r="Z1004" s="60">
        <v>0</v>
      </c>
      <c r="AA1004" s="60">
        <v>0</v>
      </c>
      <c r="AB1004" s="60">
        <v>0</v>
      </c>
      <c r="AC1004" s="60">
        <v>412.65</v>
      </c>
      <c r="AD1004" s="60">
        <v>404.28</v>
      </c>
      <c r="AE1004" s="60">
        <v>442.46</v>
      </c>
      <c r="AF1004" s="60">
        <v>0</v>
      </c>
      <c r="AG1004" s="60">
        <v>0</v>
      </c>
      <c r="AH1004" s="60">
        <v>0</v>
      </c>
      <c r="AI1004" s="60">
        <v>412.65</v>
      </c>
      <c r="AJ1004" s="60">
        <v>404.28</v>
      </c>
      <c r="AK1004" s="60">
        <v>442.46</v>
      </c>
      <c r="AL1004" s="60">
        <v>0</v>
      </c>
      <c r="AM1004" s="60">
        <v>0</v>
      </c>
      <c r="AN1004" s="60">
        <v>0</v>
      </c>
      <c r="AO1004" s="60">
        <v>412.65</v>
      </c>
      <c r="AP1004" s="60">
        <v>404.28</v>
      </c>
      <c r="AQ1004" s="60">
        <v>442.46</v>
      </c>
      <c r="AR1004" s="61">
        <v>442.46</v>
      </c>
    </row>
    <row r="1005" spans="1:44" x14ac:dyDescent="0.35">
      <c r="A1005" s="49" t="str">
        <f>TEXT(1,"00")</f>
        <v>01</v>
      </c>
      <c r="B1005" s="27">
        <v>61259</v>
      </c>
      <c r="C1005" s="25" t="str">
        <f>TEXT(128413,"0000000")</f>
        <v>0128413</v>
      </c>
      <c r="D1005" s="27">
        <v>1577</v>
      </c>
      <c r="E1005" s="25" t="s">
        <v>112</v>
      </c>
      <c r="F1005" s="25" t="s">
        <v>5</v>
      </c>
      <c r="G1005" s="59" t="s">
        <v>113</v>
      </c>
      <c r="H1005" s="60">
        <v>0</v>
      </c>
      <c r="I1005" s="60">
        <v>0</v>
      </c>
      <c r="J1005" s="60">
        <v>0</v>
      </c>
      <c r="K1005" s="60">
        <v>0</v>
      </c>
      <c r="L1005" s="60">
        <v>0</v>
      </c>
      <c r="M1005" s="60">
        <v>0</v>
      </c>
      <c r="N1005" s="60">
        <v>0</v>
      </c>
      <c r="O1005" s="60">
        <v>0</v>
      </c>
      <c r="P1005" s="60">
        <v>0</v>
      </c>
      <c r="Q1005" s="60">
        <v>0</v>
      </c>
      <c r="R1005" s="60">
        <v>0</v>
      </c>
      <c r="S1005" s="60">
        <v>0</v>
      </c>
      <c r="T1005" s="60">
        <v>0</v>
      </c>
      <c r="U1005" s="60">
        <v>0</v>
      </c>
      <c r="V1005" s="60">
        <v>0</v>
      </c>
      <c r="W1005" s="60">
        <v>0</v>
      </c>
      <c r="X1005" s="60">
        <v>0</v>
      </c>
      <c r="Y1005" s="60">
        <v>0</v>
      </c>
      <c r="Z1005" s="60">
        <v>0</v>
      </c>
      <c r="AA1005" s="60">
        <v>0</v>
      </c>
      <c r="AB1005" s="60">
        <v>0</v>
      </c>
      <c r="AC1005" s="60">
        <v>186.22</v>
      </c>
      <c r="AD1005" s="60">
        <v>180.38</v>
      </c>
      <c r="AE1005" s="60">
        <v>197.17</v>
      </c>
      <c r="AF1005" s="60">
        <v>0</v>
      </c>
      <c r="AG1005" s="60">
        <v>0</v>
      </c>
      <c r="AH1005" s="60">
        <v>0</v>
      </c>
      <c r="AI1005" s="60">
        <v>186.22</v>
      </c>
      <c r="AJ1005" s="60">
        <v>180.38</v>
      </c>
      <c r="AK1005" s="60">
        <v>197.17</v>
      </c>
      <c r="AL1005" s="60">
        <v>0</v>
      </c>
      <c r="AM1005" s="60">
        <v>0</v>
      </c>
      <c r="AN1005" s="60">
        <v>0</v>
      </c>
      <c r="AO1005" s="60">
        <v>186.22</v>
      </c>
      <c r="AP1005" s="60">
        <v>180.38</v>
      </c>
      <c r="AQ1005" s="60">
        <v>197.17</v>
      </c>
      <c r="AR1005" s="61">
        <v>197.17</v>
      </c>
    </row>
    <row r="1006" spans="1:44" x14ac:dyDescent="0.35">
      <c r="A1006" s="49" t="str">
        <f t="shared" ref="A1006:A1015" si="87">TEXT(37,"00")</f>
        <v>37</v>
      </c>
      <c r="B1006" s="27">
        <v>68338</v>
      </c>
      <c r="C1006" s="25" t="str">
        <f>TEXT(3730959,"0000000")</f>
        <v>3730959</v>
      </c>
      <c r="D1006" s="26" t="s">
        <v>2242</v>
      </c>
      <c r="E1006" s="25" t="s">
        <v>2240</v>
      </c>
      <c r="F1006" s="25" t="s">
        <v>5</v>
      </c>
      <c r="G1006" s="59" t="s">
        <v>2241</v>
      </c>
      <c r="H1006" s="60">
        <v>0</v>
      </c>
      <c r="I1006" s="60">
        <v>0</v>
      </c>
      <c r="J1006" s="60">
        <v>0</v>
      </c>
      <c r="K1006" s="60">
        <v>0</v>
      </c>
      <c r="L1006" s="60">
        <v>0</v>
      </c>
      <c r="M1006" s="60">
        <v>0</v>
      </c>
      <c r="N1006" s="60">
        <v>0</v>
      </c>
      <c r="O1006" s="60">
        <v>0</v>
      </c>
      <c r="P1006" s="60">
        <v>0</v>
      </c>
      <c r="Q1006" s="60">
        <v>0</v>
      </c>
      <c r="R1006" s="60">
        <v>0</v>
      </c>
      <c r="S1006" s="60">
        <v>0</v>
      </c>
      <c r="T1006" s="60">
        <v>0</v>
      </c>
      <c r="U1006" s="60">
        <v>0</v>
      </c>
      <c r="V1006" s="60">
        <v>0</v>
      </c>
      <c r="W1006" s="60">
        <v>0</v>
      </c>
      <c r="X1006" s="60">
        <v>0</v>
      </c>
      <c r="Y1006" s="60">
        <v>0</v>
      </c>
      <c r="Z1006" s="60">
        <v>0</v>
      </c>
      <c r="AA1006" s="60">
        <v>0</v>
      </c>
      <c r="AB1006" s="60">
        <v>0</v>
      </c>
      <c r="AC1006" s="60">
        <v>1615.75</v>
      </c>
      <c r="AD1006" s="60">
        <v>1556.95</v>
      </c>
      <c r="AE1006" s="60">
        <v>1625.84</v>
      </c>
      <c r="AF1006" s="60">
        <v>0</v>
      </c>
      <c r="AG1006" s="60">
        <v>0</v>
      </c>
      <c r="AH1006" s="60">
        <v>0</v>
      </c>
      <c r="AI1006" s="60">
        <v>1615.75</v>
      </c>
      <c r="AJ1006" s="60">
        <v>1556.95</v>
      </c>
      <c r="AK1006" s="60">
        <v>1625.84</v>
      </c>
      <c r="AL1006" s="60">
        <v>0</v>
      </c>
      <c r="AM1006" s="60">
        <v>0</v>
      </c>
      <c r="AN1006" s="60">
        <v>0</v>
      </c>
      <c r="AO1006" s="60">
        <v>1615.75</v>
      </c>
      <c r="AP1006" s="60">
        <v>1556.95</v>
      </c>
      <c r="AQ1006" s="60">
        <v>1625.84</v>
      </c>
      <c r="AR1006" s="61">
        <v>1625.84</v>
      </c>
    </row>
    <row r="1007" spans="1:44" x14ac:dyDescent="0.35">
      <c r="A1007" s="49" t="str">
        <f t="shared" si="87"/>
        <v>37</v>
      </c>
      <c r="B1007" s="27">
        <v>68338</v>
      </c>
      <c r="C1007" s="25" t="str">
        <f>TEXT(6039457,"0000000")</f>
        <v>6039457</v>
      </c>
      <c r="D1007" s="26" t="s">
        <v>2254</v>
      </c>
      <c r="E1007" s="25" t="s">
        <v>2252</v>
      </c>
      <c r="F1007" s="25" t="s">
        <v>5</v>
      </c>
      <c r="G1007" s="59" t="s">
        <v>2253</v>
      </c>
      <c r="H1007" s="60">
        <v>0</v>
      </c>
      <c r="I1007" s="60">
        <v>0</v>
      </c>
      <c r="J1007" s="60">
        <v>0</v>
      </c>
      <c r="K1007" s="60">
        <v>0</v>
      </c>
      <c r="L1007" s="60">
        <v>0</v>
      </c>
      <c r="M1007" s="60">
        <v>0</v>
      </c>
      <c r="N1007" s="60">
        <v>0</v>
      </c>
      <c r="O1007" s="60">
        <v>0</v>
      </c>
      <c r="P1007" s="60">
        <v>0</v>
      </c>
      <c r="Q1007" s="60">
        <v>0</v>
      </c>
      <c r="R1007" s="60">
        <v>0</v>
      </c>
      <c r="S1007" s="60">
        <v>0</v>
      </c>
      <c r="T1007" s="60">
        <v>0</v>
      </c>
      <c r="U1007" s="60">
        <v>0</v>
      </c>
      <c r="V1007" s="60">
        <v>0</v>
      </c>
      <c r="W1007" s="60">
        <v>0</v>
      </c>
      <c r="X1007" s="60">
        <v>0</v>
      </c>
      <c r="Y1007" s="60">
        <v>0</v>
      </c>
      <c r="Z1007" s="60">
        <v>0</v>
      </c>
      <c r="AA1007" s="60">
        <v>0</v>
      </c>
      <c r="AB1007" s="60">
        <v>0</v>
      </c>
      <c r="AC1007" s="60">
        <v>408.6</v>
      </c>
      <c r="AD1007" s="60">
        <v>420.8</v>
      </c>
      <c r="AE1007" s="60">
        <v>446.55</v>
      </c>
      <c r="AF1007" s="60">
        <v>0</v>
      </c>
      <c r="AG1007" s="60">
        <v>0</v>
      </c>
      <c r="AH1007" s="60">
        <v>0</v>
      </c>
      <c r="AI1007" s="60">
        <v>408.6</v>
      </c>
      <c r="AJ1007" s="60">
        <v>420.8</v>
      </c>
      <c r="AK1007" s="60">
        <v>446.55</v>
      </c>
      <c r="AL1007" s="60">
        <v>0</v>
      </c>
      <c r="AM1007" s="60">
        <v>0</v>
      </c>
      <c r="AN1007" s="60">
        <v>0</v>
      </c>
      <c r="AO1007" s="60">
        <v>408.6</v>
      </c>
      <c r="AP1007" s="60">
        <v>420.8</v>
      </c>
      <c r="AQ1007" s="60">
        <v>446.55</v>
      </c>
      <c r="AR1007" s="61">
        <v>446.55</v>
      </c>
    </row>
    <row r="1008" spans="1:44" x14ac:dyDescent="0.35">
      <c r="A1008" s="49" t="str">
        <f t="shared" si="87"/>
        <v>37</v>
      </c>
      <c r="B1008" s="27">
        <v>68338</v>
      </c>
      <c r="C1008" s="25" t="str">
        <f>TEXT(6039812,"0000000")</f>
        <v>6039812</v>
      </c>
      <c r="D1008" s="26" t="s">
        <v>2257</v>
      </c>
      <c r="E1008" s="25" t="s">
        <v>2255</v>
      </c>
      <c r="F1008" s="25" t="s">
        <v>5</v>
      </c>
      <c r="G1008" s="59" t="s">
        <v>2256</v>
      </c>
      <c r="H1008" s="60">
        <v>0</v>
      </c>
      <c r="I1008" s="60">
        <v>0</v>
      </c>
      <c r="J1008" s="60">
        <v>0</v>
      </c>
      <c r="K1008" s="60">
        <v>0</v>
      </c>
      <c r="L1008" s="60">
        <v>0</v>
      </c>
      <c r="M1008" s="60">
        <v>0</v>
      </c>
      <c r="N1008" s="60">
        <v>0</v>
      </c>
      <c r="O1008" s="60">
        <v>0</v>
      </c>
      <c r="P1008" s="60">
        <v>0</v>
      </c>
      <c r="Q1008" s="60">
        <v>0</v>
      </c>
      <c r="R1008" s="60">
        <v>0</v>
      </c>
      <c r="S1008" s="60">
        <v>0</v>
      </c>
      <c r="T1008" s="60">
        <v>0</v>
      </c>
      <c r="U1008" s="60">
        <v>0</v>
      </c>
      <c r="V1008" s="60">
        <v>0</v>
      </c>
      <c r="W1008" s="60">
        <v>0</v>
      </c>
      <c r="X1008" s="60">
        <v>0</v>
      </c>
      <c r="Y1008" s="60">
        <v>0</v>
      </c>
      <c r="Z1008" s="60">
        <v>0</v>
      </c>
      <c r="AA1008" s="60">
        <v>0</v>
      </c>
      <c r="AB1008" s="60">
        <v>0</v>
      </c>
      <c r="AC1008" s="60">
        <v>554.35</v>
      </c>
      <c r="AD1008" s="60">
        <v>554.19000000000005</v>
      </c>
      <c r="AE1008" s="60">
        <v>512.66999999999996</v>
      </c>
      <c r="AF1008" s="60">
        <v>0</v>
      </c>
      <c r="AG1008" s="60">
        <v>0</v>
      </c>
      <c r="AH1008" s="60">
        <v>0</v>
      </c>
      <c r="AI1008" s="60">
        <v>554.35</v>
      </c>
      <c r="AJ1008" s="60">
        <v>554.19000000000005</v>
      </c>
      <c r="AK1008" s="60">
        <v>512.66999999999996</v>
      </c>
      <c r="AL1008" s="60">
        <v>0</v>
      </c>
      <c r="AM1008" s="60">
        <v>0</v>
      </c>
      <c r="AN1008" s="60">
        <v>0</v>
      </c>
      <c r="AO1008" s="60">
        <v>554.35</v>
      </c>
      <c r="AP1008" s="60">
        <v>554.19000000000005</v>
      </c>
      <c r="AQ1008" s="60">
        <v>512.66999999999996</v>
      </c>
      <c r="AR1008" s="61">
        <v>554.35</v>
      </c>
    </row>
    <row r="1009" spans="1:44" x14ac:dyDescent="0.35">
      <c r="A1009" s="49" t="str">
        <f t="shared" si="87"/>
        <v>37</v>
      </c>
      <c r="B1009" s="27">
        <v>68338</v>
      </c>
      <c r="C1009" s="25" t="str">
        <f>TEXT(6040018,"0000000")</f>
        <v>6040018</v>
      </c>
      <c r="D1009" s="26" t="s">
        <v>2260</v>
      </c>
      <c r="E1009" s="25" t="s">
        <v>2258</v>
      </c>
      <c r="F1009" s="25" t="s">
        <v>5</v>
      </c>
      <c r="G1009" s="59" t="s">
        <v>2259</v>
      </c>
      <c r="H1009" s="60">
        <v>0</v>
      </c>
      <c r="I1009" s="60">
        <v>0</v>
      </c>
      <c r="J1009" s="60">
        <v>0</v>
      </c>
      <c r="K1009" s="60">
        <v>0</v>
      </c>
      <c r="L1009" s="60">
        <v>0</v>
      </c>
      <c r="M1009" s="60">
        <v>0</v>
      </c>
      <c r="N1009" s="60">
        <v>0</v>
      </c>
      <c r="O1009" s="60">
        <v>0</v>
      </c>
      <c r="P1009" s="60">
        <v>0</v>
      </c>
      <c r="Q1009" s="60">
        <v>0</v>
      </c>
      <c r="R1009" s="60">
        <v>0</v>
      </c>
      <c r="S1009" s="60">
        <v>0</v>
      </c>
      <c r="T1009" s="60">
        <v>0</v>
      </c>
      <c r="U1009" s="60">
        <v>0</v>
      </c>
      <c r="V1009" s="60">
        <v>0</v>
      </c>
      <c r="W1009" s="60">
        <v>0</v>
      </c>
      <c r="X1009" s="60">
        <v>0</v>
      </c>
      <c r="Y1009" s="60">
        <v>0</v>
      </c>
      <c r="Z1009" s="60">
        <v>0</v>
      </c>
      <c r="AA1009" s="60">
        <v>0</v>
      </c>
      <c r="AB1009" s="60">
        <v>0</v>
      </c>
      <c r="AC1009" s="60">
        <v>395.39</v>
      </c>
      <c r="AD1009" s="60">
        <v>398.44</v>
      </c>
      <c r="AE1009" s="60">
        <v>373</v>
      </c>
      <c r="AF1009" s="60">
        <v>0</v>
      </c>
      <c r="AG1009" s="60">
        <v>0</v>
      </c>
      <c r="AH1009" s="60">
        <v>0</v>
      </c>
      <c r="AI1009" s="60">
        <v>395.39</v>
      </c>
      <c r="AJ1009" s="60">
        <v>398.44</v>
      </c>
      <c r="AK1009" s="60">
        <v>373</v>
      </c>
      <c r="AL1009" s="60">
        <v>0</v>
      </c>
      <c r="AM1009" s="60">
        <v>0</v>
      </c>
      <c r="AN1009" s="60">
        <v>0</v>
      </c>
      <c r="AO1009" s="60">
        <v>395.39</v>
      </c>
      <c r="AP1009" s="60">
        <v>398.44</v>
      </c>
      <c r="AQ1009" s="60">
        <v>373</v>
      </c>
      <c r="AR1009" s="61">
        <v>398.44</v>
      </c>
    </row>
    <row r="1010" spans="1:44" x14ac:dyDescent="0.35">
      <c r="A1010" s="49" t="str">
        <f t="shared" si="87"/>
        <v>37</v>
      </c>
      <c r="B1010" s="27">
        <v>68338</v>
      </c>
      <c r="C1010" s="25" t="str">
        <f>TEXT(6040190,"0000000")</f>
        <v>6040190</v>
      </c>
      <c r="D1010" s="26" t="s">
        <v>2263</v>
      </c>
      <c r="E1010" s="25" t="s">
        <v>2261</v>
      </c>
      <c r="F1010" s="25" t="s">
        <v>5</v>
      </c>
      <c r="G1010" s="59" t="s">
        <v>2262</v>
      </c>
      <c r="H1010" s="60">
        <v>0</v>
      </c>
      <c r="I1010" s="60">
        <v>0</v>
      </c>
      <c r="J1010" s="60">
        <v>0</v>
      </c>
      <c r="K1010" s="60">
        <v>0</v>
      </c>
      <c r="L1010" s="60">
        <v>0</v>
      </c>
      <c r="M1010" s="60">
        <v>0</v>
      </c>
      <c r="N1010" s="60">
        <v>0</v>
      </c>
      <c r="O1010" s="60">
        <v>0</v>
      </c>
      <c r="P1010" s="60">
        <v>0</v>
      </c>
      <c r="Q1010" s="60">
        <v>0</v>
      </c>
      <c r="R1010" s="60">
        <v>0</v>
      </c>
      <c r="S1010" s="60">
        <v>0</v>
      </c>
      <c r="T1010" s="60">
        <v>0</v>
      </c>
      <c r="U1010" s="60">
        <v>0</v>
      </c>
      <c r="V1010" s="60">
        <v>0</v>
      </c>
      <c r="W1010" s="60">
        <v>0</v>
      </c>
      <c r="X1010" s="60">
        <v>0</v>
      </c>
      <c r="Y1010" s="60">
        <v>0</v>
      </c>
      <c r="Z1010" s="60">
        <v>0</v>
      </c>
      <c r="AA1010" s="60">
        <v>0</v>
      </c>
      <c r="AB1010" s="60">
        <v>0</v>
      </c>
      <c r="AC1010" s="60">
        <v>333.27</v>
      </c>
      <c r="AD1010" s="60">
        <v>309.47000000000003</v>
      </c>
      <c r="AE1010" s="60">
        <v>265.44</v>
      </c>
      <c r="AF1010" s="60">
        <v>0</v>
      </c>
      <c r="AG1010" s="60">
        <v>0</v>
      </c>
      <c r="AH1010" s="60">
        <v>0</v>
      </c>
      <c r="AI1010" s="60">
        <v>333.27</v>
      </c>
      <c r="AJ1010" s="60">
        <v>309.47000000000003</v>
      </c>
      <c r="AK1010" s="60">
        <v>265.44</v>
      </c>
      <c r="AL1010" s="60">
        <v>0</v>
      </c>
      <c r="AM1010" s="60">
        <v>0</v>
      </c>
      <c r="AN1010" s="60">
        <v>0</v>
      </c>
      <c r="AO1010" s="60">
        <v>333.27</v>
      </c>
      <c r="AP1010" s="60">
        <v>309.47000000000003</v>
      </c>
      <c r="AQ1010" s="60">
        <v>265.44</v>
      </c>
      <c r="AR1010" s="61">
        <v>333.27</v>
      </c>
    </row>
    <row r="1011" spans="1:44" x14ac:dyDescent="0.35">
      <c r="A1011" s="49" t="str">
        <f t="shared" si="87"/>
        <v>37</v>
      </c>
      <c r="B1011" s="27">
        <v>68338</v>
      </c>
      <c r="C1011" s="25" t="str">
        <f>TEXT(6113211,"0000000")</f>
        <v>6113211</v>
      </c>
      <c r="D1011" s="26" t="s">
        <v>2269</v>
      </c>
      <c r="E1011" s="25" t="s">
        <v>2267</v>
      </c>
      <c r="F1011" s="25" t="s">
        <v>5</v>
      </c>
      <c r="G1011" s="59" t="s">
        <v>2268</v>
      </c>
      <c r="H1011" s="60">
        <v>0</v>
      </c>
      <c r="I1011" s="60">
        <v>0</v>
      </c>
      <c r="J1011" s="60">
        <v>0</v>
      </c>
      <c r="K1011" s="60">
        <v>0</v>
      </c>
      <c r="L1011" s="60">
        <v>0</v>
      </c>
      <c r="M1011" s="60">
        <v>0</v>
      </c>
      <c r="N1011" s="60">
        <v>0</v>
      </c>
      <c r="O1011" s="60">
        <v>0</v>
      </c>
      <c r="P1011" s="60">
        <v>0</v>
      </c>
      <c r="Q1011" s="60">
        <v>0</v>
      </c>
      <c r="R1011" s="60">
        <v>0</v>
      </c>
      <c r="S1011" s="60">
        <v>0</v>
      </c>
      <c r="T1011" s="60">
        <v>0</v>
      </c>
      <c r="U1011" s="60">
        <v>0</v>
      </c>
      <c r="V1011" s="60">
        <v>0</v>
      </c>
      <c r="W1011" s="60">
        <v>0</v>
      </c>
      <c r="X1011" s="60">
        <v>0</v>
      </c>
      <c r="Y1011" s="60">
        <v>0</v>
      </c>
      <c r="Z1011" s="60">
        <v>0</v>
      </c>
      <c r="AA1011" s="60">
        <v>0</v>
      </c>
      <c r="AB1011" s="60">
        <v>0</v>
      </c>
      <c r="AC1011" s="60">
        <v>102.23</v>
      </c>
      <c r="AD1011" s="60">
        <v>104.16</v>
      </c>
      <c r="AE1011" s="60">
        <v>108.86</v>
      </c>
      <c r="AF1011" s="60">
        <v>0</v>
      </c>
      <c r="AG1011" s="60">
        <v>0</v>
      </c>
      <c r="AH1011" s="60">
        <v>0</v>
      </c>
      <c r="AI1011" s="60">
        <v>102.23</v>
      </c>
      <c r="AJ1011" s="60">
        <v>104.16</v>
      </c>
      <c r="AK1011" s="60">
        <v>108.86</v>
      </c>
      <c r="AL1011" s="60">
        <v>0</v>
      </c>
      <c r="AM1011" s="60">
        <v>0</v>
      </c>
      <c r="AN1011" s="60">
        <v>0</v>
      </c>
      <c r="AO1011" s="60">
        <v>102.23</v>
      </c>
      <c r="AP1011" s="60">
        <v>104.16</v>
      </c>
      <c r="AQ1011" s="60">
        <v>108.86</v>
      </c>
      <c r="AR1011" s="61">
        <v>108.86</v>
      </c>
    </row>
    <row r="1012" spans="1:44" x14ac:dyDescent="0.35">
      <c r="A1012" s="49" t="str">
        <f t="shared" si="87"/>
        <v>37</v>
      </c>
      <c r="B1012" s="27">
        <v>68338</v>
      </c>
      <c r="C1012" s="25" t="str">
        <f>TEXT(6115570,"0000000")</f>
        <v>6115570</v>
      </c>
      <c r="D1012" s="26" t="s">
        <v>2272</v>
      </c>
      <c r="E1012" s="25" t="s">
        <v>2270</v>
      </c>
      <c r="F1012" s="25" t="s">
        <v>5</v>
      </c>
      <c r="G1012" s="59" t="s">
        <v>2271</v>
      </c>
      <c r="H1012" s="60">
        <v>0</v>
      </c>
      <c r="I1012" s="60">
        <v>0</v>
      </c>
      <c r="J1012" s="60">
        <v>0</v>
      </c>
      <c r="K1012" s="60">
        <v>0</v>
      </c>
      <c r="L1012" s="60">
        <v>0</v>
      </c>
      <c r="M1012" s="60">
        <v>0</v>
      </c>
      <c r="N1012" s="60">
        <v>0</v>
      </c>
      <c r="O1012" s="60">
        <v>0</v>
      </c>
      <c r="P1012" s="60">
        <v>0</v>
      </c>
      <c r="Q1012" s="60">
        <v>0</v>
      </c>
      <c r="R1012" s="60">
        <v>0</v>
      </c>
      <c r="S1012" s="60">
        <v>0</v>
      </c>
      <c r="T1012" s="60">
        <v>0</v>
      </c>
      <c r="U1012" s="60">
        <v>0</v>
      </c>
      <c r="V1012" s="60">
        <v>0</v>
      </c>
      <c r="W1012" s="60">
        <v>0</v>
      </c>
      <c r="X1012" s="60">
        <v>0</v>
      </c>
      <c r="Y1012" s="60">
        <v>0</v>
      </c>
      <c r="Z1012" s="60">
        <v>0</v>
      </c>
      <c r="AA1012" s="60">
        <v>0</v>
      </c>
      <c r="AB1012" s="60">
        <v>0</v>
      </c>
      <c r="AC1012" s="60">
        <v>195.51</v>
      </c>
      <c r="AD1012" s="60">
        <v>206.33</v>
      </c>
      <c r="AE1012" s="60">
        <v>210.3</v>
      </c>
      <c r="AF1012" s="60">
        <v>0</v>
      </c>
      <c r="AG1012" s="60">
        <v>0</v>
      </c>
      <c r="AH1012" s="60">
        <v>0</v>
      </c>
      <c r="AI1012" s="60">
        <v>195.51</v>
      </c>
      <c r="AJ1012" s="60">
        <v>206.33</v>
      </c>
      <c r="AK1012" s="60">
        <v>210.3</v>
      </c>
      <c r="AL1012" s="60">
        <v>0</v>
      </c>
      <c r="AM1012" s="60">
        <v>0</v>
      </c>
      <c r="AN1012" s="60">
        <v>0</v>
      </c>
      <c r="AO1012" s="60">
        <v>195.51</v>
      </c>
      <c r="AP1012" s="60">
        <v>206.33</v>
      </c>
      <c r="AQ1012" s="60">
        <v>210.3</v>
      </c>
      <c r="AR1012" s="61">
        <v>210.3</v>
      </c>
    </row>
    <row r="1013" spans="1:44" x14ac:dyDescent="0.35">
      <c r="A1013" s="49" t="str">
        <f t="shared" si="87"/>
        <v>37</v>
      </c>
      <c r="B1013" s="27">
        <v>68338</v>
      </c>
      <c r="C1013" s="25" t="str">
        <f>TEXT(6117279,"0000000")</f>
        <v>6117279</v>
      </c>
      <c r="D1013" s="26" t="s">
        <v>2275</v>
      </c>
      <c r="E1013" s="25" t="s">
        <v>2273</v>
      </c>
      <c r="F1013" s="25" t="s">
        <v>5</v>
      </c>
      <c r="G1013" s="59" t="s">
        <v>2274</v>
      </c>
      <c r="H1013" s="60">
        <v>0</v>
      </c>
      <c r="I1013" s="60">
        <v>0</v>
      </c>
      <c r="J1013" s="60">
        <v>0</v>
      </c>
      <c r="K1013" s="60">
        <v>0</v>
      </c>
      <c r="L1013" s="60">
        <v>0</v>
      </c>
      <c r="M1013" s="60">
        <v>0</v>
      </c>
      <c r="N1013" s="60">
        <v>0</v>
      </c>
      <c r="O1013" s="60">
        <v>0</v>
      </c>
      <c r="P1013" s="60">
        <v>0</v>
      </c>
      <c r="Q1013" s="60">
        <v>0</v>
      </c>
      <c r="R1013" s="60">
        <v>0</v>
      </c>
      <c r="S1013" s="60">
        <v>0</v>
      </c>
      <c r="T1013" s="60">
        <v>0</v>
      </c>
      <c r="U1013" s="60">
        <v>0</v>
      </c>
      <c r="V1013" s="60">
        <v>0</v>
      </c>
      <c r="W1013" s="60">
        <v>0</v>
      </c>
      <c r="X1013" s="60">
        <v>0</v>
      </c>
      <c r="Y1013" s="60">
        <v>0</v>
      </c>
      <c r="Z1013" s="60">
        <v>0</v>
      </c>
      <c r="AA1013" s="60">
        <v>0</v>
      </c>
      <c r="AB1013" s="60">
        <v>0</v>
      </c>
      <c r="AC1013" s="60">
        <v>95.51</v>
      </c>
      <c r="AD1013" s="60">
        <v>86.65</v>
      </c>
      <c r="AE1013" s="60">
        <v>96.15</v>
      </c>
      <c r="AF1013" s="60">
        <v>0</v>
      </c>
      <c r="AG1013" s="60">
        <v>0</v>
      </c>
      <c r="AH1013" s="60">
        <v>0</v>
      </c>
      <c r="AI1013" s="60">
        <v>95.51</v>
      </c>
      <c r="AJ1013" s="60">
        <v>86.65</v>
      </c>
      <c r="AK1013" s="60">
        <v>96.15</v>
      </c>
      <c r="AL1013" s="60">
        <v>0</v>
      </c>
      <c r="AM1013" s="60">
        <v>0</v>
      </c>
      <c r="AN1013" s="60">
        <v>0</v>
      </c>
      <c r="AO1013" s="60">
        <v>95.51</v>
      </c>
      <c r="AP1013" s="60">
        <v>86.65</v>
      </c>
      <c r="AQ1013" s="60">
        <v>96.15</v>
      </c>
      <c r="AR1013" s="61">
        <v>96.15</v>
      </c>
    </row>
    <row r="1014" spans="1:44" x14ac:dyDescent="0.35">
      <c r="A1014" s="49" t="str">
        <f t="shared" si="87"/>
        <v>37</v>
      </c>
      <c r="B1014" s="27">
        <v>68338</v>
      </c>
      <c r="C1014" s="25" t="str">
        <f>TEXT(6117683,"0000000")</f>
        <v>6117683</v>
      </c>
      <c r="D1014" s="26" t="s">
        <v>2278</v>
      </c>
      <c r="E1014" s="25" t="s">
        <v>2276</v>
      </c>
      <c r="F1014" s="25" t="s">
        <v>5</v>
      </c>
      <c r="G1014" s="59" t="s">
        <v>2277</v>
      </c>
      <c r="H1014" s="60">
        <v>0</v>
      </c>
      <c r="I1014" s="60">
        <v>0</v>
      </c>
      <c r="J1014" s="60">
        <v>0</v>
      </c>
      <c r="K1014" s="60">
        <v>0</v>
      </c>
      <c r="L1014" s="60">
        <v>0</v>
      </c>
      <c r="M1014" s="60">
        <v>0</v>
      </c>
      <c r="N1014" s="60">
        <v>0</v>
      </c>
      <c r="O1014" s="60">
        <v>0</v>
      </c>
      <c r="P1014" s="60">
        <v>0</v>
      </c>
      <c r="Q1014" s="60">
        <v>0</v>
      </c>
      <c r="R1014" s="60">
        <v>0</v>
      </c>
      <c r="S1014" s="60">
        <v>0</v>
      </c>
      <c r="T1014" s="60">
        <v>0</v>
      </c>
      <c r="U1014" s="60">
        <v>0</v>
      </c>
      <c r="V1014" s="60">
        <v>0</v>
      </c>
      <c r="W1014" s="60">
        <v>0</v>
      </c>
      <c r="X1014" s="60">
        <v>0</v>
      </c>
      <c r="Y1014" s="60">
        <v>0</v>
      </c>
      <c r="Z1014" s="60">
        <v>0</v>
      </c>
      <c r="AA1014" s="60">
        <v>0</v>
      </c>
      <c r="AB1014" s="60">
        <v>0</v>
      </c>
      <c r="AC1014" s="60">
        <v>340.41</v>
      </c>
      <c r="AD1014" s="60">
        <v>340.44</v>
      </c>
      <c r="AE1014" s="60">
        <v>331.1</v>
      </c>
      <c r="AF1014" s="60">
        <v>0</v>
      </c>
      <c r="AG1014" s="60">
        <v>0</v>
      </c>
      <c r="AH1014" s="60">
        <v>0</v>
      </c>
      <c r="AI1014" s="60">
        <v>340.41</v>
      </c>
      <c r="AJ1014" s="60">
        <v>340.44</v>
      </c>
      <c r="AK1014" s="60">
        <v>331.1</v>
      </c>
      <c r="AL1014" s="60">
        <v>0</v>
      </c>
      <c r="AM1014" s="60">
        <v>0</v>
      </c>
      <c r="AN1014" s="60">
        <v>0</v>
      </c>
      <c r="AO1014" s="60">
        <v>340.41</v>
      </c>
      <c r="AP1014" s="60">
        <v>340.44</v>
      </c>
      <c r="AQ1014" s="60">
        <v>331.1</v>
      </c>
      <c r="AR1014" s="61">
        <v>340.44</v>
      </c>
    </row>
    <row r="1015" spans="1:44" x14ac:dyDescent="0.35">
      <c r="A1015" s="49" t="str">
        <f t="shared" si="87"/>
        <v>37</v>
      </c>
      <c r="B1015" s="27">
        <v>68338</v>
      </c>
      <c r="C1015" s="25" t="str">
        <f>TEXT(6119168,"0000000")</f>
        <v>6119168</v>
      </c>
      <c r="D1015" s="26" t="s">
        <v>2281</v>
      </c>
      <c r="E1015" s="25" t="s">
        <v>2279</v>
      </c>
      <c r="F1015" s="25" t="s">
        <v>5</v>
      </c>
      <c r="G1015" s="59" t="s">
        <v>2280</v>
      </c>
      <c r="H1015" s="60">
        <v>0</v>
      </c>
      <c r="I1015" s="60">
        <v>0</v>
      </c>
      <c r="J1015" s="60">
        <v>0</v>
      </c>
      <c r="K1015" s="60">
        <v>0</v>
      </c>
      <c r="L1015" s="60">
        <v>0</v>
      </c>
      <c r="M1015" s="60">
        <v>0</v>
      </c>
      <c r="N1015" s="60">
        <v>0</v>
      </c>
      <c r="O1015" s="60">
        <v>0</v>
      </c>
      <c r="P1015" s="60">
        <v>0</v>
      </c>
      <c r="Q1015" s="60">
        <v>0</v>
      </c>
      <c r="R1015" s="60">
        <v>0</v>
      </c>
      <c r="S1015" s="60">
        <v>0</v>
      </c>
      <c r="T1015" s="60">
        <v>0</v>
      </c>
      <c r="U1015" s="60">
        <v>0</v>
      </c>
      <c r="V1015" s="60">
        <v>0</v>
      </c>
      <c r="W1015" s="60">
        <v>0</v>
      </c>
      <c r="X1015" s="60">
        <v>0</v>
      </c>
      <c r="Y1015" s="60">
        <v>0</v>
      </c>
      <c r="Z1015" s="60">
        <v>0</v>
      </c>
      <c r="AA1015" s="60">
        <v>0</v>
      </c>
      <c r="AB1015" s="60">
        <v>0</v>
      </c>
      <c r="AC1015" s="60">
        <v>433.6</v>
      </c>
      <c r="AD1015" s="60">
        <v>404.77</v>
      </c>
      <c r="AE1015" s="60">
        <v>398.81</v>
      </c>
      <c r="AF1015" s="60">
        <v>0</v>
      </c>
      <c r="AG1015" s="60">
        <v>0</v>
      </c>
      <c r="AH1015" s="60">
        <v>0</v>
      </c>
      <c r="AI1015" s="60">
        <v>433.6</v>
      </c>
      <c r="AJ1015" s="60">
        <v>404.77</v>
      </c>
      <c r="AK1015" s="60">
        <v>398.81</v>
      </c>
      <c r="AL1015" s="60">
        <v>0</v>
      </c>
      <c r="AM1015" s="60">
        <v>0</v>
      </c>
      <c r="AN1015" s="60">
        <v>0</v>
      </c>
      <c r="AO1015" s="60">
        <v>433.6</v>
      </c>
      <c r="AP1015" s="60">
        <v>404.77</v>
      </c>
      <c r="AQ1015" s="60">
        <v>398.81</v>
      </c>
      <c r="AR1015" s="61">
        <v>433.6</v>
      </c>
    </row>
    <row r="1016" spans="1:44" x14ac:dyDescent="0.35">
      <c r="A1016" s="49" t="str">
        <f>TEXT(1,"00")</f>
        <v>01</v>
      </c>
      <c r="B1016" s="27">
        <v>61259</v>
      </c>
      <c r="C1016" s="25" t="str">
        <f>TEXT(129635,"0000000")</f>
        <v>0129635</v>
      </c>
      <c r="D1016" s="27">
        <v>1661</v>
      </c>
      <c r="E1016" s="25" t="s">
        <v>114</v>
      </c>
      <c r="F1016" s="25" t="s">
        <v>5</v>
      </c>
      <c r="G1016" s="59" t="s">
        <v>115</v>
      </c>
      <c r="H1016" s="60">
        <v>0</v>
      </c>
      <c r="I1016" s="60">
        <v>0</v>
      </c>
      <c r="J1016" s="60">
        <v>0</v>
      </c>
      <c r="K1016" s="60">
        <v>0</v>
      </c>
      <c r="L1016" s="60">
        <v>0</v>
      </c>
      <c r="M1016" s="60">
        <v>0</v>
      </c>
      <c r="N1016" s="60">
        <v>0</v>
      </c>
      <c r="O1016" s="60">
        <v>0</v>
      </c>
      <c r="P1016" s="60">
        <v>0</v>
      </c>
      <c r="Q1016" s="60">
        <v>0</v>
      </c>
      <c r="R1016" s="60">
        <v>0</v>
      </c>
      <c r="S1016" s="60">
        <v>0</v>
      </c>
      <c r="T1016" s="60">
        <v>0</v>
      </c>
      <c r="U1016" s="60">
        <v>0</v>
      </c>
      <c r="V1016" s="60">
        <v>0</v>
      </c>
      <c r="W1016" s="60">
        <v>0</v>
      </c>
      <c r="X1016" s="60">
        <v>0</v>
      </c>
      <c r="Y1016" s="60">
        <v>0</v>
      </c>
      <c r="Z1016" s="60">
        <v>0</v>
      </c>
      <c r="AA1016" s="60">
        <v>0</v>
      </c>
      <c r="AB1016" s="60">
        <v>0</v>
      </c>
      <c r="AC1016" s="60">
        <v>255.29</v>
      </c>
      <c r="AD1016" s="60">
        <v>251.87</v>
      </c>
      <c r="AE1016" s="60">
        <v>264.68</v>
      </c>
      <c r="AF1016" s="60">
        <v>0</v>
      </c>
      <c r="AG1016" s="60">
        <v>0</v>
      </c>
      <c r="AH1016" s="60">
        <v>0</v>
      </c>
      <c r="AI1016" s="60">
        <v>255.29</v>
      </c>
      <c r="AJ1016" s="60">
        <v>251.87</v>
      </c>
      <c r="AK1016" s="60">
        <v>264.68</v>
      </c>
      <c r="AL1016" s="60">
        <v>0</v>
      </c>
      <c r="AM1016" s="60">
        <v>0</v>
      </c>
      <c r="AN1016" s="60">
        <v>0</v>
      </c>
      <c r="AO1016" s="60">
        <v>255.29</v>
      </c>
      <c r="AP1016" s="60">
        <v>251.87</v>
      </c>
      <c r="AQ1016" s="60">
        <v>264.68</v>
      </c>
      <c r="AR1016" s="61">
        <v>264.68</v>
      </c>
    </row>
    <row r="1017" spans="1:44" x14ac:dyDescent="0.35">
      <c r="A1017" s="49" t="str">
        <f t="shared" ref="A1017:A1026" si="88">TEXT(37,"00")</f>
        <v>37</v>
      </c>
      <c r="B1017" s="27">
        <v>68338</v>
      </c>
      <c r="C1017" s="25" t="str">
        <f>TEXT(6119598,"0000000")</f>
        <v>6119598</v>
      </c>
      <c r="D1017" s="26" t="s">
        <v>2284</v>
      </c>
      <c r="E1017" s="25" t="s">
        <v>2282</v>
      </c>
      <c r="F1017" s="25" t="s">
        <v>5</v>
      </c>
      <c r="G1017" s="59" t="s">
        <v>2283</v>
      </c>
      <c r="H1017" s="60">
        <v>0</v>
      </c>
      <c r="I1017" s="60">
        <v>0</v>
      </c>
      <c r="J1017" s="60">
        <v>0</v>
      </c>
      <c r="K1017" s="60">
        <v>0</v>
      </c>
      <c r="L1017" s="60">
        <v>0</v>
      </c>
      <c r="M1017" s="60">
        <v>0</v>
      </c>
      <c r="N1017" s="60">
        <v>0</v>
      </c>
      <c r="O1017" s="60">
        <v>0</v>
      </c>
      <c r="P1017" s="60">
        <v>0</v>
      </c>
      <c r="Q1017" s="60">
        <v>0</v>
      </c>
      <c r="R1017" s="60">
        <v>0</v>
      </c>
      <c r="S1017" s="60">
        <v>0</v>
      </c>
      <c r="T1017" s="60">
        <v>0</v>
      </c>
      <c r="U1017" s="60">
        <v>0</v>
      </c>
      <c r="V1017" s="60">
        <v>0</v>
      </c>
      <c r="W1017" s="60">
        <v>0</v>
      </c>
      <c r="X1017" s="60">
        <v>0</v>
      </c>
      <c r="Y1017" s="60">
        <v>0</v>
      </c>
      <c r="Z1017" s="60">
        <v>0</v>
      </c>
      <c r="AA1017" s="60">
        <v>0</v>
      </c>
      <c r="AB1017" s="60">
        <v>0</v>
      </c>
      <c r="AC1017" s="60">
        <v>229.5</v>
      </c>
      <c r="AD1017" s="60">
        <v>225.73</v>
      </c>
      <c r="AE1017" s="60">
        <v>226.01</v>
      </c>
      <c r="AF1017" s="60">
        <v>0</v>
      </c>
      <c r="AG1017" s="60">
        <v>0</v>
      </c>
      <c r="AH1017" s="60">
        <v>0</v>
      </c>
      <c r="AI1017" s="60">
        <v>229.5</v>
      </c>
      <c r="AJ1017" s="60">
        <v>225.73</v>
      </c>
      <c r="AK1017" s="60">
        <v>226.01</v>
      </c>
      <c r="AL1017" s="60">
        <v>0</v>
      </c>
      <c r="AM1017" s="60">
        <v>0</v>
      </c>
      <c r="AN1017" s="60">
        <v>0</v>
      </c>
      <c r="AO1017" s="60">
        <v>229.5</v>
      </c>
      <c r="AP1017" s="60">
        <v>225.73</v>
      </c>
      <c r="AQ1017" s="60">
        <v>226.01</v>
      </c>
      <c r="AR1017" s="61">
        <v>229.5</v>
      </c>
    </row>
    <row r="1018" spans="1:44" x14ac:dyDescent="0.35">
      <c r="A1018" s="49" t="str">
        <f t="shared" si="88"/>
        <v>37</v>
      </c>
      <c r="B1018" s="27">
        <v>68338</v>
      </c>
      <c r="C1018" s="25" t="str">
        <f>TEXT(6061964,"0000000")</f>
        <v>6061964</v>
      </c>
      <c r="D1018" s="26" t="s">
        <v>2266</v>
      </c>
      <c r="E1018" s="25" t="s">
        <v>2264</v>
      </c>
      <c r="F1018" s="25" t="s">
        <v>5</v>
      </c>
      <c r="G1018" s="59" t="s">
        <v>2265</v>
      </c>
      <c r="H1018" s="60">
        <v>0</v>
      </c>
      <c r="I1018" s="60">
        <v>0</v>
      </c>
      <c r="J1018" s="60">
        <v>0</v>
      </c>
      <c r="K1018" s="60">
        <v>0</v>
      </c>
      <c r="L1018" s="60">
        <v>0</v>
      </c>
      <c r="M1018" s="60">
        <v>0</v>
      </c>
      <c r="N1018" s="60">
        <v>0</v>
      </c>
      <c r="O1018" s="60">
        <v>0</v>
      </c>
      <c r="P1018" s="60">
        <v>0</v>
      </c>
      <c r="Q1018" s="60">
        <v>0</v>
      </c>
      <c r="R1018" s="60">
        <v>0</v>
      </c>
      <c r="S1018" s="60">
        <v>0</v>
      </c>
      <c r="T1018" s="60">
        <v>0</v>
      </c>
      <c r="U1018" s="60">
        <v>0</v>
      </c>
      <c r="V1018" s="60">
        <v>0</v>
      </c>
      <c r="W1018" s="60">
        <v>0</v>
      </c>
      <c r="X1018" s="60">
        <v>0</v>
      </c>
      <c r="Y1018" s="60">
        <v>0</v>
      </c>
      <c r="Z1018" s="60">
        <v>0</v>
      </c>
      <c r="AA1018" s="60">
        <v>0</v>
      </c>
      <c r="AB1018" s="60">
        <v>0</v>
      </c>
      <c r="AC1018" s="60">
        <v>1727.95</v>
      </c>
      <c r="AD1018" s="60">
        <v>1718.84</v>
      </c>
      <c r="AE1018" s="60">
        <v>1698.27</v>
      </c>
      <c r="AF1018" s="60">
        <v>0</v>
      </c>
      <c r="AG1018" s="60">
        <v>0</v>
      </c>
      <c r="AH1018" s="60">
        <v>0</v>
      </c>
      <c r="AI1018" s="60">
        <v>1727.95</v>
      </c>
      <c r="AJ1018" s="60">
        <v>1718.84</v>
      </c>
      <c r="AK1018" s="60">
        <v>1698.27</v>
      </c>
      <c r="AL1018" s="60">
        <v>0</v>
      </c>
      <c r="AM1018" s="60">
        <v>0</v>
      </c>
      <c r="AN1018" s="60">
        <v>0</v>
      </c>
      <c r="AO1018" s="60">
        <v>1727.95</v>
      </c>
      <c r="AP1018" s="60">
        <v>1718.84</v>
      </c>
      <c r="AQ1018" s="60">
        <v>1698.27</v>
      </c>
      <c r="AR1018" s="61">
        <v>1727.95</v>
      </c>
    </row>
    <row r="1019" spans="1:44" x14ac:dyDescent="0.35">
      <c r="A1019" s="49" t="str">
        <f t="shared" si="88"/>
        <v>37</v>
      </c>
      <c r="B1019" s="27">
        <v>68338</v>
      </c>
      <c r="C1019" s="25" t="str">
        <f>TEXT(3731189,"0000000")</f>
        <v>3731189</v>
      </c>
      <c r="D1019" s="26" t="s">
        <v>2245</v>
      </c>
      <c r="E1019" s="25" t="s">
        <v>2243</v>
      </c>
      <c r="F1019" s="25" t="s">
        <v>5</v>
      </c>
      <c r="G1019" s="59" t="s">
        <v>2244</v>
      </c>
      <c r="H1019" s="60">
        <v>0</v>
      </c>
      <c r="I1019" s="60">
        <v>0</v>
      </c>
      <c r="J1019" s="60">
        <v>0</v>
      </c>
      <c r="K1019" s="60">
        <v>0</v>
      </c>
      <c r="L1019" s="60">
        <v>0</v>
      </c>
      <c r="M1019" s="60">
        <v>0</v>
      </c>
      <c r="N1019" s="60">
        <v>0</v>
      </c>
      <c r="O1019" s="60">
        <v>0</v>
      </c>
      <c r="P1019" s="60">
        <v>0</v>
      </c>
      <c r="Q1019" s="60">
        <v>0</v>
      </c>
      <c r="R1019" s="60">
        <v>0</v>
      </c>
      <c r="S1019" s="60">
        <v>0</v>
      </c>
      <c r="T1019" s="60">
        <v>0</v>
      </c>
      <c r="U1019" s="60">
        <v>0</v>
      </c>
      <c r="V1019" s="60">
        <v>0</v>
      </c>
      <c r="W1019" s="60">
        <v>0</v>
      </c>
      <c r="X1019" s="60">
        <v>0</v>
      </c>
      <c r="Y1019" s="60">
        <v>0</v>
      </c>
      <c r="Z1019" s="60">
        <v>0</v>
      </c>
      <c r="AA1019" s="60">
        <v>0</v>
      </c>
      <c r="AB1019" s="60">
        <v>0</v>
      </c>
      <c r="AC1019" s="60">
        <v>806.67</v>
      </c>
      <c r="AD1019" s="60">
        <v>790.44</v>
      </c>
      <c r="AE1019" s="60">
        <v>789.66</v>
      </c>
      <c r="AF1019" s="60">
        <v>0</v>
      </c>
      <c r="AG1019" s="60">
        <v>0</v>
      </c>
      <c r="AH1019" s="60">
        <v>0</v>
      </c>
      <c r="AI1019" s="60">
        <v>806.67</v>
      </c>
      <c r="AJ1019" s="60">
        <v>790.44</v>
      </c>
      <c r="AK1019" s="60">
        <v>789.66</v>
      </c>
      <c r="AL1019" s="60">
        <v>0</v>
      </c>
      <c r="AM1019" s="60">
        <v>0</v>
      </c>
      <c r="AN1019" s="60">
        <v>0</v>
      </c>
      <c r="AO1019" s="60">
        <v>806.67</v>
      </c>
      <c r="AP1019" s="60">
        <v>790.44</v>
      </c>
      <c r="AQ1019" s="60">
        <v>789.66</v>
      </c>
      <c r="AR1019" s="61">
        <v>806.67</v>
      </c>
    </row>
    <row r="1020" spans="1:44" x14ac:dyDescent="0.35">
      <c r="A1020" s="49" t="str">
        <f t="shared" si="88"/>
        <v>37</v>
      </c>
      <c r="B1020" s="27">
        <v>68338</v>
      </c>
      <c r="C1020" s="25" t="str">
        <f>TEXT(3731247,"0000000")</f>
        <v>3731247</v>
      </c>
      <c r="D1020" s="26" t="s">
        <v>2248</v>
      </c>
      <c r="E1020" s="25" t="s">
        <v>2246</v>
      </c>
      <c r="F1020" s="25" t="s">
        <v>5</v>
      </c>
      <c r="G1020" s="59" t="s">
        <v>2247</v>
      </c>
      <c r="H1020" s="60">
        <v>0</v>
      </c>
      <c r="I1020" s="60">
        <v>0</v>
      </c>
      <c r="J1020" s="60">
        <v>0</v>
      </c>
      <c r="K1020" s="60">
        <v>0</v>
      </c>
      <c r="L1020" s="60">
        <v>0</v>
      </c>
      <c r="M1020" s="60">
        <v>0</v>
      </c>
      <c r="N1020" s="60">
        <v>0</v>
      </c>
      <c r="O1020" s="60">
        <v>0</v>
      </c>
      <c r="P1020" s="60">
        <v>0</v>
      </c>
      <c r="Q1020" s="60">
        <v>0</v>
      </c>
      <c r="R1020" s="60">
        <v>0</v>
      </c>
      <c r="S1020" s="60">
        <v>0</v>
      </c>
      <c r="T1020" s="60">
        <v>0</v>
      </c>
      <c r="U1020" s="60">
        <v>0</v>
      </c>
      <c r="V1020" s="60">
        <v>0</v>
      </c>
      <c r="W1020" s="60">
        <v>0</v>
      </c>
      <c r="X1020" s="60">
        <v>0</v>
      </c>
      <c r="Y1020" s="60">
        <v>0</v>
      </c>
      <c r="Z1020" s="60">
        <v>0</v>
      </c>
      <c r="AA1020" s="60">
        <v>0</v>
      </c>
      <c r="AB1020" s="60">
        <v>0</v>
      </c>
      <c r="AC1020" s="60">
        <v>441.76</v>
      </c>
      <c r="AD1020" s="60">
        <v>466.31</v>
      </c>
      <c r="AE1020" s="60">
        <v>470.52</v>
      </c>
      <c r="AF1020" s="60">
        <v>0</v>
      </c>
      <c r="AG1020" s="60">
        <v>0</v>
      </c>
      <c r="AH1020" s="60">
        <v>0</v>
      </c>
      <c r="AI1020" s="60">
        <v>441.76</v>
      </c>
      <c r="AJ1020" s="60">
        <v>466.31</v>
      </c>
      <c r="AK1020" s="60">
        <v>470.52</v>
      </c>
      <c r="AL1020" s="60">
        <v>0</v>
      </c>
      <c r="AM1020" s="60">
        <v>0</v>
      </c>
      <c r="AN1020" s="60">
        <v>0</v>
      </c>
      <c r="AO1020" s="60">
        <v>441.76</v>
      </c>
      <c r="AP1020" s="60">
        <v>466.31</v>
      </c>
      <c r="AQ1020" s="60">
        <v>470.52</v>
      </c>
      <c r="AR1020" s="61">
        <v>470.52</v>
      </c>
    </row>
    <row r="1021" spans="1:44" x14ac:dyDescent="0.35">
      <c r="A1021" s="49" t="str">
        <f t="shared" si="88"/>
        <v>37</v>
      </c>
      <c r="B1021" s="27">
        <v>68338</v>
      </c>
      <c r="C1021" s="25" t="str">
        <f>TEXT(3731395,"0000000")</f>
        <v>3731395</v>
      </c>
      <c r="D1021" s="26" t="s">
        <v>2251</v>
      </c>
      <c r="E1021" s="25" t="s">
        <v>2249</v>
      </c>
      <c r="F1021" s="25" t="s">
        <v>5</v>
      </c>
      <c r="G1021" s="59" t="s">
        <v>2250</v>
      </c>
      <c r="H1021" s="60">
        <v>0</v>
      </c>
      <c r="I1021" s="60">
        <v>0</v>
      </c>
      <c r="J1021" s="60">
        <v>0</v>
      </c>
      <c r="K1021" s="60">
        <v>0</v>
      </c>
      <c r="L1021" s="60">
        <v>0</v>
      </c>
      <c r="M1021" s="60">
        <v>0</v>
      </c>
      <c r="N1021" s="60">
        <v>0</v>
      </c>
      <c r="O1021" s="60">
        <v>0</v>
      </c>
      <c r="P1021" s="60">
        <v>0</v>
      </c>
      <c r="Q1021" s="60">
        <v>0</v>
      </c>
      <c r="R1021" s="60">
        <v>0</v>
      </c>
      <c r="S1021" s="60">
        <v>0</v>
      </c>
      <c r="T1021" s="60">
        <v>0</v>
      </c>
      <c r="U1021" s="60">
        <v>0</v>
      </c>
      <c r="V1021" s="60">
        <v>0</v>
      </c>
      <c r="W1021" s="60">
        <v>0</v>
      </c>
      <c r="X1021" s="60">
        <v>0</v>
      </c>
      <c r="Y1021" s="60">
        <v>0</v>
      </c>
      <c r="Z1021" s="60">
        <v>0</v>
      </c>
      <c r="AA1021" s="60">
        <v>0</v>
      </c>
      <c r="AB1021" s="60">
        <v>0</v>
      </c>
      <c r="AC1021" s="60">
        <v>535.73</v>
      </c>
      <c r="AD1021" s="60">
        <v>415.83</v>
      </c>
      <c r="AE1021" s="60">
        <v>412.7</v>
      </c>
      <c r="AF1021" s="60">
        <v>0</v>
      </c>
      <c r="AG1021" s="60">
        <v>0</v>
      </c>
      <c r="AH1021" s="60">
        <v>0</v>
      </c>
      <c r="AI1021" s="60">
        <v>535.73</v>
      </c>
      <c r="AJ1021" s="60">
        <v>415.83</v>
      </c>
      <c r="AK1021" s="60">
        <v>412.7</v>
      </c>
      <c r="AL1021" s="60">
        <v>0</v>
      </c>
      <c r="AM1021" s="60">
        <v>0</v>
      </c>
      <c r="AN1021" s="60">
        <v>0</v>
      </c>
      <c r="AO1021" s="60">
        <v>535.73</v>
      </c>
      <c r="AP1021" s="60">
        <v>415.83</v>
      </c>
      <c r="AQ1021" s="60">
        <v>412.7</v>
      </c>
      <c r="AR1021" s="61">
        <v>535.73</v>
      </c>
    </row>
    <row r="1022" spans="1:44" x14ac:dyDescent="0.35">
      <c r="A1022" s="49" t="str">
        <f t="shared" si="88"/>
        <v>37</v>
      </c>
      <c r="B1022" s="27">
        <v>68411</v>
      </c>
      <c r="C1022" s="25" t="str">
        <f>TEXT(126086,"0000000")</f>
        <v>0126086</v>
      </c>
      <c r="D1022" s="27">
        <v>1407</v>
      </c>
      <c r="E1022" s="25" t="s">
        <v>2301</v>
      </c>
      <c r="F1022" s="25" t="s">
        <v>5</v>
      </c>
      <c r="G1022" s="59" t="s">
        <v>2302</v>
      </c>
      <c r="H1022" s="60">
        <v>0</v>
      </c>
      <c r="I1022" s="60">
        <v>0</v>
      </c>
      <c r="J1022" s="60">
        <v>0</v>
      </c>
      <c r="K1022" s="60">
        <v>0</v>
      </c>
      <c r="L1022" s="60">
        <v>0</v>
      </c>
      <c r="M1022" s="60">
        <v>0</v>
      </c>
      <c r="N1022" s="60">
        <v>0</v>
      </c>
      <c r="O1022" s="60">
        <v>0</v>
      </c>
      <c r="P1022" s="60">
        <v>0</v>
      </c>
      <c r="Q1022" s="60">
        <v>0</v>
      </c>
      <c r="R1022" s="60">
        <v>0</v>
      </c>
      <c r="S1022" s="60">
        <v>0</v>
      </c>
      <c r="T1022" s="60">
        <v>0</v>
      </c>
      <c r="U1022" s="60">
        <v>0</v>
      </c>
      <c r="V1022" s="60">
        <v>0</v>
      </c>
      <c r="W1022" s="60">
        <v>0</v>
      </c>
      <c r="X1022" s="60">
        <v>0</v>
      </c>
      <c r="Y1022" s="60">
        <v>0</v>
      </c>
      <c r="Z1022" s="60">
        <v>0</v>
      </c>
      <c r="AA1022" s="60">
        <v>0</v>
      </c>
      <c r="AB1022" s="60">
        <v>0</v>
      </c>
      <c r="AC1022" s="60">
        <v>1206.77</v>
      </c>
      <c r="AD1022" s="60">
        <v>1181.73</v>
      </c>
      <c r="AE1022" s="60">
        <v>1143.95</v>
      </c>
      <c r="AF1022" s="60">
        <v>0</v>
      </c>
      <c r="AG1022" s="60">
        <v>0</v>
      </c>
      <c r="AH1022" s="60">
        <v>0</v>
      </c>
      <c r="AI1022" s="60">
        <v>1206.77</v>
      </c>
      <c r="AJ1022" s="60">
        <v>1181.73</v>
      </c>
      <c r="AK1022" s="60">
        <v>1143.95</v>
      </c>
      <c r="AL1022" s="60">
        <v>0</v>
      </c>
      <c r="AM1022" s="60">
        <v>0</v>
      </c>
      <c r="AN1022" s="60">
        <v>0</v>
      </c>
      <c r="AO1022" s="60">
        <v>1206.77</v>
      </c>
      <c r="AP1022" s="60">
        <v>1181.73</v>
      </c>
      <c r="AQ1022" s="60">
        <v>1143.95</v>
      </c>
      <c r="AR1022" s="61">
        <v>1206.77</v>
      </c>
    </row>
    <row r="1023" spans="1:44" x14ac:dyDescent="0.35">
      <c r="A1023" s="49" t="str">
        <f t="shared" si="88"/>
        <v>37</v>
      </c>
      <c r="B1023" s="27">
        <v>68411</v>
      </c>
      <c r="C1023" s="25" t="str">
        <f>TEXT(3731304,"0000000")</f>
        <v>3731304</v>
      </c>
      <c r="D1023" s="26" t="s">
        <v>2305</v>
      </c>
      <c r="E1023" s="25" t="s">
        <v>2303</v>
      </c>
      <c r="F1023" s="25" t="s">
        <v>5</v>
      </c>
      <c r="G1023" s="59" t="s">
        <v>2304</v>
      </c>
      <c r="H1023" s="60">
        <v>0</v>
      </c>
      <c r="I1023" s="60">
        <v>0</v>
      </c>
      <c r="J1023" s="60">
        <v>0</v>
      </c>
      <c r="K1023" s="60">
        <v>0</v>
      </c>
      <c r="L1023" s="60">
        <v>0</v>
      </c>
      <c r="M1023" s="60">
        <v>0</v>
      </c>
      <c r="N1023" s="60">
        <v>0</v>
      </c>
      <c r="O1023" s="60">
        <v>0</v>
      </c>
      <c r="P1023" s="60">
        <v>0</v>
      </c>
      <c r="Q1023" s="60">
        <v>0</v>
      </c>
      <c r="R1023" s="60">
        <v>0</v>
      </c>
      <c r="S1023" s="60">
        <v>0</v>
      </c>
      <c r="T1023" s="60">
        <v>0</v>
      </c>
      <c r="U1023" s="60">
        <v>0</v>
      </c>
      <c r="V1023" s="60">
        <v>0</v>
      </c>
      <c r="W1023" s="60">
        <v>0</v>
      </c>
      <c r="X1023" s="60">
        <v>0</v>
      </c>
      <c r="Y1023" s="60">
        <v>0</v>
      </c>
      <c r="Z1023" s="60">
        <v>0</v>
      </c>
      <c r="AA1023" s="60">
        <v>0</v>
      </c>
      <c r="AB1023" s="60">
        <v>0</v>
      </c>
      <c r="AC1023" s="60">
        <v>155.49</v>
      </c>
      <c r="AD1023" s="60">
        <v>175.78</v>
      </c>
      <c r="AE1023" s="60">
        <v>141.47999999999999</v>
      </c>
      <c r="AF1023" s="60">
        <v>0</v>
      </c>
      <c r="AG1023" s="60">
        <v>0</v>
      </c>
      <c r="AH1023" s="60">
        <v>0</v>
      </c>
      <c r="AI1023" s="60">
        <v>155.49</v>
      </c>
      <c r="AJ1023" s="60">
        <v>175.78</v>
      </c>
      <c r="AK1023" s="60">
        <v>141.47999999999999</v>
      </c>
      <c r="AL1023" s="60">
        <v>0</v>
      </c>
      <c r="AM1023" s="60">
        <v>0</v>
      </c>
      <c r="AN1023" s="60">
        <v>0</v>
      </c>
      <c r="AO1023" s="60">
        <v>155.49</v>
      </c>
      <c r="AP1023" s="60">
        <v>175.78</v>
      </c>
      <c r="AQ1023" s="60">
        <v>141.47999999999999</v>
      </c>
      <c r="AR1023" s="61">
        <v>175.78</v>
      </c>
    </row>
    <row r="1024" spans="1:44" x14ac:dyDescent="0.35">
      <c r="A1024" s="49" t="str">
        <f t="shared" si="88"/>
        <v>37</v>
      </c>
      <c r="B1024" s="27">
        <v>68452</v>
      </c>
      <c r="C1024" s="25" t="str">
        <f>TEXT(124917,"0000000")</f>
        <v>0124917</v>
      </c>
      <c r="D1024" s="27">
        <v>1351</v>
      </c>
      <c r="E1024" s="25" t="s">
        <v>2310</v>
      </c>
      <c r="F1024" s="25" t="s">
        <v>5</v>
      </c>
      <c r="G1024" s="59" t="s">
        <v>2311</v>
      </c>
      <c r="H1024" s="60">
        <v>0</v>
      </c>
      <c r="I1024" s="60">
        <v>0</v>
      </c>
      <c r="J1024" s="60">
        <v>0</v>
      </c>
      <c r="K1024" s="60">
        <v>0</v>
      </c>
      <c r="L1024" s="60">
        <v>0</v>
      </c>
      <c r="M1024" s="60">
        <v>0</v>
      </c>
      <c r="N1024" s="60">
        <v>0</v>
      </c>
      <c r="O1024" s="60">
        <v>0</v>
      </c>
      <c r="P1024" s="60">
        <v>0</v>
      </c>
      <c r="Q1024" s="60">
        <v>0</v>
      </c>
      <c r="R1024" s="60">
        <v>0</v>
      </c>
      <c r="S1024" s="60">
        <v>0</v>
      </c>
      <c r="T1024" s="60">
        <v>0</v>
      </c>
      <c r="U1024" s="60">
        <v>0</v>
      </c>
      <c r="V1024" s="60">
        <v>0</v>
      </c>
      <c r="W1024" s="60">
        <v>0</v>
      </c>
      <c r="X1024" s="60">
        <v>0</v>
      </c>
      <c r="Y1024" s="60">
        <v>0</v>
      </c>
      <c r="Z1024" s="60">
        <v>0</v>
      </c>
      <c r="AA1024" s="60">
        <v>0</v>
      </c>
      <c r="AB1024" s="60">
        <v>0</v>
      </c>
      <c r="AC1024" s="60">
        <v>73.959999999999994</v>
      </c>
      <c r="AD1024" s="60">
        <v>59.51</v>
      </c>
      <c r="AE1024" s="60">
        <v>67.040000000000006</v>
      </c>
      <c r="AF1024" s="60">
        <v>0</v>
      </c>
      <c r="AG1024" s="60">
        <v>0</v>
      </c>
      <c r="AH1024" s="60">
        <v>0</v>
      </c>
      <c r="AI1024" s="60">
        <v>73.959999999999994</v>
      </c>
      <c r="AJ1024" s="60">
        <v>59.51</v>
      </c>
      <c r="AK1024" s="60">
        <v>67.040000000000006</v>
      </c>
      <c r="AL1024" s="60">
        <v>0</v>
      </c>
      <c r="AM1024" s="60">
        <v>0</v>
      </c>
      <c r="AN1024" s="60">
        <v>0</v>
      </c>
      <c r="AO1024" s="60">
        <v>73.959999999999994</v>
      </c>
      <c r="AP1024" s="60">
        <v>59.51</v>
      </c>
      <c r="AQ1024" s="60">
        <v>67.040000000000006</v>
      </c>
      <c r="AR1024" s="61">
        <v>73.959999999999994</v>
      </c>
    </row>
    <row r="1025" spans="1:44" x14ac:dyDescent="0.35">
      <c r="A1025" s="49" t="str">
        <f t="shared" si="88"/>
        <v>37</v>
      </c>
      <c r="B1025" s="27">
        <v>68452</v>
      </c>
      <c r="C1025" s="25" t="str">
        <f>TEXT(128223,"0000000")</f>
        <v>0128223</v>
      </c>
      <c r="D1025" s="27">
        <v>1515</v>
      </c>
      <c r="E1025" s="25" t="s">
        <v>2312</v>
      </c>
      <c r="F1025" s="25" t="s">
        <v>5</v>
      </c>
      <c r="G1025" s="59" t="s">
        <v>2313</v>
      </c>
      <c r="H1025" s="60">
        <v>0</v>
      </c>
      <c r="I1025" s="60">
        <v>0</v>
      </c>
      <c r="J1025" s="60">
        <v>0</v>
      </c>
      <c r="K1025" s="60">
        <v>0</v>
      </c>
      <c r="L1025" s="60">
        <v>0</v>
      </c>
      <c r="M1025" s="60">
        <v>0</v>
      </c>
      <c r="N1025" s="60">
        <v>0</v>
      </c>
      <c r="O1025" s="60">
        <v>0</v>
      </c>
      <c r="P1025" s="60">
        <v>0</v>
      </c>
      <c r="Q1025" s="60">
        <v>0</v>
      </c>
      <c r="R1025" s="60">
        <v>0</v>
      </c>
      <c r="S1025" s="60">
        <v>0</v>
      </c>
      <c r="T1025" s="60">
        <v>0</v>
      </c>
      <c r="U1025" s="60">
        <v>0</v>
      </c>
      <c r="V1025" s="60">
        <v>0</v>
      </c>
      <c r="W1025" s="60">
        <v>0</v>
      </c>
      <c r="X1025" s="60">
        <v>0</v>
      </c>
      <c r="Y1025" s="60">
        <v>0</v>
      </c>
      <c r="Z1025" s="60">
        <v>0</v>
      </c>
      <c r="AA1025" s="60">
        <v>0</v>
      </c>
      <c r="AB1025" s="60">
        <v>0</v>
      </c>
      <c r="AC1025" s="60">
        <v>390.4</v>
      </c>
      <c r="AD1025" s="60">
        <v>343.02</v>
      </c>
      <c r="AE1025" s="60">
        <v>420.58</v>
      </c>
      <c r="AF1025" s="60">
        <v>0</v>
      </c>
      <c r="AG1025" s="60">
        <v>0</v>
      </c>
      <c r="AH1025" s="60">
        <v>0</v>
      </c>
      <c r="AI1025" s="60">
        <v>390.4</v>
      </c>
      <c r="AJ1025" s="60">
        <v>343.02</v>
      </c>
      <c r="AK1025" s="60">
        <v>420.58</v>
      </c>
      <c r="AL1025" s="60">
        <v>0</v>
      </c>
      <c r="AM1025" s="60">
        <v>0</v>
      </c>
      <c r="AN1025" s="60">
        <v>0</v>
      </c>
      <c r="AO1025" s="60">
        <v>390.4</v>
      </c>
      <c r="AP1025" s="60">
        <v>343.02</v>
      </c>
      <c r="AQ1025" s="60">
        <v>420.58</v>
      </c>
      <c r="AR1025" s="61">
        <v>420.58</v>
      </c>
    </row>
    <row r="1026" spans="1:44" x14ac:dyDescent="0.35">
      <c r="A1026" s="49" t="str">
        <f t="shared" si="88"/>
        <v>37</v>
      </c>
      <c r="B1026" s="27">
        <v>68452</v>
      </c>
      <c r="C1026" s="25" t="str">
        <f>TEXT(3730942,"0000000")</f>
        <v>3730942</v>
      </c>
      <c r="D1026" s="26" t="s">
        <v>2316</v>
      </c>
      <c r="E1026" s="25" t="s">
        <v>2314</v>
      </c>
      <c r="F1026" s="25" t="s">
        <v>5</v>
      </c>
      <c r="G1026" s="59" t="s">
        <v>2315</v>
      </c>
      <c r="H1026" s="60">
        <v>0</v>
      </c>
      <c r="I1026" s="60">
        <v>0</v>
      </c>
      <c r="J1026" s="60">
        <v>0</v>
      </c>
      <c r="K1026" s="60">
        <v>0</v>
      </c>
      <c r="L1026" s="60">
        <v>0</v>
      </c>
      <c r="M1026" s="60">
        <v>0</v>
      </c>
      <c r="N1026" s="60">
        <v>0</v>
      </c>
      <c r="O1026" s="60">
        <v>0</v>
      </c>
      <c r="P1026" s="60">
        <v>0</v>
      </c>
      <c r="Q1026" s="60">
        <v>0</v>
      </c>
      <c r="R1026" s="60">
        <v>0</v>
      </c>
      <c r="S1026" s="60">
        <v>0</v>
      </c>
      <c r="T1026" s="60">
        <v>0</v>
      </c>
      <c r="U1026" s="60">
        <v>0</v>
      </c>
      <c r="V1026" s="60">
        <v>0</v>
      </c>
      <c r="W1026" s="60">
        <v>0</v>
      </c>
      <c r="X1026" s="60">
        <v>0</v>
      </c>
      <c r="Y1026" s="60">
        <v>0</v>
      </c>
      <c r="Z1026" s="60">
        <v>0</v>
      </c>
      <c r="AA1026" s="60">
        <v>0</v>
      </c>
      <c r="AB1026" s="60">
        <v>0</v>
      </c>
      <c r="AC1026" s="60">
        <v>1265.97</v>
      </c>
      <c r="AD1026" s="60">
        <v>1244.44</v>
      </c>
      <c r="AE1026" s="60">
        <v>1224.45</v>
      </c>
      <c r="AF1026" s="60">
        <v>0</v>
      </c>
      <c r="AG1026" s="60">
        <v>0</v>
      </c>
      <c r="AH1026" s="60">
        <v>0</v>
      </c>
      <c r="AI1026" s="60">
        <v>1265.97</v>
      </c>
      <c r="AJ1026" s="60">
        <v>1244.44</v>
      </c>
      <c r="AK1026" s="60">
        <v>1224.45</v>
      </c>
      <c r="AL1026" s="60">
        <v>0</v>
      </c>
      <c r="AM1026" s="60">
        <v>0</v>
      </c>
      <c r="AN1026" s="60">
        <v>0</v>
      </c>
      <c r="AO1026" s="60">
        <v>1265.97</v>
      </c>
      <c r="AP1026" s="60">
        <v>1244.44</v>
      </c>
      <c r="AQ1026" s="60">
        <v>1224.45</v>
      </c>
      <c r="AR1026" s="61">
        <v>1265.97</v>
      </c>
    </row>
    <row r="1027" spans="1:44" x14ac:dyDescent="0.35">
      <c r="A1027" s="49" t="str">
        <f>TEXT(1,"00")</f>
        <v>01</v>
      </c>
      <c r="B1027" s="27">
        <v>61259</v>
      </c>
      <c r="C1027" s="25" t="str">
        <f>TEXT(129932,"0000000")</f>
        <v>0129932</v>
      </c>
      <c r="D1027" s="27">
        <v>1620</v>
      </c>
      <c r="E1027" s="25" t="s">
        <v>116</v>
      </c>
      <c r="F1027" s="25" t="s">
        <v>5</v>
      </c>
      <c r="G1027" s="59" t="s">
        <v>117</v>
      </c>
      <c r="H1027" s="60">
        <v>0</v>
      </c>
      <c r="I1027" s="60">
        <v>0</v>
      </c>
      <c r="J1027" s="60">
        <v>0</v>
      </c>
      <c r="K1027" s="60">
        <v>0</v>
      </c>
      <c r="L1027" s="60">
        <v>0</v>
      </c>
      <c r="M1027" s="60">
        <v>0</v>
      </c>
      <c r="N1027" s="60">
        <v>0</v>
      </c>
      <c r="O1027" s="60">
        <v>0</v>
      </c>
      <c r="P1027" s="60">
        <v>0</v>
      </c>
      <c r="Q1027" s="60">
        <v>0</v>
      </c>
      <c r="R1027" s="60">
        <v>0</v>
      </c>
      <c r="S1027" s="60">
        <v>0</v>
      </c>
      <c r="T1027" s="60">
        <v>0</v>
      </c>
      <c r="U1027" s="60">
        <v>0</v>
      </c>
      <c r="V1027" s="60">
        <v>0</v>
      </c>
      <c r="W1027" s="60">
        <v>0</v>
      </c>
      <c r="X1027" s="60">
        <v>0</v>
      </c>
      <c r="Y1027" s="60">
        <v>0</v>
      </c>
      <c r="Z1027" s="60">
        <v>0</v>
      </c>
      <c r="AA1027" s="60">
        <v>0</v>
      </c>
      <c r="AB1027" s="60">
        <v>0</v>
      </c>
      <c r="AC1027" s="60">
        <v>481.21</v>
      </c>
      <c r="AD1027" s="60">
        <v>502.45</v>
      </c>
      <c r="AE1027" s="60">
        <v>509.55</v>
      </c>
      <c r="AF1027" s="60">
        <v>0</v>
      </c>
      <c r="AG1027" s="60">
        <v>0</v>
      </c>
      <c r="AH1027" s="60">
        <v>0</v>
      </c>
      <c r="AI1027" s="60">
        <v>481.21</v>
      </c>
      <c r="AJ1027" s="60">
        <v>502.45</v>
      </c>
      <c r="AK1027" s="60">
        <v>509.55</v>
      </c>
      <c r="AL1027" s="60">
        <v>0</v>
      </c>
      <c r="AM1027" s="60">
        <v>0</v>
      </c>
      <c r="AN1027" s="60">
        <v>0</v>
      </c>
      <c r="AO1027" s="60">
        <v>481.21</v>
      </c>
      <c r="AP1027" s="60">
        <v>502.45</v>
      </c>
      <c r="AQ1027" s="60">
        <v>509.55</v>
      </c>
      <c r="AR1027" s="61">
        <v>509.55</v>
      </c>
    </row>
    <row r="1028" spans="1:44" x14ac:dyDescent="0.35">
      <c r="A1028" s="49" t="str">
        <f t="shared" ref="A1028:A1037" si="89">TEXT(37,"00")</f>
        <v>37</v>
      </c>
      <c r="B1028" s="27">
        <v>73569</v>
      </c>
      <c r="C1028" s="25" t="str">
        <f>TEXT(136267,"0000000")</f>
        <v>0136267</v>
      </c>
      <c r="D1028" s="26" t="s">
        <v>2323</v>
      </c>
      <c r="E1028" s="25" t="s">
        <v>2321</v>
      </c>
      <c r="F1028" s="25" t="s">
        <v>5</v>
      </c>
      <c r="G1028" s="59" t="s">
        <v>2322</v>
      </c>
      <c r="H1028" s="60">
        <v>0</v>
      </c>
      <c r="I1028" s="60">
        <v>0</v>
      </c>
      <c r="J1028" s="60">
        <v>0</v>
      </c>
      <c r="K1028" s="60">
        <v>0</v>
      </c>
      <c r="L1028" s="60">
        <v>0</v>
      </c>
      <c r="M1028" s="60">
        <v>0</v>
      </c>
      <c r="N1028" s="60">
        <v>0</v>
      </c>
      <c r="O1028" s="60">
        <v>0</v>
      </c>
      <c r="P1028" s="60">
        <v>0</v>
      </c>
      <c r="Q1028" s="60">
        <v>0</v>
      </c>
      <c r="R1028" s="60">
        <v>0</v>
      </c>
      <c r="S1028" s="60">
        <v>0</v>
      </c>
      <c r="T1028" s="60">
        <v>0</v>
      </c>
      <c r="U1028" s="60">
        <v>0</v>
      </c>
      <c r="V1028" s="60">
        <v>0</v>
      </c>
      <c r="W1028" s="60">
        <v>0</v>
      </c>
      <c r="X1028" s="60">
        <v>0</v>
      </c>
      <c r="Y1028" s="60">
        <v>0</v>
      </c>
      <c r="Z1028" s="60">
        <v>0</v>
      </c>
      <c r="AA1028" s="60">
        <v>0</v>
      </c>
      <c r="AB1028" s="60">
        <v>0</v>
      </c>
      <c r="AC1028" s="60">
        <v>1842.78</v>
      </c>
      <c r="AD1028" s="60">
        <v>1778.73</v>
      </c>
      <c r="AE1028" s="60">
        <v>1804.66</v>
      </c>
      <c r="AF1028" s="60">
        <v>0</v>
      </c>
      <c r="AG1028" s="60">
        <v>0</v>
      </c>
      <c r="AH1028" s="60">
        <v>0</v>
      </c>
      <c r="AI1028" s="60">
        <v>1842.78</v>
      </c>
      <c r="AJ1028" s="60">
        <v>1778.73</v>
      </c>
      <c r="AK1028" s="60">
        <v>1804.66</v>
      </c>
      <c r="AL1028" s="60">
        <v>0</v>
      </c>
      <c r="AM1028" s="60">
        <v>0</v>
      </c>
      <c r="AN1028" s="60">
        <v>0</v>
      </c>
      <c r="AO1028" s="60">
        <v>1842.78</v>
      </c>
      <c r="AP1028" s="60">
        <v>1778.73</v>
      </c>
      <c r="AQ1028" s="60">
        <v>1804.66</v>
      </c>
      <c r="AR1028" s="61">
        <v>1842.78</v>
      </c>
    </row>
    <row r="1029" spans="1:44" x14ac:dyDescent="0.35">
      <c r="A1029" s="49" t="str">
        <f t="shared" si="89"/>
        <v>37</v>
      </c>
      <c r="B1029" s="27">
        <v>73569</v>
      </c>
      <c r="C1029" s="25" t="str">
        <f>TEXT(3731221,"0000000")</f>
        <v>3731221</v>
      </c>
      <c r="D1029" s="26" t="s">
        <v>2326</v>
      </c>
      <c r="E1029" s="25" t="s">
        <v>2324</v>
      </c>
      <c r="F1029" s="25" t="s">
        <v>5</v>
      </c>
      <c r="G1029" s="59" t="s">
        <v>2325</v>
      </c>
      <c r="H1029" s="60">
        <v>0</v>
      </c>
      <c r="I1029" s="60">
        <v>0</v>
      </c>
      <c r="J1029" s="60">
        <v>0</v>
      </c>
      <c r="K1029" s="60">
        <v>0</v>
      </c>
      <c r="L1029" s="60">
        <v>0</v>
      </c>
      <c r="M1029" s="60">
        <v>0</v>
      </c>
      <c r="N1029" s="60">
        <v>0</v>
      </c>
      <c r="O1029" s="60">
        <v>0</v>
      </c>
      <c r="P1029" s="60">
        <v>0</v>
      </c>
      <c r="Q1029" s="60">
        <v>0</v>
      </c>
      <c r="R1029" s="60">
        <v>0</v>
      </c>
      <c r="S1029" s="60">
        <v>0</v>
      </c>
      <c r="T1029" s="60">
        <v>0</v>
      </c>
      <c r="U1029" s="60">
        <v>0</v>
      </c>
      <c r="V1029" s="60">
        <v>0</v>
      </c>
      <c r="W1029" s="60">
        <v>0</v>
      </c>
      <c r="X1029" s="60">
        <v>0</v>
      </c>
      <c r="Y1029" s="60">
        <v>0</v>
      </c>
      <c r="Z1029" s="60">
        <v>0</v>
      </c>
      <c r="AA1029" s="60">
        <v>0</v>
      </c>
      <c r="AB1029" s="60">
        <v>0</v>
      </c>
      <c r="AC1029" s="60">
        <v>765.88</v>
      </c>
      <c r="AD1029" s="60">
        <v>762.52</v>
      </c>
      <c r="AE1029" s="60">
        <v>700.02</v>
      </c>
      <c r="AF1029" s="60">
        <v>0</v>
      </c>
      <c r="AG1029" s="60">
        <v>0</v>
      </c>
      <c r="AH1029" s="60">
        <v>0</v>
      </c>
      <c r="AI1029" s="60">
        <v>765.88</v>
      </c>
      <c r="AJ1029" s="60">
        <v>762.52</v>
      </c>
      <c r="AK1029" s="60">
        <v>700.02</v>
      </c>
      <c r="AL1029" s="60">
        <v>0</v>
      </c>
      <c r="AM1029" s="60">
        <v>0</v>
      </c>
      <c r="AN1029" s="60">
        <v>0</v>
      </c>
      <c r="AO1029" s="60">
        <v>765.88</v>
      </c>
      <c r="AP1029" s="60">
        <v>762.52</v>
      </c>
      <c r="AQ1029" s="60">
        <v>700.02</v>
      </c>
      <c r="AR1029" s="61">
        <v>765.88</v>
      </c>
    </row>
    <row r="1030" spans="1:44" x14ac:dyDescent="0.35">
      <c r="A1030" s="49" t="str">
        <f t="shared" si="89"/>
        <v>37</v>
      </c>
      <c r="B1030" s="27">
        <v>73791</v>
      </c>
      <c r="C1030" s="25" t="str">
        <f>TEXT(138222,"0000000")</f>
        <v>0138222</v>
      </c>
      <c r="D1030" s="27">
        <v>1983</v>
      </c>
      <c r="E1030" s="25" t="s">
        <v>2329</v>
      </c>
      <c r="F1030" s="25" t="s">
        <v>5</v>
      </c>
      <c r="G1030" s="59" t="s">
        <v>2330</v>
      </c>
      <c r="H1030" s="60">
        <v>0</v>
      </c>
      <c r="I1030" s="60">
        <v>0</v>
      </c>
      <c r="J1030" s="60">
        <v>0</v>
      </c>
      <c r="K1030" s="60">
        <v>0</v>
      </c>
      <c r="L1030" s="60">
        <v>0</v>
      </c>
      <c r="M1030" s="60">
        <v>0</v>
      </c>
      <c r="N1030" s="60">
        <v>0</v>
      </c>
      <c r="O1030" s="60">
        <v>0</v>
      </c>
      <c r="P1030" s="60">
        <v>0</v>
      </c>
      <c r="Q1030" s="60">
        <v>0</v>
      </c>
      <c r="R1030" s="60">
        <v>0</v>
      </c>
      <c r="S1030" s="60">
        <v>0</v>
      </c>
      <c r="T1030" s="60">
        <v>0</v>
      </c>
      <c r="U1030" s="60">
        <v>0</v>
      </c>
      <c r="V1030" s="60">
        <v>0</v>
      </c>
      <c r="W1030" s="60">
        <v>0</v>
      </c>
      <c r="X1030" s="60">
        <v>0</v>
      </c>
      <c r="Y1030" s="60">
        <v>0</v>
      </c>
      <c r="Z1030" s="60">
        <v>0</v>
      </c>
      <c r="AA1030" s="60">
        <v>0</v>
      </c>
      <c r="AB1030" s="60">
        <v>0</v>
      </c>
      <c r="AC1030" s="60">
        <v>86.36</v>
      </c>
      <c r="AD1030" s="60">
        <v>79.97</v>
      </c>
      <c r="AE1030" s="60">
        <v>102.68</v>
      </c>
      <c r="AF1030" s="60">
        <v>0</v>
      </c>
      <c r="AG1030" s="60">
        <v>0</v>
      </c>
      <c r="AH1030" s="60">
        <v>0</v>
      </c>
      <c r="AI1030" s="60">
        <v>86.36</v>
      </c>
      <c r="AJ1030" s="60">
        <v>79.97</v>
      </c>
      <c r="AK1030" s="60">
        <v>102.68</v>
      </c>
      <c r="AL1030" s="60">
        <v>0</v>
      </c>
      <c r="AM1030" s="60">
        <v>0</v>
      </c>
      <c r="AN1030" s="60">
        <v>0</v>
      </c>
      <c r="AO1030" s="60">
        <v>86.36</v>
      </c>
      <c r="AP1030" s="60">
        <v>79.97</v>
      </c>
      <c r="AQ1030" s="60">
        <v>102.68</v>
      </c>
      <c r="AR1030" s="61">
        <v>102.68</v>
      </c>
    </row>
    <row r="1031" spans="1:44" x14ac:dyDescent="0.35">
      <c r="A1031" s="49" t="str">
        <f t="shared" si="89"/>
        <v>37</v>
      </c>
      <c r="B1031" s="27">
        <v>75416</v>
      </c>
      <c r="C1031" s="25" t="str">
        <f>TEXT(122796,"0000000")</f>
        <v>0122796</v>
      </c>
      <c r="D1031" s="27">
        <v>1262</v>
      </c>
      <c r="E1031" s="25" t="s">
        <v>2333</v>
      </c>
      <c r="F1031" s="25" t="s">
        <v>5</v>
      </c>
      <c r="G1031" s="59" t="s">
        <v>2334</v>
      </c>
      <c r="H1031" s="60">
        <v>0</v>
      </c>
      <c r="I1031" s="60">
        <v>0</v>
      </c>
      <c r="J1031" s="60">
        <v>0</v>
      </c>
      <c r="K1031" s="60">
        <v>0</v>
      </c>
      <c r="L1031" s="60">
        <v>0</v>
      </c>
      <c r="M1031" s="60">
        <v>0</v>
      </c>
      <c r="N1031" s="60">
        <v>0</v>
      </c>
      <c r="O1031" s="60">
        <v>0</v>
      </c>
      <c r="P1031" s="60">
        <v>0</v>
      </c>
      <c r="Q1031" s="60">
        <v>0</v>
      </c>
      <c r="R1031" s="60">
        <v>0</v>
      </c>
      <c r="S1031" s="60">
        <v>0</v>
      </c>
      <c r="T1031" s="60">
        <v>0</v>
      </c>
      <c r="U1031" s="60">
        <v>0</v>
      </c>
      <c r="V1031" s="60">
        <v>0</v>
      </c>
      <c r="W1031" s="60">
        <v>0</v>
      </c>
      <c r="X1031" s="60">
        <v>0</v>
      </c>
      <c r="Y1031" s="60">
        <v>0</v>
      </c>
      <c r="Z1031" s="60">
        <v>0</v>
      </c>
      <c r="AA1031" s="60">
        <v>0</v>
      </c>
      <c r="AB1031" s="60">
        <v>0</v>
      </c>
      <c r="AC1031" s="60">
        <v>56.25</v>
      </c>
      <c r="AD1031" s="60">
        <v>47.97</v>
      </c>
      <c r="AE1031" s="60">
        <v>54.59</v>
      </c>
      <c r="AF1031" s="60">
        <v>0</v>
      </c>
      <c r="AG1031" s="60">
        <v>0</v>
      </c>
      <c r="AH1031" s="60">
        <v>0</v>
      </c>
      <c r="AI1031" s="60">
        <v>56.25</v>
      </c>
      <c r="AJ1031" s="60">
        <v>47.97</v>
      </c>
      <c r="AK1031" s="60">
        <v>54.59</v>
      </c>
      <c r="AL1031" s="60">
        <v>0</v>
      </c>
      <c r="AM1031" s="60">
        <v>0</v>
      </c>
      <c r="AN1031" s="60">
        <v>0</v>
      </c>
      <c r="AO1031" s="60">
        <v>56.25</v>
      </c>
      <c r="AP1031" s="60">
        <v>47.97</v>
      </c>
      <c r="AQ1031" s="60">
        <v>54.59</v>
      </c>
      <c r="AR1031" s="61">
        <v>56.25</v>
      </c>
    </row>
    <row r="1032" spans="1:44" x14ac:dyDescent="0.35">
      <c r="A1032" s="49" t="str">
        <f t="shared" si="89"/>
        <v>37</v>
      </c>
      <c r="B1032" s="27">
        <v>75416</v>
      </c>
      <c r="C1032" s="25" t="str">
        <f>TEXT(138651,"0000000")</f>
        <v>0138651</v>
      </c>
      <c r="D1032" s="27">
        <v>2020</v>
      </c>
      <c r="E1032" s="25" t="s">
        <v>2337</v>
      </c>
      <c r="F1032" s="25" t="s">
        <v>5</v>
      </c>
      <c r="G1032" s="59" t="s">
        <v>2338</v>
      </c>
      <c r="H1032" s="60">
        <v>0</v>
      </c>
      <c r="I1032" s="60">
        <v>0</v>
      </c>
      <c r="J1032" s="60">
        <v>0</v>
      </c>
      <c r="K1032" s="60">
        <v>0</v>
      </c>
      <c r="L1032" s="60">
        <v>0</v>
      </c>
      <c r="M1032" s="60">
        <v>0</v>
      </c>
      <c r="N1032" s="60">
        <v>0</v>
      </c>
      <c r="O1032" s="60">
        <v>0</v>
      </c>
      <c r="P1032" s="60">
        <v>0</v>
      </c>
      <c r="Q1032" s="60">
        <v>0</v>
      </c>
      <c r="R1032" s="60">
        <v>0</v>
      </c>
      <c r="S1032" s="60">
        <v>0</v>
      </c>
      <c r="T1032" s="60">
        <v>0</v>
      </c>
      <c r="U1032" s="60">
        <v>0</v>
      </c>
      <c r="V1032" s="60">
        <v>0</v>
      </c>
      <c r="W1032" s="60">
        <v>0</v>
      </c>
      <c r="X1032" s="60">
        <v>0</v>
      </c>
      <c r="Y1032" s="60">
        <v>0</v>
      </c>
      <c r="Z1032" s="60">
        <v>0</v>
      </c>
      <c r="AA1032" s="60">
        <v>0</v>
      </c>
      <c r="AB1032" s="60">
        <v>0</v>
      </c>
      <c r="AC1032" s="60">
        <v>381.63</v>
      </c>
      <c r="AD1032" s="60">
        <v>230.7</v>
      </c>
      <c r="AE1032" s="60">
        <v>164.23</v>
      </c>
      <c r="AF1032" s="60">
        <v>0</v>
      </c>
      <c r="AG1032" s="60">
        <v>0</v>
      </c>
      <c r="AH1032" s="60">
        <v>0</v>
      </c>
      <c r="AI1032" s="60">
        <v>381.63</v>
      </c>
      <c r="AJ1032" s="60">
        <v>230.7</v>
      </c>
      <c r="AK1032" s="60">
        <v>164.23</v>
      </c>
      <c r="AL1032" s="60">
        <v>0</v>
      </c>
      <c r="AM1032" s="60">
        <v>0</v>
      </c>
      <c r="AN1032" s="60">
        <v>0</v>
      </c>
      <c r="AO1032" s="60">
        <v>381.63</v>
      </c>
      <c r="AP1032" s="60">
        <v>230.7</v>
      </c>
      <c r="AQ1032" s="60">
        <v>164.23</v>
      </c>
      <c r="AR1032" s="61">
        <v>381.63</v>
      </c>
    </row>
    <row r="1033" spans="1:44" x14ac:dyDescent="0.35">
      <c r="A1033" s="49" t="str">
        <f t="shared" si="89"/>
        <v>37</v>
      </c>
      <c r="B1033" s="27">
        <v>75416</v>
      </c>
      <c r="C1033" s="25" t="str">
        <f>TEXT(6119275,"0000000")</f>
        <v>6119275</v>
      </c>
      <c r="D1033" s="27">
        <v>1057</v>
      </c>
      <c r="E1033" s="25" t="s">
        <v>2344</v>
      </c>
      <c r="F1033" s="25" t="s">
        <v>5</v>
      </c>
      <c r="G1033" s="59" t="s">
        <v>2345</v>
      </c>
      <c r="H1033" s="60">
        <v>0</v>
      </c>
      <c r="I1033" s="60">
        <v>0</v>
      </c>
      <c r="J1033" s="60">
        <v>0</v>
      </c>
      <c r="K1033" s="60">
        <v>0</v>
      </c>
      <c r="L1033" s="60">
        <v>0</v>
      </c>
      <c r="M1033" s="60">
        <v>0</v>
      </c>
      <c r="N1033" s="60">
        <v>0</v>
      </c>
      <c r="O1033" s="60">
        <v>0</v>
      </c>
      <c r="P1033" s="60">
        <v>0</v>
      </c>
      <c r="Q1033" s="60">
        <v>0</v>
      </c>
      <c r="R1033" s="60">
        <v>0</v>
      </c>
      <c r="S1033" s="60">
        <v>0</v>
      </c>
      <c r="T1033" s="60">
        <v>0</v>
      </c>
      <c r="U1033" s="60">
        <v>0</v>
      </c>
      <c r="V1033" s="60">
        <v>0</v>
      </c>
      <c r="W1033" s="60">
        <v>0</v>
      </c>
      <c r="X1033" s="60">
        <v>0</v>
      </c>
      <c r="Y1033" s="60">
        <v>0</v>
      </c>
      <c r="Z1033" s="60">
        <v>0</v>
      </c>
      <c r="AA1033" s="60">
        <v>0</v>
      </c>
      <c r="AB1033" s="60">
        <v>0</v>
      </c>
      <c r="AC1033" s="60">
        <v>65.31</v>
      </c>
      <c r="AD1033" s="60">
        <v>57.77</v>
      </c>
      <c r="AE1033" s="60">
        <v>60.37</v>
      </c>
      <c r="AF1033" s="60">
        <v>0</v>
      </c>
      <c r="AG1033" s="60">
        <v>0</v>
      </c>
      <c r="AH1033" s="60">
        <v>0</v>
      </c>
      <c r="AI1033" s="60">
        <v>65.31</v>
      </c>
      <c r="AJ1033" s="60">
        <v>57.77</v>
      </c>
      <c r="AK1033" s="60">
        <v>60.37</v>
      </c>
      <c r="AL1033" s="60">
        <v>0</v>
      </c>
      <c r="AM1033" s="60">
        <v>0</v>
      </c>
      <c r="AN1033" s="60">
        <v>0</v>
      </c>
      <c r="AO1033" s="60">
        <v>65.31</v>
      </c>
      <c r="AP1033" s="60">
        <v>57.77</v>
      </c>
      <c r="AQ1033" s="60">
        <v>60.37</v>
      </c>
      <c r="AR1033" s="61">
        <v>65.31</v>
      </c>
    </row>
    <row r="1034" spans="1:44" x14ac:dyDescent="0.35">
      <c r="A1034" s="49" t="str">
        <f t="shared" si="89"/>
        <v>37</v>
      </c>
      <c r="B1034" s="27">
        <v>76471</v>
      </c>
      <c r="C1034" s="25" t="str">
        <f>TEXT(114678,"0000000")</f>
        <v>0114678</v>
      </c>
      <c r="D1034" s="26" t="s">
        <v>2350</v>
      </c>
      <c r="E1034" s="25" t="s">
        <v>2348</v>
      </c>
      <c r="F1034" s="25" t="s">
        <v>5</v>
      </c>
      <c r="G1034" s="59" t="s">
        <v>2349</v>
      </c>
      <c r="H1034" s="60">
        <v>0</v>
      </c>
      <c r="I1034" s="60">
        <v>0</v>
      </c>
      <c r="J1034" s="60">
        <v>0</v>
      </c>
      <c r="K1034" s="60">
        <v>0</v>
      </c>
      <c r="L1034" s="60">
        <v>0</v>
      </c>
      <c r="M1034" s="60">
        <v>0</v>
      </c>
      <c r="N1034" s="60">
        <v>0</v>
      </c>
      <c r="O1034" s="60">
        <v>0</v>
      </c>
      <c r="P1034" s="60">
        <v>0</v>
      </c>
      <c r="Q1034" s="60">
        <v>0</v>
      </c>
      <c r="R1034" s="60">
        <v>0</v>
      </c>
      <c r="S1034" s="60">
        <v>0</v>
      </c>
      <c r="T1034" s="60">
        <v>0</v>
      </c>
      <c r="U1034" s="60">
        <v>0</v>
      </c>
      <c r="V1034" s="60">
        <v>0</v>
      </c>
      <c r="W1034" s="60">
        <v>0</v>
      </c>
      <c r="X1034" s="60">
        <v>0</v>
      </c>
      <c r="Y1034" s="60">
        <v>0</v>
      </c>
      <c r="Z1034" s="60">
        <v>0</v>
      </c>
      <c r="AA1034" s="60">
        <v>0</v>
      </c>
      <c r="AB1034" s="60">
        <v>0</v>
      </c>
      <c r="AC1034" s="60">
        <v>0</v>
      </c>
      <c r="AD1034" s="60">
        <v>0</v>
      </c>
      <c r="AE1034" s="60">
        <v>0</v>
      </c>
      <c r="AF1034" s="60">
        <v>591.23</v>
      </c>
      <c r="AG1034" s="60">
        <v>584.29</v>
      </c>
      <c r="AH1034" s="60">
        <v>566.45000000000005</v>
      </c>
      <c r="AI1034" s="60">
        <v>591.23</v>
      </c>
      <c r="AJ1034" s="60">
        <v>584.29</v>
      </c>
      <c r="AK1034" s="60">
        <v>566.45000000000005</v>
      </c>
      <c r="AL1034" s="60">
        <v>0</v>
      </c>
      <c r="AM1034" s="60">
        <v>0</v>
      </c>
      <c r="AN1034" s="60">
        <v>0</v>
      </c>
      <c r="AO1034" s="60">
        <v>591.23</v>
      </c>
      <c r="AP1034" s="60">
        <v>584.29</v>
      </c>
      <c r="AQ1034" s="60">
        <v>566.45000000000005</v>
      </c>
      <c r="AR1034" s="61">
        <v>591.23</v>
      </c>
    </row>
    <row r="1035" spans="1:44" x14ac:dyDescent="0.35">
      <c r="A1035" s="49" t="str">
        <f t="shared" si="89"/>
        <v>37</v>
      </c>
      <c r="B1035" s="27">
        <v>76471</v>
      </c>
      <c r="C1035" s="25" t="str">
        <f>TEXT(114694,"0000000")</f>
        <v>0114694</v>
      </c>
      <c r="D1035" s="26" t="s">
        <v>2350</v>
      </c>
      <c r="E1035" s="25" t="s">
        <v>2351</v>
      </c>
      <c r="F1035" s="25" t="s">
        <v>5</v>
      </c>
      <c r="G1035" s="59" t="s">
        <v>2352</v>
      </c>
      <c r="H1035" s="60">
        <v>0</v>
      </c>
      <c r="I1035" s="60">
        <v>0</v>
      </c>
      <c r="J1035" s="60">
        <v>0</v>
      </c>
      <c r="K1035" s="60">
        <v>0</v>
      </c>
      <c r="L1035" s="60">
        <v>0</v>
      </c>
      <c r="M1035" s="60">
        <v>0</v>
      </c>
      <c r="N1035" s="60">
        <v>0</v>
      </c>
      <c r="O1035" s="60">
        <v>0</v>
      </c>
      <c r="P1035" s="60">
        <v>0</v>
      </c>
      <c r="Q1035" s="60">
        <v>0</v>
      </c>
      <c r="R1035" s="60">
        <v>0</v>
      </c>
      <c r="S1035" s="60">
        <v>0</v>
      </c>
      <c r="T1035" s="60">
        <v>0</v>
      </c>
      <c r="U1035" s="60">
        <v>0</v>
      </c>
      <c r="V1035" s="60">
        <v>0</v>
      </c>
      <c r="W1035" s="60">
        <v>0</v>
      </c>
      <c r="X1035" s="60">
        <v>0</v>
      </c>
      <c r="Y1035" s="60">
        <v>0</v>
      </c>
      <c r="Z1035" s="60">
        <v>0</v>
      </c>
      <c r="AA1035" s="60">
        <v>0</v>
      </c>
      <c r="AB1035" s="60">
        <v>0</v>
      </c>
      <c r="AC1035" s="60">
        <v>0</v>
      </c>
      <c r="AD1035" s="60">
        <v>0</v>
      </c>
      <c r="AE1035" s="60">
        <v>0</v>
      </c>
      <c r="AF1035" s="60">
        <v>378.24</v>
      </c>
      <c r="AG1035" s="60">
        <v>383.1</v>
      </c>
      <c r="AH1035" s="60">
        <v>381.86</v>
      </c>
      <c r="AI1035" s="60">
        <v>378.24</v>
      </c>
      <c r="AJ1035" s="60">
        <v>383.1</v>
      </c>
      <c r="AK1035" s="60">
        <v>381.86</v>
      </c>
      <c r="AL1035" s="60">
        <v>0</v>
      </c>
      <c r="AM1035" s="60">
        <v>0</v>
      </c>
      <c r="AN1035" s="60">
        <v>0</v>
      </c>
      <c r="AO1035" s="60">
        <v>378.24</v>
      </c>
      <c r="AP1035" s="60">
        <v>383.1</v>
      </c>
      <c r="AQ1035" s="60">
        <v>381.86</v>
      </c>
      <c r="AR1035" s="61">
        <v>383.1</v>
      </c>
    </row>
    <row r="1036" spans="1:44" x14ac:dyDescent="0.35">
      <c r="A1036" s="49" t="str">
        <f t="shared" si="89"/>
        <v>37</v>
      </c>
      <c r="B1036" s="27">
        <v>76471</v>
      </c>
      <c r="C1036" s="25" t="str">
        <f>TEXT(119271,"0000000")</f>
        <v>0119271</v>
      </c>
      <c r="D1036" s="26" t="s">
        <v>2350</v>
      </c>
      <c r="E1036" s="25" t="s">
        <v>2353</v>
      </c>
      <c r="F1036" s="25" t="s">
        <v>5</v>
      </c>
      <c r="G1036" s="59" t="s">
        <v>2354</v>
      </c>
      <c r="H1036" s="60">
        <v>0</v>
      </c>
      <c r="I1036" s="60">
        <v>0</v>
      </c>
      <c r="J1036" s="60">
        <v>0</v>
      </c>
      <c r="K1036" s="60">
        <v>0</v>
      </c>
      <c r="L1036" s="60">
        <v>0</v>
      </c>
      <c r="M1036" s="60">
        <v>0</v>
      </c>
      <c r="N1036" s="60">
        <v>0</v>
      </c>
      <c r="O1036" s="60">
        <v>0</v>
      </c>
      <c r="P1036" s="60">
        <v>0</v>
      </c>
      <c r="Q1036" s="60">
        <v>0</v>
      </c>
      <c r="R1036" s="60">
        <v>0</v>
      </c>
      <c r="S1036" s="60">
        <v>0</v>
      </c>
      <c r="T1036" s="60">
        <v>0</v>
      </c>
      <c r="U1036" s="60">
        <v>0</v>
      </c>
      <c r="V1036" s="60">
        <v>0</v>
      </c>
      <c r="W1036" s="60">
        <v>0</v>
      </c>
      <c r="X1036" s="60">
        <v>0</v>
      </c>
      <c r="Y1036" s="60">
        <v>0</v>
      </c>
      <c r="Z1036" s="60">
        <v>0</v>
      </c>
      <c r="AA1036" s="60">
        <v>0</v>
      </c>
      <c r="AB1036" s="60">
        <v>0</v>
      </c>
      <c r="AC1036" s="60">
        <v>0</v>
      </c>
      <c r="AD1036" s="60">
        <v>0</v>
      </c>
      <c r="AE1036" s="60">
        <v>0</v>
      </c>
      <c r="AF1036" s="60">
        <v>318.36</v>
      </c>
      <c r="AG1036" s="60">
        <v>314.16000000000003</v>
      </c>
      <c r="AH1036" s="60">
        <v>309.11</v>
      </c>
      <c r="AI1036" s="60">
        <v>318.36</v>
      </c>
      <c r="AJ1036" s="60">
        <v>314.16000000000003</v>
      </c>
      <c r="AK1036" s="60">
        <v>309.11</v>
      </c>
      <c r="AL1036" s="60">
        <v>0</v>
      </c>
      <c r="AM1036" s="60">
        <v>0</v>
      </c>
      <c r="AN1036" s="60">
        <v>0</v>
      </c>
      <c r="AO1036" s="60">
        <v>318.36</v>
      </c>
      <c r="AP1036" s="60">
        <v>314.16000000000003</v>
      </c>
      <c r="AQ1036" s="60">
        <v>309.11</v>
      </c>
      <c r="AR1036" s="61">
        <v>318.36</v>
      </c>
    </row>
    <row r="1037" spans="1:44" x14ac:dyDescent="0.35">
      <c r="A1037" s="49" t="str">
        <f t="shared" si="89"/>
        <v>37</v>
      </c>
      <c r="B1037" s="27">
        <v>76471</v>
      </c>
      <c r="C1037" s="25" t="str">
        <f>TEXT(123042,"0000000")</f>
        <v>0123042</v>
      </c>
      <c r="D1037" s="26" t="s">
        <v>2350</v>
      </c>
      <c r="E1037" s="25" t="s">
        <v>2355</v>
      </c>
      <c r="F1037" s="25" t="s">
        <v>5</v>
      </c>
      <c r="G1037" s="59" t="s">
        <v>2356</v>
      </c>
      <c r="H1037" s="60">
        <v>0</v>
      </c>
      <c r="I1037" s="60">
        <v>0</v>
      </c>
      <c r="J1037" s="60">
        <v>0</v>
      </c>
      <c r="K1037" s="60">
        <v>0</v>
      </c>
      <c r="L1037" s="60">
        <v>0</v>
      </c>
      <c r="M1037" s="60">
        <v>0</v>
      </c>
      <c r="N1037" s="60">
        <v>0</v>
      </c>
      <c r="O1037" s="60">
        <v>0</v>
      </c>
      <c r="P1037" s="60">
        <v>0</v>
      </c>
      <c r="Q1037" s="60">
        <v>0</v>
      </c>
      <c r="R1037" s="60">
        <v>0</v>
      </c>
      <c r="S1037" s="60">
        <v>0</v>
      </c>
      <c r="T1037" s="60">
        <v>0</v>
      </c>
      <c r="U1037" s="60">
        <v>0</v>
      </c>
      <c r="V1037" s="60">
        <v>0</v>
      </c>
      <c r="W1037" s="60">
        <v>0</v>
      </c>
      <c r="X1037" s="60">
        <v>0</v>
      </c>
      <c r="Y1037" s="60">
        <v>0</v>
      </c>
      <c r="Z1037" s="60">
        <v>0</v>
      </c>
      <c r="AA1037" s="60">
        <v>0</v>
      </c>
      <c r="AB1037" s="60">
        <v>0</v>
      </c>
      <c r="AC1037" s="60">
        <v>0</v>
      </c>
      <c r="AD1037" s="60">
        <v>0</v>
      </c>
      <c r="AE1037" s="60">
        <v>0</v>
      </c>
      <c r="AF1037" s="60">
        <v>313.55</v>
      </c>
      <c r="AG1037" s="60">
        <v>306.61</v>
      </c>
      <c r="AH1037" s="60">
        <v>302.08</v>
      </c>
      <c r="AI1037" s="60">
        <v>313.55</v>
      </c>
      <c r="AJ1037" s="60">
        <v>306.61</v>
      </c>
      <c r="AK1037" s="60">
        <v>302.08</v>
      </c>
      <c r="AL1037" s="60">
        <v>0</v>
      </c>
      <c r="AM1037" s="60">
        <v>0</v>
      </c>
      <c r="AN1037" s="60">
        <v>0</v>
      </c>
      <c r="AO1037" s="60">
        <v>313.55</v>
      </c>
      <c r="AP1037" s="60">
        <v>306.61</v>
      </c>
      <c r="AQ1037" s="60">
        <v>302.08</v>
      </c>
      <c r="AR1037" s="61">
        <v>313.55</v>
      </c>
    </row>
    <row r="1038" spans="1:44" ht="31" x14ac:dyDescent="0.35">
      <c r="A1038" s="49" t="str">
        <f>TEXT(1,"00")</f>
        <v>01</v>
      </c>
      <c r="B1038" s="27">
        <v>61259</v>
      </c>
      <c r="C1038" s="25" t="str">
        <f>TEXT(130617,"0000000")</f>
        <v>0130617</v>
      </c>
      <c r="D1038" s="26" t="s">
        <v>120</v>
      </c>
      <c r="E1038" s="25" t="s">
        <v>118</v>
      </c>
      <c r="F1038" s="25" t="s">
        <v>5</v>
      </c>
      <c r="G1038" s="59" t="s">
        <v>119</v>
      </c>
      <c r="H1038" s="60">
        <v>0</v>
      </c>
      <c r="I1038" s="60">
        <v>0</v>
      </c>
      <c r="J1038" s="60">
        <v>0</v>
      </c>
      <c r="K1038" s="60">
        <v>0</v>
      </c>
      <c r="L1038" s="60">
        <v>0</v>
      </c>
      <c r="M1038" s="60">
        <v>0</v>
      </c>
      <c r="N1038" s="60">
        <v>0</v>
      </c>
      <c r="O1038" s="60">
        <v>0</v>
      </c>
      <c r="P1038" s="60">
        <v>0</v>
      </c>
      <c r="Q1038" s="60">
        <v>0</v>
      </c>
      <c r="R1038" s="60">
        <v>0</v>
      </c>
      <c r="S1038" s="60">
        <v>0</v>
      </c>
      <c r="T1038" s="60">
        <v>0</v>
      </c>
      <c r="U1038" s="60">
        <v>0</v>
      </c>
      <c r="V1038" s="60">
        <v>0</v>
      </c>
      <c r="W1038" s="60">
        <v>0</v>
      </c>
      <c r="X1038" s="60">
        <v>0</v>
      </c>
      <c r="Y1038" s="60">
        <v>0</v>
      </c>
      <c r="Z1038" s="60">
        <v>0</v>
      </c>
      <c r="AA1038" s="60">
        <v>0</v>
      </c>
      <c r="AB1038" s="60">
        <v>0</v>
      </c>
      <c r="AC1038" s="60">
        <v>466.87</v>
      </c>
      <c r="AD1038" s="60">
        <v>419.88</v>
      </c>
      <c r="AE1038" s="60">
        <v>494.17</v>
      </c>
      <c r="AF1038" s="60">
        <v>0</v>
      </c>
      <c r="AG1038" s="60">
        <v>0</v>
      </c>
      <c r="AH1038" s="60">
        <v>0</v>
      </c>
      <c r="AI1038" s="60">
        <v>466.87</v>
      </c>
      <c r="AJ1038" s="60">
        <v>419.88</v>
      </c>
      <c r="AK1038" s="60">
        <v>494.17</v>
      </c>
      <c r="AL1038" s="60">
        <v>0</v>
      </c>
      <c r="AM1038" s="60">
        <v>0</v>
      </c>
      <c r="AN1038" s="60">
        <v>0</v>
      </c>
      <c r="AO1038" s="60">
        <v>466.87</v>
      </c>
      <c r="AP1038" s="60">
        <v>419.88</v>
      </c>
      <c r="AQ1038" s="60">
        <v>494.17</v>
      </c>
      <c r="AR1038" s="61">
        <v>494.17</v>
      </c>
    </row>
    <row r="1039" spans="1:44" x14ac:dyDescent="0.35">
      <c r="A1039" s="49" t="str">
        <f t="shared" ref="A1039:A1048" si="90">TEXT(37,"00")</f>
        <v>37</v>
      </c>
      <c r="B1039" s="27">
        <v>76471</v>
      </c>
      <c r="C1039" s="25" t="str">
        <f>TEXT(123059,"0000000")</f>
        <v>0123059</v>
      </c>
      <c r="D1039" s="26" t="s">
        <v>2350</v>
      </c>
      <c r="E1039" s="25" t="s">
        <v>2357</v>
      </c>
      <c r="F1039" s="25" t="s">
        <v>5</v>
      </c>
      <c r="G1039" s="59" t="s">
        <v>2358</v>
      </c>
      <c r="H1039" s="60">
        <v>0</v>
      </c>
      <c r="I1039" s="60">
        <v>0</v>
      </c>
      <c r="J1039" s="60">
        <v>0</v>
      </c>
      <c r="K1039" s="60">
        <v>0</v>
      </c>
      <c r="L1039" s="60">
        <v>0</v>
      </c>
      <c r="M1039" s="60">
        <v>0</v>
      </c>
      <c r="N1039" s="60">
        <v>0</v>
      </c>
      <c r="O1039" s="60">
        <v>0</v>
      </c>
      <c r="P1039" s="60">
        <v>0</v>
      </c>
      <c r="Q1039" s="60">
        <v>0</v>
      </c>
      <c r="R1039" s="60">
        <v>0</v>
      </c>
      <c r="S1039" s="60">
        <v>0</v>
      </c>
      <c r="T1039" s="60">
        <v>0</v>
      </c>
      <c r="U1039" s="60">
        <v>0</v>
      </c>
      <c r="V1039" s="60">
        <v>0</v>
      </c>
      <c r="W1039" s="60">
        <v>0</v>
      </c>
      <c r="X1039" s="60">
        <v>0</v>
      </c>
      <c r="Y1039" s="60">
        <v>0</v>
      </c>
      <c r="Z1039" s="60">
        <v>0</v>
      </c>
      <c r="AA1039" s="60">
        <v>0</v>
      </c>
      <c r="AB1039" s="60">
        <v>0</v>
      </c>
      <c r="AC1039" s="60">
        <v>0</v>
      </c>
      <c r="AD1039" s="60">
        <v>0</v>
      </c>
      <c r="AE1039" s="60">
        <v>0</v>
      </c>
      <c r="AF1039" s="60">
        <v>414.92</v>
      </c>
      <c r="AG1039" s="60">
        <v>395.67</v>
      </c>
      <c r="AH1039" s="60">
        <v>394.63</v>
      </c>
      <c r="AI1039" s="60">
        <v>414.92</v>
      </c>
      <c r="AJ1039" s="60">
        <v>395.67</v>
      </c>
      <c r="AK1039" s="60">
        <v>394.63</v>
      </c>
      <c r="AL1039" s="60">
        <v>0</v>
      </c>
      <c r="AM1039" s="60">
        <v>0</v>
      </c>
      <c r="AN1039" s="60">
        <v>0</v>
      </c>
      <c r="AO1039" s="60">
        <v>414.92</v>
      </c>
      <c r="AP1039" s="60">
        <v>395.67</v>
      </c>
      <c r="AQ1039" s="60">
        <v>394.63</v>
      </c>
      <c r="AR1039" s="61">
        <v>414.92</v>
      </c>
    </row>
    <row r="1040" spans="1:44" x14ac:dyDescent="0.35">
      <c r="A1040" s="49" t="str">
        <f t="shared" si="90"/>
        <v>37</v>
      </c>
      <c r="B1040" s="27">
        <v>76471</v>
      </c>
      <c r="C1040" s="25" t="str">
        <f>TEXT(127605,"0000000")</f>
        <v>0127605</v>
      </c>
      <c r="D1040" s="26" t="s">
        <v>2350</v>
      </c>
      <c r="E1040" s="25" t="s">
        <v>2359</v>
      </c>
      <c r="F1040" s="25" t="s">
        <v>5</v>
      </c>
      <c r="G1040" s="59" t="s">
        <v>2360</v>
      </c>
      <c r="H1040" s="60">
        <v>0</v>
      </c>
      <c r="I1040" s="60">
        <v>0</v>
      </c>
      <c r="J1040" s="60">
        <v>0</v>
      </c>
      <c r="K1040" s="60">
        <v>0</v>
      </c>
      <c r="L1040" s="60">
        <v>0</v>
      </c>
      <c r="M1040" s="60">
        <v>0</v>
      </c>
      <c r="N1040" s="60">
        <v>0</v>
      </c>
      <c r="O1040" s="60">
        <v>0</v>
      </c>
      <c r="P1040" s="60">
        <v>0</v>
      </c>
      <c r="Q1040" s="60">
        <v>0</v>
      </c>
      <c r="R1040" s="60">
        <v>0</v>
      </c>
      <c r="S1040" s="60">
        <v>0</v>
      </c>
      <c r="T1040" s="60">
        <v>0</v>
      </c>
      <c r="U1040" s="60">
        <v>0</v>
      </c>
      <c r="V1040" s="60">
        <v>0</v>
      </c>
      <c r="W1040" s="60">
        <v>0</v>
      </c>
      <c r="X1040" s="60">
        <v>0</v>
      </c>
      <c r="Y1040" s="60">
        <v>0</v>
      </c>
      <c r="Z1040" s="60">
        <v>0</v>
      </c>
      <c r="AA1040" s="60">
        <v>0</v>
      </c>
      <c r="AB1040" s="60">
        <v>0</v>
      </c>
      <c r="AC1040" s="60">
        <v>0</v>
      </c>
      <c r="AD1040" s="60">
        <v>0</v>
      </c>
      <c r="AE1040" s="60">
        <v>0</v>
      </c>
      <c r="AF1040" s="60">
        <v>418</v>
      </c>
      <c r="AG1040" s="60">
        <v>407.43</v>
      </c>
      <c r="AH1040" s="60">
        <v>411.66</v>
      </c>
      <c r="AI1040" s="60">
        <v>418</v>
      </c>
      <c r="AJ1040" s="60">
        <v>407.43</v>
      </c>
      <c r="AK1040" s="60">
        <v>411.66</v>
      </c>
      <c r="AL1040" s="60">
        <v>0</v>
      </c>
      <c r="AM1040" s="60">
        <v>0</v>
      </c>
      <c r="AN1040" s="60">
        <v>0</v>
      </c>
      <c r="AO1040" s="60">
        <v>418</v>
      </c>
      <c r="AP1040" s="60">
        <v>407.43</v>
      </c>
      <c r="AQ1040" s="60">
        <v>411.66</v>
      </c>
      <c r="AR1040" s="61">
        <v>418</v>
      </c>
    </row>
    <row r="1041" spans="1:44" x14ac:dyDescent="0.35">
      <c r="A1041" s="49" t="str">
        <f t="shared" si="90"/>
        <v>37</v>
      </c>
      <c r="B1041" s="27">
        <v>76471</v>
      </c>
      <c r="C1041" s="25" t="str">
        <f>TEXT(137067,"0000000")</f>
        <v>0137067</v>
      </c>
      <c r="D1041" s="26" t="s">
        <v>2350</v>
      </c>
      <c r="E1041" s="25" t="s">
        <v>2361</v>
      </c>
      <c r="F1041" s="25" t="s">
        <v>5</v>
      </c>
      <c r="G1041" s="59" t="s">
        <v>2362</v>
      </c>
      <c r="H1041" s="60">
        <v>0</v>
      </c>
      <c r="I1041" s="60">
        <v>0</v>
      </c>
      <c r="J1041" s="60">
        <v>0</v>
      </c>
      <c r="K1041" s="60">
        <v>0</v>
      </c>
      <c r="L1041" s="60">
        <v>0</v>
      </c>
      <c r="M1041" s="60">
        <v>0</v>
      </c>
      <c r="N1041" s="60">
        <v>0</v>
      </c>
      <c r="O1041" s="60">
        <v>0</v>
      </c>
      <c r="P1041" s="60">
        <v>0</v>
      </c>
      <c r="Q1041" s="60">
        <v>0</v>
      </c>
      <c r="R1041" s="60">
        <v>0</v>
      </c>
      <c r="S1041" s="60">
        <v>0</v>
      </c>
      <c r="T1041" s="60">
        <v>0</v>
      </c>
      <c r="U1041" s="60">
        <v>0</v>
      </c>
      <c r="V1041" s="60">
        <v>0</v>
      </c>
      <c r="W1041" s="60">
        <v>0</v>
      </c>
      <c r="X1041" s="60">
        <v>0</v>
      </c>
      <c r="Y1041" s="60">
        <v>0</v>
      </c>
      <c r="Z1041" s="60">
        <v>0</v>
      </c>
      <c r="AA1041" s="60">
        <v>0</v>
      </c>
      <c r="AB1041" s="60">
        <v>0</v>
      </c>
      <c r="AC1041" s="60">
        <v>0</v>
      </c>
      <c r="AD1041" s="60">
        <v>0</v>
      </c>
      <c r="AE1041" s="60">
        <v>0</v>
      </c>
      <c r="AF1041" s="60">
        <v>400.46</v>
      </c>
      <c r="AG1041" s="60">
        <v>398.56</v>
      </c>
      <c r="AH1041" s="60">
        <v>386.47</v>
      </c>
      <c r="AI1041" s="60">
        <v>400.46</v>
      </c>
      <c r="AJ1041" s="60">
        <v>398.56</v>
      </c>
      <c r="AK1041" s="60">
        <v>386.47</v>
      </c>
      <c r="AL1041" s="60">
        <v>0</v>
      </c>
      <c r="AM1041" s="60">
        <v>0</v>
      </c>
      <c r="AN1041" s="60">
        <v>0</v>
      </c>
      <c r="AO1041" s="60">
        <v>400.46</v>
      </c>
      <c r="AP1041" s="60">
        <v>398.56</v>
      </c>
      <c r="AQ1041" s="60">
        <v>386.47</v>
      </c>
      <c r="AR1041" s="61">
        <v>400.46</v>
      </c>
    </row>
    <row r="1042" spans="1:44" x14ac:dyDescent="0.35">
      <c r="A1042" s="49" t="str">
        <f t="shared" si="90"/>
        <v>37</v>
      </c>
      <c r="B1042" s="27">
        <v>76471</v>
      </c>
      <c r="C1042" s="25" t="str">
        <f>TEXT(138768,"0000000")</f>
        <v>0138768</v>
      </c>
      <c r="D1042" s="26" t="s">
        <v>2350</v>
      </c>
      <c r="E1042" s="25" t="s">
        <v>2363</v>
      </c>
      <c r="F1042" s="25" t="s">
        <v>5</v>
      </c>
      <c r="G1042" s="59" t="s">
        <v>2364</v>
      </c>
      <c r="H1042" s="60">
        <v>0</v>
      </c>
      <c r="I1042" s="60">
        <v>0</v>
      </c>
      <c r="J1042" s="60">
        <v>0</v>
      </c>
      <c r="K1042" s="60">
        <v>0</v>
      </c>
      <c r="L1042" s="60">
        <v>0</v>
      </c>
      <c r="M1042" s="60">
        <v>0</v>
      </c>
      <c r="N1042" s="60">
        <v>0</v>
      </c>
      <c r="O1042" s="60">
        <v>0</v>
      </c>
      <c r="P1042" s="60">
        <v>0</v>
      </c>
      <c r="Q1042" s="60">
        <v>0</v>
      </c>
      <c r="R1042" s="60">
        <v>0</v>
      </c>
      <c r="S1042" s="60">
        <v>0</v>
      </c>
      <c r="T1042" s="60">
        <v>0</v>
      </c>
      <c r="U1042" s="60">
        <v>0</v>
      </c>
      <c r="V1042" s="60">
        <v>0</v>
      </c>
      <c r="W1042" s="60">
        <v>0</v>
      </c>
      <c r="X1042" s="60">
        <v>0</v>
      </c>
      <c r="Y1042" s="60">
        <v>0</v>
      </c>
      <c r="Z1042" s="60">
        <v>0</v>
      </c>
      <c r="AA1042" s="60">
        <v>0</v>
      </c>
      <c r="AB1042" s="60">
        <v>0</v>
      </c>
      <c r="AC1042" s="60">
        <v>0</v>
      </c>
      <c r="AD1042" s="60">
        <v>0</v>
      </c>
      <c r="AE1042" s="60">
        <v>0</v>
      </c>
      <c r="AF1042" s="60">
        <v>317.29000000000002</v>
      </c>
      <c r="AG1042" s="60">
        <v>314.49</v>
      </c>
      <c r="AH1042" s="60">
        <v>312.23</v>
      </c>
      <c r="AI1042" s="60">
        <v>317.29000000000002</v>
      </c>
      <c r="AJ1042" s="60">
        <v>314.49</v>
      </c>
      <c r="AK1042" s="60">
        <v>312.23</v>
      </c>
      <c r="AL1042" s="60">
        <v>0</v>
      </c>
      <c r="AM1042" s="60">
        <v>0</v>
      </c>
      <c r="AN1042" s="60">
        <v>0</v>
      </c>
      <c r="AO1042" s="60">
        <v>317.29000000000002</v>
      </c>
      <c r="AP1042" s="60">
        <v>314.49</v>
      </c>
      <c r="AQ1042" s="60">
        <v>312.23</v>
      </c>
      <c r="AR1042" s="61">
        <v>317.29000000000002</v>
      </c>
    </row>
    <row r="1043" spans="1:44" x14ac:dyDescent="0.35">
      <c r="A1043" s="49" t="str">
        <f t="shared" si="90"/>
        <v>37</v>
      </c>
      <c r="B1043" s="27">
        <v>76471</v>
      </c>
      <c r="C1043" s="25" t="str">
        <f>TEXT(138776,"0000000")</f>
        <v>0138776</v>
      </c>
      <c r="D1043" s="26" t="s">
        <v>2350</v>
      </c>
      <c r="E1043" s="25" t="s">
        <v>2365</v>
      </c>
      <c r="F1043" s="25" t="s">
        <v>5</v>
      </c>
      <c r="G1043" s="59" t="s">
        <v>2366</v>
      </c>
      <c r="H1043" s="60">
        <v>0</v>
      </c>
      <c r="I1043" s="60">
        <v>0</v>
      </c>
      <c r="J1043" s="60">
        <v>0</v>
      </c>
      <c r="K1043" s="60">
        <v>0</v>
      </c>
      <c r="L1043" s="60">
        <v>0</v>
      </c>
      <c r="M1043" s="60">
        <v>0</v>
      </c>
      <c r="N1043" s="60">
        <v>0</v>
      </c>
      <c r="O1043" s="60">
        <v>0</v>
      </c>
      <c r="P1043" s="60">
        <v>0</v>
      </c>
      <c r="Q1043" s="60">
        <v>0</v>
      </c>
      <c r="R1043" s="60">
        <v>0</v>
      </c>
      <c r="S1043" s="60">
        <v>0</v>
      </c>
      <c r="T1043" s="60">
        <v>0</v>
      </c>
      <c r="U1043" s="60">
        <v>0</v>
      </c>
      <c r="V1043" s="60">
        <v>0</v>
      </c>
      <c r="W1043" s="60">
        <v>0</v>
      </c>
      <c r="X1043" s="60">
        <v>0</v>
      </c>
      <c r="Y1043" s="60">
        <v>0</v>
      </c>
      <c r="Z1043" s="60">
        <v>0</v>
      </c>
      <c r="AA1043" s="60">
        <v>0</v>
      </c>
      <c r="AB1043" s="60">
        <v>0</v>
      </c>
      <c r="AC1043" s="60">
        <v>0</v>
      </c>
      <c r="AD1043" s="60">
        <v>0</v>
      </c>
      <c r="AE1043" s="60">
        <v>0</v>
      </c>
      <c r="AF1043" s="60">
        <v>411.12</v>
      </c>
      <c r="AG1043" s="60">
        <v>396.33</v>
      </c>
      <c r="AH1043" s="60">
        <v>342</v>
      </c>
      <c r="AI1043" s="60">
        <v>411.12</v>
      </c>
      <c r="AJ1043" s="60">
        <v>396.33</v>
      </c>
      <c r="AK1043" s="60">
        <v>342</v>
      </c>
      <c r="AL1043" s="60">
        <v>0</v>
      </c>
      <c r="AM1043" s="60">
        <v>0</v>
      </c>
      <c r="AN1043" s="60">
        <v>0</v>
      </c>
      <c r="AO1043" s="60">
        <v>411.12</v>
      </c>
      <c r="AP1043" s="60">
        <v>396.33</v>
      </c>
      <c r="AQ1043" s="60">
        <v>342</v>
      </c>
      <c r="AR1043" s="61">
        <v>411.12</v>
      </c>
    </row>
    <row r="1044" spans="1:44" x14ac:dyDescent="0.35">
      <c r="A1044" s="49" t="str">
        <f t="shared" si="90"/>
        <v>37</v>
      </c>
      <c r="B1044" s="27">
        <v>77099</v>
      </c>
      <c r="C1044" s="25" t="str">
        <f>TEXT(136077,"0000000")</f>
        <v>0136077</v>
      </c>
      <c r="D1044" s="27">
        <v>1889</v>
      </c>
      <c r="E1044" s="25" t="s">
        <v>2369</v>
      </c>
      <c r="F1044" s="25" t="s">
        <v>5</v>
      </c>
      <c r="G1044" s="59" t="s">
        <v>2370</v>
      </c>
      <c r="H1044" s="60">
        <v>0</v>
      </c>
      <c r="I1044" s="60">
        <v>0</v>
      </c>
      <c r="J1044" s="60">
        <v>0</v>
      </c>
      <c r="K1044" s="60">
        <v>0</v>
      </c>
      <c r="L1044" s="60">
        <v>0</v>
      </c>
      <c r="M1044" s="60">
        <v>0</v>
      </c>
      <c r="N1044" s="60">
        <v>0</v>
      </c>
      <c r="O1044" s="60">
        <v>0</v>
      </c>
      <c r="P1044" s="60">
        <v>0</v>
      </c>
      <c r="Q1044" s="60">
        <v>0</v>
      </c>
      <c r="R1044" s="60">
        <v>0</v>
      </c>
      <c r="S1044" s="60">
        <v>0</v>
      </c>
      <c r="T1044" s="60">
        <v>0</v>
      </c>
      <c r="U1044" s="60">
        <v>0</v>
      </c>
      <c r="V1044" s="60">
        <v>0</v>
      </c>
      <c r="W1044" s="60">
        <v>0</v>
      </c>
      <c r="X1044" s="60">
        <v>0</v>
      </c>
      <c r="Y1044" s="60">
        <v>0</v>
      </c>
      <c r="Z1044" s="60">
        <v>0</v>
      </c>
      <c r="AA1044" s="60">
        <v>0</v>
      </c>
      <c r="AB1044" s="60">
        <v>0</v>
      </c>
      <c r="AC1044" s="60">
        <v>310.72000000000003</v>
      </c>
      <c r="AD1044" s="60">
        <v>276.88</v>
      </c>
      <c r="AE1044" s="60">
        <v>329.74</v>
      </c>
      <c r="AF1044" s="60">
        <v>0</v>
      </c>
      <c r="AG1044" s="60">
        <v>0</v>
      </c>
      <c r="AH1044" s="60">
        <v>0</v>
      </c>
      <c r="AI1044" s="60">
        <v>310.72000000000003</v>
      </c>
      <c r="AJ1044" s="60">
        <v>276.88</v>
      </c>
      <c r="AK1044" s="60">
        <v>329.74</v>
      </c>
      <c r="AL1044" s="60">
        <v>0</v>
      </c>
      <c r="AM1044" s="60">
        <v>0</v>
      </c>
      <c r="AN1044" s="60">
        <v>0</v>
      </c>
      <c r="AO1044" s="60">
        <v>310.72000000000003</v>
      </c>
      <c r="AP1044" s="60">
        <v>276.88</v>
      </c>
      <c r="AQ1044" s="60">
        <v>329.74</v>
      </c>
      <c r="AR1044" s="61">
        <v>329.74</v>
      </c>
    </row>
    <row r="1045" spans="1:44" x14ac:dyDescent="0.35">
      <c r="A1045" s="49" t="str">
        <f t="shared" si="90"/>
        <v>37</v>
      </c>
      <c r="B1045" s="27">
        <v>77107</v>
      </c>
      <c r="C1045" s="25" t="str">
        <f>TEXT(136473,"0000000")</f>
        <v>0136473</v>
      </c>
      <c r="D1045" s="27">
        <v>1903</v>
      </c>
      <c r="E1045" s="25" t="s">
        <v>2371</v>
      </c>
      <c r="F1045" s="25" t="s">
        <v>5</v>
      </c>
      <c r="G1045" s="59" t="s">
        <v>2372</v>
      </c>
      <c r="H1045" s="60">
        <v>0</v>
      </c>
      <c r="I1045" s="60">
        <v>0</v>
      </c>
      <c r="J1045" s="60">
        <v>0</v>
      </c>
      <c r="K1045" s="60">
        <v>0</v>
      </c>
      <c r="L1045" s="60">
        <v>0</v>
      </c>
      <c r="M1045" s="60">
        <v>0</v>
      </c>
      <c r="N1045" s="60">
        <v>0</v>
      </c>
      <c r="O1045" s="60">
        <v>0</v>
      </c>
      <c r="P1045" s="60">
        <v>0</v>
      </c>
      <c r="Q1045" s="60">
        <v>0</v>
      </c>
      <c r="R1045" s="60">
        <v>0</v>
      </c>
      <c r="S1045" s="60">
        <v>0</v>
      </c>
      <c r="T1045" s="60">
        <v>0</v>
      </c>
      <c r="U1045" s="60">
        <v>0</v>
      </c>
      <c r="V1045" s="60">
        <v>0</v>
      </c>
      <c r="W1045" s="60">
        <v>0</v>
      </c>
      <c r="X1045" s="60">
        <v>0</v>
      </c>
      <c r="Y1045" s="60">
        <v>0</v>
      </c>
      <c r="Z1045" s="60">
        <v>0</v>
      </c>
      <c r="AA1045" s="60">
        <v>0</v>
      </c>
      <c r="AB1045" s="60">
        <v>0</v>
      </c>
      <c r="AC1045" s="60">
        <v>394.7</v>
      </c>
      <c r="AD1045" s="60">
        <v>387.95</v>
      </c>
      <c r="AE1045" s="60">
        <v>354.6</v>
      </c>
      <c r="AF1045" s="60">
        <v>0</v>
      </c>
      <c r="AG1045" s="60">
        <v>0</v>
      </c>
      <c r="AH1045" s="60">
        <v>0</v>
      </c>
      <c r="AI1045" s="60">
        <v>394.7</v>
      </c>
      <c r="AJ1045" s="60">
        <v>387.95</v>
      </c>
      <c r="AK1045" s="60">
        <v>354.6</v>
      </c>
      <c r="AL1045" s="60">
        <v>0</v>
      </c>
      <c r="AM1045" s="60">
        <v>0</v>
      </c>
      <c r="AN1045" s="60">
        <v>0</v>
      </c>
      <c r="AO1045" s="60">
        <v>394.7</v>
      </c>
      <c r="AP1045" s="60">
        <v>387.95</v>
      </c>
      <c r="AQ1045" s="60">
        <v>354.6</v>
      </c>
      <c r="AR1045" s="61">
        <v>394.7</v>
      </c>
    </row>
    <row r="1046" spans="1:44" x14ac:dyDescent="0.35">
      <c r="A1046" s="49" t="str">
        <f t="shared" si="90"/>
        <v>37</v>
      </c>
      <c r="B1046" s="27">
        <v>77156</v>
      </c>
      <c r="C1046" s="25" t="str">
        <f>TEXT(137323,"0000000")</f>
        <v>0137323</v>
      </c>
      <c r="D1046" s="27">
        <v>1968</v>
      </c>
      <c r="E1046" s="25" t="s">
        <v>2373</v>
      </c>
      <c r="F1046" s="25" t="s">
        <v>5</v>
      </c>
      <c r="G1046" s="59" t="s">
        <v>2374</v>
      </c>
      <c r="H1046" s="60">
        <v>0</v>
      </c>
      <c r="I1046" s="60">
        <v>0</v>
      </c>
      <c r="J1046" s="60">
        <v>0</v>
      </c>
      <c r="K1046" s="60">
        <v>0</v>
      </c>
      <c r="L1046" s="60">
        <v>0</v>
      </c>
      <c r="M1046" s="60">
        <v>0</v>
      </c>
      <c r="N1046" s="60">
        <v>0</v>
      </c>
      <c r="O1046" s="60">
        <v>0</v>
      </c>
      <c r="P1046" s="60">
        <v>0</v>
      </c>
      <c r="Q1046" s="60">
        <v>0</v>
      </c>
      <c r="R1046" s="60">
        <v>0</v>
      </c>
      <c r="S1046" s="60">
        <v>0</v>
      </c>
      <c r="T1046" s="60">
        <v>0</v>
      </c>
      <c r="U1046" s="60">
        <v>0</v>
      </c>
      <c r="V1046" s="60">
        <v>0</v>
      </c>
      <c r="W1046" s="60">
        <v>0</v>
      </c>
      <c r="X1046" s="60">
        <v>0</v>
      </c>
      <c r="Y1046" s="60">
        <v>0</v>
      </c>
      <c r="Z1046" s="60">
        <v>0</v>
      </c>
      <c r="AA1046" s="60">
        <v>0</v>
      </c>
      <c r="AB1046" s="60">
        <v>0</v>
      </c>
      <c r="AC1046" s="60">
        <v>229.24</v>
      </c>
      <c r="AD1046" s="60">
        <v>232.22</v>
      </c>
      <c r="AE1046" s="60">
        <v>205.67</v>
      </c>
      <c r="AF1046" s="60">
        <v>0</v>
      </c>
      <c r="AG1046" s="60">
        <v>0</v>
      </c>
      <c r="AH1046" s="60">
        <v>0</v>
      </c>
      <c r="AI1046" s="60">
        <v>229.24</v>
      </c>
      <c r="AJ1046" s="60">
        <v>232.22</v>
      </c>
      <c r="AK1046" s="60">
        <v>205.67</v>
      </c>
      <c r="AL1046" s="60">
        <v>0</v>
      </c>
      <c r="AM1046" s="60">
        <v>0</v>
      </c>
      <c r="AN1046" s="60">
        <v>0</v>
      </c>
      <c r="AO1046" s="60">
        <v>229.24</v>
      </c>
      <c r="AP1046" s="60">
        <v>232.22</v>
      </c>
      <c r="AQ1046" s="60">
        <v>205.67</v>
      </c>
      <c r="AR1046" s="61">
        <v>232.22</v>
      </c>
    </row>
    <row r="1047" spans="1:44" x14ac:dyDescent="0.35">
      <c r="A1047" s="49" t="str">
        <f t="shared" si="90"/>
        <v>37</v>
      </c>
      <c r="B1047" s="27">
        <v>77164</v>
      </c>
      <c r="C1047" s="25" t="str">
        <f>TEXT(137356,"0000000")</f>
        <v>0137356</v>
      </c>
      <c r="D1047" s="27">
        <v>1967</v>
      </c>
      <c r="E1047" s="25" t="s">
        <v>2375</v>
      </c>
      <c r="F1047" s="25" t="s">
        <v>5</v>
      </c>
      <c r="G1047" s="59" t="s">
        <v>2376</v>
      </c>
      <c r="H1047" s="60">
        <v>0</v>
      </c>
      <c r="I1047" s="60">
        <v>0</v>
      </c>
      <c r="J1047" s="60">
        <v>0</v>
      </c>
      <c r="K1047" s="60">
        <v>0</v>
      </c>
      <c r="L1047" s="60">
        <v>0</v>
      </c>
      <c r="M1047" s="60">
        <v>0</v>
      </c>
      <c r="N1047" s="60">
        <v>0</v>
      </c>
      <c r="O1047" s="60">
        <v>0</v>
      </c>
      <c r="P1047" s="60">
        <v>0</v>
      </c>
      <c r="Q1047" s="60">
        <v>0</v>
      </c>
      <c r="R1047" s="60">
        <v>0</v>
      </c>
      <c r="S1047" s="60">
        <v>0</v>
      </c>
      <c r="T1047" s="60">
        <v>0</v>
      </c>
      <c r="U1047" s="60">
        <v>0</v>
      </c>
      <c r="V1047" s="60">
        <v>0</v>
      </c>
      <c r="W1047" s="60">
        <v>0</v>
      </c>
      <c r="X1047" s="60">
        <v>0</v>
      </c>
      <c r="Y1047" s="60">
        <v>0</v>
      </c>
      <c r="Z1047" s="60">
        <v>0</v>
      </c>
      <c r="AA1047" s="60">
        <v>0</v>
      </c>
      <c r="AB1047" s="60">
        <v>0</v>
      </c>
      <c r="AC1047" s="60">
        <v>392.32</v>
      </c>
      <c r="AD1047" s="60">
        <v>385.81</v>
      </c>
      <c r="AE1047" s="60">
        <v>380.47</v>
      </c>
      <c r="AF1047" s="60">
        <v>0</v>
      </c>
      <c r="AG1047" s="60">
        <v>0</v>
      </c>
      <c r="AH1047" s="60">
        <v>0</v>
      </c>
      <c r="AI1047" s="60">
        <v>392.32</v>
      </c>
      <c r="AJ1047" s="60">
        <v>385.81</v>
      </c>
      <c r="AK1047" s="60">
        <v>380.47</v>
      </c>
      <c r="AL1047" s="60">
        <v>0</v>
      </c>
      <c r="AM1047" s="60">
        <v>0</v>
      </c>
      <c r="AN1047" s="60">
        <v>0</v>
      </c>
      <c r="AO1047" s="60">
        <v>392.32</v>
      </c>
      <c r="AP1047" s="60">
        <v>385.81</v>
      </c>
      <c r="AQ1047" s="60">
        <v>380.47</v>
      </c>
      <c r="AR1047" s="61">
        <v>392.32</v>
      </c>
    </row>
    <row r="1048" spans="1:44" x14ac:dyDescent="0.35">
      <c r="A1048" s="49" t="str">
        <f t="shared" si="90"/>
        <v>37</v>
      </c>
      <c r="B1048" s="27">
        <v>77172</v>
      </c>
      <c r="C1048" s="25" t="str">
        <f>TEXT(138099,"0000000")</f>
        <v>0138099</v>
      </c>
      <c r="D1048" s="27">
        <v>1966</v>
      </c>
      <c r="E1048" s="25" t="s">
        <v>2377</v>
      </c>
      <c r="F1048" s="25" t="s">
        <v>5</v>
      </c>
      <c r="G1048" s="59" t="s">
        <v>2378</v>
      </c>
      <c r="H1048" s="60">
        <v>0</v>
      </c>
      <c r="I1048" s="60">
        <v>0</v>
      </c>
      <c r="J1048" s="60">
        <v>0</v>
      </c>
      <c r="K1048" s="60">
        <v>0</v>
      </c>
      <c r="L1048" s="60">
        <v>0</v>
      </c>
      <c r="M1048" s="60">
        <v>0</v>
      </c>
      <c r="N1048" s="60">
        <v>0</v>
      </c>
      <c r="O1048" s="60">
        <v>0</v>
      </c>
      <c r="P1048" s="60">
        <v>0</v>
      </c>
      <c r="Q1048" s="60">
        <v>0</v>
      </c>
      <c r="R1048" s="60">
        <v>0</v>
      </c>
      <c r="S1048" s="60">
        <v>0</v>
      </c>
      <c r="T1048" s="60">
        <v>0</v>
      </c>
      <c r="U1048" s="60">
        <v>0</v>
      </c>
      <c r="V1048" s="60">
        <v>0</v>
      </c>
      <c r="W1048" s="60">
        <v>0</v>
      </c>
      <c r="X1048" s="60">
        <v>0</v>
      </c>
      <c r="Y1048" s="60">
        <v>0</v>
      </c>
      <c r="Z1048" s="60">
        <v>0</v>
      </c>
      <c r="AA1048" s="60">
        <v>0</v>
      </c>
      <c r="AB1048" s="60">
        <v>0</v>
      </c>
      <c r="AC1048" s="60">
        <v>222.47</v>
      </c>
      <c r="AD1048" s="60">
        <v>189.89</v>
      </c>
      <c r="AE1048" s="60">
        <v>166.51</v>
      </c>
      <c r="AF1048" s="60">
        <v>0</v>
      </c>
      <c r="AG1048" s="60">
        <v>0</v>
      </c>
      <c r="AH1048" s="60">
        <v>0</v>
      </c>
      <c r="AI1048" s="60">
        <v>222.47</v>
      </c>
      <c r="AJ1048" s="60">
        <v>189.89</v>
      </c>
      <c r="AK1048" s="60">
        <v>166.51</v>
      </c>
      <c r="AL1048" s="60">
        <v>0</v>
      </c>
      <c r="AM1048" s="60">
        <v>0</v>
      </c>
      <c r="AN1048" s="60">
        <v>0</v>
      </c>
      <c r="AO1048" s="60">
        <v>222.47</v>
      </c>
      <c r="AP1048" s="60">
        <v>189.89</v>
      </c>
      <c r="AQ1048" s="60">
        <v>166.51</v>
      </c>
      <c r="AR1048" s="61">
        <v>222.47</v>
      </c>
    </row>
    <row r="1049" spans="1:44" x14ac:dyDescent="0.35">
      <c r="A1049" s="49" t="str">
        <f>TEXT(1,"00")</f>
        <v>01</v>
      </c>
      <c r="B1049" s="27">
        <v>61259</v>
      </c>
      <c r="C1049" s="25" t="str">
        <f>TEXT(130633,"0000000")</f>
        <v>0130633</v>
      </c>
      <c r="D1049" s="26" t="s">
        <v>123</v>
      </c>
      <c r="E1049" s="25" t="s">
        <v>121</v>
      </c>
      <c r="F1049" s="25" t="s">
        <v>5</v>
      </c>
      <c r="G1049" s="59" t="s">
        <v>122</v>
      </c>
      <c r="H1049" s="60">
        <v>0</v>
      </c>
      <c r="I1049" s="60">
        <v>0</v>
      </c>
      <c r="J1049" s="60">
        <v>0</v>
      </c>
      <c r="K1049" s="60">
        <v>0</v>
      </c>
      <c r="L1049" s="60">
        <v>0</v>
      </c>
      <c r="M1049" s="60">
        <v>0</v>
      </c>
      <c r="N1049" s="60">
        <v>0</v>
      </c>
      <c r="O1049" s="60">
        <v>0</v>
      </c>
      <c r="P1049" s="60">
        <v>0</v>
      </c>
      <c r="Q1049" s="60">
        <v>0</v>
      </c>
      <c r="R1049" s="60">
        <v>0</v>
      </c>
      <c r="S1049" s="60">
        <v>0</v>
      </c>
      <c r="T1049" s="60">
        <v>0</v>
      </c>
      <c r="U1049" s="60">
        <v>0</v>
      </c>
      <c r="V1049" s="60">
        <v>0</v>
      </c>
      <c r="W1049" s="60">
        <v>0</v>
      </c>
      <c r="X1049" s="60">
        <v>0</v>
      </c>
      <c r="Y1049" s="60">
        <v>0</v>
      </c>
      <c r="Z1049" s="60">
        <v>0</v>
      </c>
      <c r="AA1049" s="60">
        <v>0</v>
      </c>
      <c r="AB1049" s="60">
        <v>0</v>
      </c>
      <c r="AC1049" s="60">
        <v>499.19</v>
      </c>
      <c r="AD1049" s="60">
        <v>496.29</v>
      </c>
      <c r="AE1049" s="60">
        <v>474.97</v>
      </c>
      <c r="AF1049" s="60">
        <v>0</v>
      </c>
      <c r="AG1049" s="60">
        <v>0</v>
      </c>
      <c r="AH1049" s="60">
        <v>0</v>
      </c>
      <c r="AI1049" s="60">
        <v>499.19</v>
      </c>
      <c r="AJ1049" s="60">
        <v>496.29</v>
      </c>
      <c r="AK1049" s="60">
        <v>474.97</v>
      </c>
      <c r="AL1049" s="60">
        <v>0</v>
      </c>
      <c r="AM1049" s="60">
        <v>0</v>
      </c>
      <c r="AN1049" s="60">
        <v>0</v>
      </c>
      <c r="AO1049" s="60">
        <v>499.19</v>
      </c>
      <c r="AP1049" s="60">
        <v>496.29</v>
      </c>
      <c r="AQ1049" s="60">
        <v>474.97</v>
      </c>
      <c r="AR1049" s="61">
        <v>499.19</v>
      </c>
    </row>
    <row r="1050" spans="1:44" x14ac:dyDescent="0.35">
      <c r="A1050" s="49" t="str">
        <f t="shared" ref="A1050:A1059" si="91">TEXT(38,"00")</f>
        <v>38</v>
      </c>
      <c r="B1050" s="27">
        <v>68478</v>
      </c>
      <c r="C1050" s="25" t="str">
        <f>TEXT(101337,"0000000")</f>
        <v>0101337</v>
      </c>
      <c r="D1050" s="26" t="s">
        <v>2385</v>
      </c>
      <c r="E1050" s="25" t="s">
        <v>2383</v>
      </c>
      <c r="F1050" s="25" t="s">
        <v>5</v>
      </c>
      <c r="G1050" s="59" t="s">
        <v>2384</v>
      </c>
      <c r="H1050" s="60">
        <v>0</v>
      </c>
      <c r="I1050" s="60">
        <v>0</v>
      </c>
      <c r="J1050" s="60">
        <v>0</v>
      </c>
      <c r="K1050" s="60">
        <v>0</v>
      </c>
      <c r="L1050" s="60">
        <v>0</v>
      </c>
      <c r="M1050" s="60">
        <v>0</v>
      </c>
      <c r="N1050" s="60">
        <v>0</v>
      </c>
      <c r="O1050" s="60">
        <v>0</v>
      </c>
      <c r="P1050" s="60">
        <v>0</v>
      </c>
      <c r="Q1050" s="60">
        <v>0</v>
      </c>
      <c r="R1050" s="60">
        <v>0</v>
      </c>
      <c r="S1050" s="60">
        <v>0</v>
      </c>
      <c r="T1050" s="60">
        <v>0</v>
      </c>
      <c r="U1050" s="60">
        <v>0</v>
      </c>
      <c r="V1050" s="60">
        <v>0</v>
      </c>
      <c r="W1050" s="60">
        <v>0</v>
      </c>
      <c r="X1050" s="60">
        <v>0</v>
      </c>
      <c r="Y1050" s="60">
        <v>0</v>
      </c>
      <c r="Z1050" s="60">
        <v>0</v>
      </c>
      <c r="AA1050" s="60">
        <v>0</v>
      </c>
      <c r="AB1050" s="60">
        <v>0</v>
      </c>
      <c r="AC1050" s="60">
        <v>163.13</v>
      </c>
      <c r="AD1050" s="60">
        <v>170.58</v>
      </c>
      <c r="AE1050" s="60">
        <v>212.4</v>
      </c>
      <c r="AF1050" s="60">
        <v>0</v>
      </c>
      <c r="AG1050" s="60">
        <v>0</v>
      </c>
      <c r="AH1050" s="60">
        <v>0</v>
      </c>
      <c r="AI1050" s="60">
        <v>163.13</v>
      </c>
      <c r="AJ1050" s="60">
        <v>170.58</v>
      </c>
      <c r="AK1050" s="60">
        <v>212.4</v>
      </c>
      <c r="AL1050" s="60">
        <v>0</v>
      </c>
      <c r="AM1050" s="60">
        <v>0</v>
      </c>
      <c r="AN1050" s="60">
        <v>0</v>
      </c>
      <c r="AO1050" s="60">
        <v>163.13</v>
      </c>
      <c r="AP1050" s="60">
        <v>170.58</v>
      </c>
      <c r="AQ1050" s="60">
        <v>212.4</v>
      </c>
      <c r="AR1050" s="61">
        <v>212.4</v>
      </c>
    </row>
    <row r="1051" spans="1:44" x14ac:dyDescent="0.35">
      <c r="A1051" s="49" t="str">
        <f t="shared" si="91"/>
        <v>38</v>
      </c>
      <c r="B1051" s="27">
        <v>68478</v>
      </c>
      <c r="C1051" s="25" t="str">
        <f>TEXT(101352,"0000000")</f>
        <v>0101352</v>
      </c>
      <c r="D1051" s="26" t="s">
        <v>2388</v>
      </c>
      <c r="E1051" s="25" t="s">
        <v>2386</v>
      </c>
      <c r="F1051" s="25" t="s">
        <v>5</v>
      </c>
      <c r="G1051" s="59" t="s">
        <v>2387</v>
      </c>
      <c r="H1051" s="60">
        <v>0</v>
      </c>
      <c r="I1051" s="60">
        <v>0</v>
      </c>
      <c r="J1051" s="60">
        <v>0</v>
      </c>
      <c r="K1051" s="60">
        <v>0</v>
      </c>
      <c r="L1051" s="60">
        <v>0</v>
      </c>
      <c r="M1051" s="60">
        <v>0</v>
      </c>
      <c r="N1051" s="60">
        <v>0</v>
      </c>
      <c r="O1051" s="60">
        <v>0</v>
      </c>
      <c r="P1051" s="60">
        <v>0</v>
      </c>
      <c r="Q1051" s="60">
        <v>0</v>
      </c>
      <c r="R1051" s="60">
        <v>0</v>
      </c>
      <c r="S1051" s="60">
        <v>0</v>
      </c>
      <c r="T1051" s="60">
        <v>0</v>
      </c>
      <c r="U1051" s="60">
        <v>0</v>
      </c>
      <c r="V1051" s="60">
        <v>0</v>
      </c>
      <c r="W1051" s="60">
        <v>0</v>
      </c>
      <c r="X1051" s="60">
        <v>0</v>
      </c>
      <c r="Y1051" s="60">
        <v>0</v>
      </c>
      <c r="Z1051" s="60">
        <v>0</v>
      </c>
      <c r="AA1051" s="60">
        <v>0</v>
      </c>
      <c r="AB1051" s="60">
        <v>0</v>
      </c>
      <c r="AC1051" s="60">
        <v>243.71</v>
      </c>
      <c r="AD1051" s="60">
        <v>252.89</v>
      </c>
      <c r="AE1051" s="60">
        <v>271.41000000000003</v>
      </c>
      <c r="AF1051" s="60">
        <v>0</v>
      </c>
      <c r="AG1051" s="60">
        <v>0</v>
      </c>
      <c r="AH1051" s="60">
        <v>0</v>
      </c>
      <c r="AI1051" s="60">
        <v>243.71</v>
      </c>
      <c r="AJ1051" s="60">
        <v>252.89</v>
      </c>
      <c r="AK1051" s="60">
        <v>271.41000000000003</v>
      </c>
      <c r="AL1051" s="60">
        <v>0</v>
      </c>
      <c r="AM1051" s="60">
        <v>0</v>
      </c>
      <c r="AN1051" s="60">
        <v>0</v>
      </c>
      <c r="AO1051" s="60">
        <v>243.71</v>
      </c>
      <c r="AP1051" s="60">
        <v>252.89</v>
      </c>
      <c r="AQ1051" s="60">
        <v>271.41000000000003</v>
      </c>
      <c r="AR1051" s="61">
        <v>271.41000000000003</v>
      </c>
    </row>
    <row r="1052" spans="1:44" x14ac:dyDescent="0.35">
      <c r="A1052" s="49" t="str">
        <f t="shared" si="91"/>
        <v>38</v>
      </c>
      <c r="B1052" s="27">
        <v>68478</v>
      </c>
      <c r="C1052" s="25" t="str">
        <f>TEXT(101774,"0000000")</f>
        <v>0101774</v>
      </c>
      <c r="D1052" s="26" t="s">
        <v>2391</v>
      </c>
      <c r="E1052" s="25" t="s">
        <v>2389</v>
      </c>
      <c r="F1052" s="25" t="s">
        <v>5</v>
      </c>
      <c r="G1052" s="59" t="s">
        <v>2390</v>
      </c>
      <c r="H1052" s="60">
        <v>0</v>
      </c>
      <c r="I1052" s="60">
        <v>0</v>
      </c>
      <c r="J1052" s="60">
        <v>0</v>
      </c>
      <c r="K1052" s="60">
        <v>0</v>
      </c>
      <c r="L1052" s="60">
        <v>0</v>
      </c>
      <c r="M1052" s="60">
        <v>0</v>
      </c>
      <c r="N1052" s="60">
        <v>0</v>
      </c>
      <c r="O1052" s="60">
        <v>0</v>
      </c>
      <c r="P1052" s="60">
        <v>0</v>
      </c>
      <c r="Q1052" s="60">
        <v>0</v>
      </c>
      <c r="R1052" s="60">
        <v>0</v>
      </c>
      <c r="S1052" s="60">
        <v>0</v>
      </c>
      <c r="T1052" s="60">
        <v>0</v>
      </c>
      <c r="U1052" s="60">
        <v>0</v>
      </c>
      <c r="V1052" s="60">
        <v>0</v>
      </c>
      <c r="W1052" s="60">
        <v>0</v>
      </c>
      <c r="X1052" s="60">
        <v>0</v>
      </c>
      <c r="Y1052" s="60">
        <v>0</v>
      </c>
      <c r="Z1052" s="60">
        <v>0</v>
      </c>
      <c r="AA1052" s="60">
        <v>0</v>
      </c>
      <c r="AB1052" s="60">
        <v>0</v>
      </c>
      <c r="AC1052" s="60">
        <v>109.4</v>
      </c>
      <c r="AD1052" s="60">
        <v>91.82</v>
      </c>
      <c r="AE1052" s="60">
        <v>74.400000000000006</v>
      </c>
      <c r="AF1052" s="60">
        <v>0</v>
      </c>
      <c r="AG1052" s="60">
        <v>0</v>
      </c>
      <c r="AH1052" s="60">
        <v>0</v>
      </c>
      <c r="AI1052" s="60">
        <v>109.4</v>
      </c>
      <c r="AJ1052" s="60">
        <v>91.82</v>
      </c>
      <c r="AK1052" s="60">
        <v>74.400000000000006</v>
      </c>
      <c r="AL1052" s="60">
        <v>0</v>
      </c>
      <c r="AM1052" s="60">
        <v>0</v>
      </c>
      <c r="AN1052" s="60">
        <v>0</v>
      </c>
      <c r="AO1052" s="60">
        <v>109.4</v>
      </c>
      <c r="AP1052" s="60">
        <v>91.82</v>
      </c>
      <c r="AQ1052" s="60">
        <v>74.400000000000006</v>
      </c>
      <c r="AR1052" s="61">
        <v>109.4</v>
      </c>
    </row>
    <row r="1053" spans="1:44" x14ac:dyDescent="0.35">
      <c r="A1053" s="49" t="str">
        <f t="shared" si="91"/>
        <v>38</v>
      </c>
      <c r="B1053" s="27">
        <v>68478</v>
      </c>
      <c r="C1053" s="25" t="str">
        <f>TEXT(107300,"0000000")</f>
        <v>0107300</v>
      </c>
      <c r="D1053" s="26" t="s">
        <v>2394</v>
      </c>
      <c r="E1053" s="25" t="s">
        <v>2392</v>
      </c>
      <c r="F1053" s="25" t="s">
        <v>5</v>
      </c>
      <c r="G1053" s="59" t="s">
        <v>2393</v>
      </c>
      <c r="H1053" s="60">
        <v>0</v>
      </c>
      <c r="I1053" s="60">
        <v>0</v>
      </c>
      <c r="J1053" s="60">
        <v>0</v>
      </c>
      <c r="K1053" s="60">
        <v>0</v>
      </c>
      <c r="L1053" s="60">
        <v>0</v>
      </c>
      <c r="M1053" s="60">
        <v>0</v>
      </c>
      <c r="N1053" s="60">
        <v>0</v>
      </c>
      <c r="O1053" s="60">
        <v>0</v>
      </c>
      <c r="P1053" s="60">
        <v>0</v>
      </c>
      <c r="Q1053" s="60">
        <v>0</v>
      </c>
      <c r="R1053" s="60">
        <v>0</v>
      </c>
      <c r="S1053" s="60">
        <v>0</v>
      </c>
      <c r="T1053" s="60">
        <v>0</v>
      </c>
      <c r="U1053" s="60">
        <v>0</v>
      </c>
      <c r="V1053" s="60">
        <v>0</v>
      </c>
      <c r="W1053" s="60">
        <v>0</v>
      </c>
      <c r="X1053" s="60">
        <v>0</v>
      </c>
      <c r="Y1053" s="60">
        <v>0</v>
      </c>
      <c r="Z1053" s="60">
        <v>0</v>
      </c>
      <c r="AA1053" s="60">
        <v>0</v>
      </c>
      <c r="AB1053" s="60">
        <v>0</v>
      </c>
      <c r="AC1053" s="60">
        <v>370.04</v>
      </c>
      <c r="AD1053" s="60">
        <v>411.93</v>
      </c>
      <c r="AE1053" s="60">
        <v>198.79</v>
      </c>
      <c r="AF1053" s="60">
        <v>0</v>
      </c>
      <c r="AG1053" s="60">
        <v>0</v>
      </c>
      <c r="AH1053" s="60">
        <v>0</v>
      </c>
      <c r="AI1053" s="60">
        <v>370.04</v>
      </c>
      <c r="AJ1053" s="60">
        <v>411.93</v>
      </c>
      <c r="AK1053" s="60">
        <v>198.79</v>
      </c>
      <c r="AL1053" s="60">
        <v>0</v>
      </c>
      <c r="AM1053" s="60">
        <v>0</v>
      </c>
      <c r="AN1053" s="60">
        <v>0</v>
      </c>
      <c r="AO1053" s="60">
        <v>370.04</v>
      </c>
      <c r="AP1053" s="60">
        <v>411.93</v>
      </c>
      <c r="AQ1053" s="60">
        <v>198.79</v>
      </c>
      <c r="AR1053" s="61">
        <v>411.93</v>
      </c>
    </row>
    <row r="1054" spans="1:44" x14ac:dyDescent="0.35">
      <c r="A1054" s="49" t="str">
        <f t="shared" si="91"/>
        <v>38</v>
      </c>
      <c r="B1054" s="27">
        <v>68478</v>
      </c>
      <c r="C1054" s="25" t="str">
        <f>TEXT(118141,"0000000")</f>
        <v>0118141</v>
      </c>
      <c r="D1054" s="27">
        <v>1028</v>
      </c>
      <c r="E1054" s="25" t="s">
        <v>2395</v>
      </c>
      <c r="F1054" s="25" t="s">
        <v>5</v>
      </c>
      <c r="G1054" s="59" t="s">
        <v>2396</v>
      </c>
      <c r="H1054" s="60">
        <v>0</v>
      </c>
      <c r="I1054" s="60">
        <v>0</v>
      </c>
      <c r="J1054" s="60">
        <v>0</v>
      </c>
      <c r="K1054" s="60">
        <v>0</v>
      </c>
      <c r="L1054" s="60">
        <v>0</v>
      </c>
      <c r="M1054" s="60">
        <v>0</v>
      </c>
      <c r="N1054" s="60">
        <v>0</v>
      </c>
      <c r="O1054" s="60">
        <v>0</v>
      </c>
      <c r="P1054" s="60">
        <v>0</v>
      </c>
      <c r="Q1054" s="60">
        <v>0</v>
      </c>
      <c r="R1054" s="60">
        <v>0</v>
      </c>
      <c r="S1054" s="60">
        <v>0</v>
      </c>
      <c r="T1054" s="60">
        <v>0</v>
      </c>
      <c r="U1054" s="60">
        <v>0</v>
      </c>
      <c r="V1054" s="60">
        <v>0</v>
      </c>
      <c r="W1054" s="60">
        <v>0</v>
      </c>
      <c r="X1054" s="60">
        <v>0</v>
      </c>
      <c r="Y1054" s="60">
        <v>0</v>
      </c>
      <c r="Z1054" s="60">
        <v>0</v>
      </c>
      <c r="AA1054" s="60">
        <v>0</v>
      </c>
      <c r="AB1054" s="60">
        <v>0</v>
      </c>
      <c r="AC1054" s="60">
        <v>2163.0100000000002</v>
      </c>
      <c r="AD1054" s="60">
        <v>1890.82</v>
      </c>
      <c r="AE1054" s="60">
        <v>1709.25</v>
      </c>
      <c r="AF1054" s="60">
        <v>0</v>
      </c>
      <c r="AG1054" s="60">
        <v>0</v>
      </c>
      <c r="AH1054" s="60">
        <v>0</v>
      </c>
      <c r="AI1054" s="60">
        <v>2163.0100000000002</v>
      </c>
      <c r="AJ1054" s="60">
        <v>1890.82</v>
      </c>
      <c r="AK1054" s="60">
        <v>1709.25</v>
      </c>
      <c r="AL1054" s="60">
        <v>0</v>
      </c>
      <c r="AM1054" s="60">
        <v>0</v>
      </c>
      <c r="AN1054" s="60">
        <v>0</v>
      </c>
      <c r="AO1054" s="60">
        <v>2163.0100000000002</v>
      </c>
      <c r="AP1054" s="60">
        <v>1890.82</v>
      </c>
      <c r="AQ1054" s="60">
        <v>1709.25</v>
      </c>
      <c r="AR1054" s="61">
        <v>2163.0100000000002</v>
      </c>
    </row>
    <row r="1055" spans="1:44" x14ac:dyDescent="0.35">
      <c r="A1055" s="49" t="str">
        <f t="shared" si="91"/>
        <v>38</v>
      </c>
      <c r="B1055" s="27">
        <v>68478</v>
      </c>
      <c r="C1055" s="25" t="str">
        <f>TEXT(123505,"0000000")</f>
        <v>0123505</v>
      </c>
      <c r="D1055" s="27">
        <v>1270</v>
      </c>
      <c r="E1055" s="25" t="s">
        <v>2397</v>
      </c>
      <c r="F1055" s="25" t="s">
        <v>5</v>
      </c>
      <c r="G1055" s="59" t="s">
        <v>2398</v>
      </c>
      <c r="H1055" s="60">
        <v>0</v>
      </c>
      <c r="I1055" s="60">
        <v>0</v>
      </c>
      <c r="J1055" s="60">
        <v>0</v>
      </c>
      <c r="K1055" s="60">
        <v>0</v>
      </c>
      <c r="L1055" s="60">
        <v>0</v>
      </c>
      <c r="M1055" s="60">
        <v>0</v>
      </c>
      <c r="N1055" s="60">
        <v>0</v>
      </c>
      <c r="O1055" s="60">
        <v>0</v>
      </c>
      <c r="P1055" s="60">
        <v>0</v>
      </c>
      <c r="Q1055" s="60">
        <v>0</v>
      </c>
      <c r="R1055" s="60">
        <v>0</v>
      </c>
      <c r="S1055" s="60">
        <v>0</v>
      </c>
      <c r="T1055" s="60">
        <v>0</v>
      </c>
      <c r="U1055" s="60">
        <v>0</v>
      </c>
      <c r="V1055" s="60">
        <v>0</v>
      </c>
      <c r="W1055" s="60">
        <v>0</v>
      </c>
      <c r="X1055" s="60">
        <v>0</v>
      </c>
      <c r="Y1055" s="60">
        <v>0</v>
      </c>
      <c r="Z1055" s="60">
        <v>0</v>
      </c>
      <c r="AA1055" s="60">
        <v>0</v>
      </c>
      <c r="AB1055" s="60">
        <v>0</v>
      </c>
      <c r="AC1055" s="60">
        <v>459.05</v>
      </c>
      <c r="AD1055" s="60">
        <v>435.48</v>
      </c>
      <c r="AE1055" s="60">
        <v>420.26</v>
      </c>
      <c r="AF1055" s="60">
        <v>0</v>
      </c>
      <c r="AG1055" s="60">
        <v>0</v>
      </c>
      <c r="AH1055" s="60">
        <v>0</v>
      </c>
      <c r="AI1055" s="60">
        <v>459.05</v>
      </c>
      <c r="AJ1055" s="60">
        <v>435.48</v>
      </c>
      <c r="AK1055" s="60">
        <v>420.26</v>
      </c>
      <c r="AL1055" s="60">
        <v>0</v>
      </c>
      <c r="AM1055" s="60">
        <v>0</v>
      </c>
      <c r="AN1055" s="60">
        <v>0</v>
      </c>
      <c r="AO1055" s="60">
        <v>459.05</v>
      </c>
      <c r="AP1055" s="60">
        <v>435.48</v>
      </c>
      <c r="AQ1055" s="60">
        <v>420.26</v>
      </c>
      <c r="AR1055" s="61">
        <v>459.05</v>
      </c>
    </row>
    <row r="1056" spans="1:44" x14ac:dyDescent="0.35">
      <c r="A1056" s="49" t="str">
        <f t="shared" si="91"/>
        <v>38</v>
      </c>
      <c r="B1056" s="27">
        <v>68478</v>
      </c>
      <c r="C1056" s="25" t="str">
        <f>TEXT(127530,"0000000")</f>
        <v>0127530</v>
      </c>
      <c r="D1056" s="27">
        <v>1502</v>
      </c>
      <c r="E1056" s="25" t="s">
        <v>2399</v>
      </c>
      <c r="F1056" s="25" t="s">
        <v>5</v>
      </c>
      <c r="G1056" s="59" t="s">
        <v>2400</v>
      </c>
      <c r="H1056" s="60">
        <v>0</v>
      </c>
      <c r="I1056" s="60">
        <v>0</v>
      </c>
      <c r="J1056" s="60">
        <v>0</v>
      </c>
      <c r="K1056" s="60">
        <v>0</v>
      </c>
      <c r="L1056" s="60">
        <v>0</v>
      </c>
      <c r="M1056" s="60">
        <v>0</v>
      </c>
      <c r="N1056" s="60">
        <v>0</v>
      </c>
      <c r="O1056" s="60">
        <v>0</v>
      </c>
      <c r="P1056" s="60">
        <v>0</v>
      </c>
      <c r="Q1056" s="60">
        <v>0</v>
      </c>
      <c r="R1056" s="60">
        <v>0</v>
      </c>
      <c r="S1056" s="60">
        <v>0</v>
      </c>
      <c r="T1056" s="60">
        <v>0</v>
      </c>
      <c r="U1056" s="60">
        <v>0</v>
      </c>
      <c r="V1056" s="60">
        <v>0</v>
      </c>
      <c r="W1056" s="60">
        <v>0</v>
      </c>
      <c r="X1056" s="60">
        <v>0</v>
      </c>
      <c r="Y1056" s="60">
        <v>0</v>
      </c>
      <c r="Z1056" s="60">
        <v>0</v>
      </c>
      <c r="AA1056" s="60">
        <v>0</v>
      </c>
      <c r="AB1056" s="60">
        <v>0</v>
      </c>
      <c r="AC1056" s="60">
        <v>229.97</v>
      </c>
      <c r="AD1056" s="60">
        <v>280.23</v>
      </c>
      <c r="AE1056" s="60">
        <v>335.48</v>
      </c>
      <c r="AF1056" s="60">
        <v>0</v>
      </c>
      <c r="AG1056" s="60">
        <v>0</v>
      </c>
      <c r="AH1056" s="60">
        <v>0</v>
      </c>
      <c r="AI1056" s="60">
        <v>229.97</v>
      </c>
      <c r="AJ1056" s="60">
        <v>280.23</v>
      </c>
      <c r="AK1056" s="60">
        <v>335.48</v>
      </c>
      <c r="AL1056" s="60">
        <v>0</v>
      </c>
      <c r="AM1056" s="60">
        <v>0</v>
      </c>
      <c r="AN1056" s="60">
        <v>0</v>
      </c>
      <c r="AO1056" s="60">
        <v>229.97</v>
      </c>
      <c r="AP1056" s="60">
        <v>280.23</v>
      </c>
      <c r="AQ1056" s="60">
        <v>335.48</v>
      </c>
      <c r="AR1056" s="61">
        <v>335.48</v>
      </c>
    </row>
    <row r="1057" spans="1:44" x14ac:dyDescent="0.35">
      <c r="A1057" s="49" t="str">
        <f t="shared" si="91"/>
        <v>38</v>
      </c>
      <c r="B1057" s="27">
        <v>68478</v>
      </c>
      <c r="C1057" s="25" t="str">
        <f>TEXT(6040935,"0000000")</f>
        <v>6040935</v>
      </c>
      <c r="D1057" s="26" t="s">
        <v>2403</v>
      </c>
      <c r="E1057" s="25" t="s">
        <v>2401</v>
      </c>
      <c r="F1057" s="25" t="s">
        <v>5</v>
      </c>
      <c r="G1057" s="59" t="s">
        <v>2402</v>
      </c>
      <c r="H1057" s="60">
        <v>0</v>
      </c>
      <c r="I1057" s="60">
        <v>0</v>
      </c>
      <c r="J1057" s="60">
        <v>0</v>
      </c>
      <c r="K1057" s="60">
        <v>0</v>
      </c>
      <c r="L1057" s="60">
        <v>0</v>
      </c>
      <c r="M1057" s="60">
        <v>0</v>
      </c>
      <c r="N1057" s="60">
        <v>0</v>
      </c>
      <c r="O1057" s="60">
        <v>0</v>
      </c>
      <c r="P1057" s="60">
        <v>0</v>
      </c>
      <c r="Q1057" s="60">
        <v>0</v>
      </c>
      <c r="R1057" s="60">
        <v>0</v>
      </c>
      <c r="S1057" s="60">
        <v>0</v>
      </c>
      <c r="T1057" s="60">
        <v>0</v>
      </c>
      <c r="U1057" s="60">
        <v>0</v>
      </c>
      <c r="V1057" s="60">
        <v>0</v>
      </c>
      <c r="W1057" s="60">
        <v>0</v>
      </c>
      <c r="X1057" s="60">
        <v>0</v>
      </c>
      <c r="Y1057" s="60">
        <v>0</v>
      </c>
      <c r="Z1057" s="60">
        <v>0</v>
      </c>
      <c r="AA1057" s="60">
        <v>0</v>
      </c>
      <c r="AB1057" s="60">
        <v>0</v>
      </c>
      <c r="AC1057" s="60">
        <v>510.74</v>
      </c>
      <c r="AD1057" s="60">
        <v>529</v>
      </c>
      <c r="AE1057" s="60">
        <v>565.61</v>
      </c>
      <c r="AF1057" s="60">
        <v>0</v>
      </c>
      <c r="AG1057" s="60">
        <v>0</v>
      </c>
      <c r="AH1057" s="60">
        <v>0</v>
      </c>
      <c r="AI1057" s="60">
        <v>510.74</v>
      </c>
      <c r="AJ1057" s="60">
        <v>529</v>
      </c>
      <c r="AK1057" s="60">
        <v>565.61</v>
      </c>
      <c r="AL1057" s="60">
        <v>0</v>
      </c>
      <c r="AM1057" s="60">
        <v>0</v>
      </c>
      <c r="AN1057" s="60">
        <v>0</v>
      </c>
      <c r="AO1057" s="60">
        <v>510.74</v>
      </c>
      <c r="AP1057" s="60">
        <v>529</v>
      </c>
      <c r="AQ1057" s="60">
        <v>565.61</v>
      </c>
      <c r="AR1057" s="61">
        <v>565.61</v>
      </c>
    </row>
    <row r="1058" spans="1:44" x14ac:dyDescent="0.35">
      <c r="A1058" s="49" t="str">
        <f t="shared" si="91"/>
        <v>38</v>
      </c>
      <c r="B1058" s="27">
        <v>76927</v>
      </c>
      <c r="C1058" s="25" t="str">
        <f>TEXT(132183,"0000000")</f>
        <v>0132183</v>
      </c>
      <c r="D1058" s="27">
        <v>1742</v>
      </c>
      <c r="E1058" s="25" t="s">
        <v>2404</v>
      </c>
      <c r="F1058" s="25" t="s">
        <v>5</v>
      </c>
      <c r="G1058" s="59" t="s">
        <v>2405</v>
      </c>
      <c r="H1058" s="60">
        <v>0</v>
      </c>
      <c r="I1058" s="60">
        <v>0</v>
      </c>
      <c r="J1058" s="60">
        <v>0</v>
      </c>
      <c r="K1058" s="60">
        <v>0</v>
      </c>
      <c r="L1058" s="60">
        <v>0</v>
      </c>
      <c r="M1058" s="60">
        <v>0</v>
      </c>
      <c r="N1058" s="60">
        <v>0</v>
      </c>
      <c r="O1058" s="60">
        <v>0</v>
      </c>
      <c r="P1058" s="60">
        <v>0</v>
      </c>
      <c r="Q1058" s="60">
        <v>0</v>
      </c>
      <c r="R1058" s="60">
        <v>0</v>
      </c>
      <c r="S1058" s="60">
        <v>0</v>
      </c>
      <c r="T1058" s="60">
        <v>0</v>
      </c>
      <c r="U1058" s="60">
        <v>0</v>
      </c>
      <c r="V1058" s="60">
        <v>0</v>
      </c>
      <c r="W1058" s="60">
        <v>0</v>
      </c>
      <c r="X1058" s="60">
        <v>0</v>
      </c>
      <c r="Y1058" s="60">
        <v>0</v>
      </c>
      <c r="Z1058" s="60">
        <v>0</v>
      </c>
      <c r="AA1058" s="60">
        <v>0</v>
      </c>
      <c r="AB1058" s="60">
        <v>0</v>
      </c>
      <c r="AC1058" s="60">
        <v>415.03</v>
      </c>
      <c r="AD1058" s="60">
        <v>404.03</v>
      </c>
      <c r="AE1058" s="60">
        <v>366.06</v>
      </c>
      <c r="AF1058" s="60">
        <v>0</v>
      </c>
      <c r="AG1058" s="60">
        <v>0</v>
      </c>
      <c r="AH1058" s="60">
        <v>0</v>
      </c>
      <c r="AI1058" s="60">
        <v>415.03</v>
      </c>
      <c r="AJ1058" s="60">
        <v>404.03</v>
      </c>
      <c r="AK1058" s="60">
        <v>366.06</v>
      </c>
      <c r="AL1058" s="60">
        <v>0</v>
      </c>
      <c r="AM1058" s="60">
        <v>0</v>
      </c>
      <c r="AN1058" s="60">
        <v>0</v>
      </c>
      <c r="AO1058" s="60">
        <v>415.03</v>
      </c>
      <c r="AP1058" s="60">
        <v>404.03</v>
      </c>
      <c r="AQ1058" s="60">
        <v>366.06</v>
      </c>
      <c r="AR1058" s="61">
        <v>415.03</v>
      </c>
    </row>
    <row r="1059" spans="1:44" x14ac:dyDescent="0.35">
      <c r="A1059" s="49" t="str">
        <f t="shared" si="91"/>
        <v>38</v>
      </c>
      <c r="B1059" s="27">
        <v>77131</v>
      </c>
      <c r="C1059" s="25" t="str">
        <f>TEXT(137307,"0000000")</f>
        <v>0137307</v>
      </c>
      <c r="D1059" s="27">
        <v>1954</v>
      </c>
      <c r="E1059" s="25" t="s">
        <v>2406</v>
      </c>
      <c r="F1059" s="25" t="s">
        <v>5</v>
      </c>
      <c r="G1059" s="59" t="s">
        <v>2407</v>
      </c>
      <c r="H1059" s="60">
        <v>0</v>
      </c>
      <c r="I1059" s="60">
        <v>0</v>
      </c>
      <c r="J1059" s="60">
        <v>0</v>
      </c>
      <c r="K1059" s="60">
        <v>0</v>
      </c>
      <c r="L1059" s="60">
        <v>0</v>
      </c>
      <c r="M1059" s="60">
        <v>0</v>
      </c>
      <c r="N1059" s="60">
        <v>0</v>
      </c>
      <c r="O1059" s="60">
        <v>0</v>
      </c>
      <c r="P1059" s="60">
        <v>0</v>
      </c>
      <c r="Q1059" s="60">
        <v>0</v>
      </c>
      <c r="R1059" s="60">
        <v>0</v>
      </c>
      <c r="S1059" s="60">
        <v>0</v>
      </c>
      <c r="T1059" s="60">
        <v>0</v>
      </c>
      <c r="U1059" s="60">
        <v>0</v>
      </c>
      <c r="V1059" s="60">
        <v>0</v>
      </c>
      <c r="W1059" s="60">
        <v>0</v>
      </c>
      <c r="X1059" s="60">
        <v>0</v>
      </c>
      <c r="Y1059" s="60">
        <v>0</v>
      </c>
      <c r="Z1059" s="60">
        <v>0</v>
      </c>
      <c r="AA1059" s="60">
        <v>0</v>
      </c>
      <c r="AB1059" s="60">
        <v>0</v>
      </c>
      <c r="AC1059" s="60">
        <v>129.72</v>
      </c>
      <c r="AD1059" s="60">
        <v>132.08000000000001</v>
      </c>
      <c r="AE1059" s="60">
        <v>136.43</v>
      </c>
      <c r="AF1059" s="60">
        <v>0</v>
      </c>
      <c r="AG1059" s="60">
        <v>0</v>
      </c>
      <c r="AH1059" s="60">
        <v>0</v>
      </c>
      <c r="AI1059" s="60">
        <v>129.72</v>
      </c>
      <c r="AJ1059" s="60">
        <v>132.08000000000001</v>
      </c>
      <c r="AK1059" s="60">
        <v>136.43</v>
      </c>
      <c r="AL1059" s="60">
        <v>0</v>
      </c>
      <c r="AM1059" s="60">
        <v>0</v>
      </c>
      <c r="AN1059" s="60">
        <v>0</v>
      </c>
      <c r="AO1059" s="60">
        <v>129.72</v>
      </c>
      <c r="AP1059" s="60">
        <v>132.08000000000001</v>
      </c>
      <c r="AQ1059" s="60">
        <v>136.43</v>
      </c>
      <c r="AR1059" s="61">
        <v>136.43</v>
      </c>
    </row>
    <row r="1060" spans="1:44" ht="31" x14ac:dyDescent="0.35">
      <c r="A1060" s="49" t="str">
        <f>TEXT(1,"00")</f>
        <v>01</v>
      </c>
      <c r="B1060" s="27">
        <v>61259</v>
      </c>
      <c r="C1060" s="25" t="str">
        <f>TEXT(130666,"0000000")</f>
        <v>0130666</v>
      </c>
      <c r="D1060" s="26" t="s">
        <v>126</v>
      </c>
      <c r="E1060" s="25" t="s">
        <v>124</v>
      </c>
      <c r="F1060" s="25" t="s">
        <v>5</v>
      </c>
      <c r="G1060" s="59" t="s">
        <v>125</v>
      </c>
      <c r="H1060" s="60">
        <v>0</v>
      </c>
      <c r="I1060" s="60">
        <v>0</v>
      </c>
      <c r="J1060" s="60">
        <v>0</v>
      </c>
      <c r="K1060" s="60">
        <v>0</v>
      </c>
      <c r="L1060" s="60">
        <v>0</v>
      </c>
      <c r="M1060" s="60">
        <v>0</v>
      </c>
      <c r="N1060" s="60">
        <v>0</v>
      </c>
      <c r="O1060" s="60">
        <v>0</v>
      </c>
      <c r="P1060" s="60">
        <v>0</v>
      </c>
      <c r="Q1060" s="60">
        <v>0</v>
      </c>
      <c r="R1060" s="60">
        <v>0</v>
      </c>
      <c r="S1060" s="60">
        <v>0</v>
      </c>
      <c r="T1060" s="60">
        <v>0</v>
      </c>
      <c r="U1060" s="60">
        <v>0</v>
      </c>
      <c r="V1060" s="60">
        <v>0</v>
      </c>
      <c r="W1060" s="60">
        <v>0</v>
      </c>
      <c r="X1060" s="60">
        <v>0</v>
      </c>
      <c r="Y1060" s="60">
        <v>0</v>
      </c>
      <c r="Z1060" s="60">
        <v>0</v>
      </c>
      <c r="AA1060" s="60">
        <v>0</v>
      </c>
      <c r="AB1060" s="60">
        <v>0</v>
      </c>
      <c r="AC1060" s="60">
        <v>369.43</v>
      </c>
      <c r="AD1060" s="60">
        <v>411.21</v>
      </c>
      <c r="AE1060" s="60">
        <v>440.15</v>
      </c>
      <c r="AF1060" s="60">
        <v>0</v>
      </c>
      <c r="AG1060" s="60">
        <v>0</v>
      </c>
      <c r="AH1060" s="60">
        <v>0</v>
      </c>
      <c r="AI1060" s="60">
        <v>369.43</v>
      </c>
      <c r="AJ1060" s="60">
        <v>411.21</v>
      </c>
      <c r="AK1060" s="60">
        <v>440.15</v>
      </c>
      <c r="AL1060" s="60">
        <v>0</v>
      </c>
      <c r="AM1060" s="60">
        <v>0</v>
      </c>
      <c r="AN1060" s="60">
        <v>0</v>
      </c>
      <c r="AO1060" s="60">
        <v>369.43</v>
      </c>
      <c r="AP1060" s="60">
        <v>411.21</v>
      </c>
      <c r="AQ1060" s="60">
        <v>440.15</v>
      </c>
      <c r="AR1060" s="61">
        <v>440.15</v>
      </c>
    </row>
    <row r="1061" spans="1:44" x14ac:dyDescent="0.35">
      <c r="A1061" s="49" t="str">
        <f t="shared" ref="A1061:A1070" si="92">TEXT(39,"00")</f>
        <v>39</v>
      </c>
      <c r="B1061" s="27">
        <v>10397</v>
      </c>
      <c r="C1061" s="25" t="str">
        <f>TEXT(124958,"0000000")</f>
        <v>0124958</v>
      </c>
      <c r="D1061" s="27">
        <v>1360</v>
      </c>
      <c r="E1061" s="25" t="s">
        <v>2410</v>
      </c>
      <c r="F1061" s="25" t="s">
        <v>5</v>
      </c>
      <c r="G1061" s="59" t="s">
        <v>2411</v>
      </c>
      <c r="H1061" s="60">
        <v>0</v>
      </c>
      <c r="I1061" s="60">
        <v>0</v>
      </c>
      <c r="J1061" s="60">
        <v>0</v>
      </c>
      <c r="K1061" s="60">
        <v>0</v>
      </c>
      <c r="L1061" s="60">
        <v>0</v>
      </c>
      <c r="M1061" s="60">
        <v>0</v>
      </c>
      <c r="N1061" s="60">
        <v>0</v>
      </c>
      <c r="O1061" s="60">
        <v>0</v>
      </c>
      <c r="P1061" s="60">
        <v>0</v>
      </c>
      <c r="Q1061" s="60">
        <v>0</v>
      </c>
      <c r="R1061" s="60">
        <v>0</v>
      </c>
      <c r="S1061" s="60">
        <v>0</v>
      </c>
      <c r="T1061" s="60">
        <v>0</v>
      </c>
      <c r="U1061" s="60">
        <v>0</v>
      </c>
      <c r="V1061" s="60">
        <v>0</v>
      </c>
      <c r="W1061" s="60">
        <v>0</v>
      </c>
      <c r="X1061" s="60">
        <v>0</v>
      </c>
      <c r="Y1061" s="60">
        <v>0</v>
      </c>
      <c r="Z1061" s="60">
        <v>0</v>
      </c>
      <c r="AA1061" s="60">
        <v>0</v>
      </c>
      <c r="AB1061" s="60">
        <v>0</v>
      </c>
      <c r="AC1061" s="60">
        <v>444.86</v>
      </c>
      <c r="AD1061" s="60">
        <v>478.83</v>
      </c>
      <c r="AE1061" s="60">
        <v>0</v>
      </c>
      <c r="AF1061" s="60">
        <v>0</v>
      </c>
      <c r="AG1061" s="60">
        <v>0</v>
      </c>
      <c r="AH1061" s="60">
        <v>0</v>
      </c>
      <c r="AI1061" s="60">
        <v>444.86</v>
      </c>
      <c r="AJ1061" s="60">
        <v>478.83</v>
      </c>
      <c r="AK1061" s="60">
        <v>0</v>
      </c>
      <c r="AL1061" s="60">
        <v>0</v>
      </c>
      <c r="AM1061" s="60">
        <v>0</v>
      </c>
      <c r="AN1061" s="60">
        <v>498.5</v>
      </c>
      <c r="AO1061" s="60">
        <v>444.86</v>
      </c>
      <c r="AP1061" s="60">
        <v>478.83</v>
      </c>
      <c r="AQ1061" s="60">
        <v>498.5</v>
      </c>
      <c r="AR1061" s="61">
        <v>498.5</v>
      </c>
    </row>
    <row r="1062" spans="1:44" ht="31" x14ac:dyDescent="0.35">
      <c r="A1062" s="49" t="str">
        <f t="shared" si="92"/>
        <v>39</v>
      </c>
      <c r="B1062" s="27">
        <v>68585</v>
      </c>
      <c r="C1062" s="25" t="str">
        <f>TEXT(101956,"0000000")</f>
        <v>0101956</v>
      </c>
      <c r="D1062" s="26" t="s">
        <v>2423</v>
      </c>
      <c r="E1062" s="25" t="s">
        <v>2421</v>
      </c>
      <c r="F1062" s="25" t="s">
        <v>5</v>
      </c>
      <c r="G1062" s="59" t="s">
        <v>2422</v>
      </c>
      <c r="H1062" s="60">
        <v>0</v>
      </c>
      <c r="I1062" s="60">
        <v>0</v>
      </c>
      <c r="J1062" s="60">
        <v>0</v>
      </c>
      <c r="K1062" s="60">
        <v>0</v>
      </c>
      <c r="L1062" s="60">
        <v>0</v>
      </c>
      <c r="M1062" s="60">
        <v>0</v>
      </c>
      <c r="N1062" s="60">
        <v>0</v>
      </c>
      <c r="O1062" s="60">
        <v>0</v>
      </c>
      <c r="P1062" s="60">
        <v>0</v>
      </c>
      <c r="Q1062" s="60">
        <v>0</v>
      </c>
      <c r="R1062" s="60">
        <v>0</v>
      </c>
      <c r="S1062" s="60">
        <v>0</v>
      </c>
      <c r="T1062" s="60">
        <v>0</v>
      </c>
      <c r="U1062" s="60">
        <v>0</v>
      </c>
      <c r="V1062" s="60">
        <v>0</v>
      </c>
      <c r="W1062" s="60">
        <v>0</v>
      </c>
      <c r="X1062" s="60">
        <v>0</v>
      </c>
      <c r="Y1062" s="60">
        <v>0</v>
      </c>
      <c r="Z1062" s="60">
        <v>0</v>
      </c>
      <c r="AA1062" s="60">
        <v>0</v>
      </c>
      <c r="AB1062" s="60">
        <v>0</v>
      </c>
      <c r="AC1062" s="60">
        <v>652.78</v>
      </c>
      <c r="AD1062" s="60">
        <v>639.33000000000004</v>
      </c>
      <c r="AE1062" s="60">
        <v>579.91999999999996</v>
      </c>
      <c r="AF1062" s="60">
        <v>0</v>
      </c>
      <c r="AG1062" s="60">
        <v>0</v>
      </c>
      <c r="AH1062" s="60">
        <v>0</v>
      </c>
      <c r="AI1062" s="60">
        <v>652.78</v>
      </c>
      <c r="AJ1062" s="60">
        <v>639.33000000000004</v>
      </c>
      <c r="AK1062" s="60">
        <v>579.91999999999996</v>
      </c>
      <c r="AL1062" s="60">
        <v>0</v>
      </c>
      <c r="AM1062" s="60">
        <v>0</v>
      </c>
      <c r="AN1062" s="60">
        <v>0</v>
      </c>
      <c r="AO1062" s="60">
        <v>652.78</v>
      </c>
      <c r="AP1062" s="60">
        <v>639.33000000000004</v>
      </c>
      <c r="AQ1062" s="60">
        <v>579.91999999999996</v>
      </c>
      <c r="AR1062" s="61">
        <v>652.78</v>
      </c>
    </row>
    <row r="1063" spans="1:44" x14ac:dyDescent="0.35">
      <c r="A1063" s="49" t="str">
        <f t="shared" si="92"/>
        <v>39</v>
      </c>
      <c r="B1063" s="27">
        <v>68585</v>
      </c>
      <c r="C1063" s="25" t="str">
        <f>TEXT(133678,"0000000")</f>
        <v>0133678</v>
      </c>
      <c r="D1063" s="27">
        <v>1782</v>
      </c>
      <c r="E1063" s="25" t="s">
        <v>2426</v>
      </c>
      <c r="F1063" s="25" t="s">
        <v>5</v>
      </c>
      <c r="G1063" s="59" t="s">
        <v>2427</v>
      </c>
      <c r="H1063" s="60">
        <v>0</v>
      </c>
      <c r="I1063" s="60">
        <v>0</v>
      </c>
      <c r="J1063" s="60">
        <v>0</v>
      </c>
      <c r="K1063" s="60">
        <v>0</v>
      </c>
      <c r="L1063" s="60">
        <v>0</v>
      </c>
      <c r="M1063" s="60">
        <v>0</v>
      </c>
      <c r="N1063" s="60">
        <v>0</v>
      </c>
      <c r="O1063" s="60">
        <v>0</v>
      </c>
      <c r="P1063" s="60">
        <v>0</v>
      </c>
      <c r="Q1063" s="60">
        <v>0</v>
      </c>
      <c r="R1063" s="60">
        <v>0</v>
      </c>
      <c r="S1063" s="60">
        <v>0</v>
      </c>
      <c r="T1063" s="60">
        <v>0</v>
      </c>
      <c r="U1063" s="60">
        <v>0</v>
      </c>
      <c r="V1063" s="60">
        <v>0</v>
      </c>
      <c r="W1063" s="60">
        <v>0</v>
      </c>
      <c r="X1063" s="60">
        <v>0</v>
      </c>
      <c r="Y1063" s="60">
        <v>0</v>
      </c>
      <c r="Z1063" s="60">
        <v>0</v>
      </c>
      <c r="AA1063" s="60">
        <v>0</v>
      </c>
      <c r="AB1063" s="60">
        <v>0</v>
      </c>
      <c r="AC1063" s="60">
        <v>541.82000000000005</v>
      </c>
      <c r="AD1063" s="60">
        <v>532.15</v>
      </c>
      <c r="AE1063" s="60">
        <v>517.03</v>
      </c>
      <c r="AF1063" s="60">
        <v>0</v>
      </c>
      <c r="AG1063" s="60">
        <v>0</v>
      </c>
      <c r="AH1063" s="60">
        <v>0</v>
      </c>
      <c r="AI1063" s="60">
        <v>541.82000000000005</v>
      </c>
      <c r="AJ1063" s="60">
        <v>532.15</v>
      </c>
      <c r="AK1063" s="60">
        <v>517.03</v>
      </c>
      <c r="AL1063" s="60">
        <v>0</v>
      </c>
      <c r="AM1063" s="60">
        <v>0</v>
      </c>
      <c r="AN1063" s="60">
        <v>0</v>
      </c>
      <c r="AO1063" s="60">
        <v>541.82000000000005</v>
      </c>
      <c r="AP1063" s="60">
        <v>532.15</v>
      </c>
      <c r="AQ1063" s="60">
        <v>517.03</v>
      </c>
      <c r="AR1063" s="61">
        <v>541.82000000000005</v>
      </c>
    </row>
    <row r="1064" spans="1:44" x14ac:dyDescent="0.35">
      <c r="A1064" s="49" t="str">
        <f t="shared" si="92"/>
        <v>39</v>
      </c>
      <c r="B1064" s="27">
        <v>68585</v>
      </c>
      <c r="C1064" s="25" t="str">
        <f>TEXT(6116594,"0000000")</f>
        <v>6116594</v>
      </c>
      <c r="D1064" s="26" t="s">
        <v>2430</v>
      </c>
      <c r="E1064" s="25" t="s">
        <v>2428</v>
      </c>
      <c r="F1064" s="25" t="s">
        <v>5</v>
      </c>
      <c r="G1064" s="59" t="s">
        <v>2429</v>
      </c>
      <c r="H1064" s="60">
        <v>0</v>
      </c>
      <c r="I1064" s="60">
        <v>0</v>
      </c>
      <c r="J1064" s="60">
        <v>0</v>
      </c>
      <c r="K1064" s="60">
        <v>0</v>
      </c>
      <c r="L1064" s="60">
        <v>0</v>
      </c>
      <c r="M1064" s="60">
        <v>0</v>
      </c>
      <c r="N1064" s="60">
        <v>0</v>
      </c>
      <c r="O1064" s="60">
        <v>0</v>
      </c>
      <c r="P1064" s="60">
        <v>0</v>
      </c>
      <c r="Q1064" s="60">
        <v>0</v>
      </c>
      <c r="R1064" s="60">
        <v>0</v>
      </c>
      <c r="S1064" s="60">
        <v>0</v>
      </c>
      <c r="T1064" s="60">
        <v>0</v>
      </c>
      <c r="U1064" s="60">
        <v>0</v>
      </c>
      <c r="V1064" s="60">
        <v>0</v>
      </c>
      <c r="W1064" s="60">
        <v>0</v>
      </c>
      <c r="X1064" s="60">
        <v>0</v>
      </c>
      <c r="Y1064" s="60">
        <v>0</v>
      </c>
      <c r="Z1064" s="60">
        <v>0</v>
      </c>
      <c r="AA1064" s="60">
        <v>0</v>
      </c>
      <c r="AB1064" s="60">
        <v>0</v>
      </c>
      <c r="AC1064" s="60">
        <v>421.98</v>
      </c>
      <c r="AD1064" s="60">
        <v>414.34</v>
      </c>
      <c r="AE1064" s="60">
        <v>404.21</v>
      </c>
      <c r="AF1064" s="60">
        <v>0</v>
      </c>
      <c r="AG1064" s="60">
        <v>0</v>
      </c>
      <c r="AH1064" s="60">
        <v>0</v>
      </c>
      <c r="AI1064" s="60">
        <v>421.98</v>
      </c>
      <c r="AJ1064" s="60">
        <v>414.34</v>
      </c>
      <c r="AK1064" s="60">
        <v>404.21</v>
      </c>
      <c r="AL1064" s="60">
        <v>0</v>
      </c>
      <c r="AM1064" s="60">
        <v>0</v>
      </c>
      <c r="AN1064" s="60">
        <v>0</v>
      </c>
      <c r="AO1064" s="60">
        <v>421.98</v>
      </c>
      <c r="AP1064" s="60">
        <v>414.34</v>
      </c>
      <c r="AQ1064" s="60">
        <v>404.21</v>
      </c>
      <c r="AR1064" s="61">
        <v>421.98</v>
      </c>
    </row>
    <row r="1065" spans="1:44" x14ac:dyDescent="0.35">
      <c r="A1065" s="49" t="str">
        <f t="shared" si="92"/>
        <v>39</v>
      </c>
      <c r="B1065" s="27">
        <v>68585</v>
      </c>
      <c r="C1065" s="25" t="str">
        <f>TEXT(6118921,"0000000")</f>
        <v>6118921</v>
      </c>
      <c r="D1065" s="26" t="s">
        <v>2433</v>
      </c>
      <c r="E1065" s="25" t="s">
        <v>2431</v>
      </c>
      <c r="F1065" s="25" t="s">
        <v>5</v>
      </c>
      <c r="G1065" s="59" t="s">
        <v>2432</v>
      </c>
      <c r="H1065" s="60">
        <v>0</v>
      </c>
      <c r="I1065" s="60">
        <v>0</v>
      </c>
      <c r="J1065" s="60">
        <v>0</v>
      </c>
      <c r="K1065" s="60">
        <v>0</v>
      </c>
      <c r="L1065" s="60">
        <v>0</v>
      </c>
      <c r="M1065" s="60">
        <v>0</v>
      </c>
      <c r="N1065" s="60">
        <v>0</v>
      </c>
      <c r="O1065" s="60">
        <v>0</v>
      </c>
      <c r="P1065" s="60">
        <v>0</v>
      </c>
      <c r="Q1065" s="60">
        <v>0</v>
      </c>
      <c r="R1065" s="60">
        <v>0</v>
      </c>
      <c r="S1065" s="60">
        <v>0</v>
      </c>
      <c r="T1065" s="60">
        <v>0</v>
      </c>
      <c r="U1065" s="60">
        <v>0</v>
      </c>
      <c r="V1065" s="60">
        <v>0</v>
      </c>
      <c r="W1065" s="60">
        <v>0</v>
      </c>
      <c r="X1065" s="60">
        <v>0</v>
      </c>
      <c r="Y1065" s="60">
        <v>0</v>
      </c>
      <c r="Z1065" s="60">
        <v>0</v>
      </c>
      <c r="AA1065" s="60">
        <v>0</v>
      </c>
      <c r="AB1065" s="60">
        <v>0</v>
      </c>
      <c r="AC1065" s="60">
        <v>424.9</v>
      </c>
      <c r="AD1065" s="60">
        <v>418.05</v>
      </c>
      <c r="AE1065" s="60">
        <v>406.06</v>
      </c>
      <c r="AF1065" s="60">
        <v>0</v>
      </c>
      <c r="AG1065" s="60">
        <v>0</v>
      </c>
      <c r="AH1065" s="60">
        <v>0</v>
      </c>
      <c r="AI1065" s="60">
        <v>424.9</v>
      </c>
      <c r="AJ1065" s="60">
        <v>418.05</v>
      </c>
      <c r="AK1065" s="60">
        <v>406.06</v>
      </c>
      <c r="AL1065" s="60">
        <v>0</v>
      </c>
      <c r="AM1065" s="60">
        <v>0</v>
      </c>
      <c r="AN1065" s="60">
        <v>0</v>
      </c>
      <c r="AO1065" s="60">
        <v>424.9</v>
      </c>
      <c r="AP1065" s="60">
        <v>418.05</v>
      </c>
      <c r="AQ1065" s="60">
        <v>406.06</v>
      </c>
      <c r="AR1065" s="61">
        <v>424.9</v>
      </c>
    </row>
    <row r="1066" spans="1:44" x14ac:dyDescent="0.35">
      <c r="A1066" s="49" t="str">
        <f t="shared" si="92"/>
        <v>39</v>
      </c>
      <c r="B1066" s="27">
        <v>68627</v>
      </c>
      <c r="C1066" s="25" t="str">
        <f>TEXT(117796,"0000000")</f>
        <v>0117796</v>
      </c>
      <c r="D1066" s="27">
        <v>1003</v>
      </c>
      <c r="E1066" s="25" t="s">
        <v>2440</v>
      </c>
      <c r="F1066" s="25" t="s">
        <v>5</v>
      </c>
      <c r="G1066" s="59" t="s">
        <v>2441</v>
      </c>
      <c r="H1066" s="60">
        <v>0</v>
      </c>
      <c r="I1066" s="60">
        <v>0</v>
      </c>
      <c r="J1066" s="60">
        <v>0</v>
      </c>
      <c r="K1066" s="60">
        <v>0</v>
      </c>
      <c r="L1066" s="60">
        <v>0</v>
      </c>
      <c r="M1066" s="60">
        <v>0</v>
      </c>
      <c r="N1066" s="60">
        <v>0</v>
      </c>
      <c r="O1066" s="60">
        <v>0</v>
      </c>
      <c r="P1066" s="60">
        <v>0</v>
      </c>
      <c r="Q1066" s="60">
        <v>0</v>
      </c>
      <c r="R1066" s="60">
        <v>0</v>
      </c>
      <c r="S1066" s="60">
        <v>0</v>
      </c>
      <c r="T1066" s="60">
        <v>0</v>
      </c>
      <c r="U1066" s="60">
        <v>0</v>
      </c>
      <c r="V1066" s="60">
        <v>0</v>
      </c>
      <c r="W1066" s="60">
        <v>0</v>
      </c>
      <c r="X1066" s="60">
        <v>0</v>
      </c>
      <c r="Y1066" s="60">
        <v>0</v>
      </c>
      <c r="Z1066" s="60">
        <v>0</v>
      </c>
      <c r="AA1066" s="60">
        <v>0</v>
      </c>
      <c r="AB1066" s="60">
        <v>0</v>
      </c>
      <c r="AC1066" s="60">
        <v>219.03</v>
      </c>
      <c r="AD1066" s="60">
        <v>219.1</v>
      </c>
      <c r="AE1066" s="60">
        <v>207.52</v>
      </c>
      <c r="AF1066" s="60">
        <v>0</v>
      </c>
      <c r="AG1066" s="60">
        <v>0</v>
      </c>
      <c r="AH1066" s="60">
        <v>0</v>
      </c>
      <c r="AI1066" s="60">
        <v>219.03</v>
      </c>
      <c r="AJ1066" s="60">
        <v>219.1</v>
      </c>
      <c r="AK1066" s="60">
        <v>207.52</v>
      </c>
      <c r="AL1066" s="60">
        <v>0</v>
      </c>
      <c r="AM1066" s="60">
        <v>0</v>
      </c>
      <c r="AN1066" s="60">
        <v>0</v>
      </c>
      <c r="AO1066" s="60">
        <v>219.03</v>
      </c>
      <c r="AP1066" s="60">
        <v>219.1</v>
      </c>
      <c r="AQ1066" s="60">
        <v>207.52</v>
      </c>
      <c r="AR1066" s="61">
        <v>219.1</v>
      </c>
    </row>
    <row r="1067" spans="1:44" x14ac:dyDescent="0.35">
      <c r="A1067" s="49" t="str">
        <f t="shared" si="92"/>
        <v>39</v>
      </c>
      <c r="B1067" s="27">
        <v>68627</v>
      </c>
      <c r="C1067" s="25" t="str">
        <f>TEXT(127191,"0000000")</f>
        <v>0127191</v>
      </c>
      <c r="D1067" s="27">
        <v>1489</v>
      </c>
      <c r="E1067" s="25" t="s">
        <v>2444</v>
      </c>
      <c r="F1067" s="25" t="s">
        <v>5</v>
      </c>
      <c r="G1067" s="59" t="s">
        <v>2445</v>
      </c>
      <c r="H1067" s="60">
        <v>0</v>
      </c>
      <c r="I1067" s="60">
        <v>0</v>
      </c>
      <c r="J1067" s="60">
        <v>0</v>
      </c>
      <c r="K1067" s="60">
        <v>0</v>
      </c>
      <c r="L1067" s="60">
        <v>0</v>
      </c>
      <c r="M1067" s="60">
        <v>0</v>
      </c>
      <c r="N1067" s="60">
        <v>0</v>
      </c>
      <c r="O1067" s="60">
        <v>0</v>
      </c>
      <c r="P1067" s="60">
        <v>0</v>
      </c>
      <c r="Q1067" s="60">
        <v>0</v>
      </c>
      <c r="R1067" s="60">
        <v>0</v>
      </c>
      <c r="S1067" s="60">
        <v>0</v>
      </c>
      <c r="T1067" s="60">
        <v>0</v>
      </c>
      <c r="U1067" s="60">
        <v>0</v>
      </c>
      <c r="V1067" s="60">
        <v>0</v>
      </c>
      <c r="W1067" s="60">
        <v>0</v>
      </c>
      <c r="X1067" s="60">
        <v>0</v>
      </c>
      <c r="Y1067" s="60">
        <v>0</v>
      </c>
      <c r="Z1067" s="60">
        <v>0</v>
      </c>
      <c r="AA1067" s="60">
        <v>0</v>
      </c>
      <c r="AB1067" s="60">
        <v>0</v>
      </c>
      <c r="AC1067" s="60">
        <v>2866.64</v>
      </c>
      <c r="AD1067" s="60">
        <v>2521.54</v>
      </c>
      <c r="AE1067" s="60">
        <v>2607.42</v>
      </c>
      <c r="AF1067" s="60">
        <v>0</v>
      </c>
      <c r="AG1067" s="60">
        <v>0</v>
      </c>
      <c r="AH1067" s="60">
        <v>0</v>
      </c>
      <c r="AI1067" s="60">
        <v>2866.64</v>
      </c>
      <c r="AJ1067" s="60">
        <v>2521.54</v>
      </c>
      <c r="AK1067" s="60">
        <v>2607.42</v>
      </c>
      <c r="AL1067" s="60">
        <v>0</v>
      </c>
      <c r="AM1067" s="60">
        <v>0</v>
      </c>
      <c r="AN1067" s="60">
        <v>0</v>
      </c>
      <c r="AO1067" s="60">
        <v>2866.64</v>
      </c>
      <c r="AP1067" s="60">
        <v>2521.54</v>
      </c>
      <c r="AQ1067" s="60">
        <v>2607.42</v>
      </c>
      <c r="AR1067" s="61">
        <v>2866.64</v>
      </c>
    </row>
    <row r="1068" spans="1:44" x14ac:dyDescent="0.35">
      <c r="A1068" s="49" t="str">
        <f t="shared" si="92"/>
        <v>39</v>
      </c>
      <c r="B1068" s="27">
        <v>68627</v>
      </c>
      <c r="C1068" s="25" t="str">
        <f>TEXT(129890,"0000000")</f>
        <v>0129890</v>
      </c>
      <c r="D1068" s="27">
        <v>1646</v>
      </c>
      <c r="E1068" s="25" t="s">
        <v>2446</v>
      </c>
      <c r="F1068" s="25" t="s">
        <v>5</v>
      </c>
      <c r="G1068" s="59" t="s">
        <v>2447</v>
      </c>
      <c r="H1068" s="60">
        <v>0</v>
      </c>
      <c r="I1068" s="60">
        <v>0</v>
      </c>
      <c r="J1068" s="60">
        <v>0</v>
      </c>
      <c r="K1068" s="60">
        <v>0</v>
      </c>
      <c r="L1068" s="60">
        <v>0</v>
      </c>
      <c r="M1068" s="60">
        <v>0</v>
      </c>
      <c r="N1068" s="60">
        <v>0</v>
      </c>
      <c r="O1068" s="60">
        <v>0</v>
      </c>
      <c r="P1068" s="60">
        <v>0</v>
      </c>
      <c r="Q1068" s="60">
        <v>0</v>
      </c>
      <c r="R1068" s="60">
        <v>0</v>
      </c>
      <c r="S1068" s="60">
        <v>0</v>
      </c>
      <c r="T1068" s="60">
        <v>0</v>
      </c>
      <c r="U1068" s="60">
        <v>0</v>
      </c>
      <c r="V1068" s="60">
        <v>0</v>
      </c>
      <c r="W1068" s="60">
        <v>0</v>
      </c>
      <c r="X1068" s="60">
        <v>0</v>
      </c>
      <c r="Y1068" s="60">
        <v>0</v>
      </c>
      <c r="Z1068" s="60">
        <v>0</v>
      </c>
      <c r="AA1068" s="60">
        <v>0</v>
      </c>
      <c r="AB1068" s="60">
        <v>0</v>
      </c>
      <c r="AC1068" s="60">
        <v>243.56</v>
      </c>
      <c r="AD1068" s="60">
        <v>256.42</v>
      </c>
      <c r="AE1068" s="60">
        <v>305.58</v>
      </c>
      <c r="AF1068" s="60">
        <v>0</v>
      </c>
      <c r="AG1068" s="60">
        <v>0</v>
      </c>
      <c r="AH1068" s="60">
        <v>0</v>
      </c>
      <c r="AI1068" s="60">
        <v>243.56</v>
      </c>
      <c r="AJ1068" s="60">
        <v>256.42</v>
      </c>
      <c r="AK1068" s="60">
        <v>305.58</v>
      </c>
      <c r="AL1068" s="60">
        <v>0</v>
      </c>
      <c r="AM1068" s="60">
        <v>0</v>
      </c>
      <c r="AN1068" s="60">
        <v>0</v>
      </c>
      <c r="AO1068" s="60">
        <v>243.56</v>
      </c>
      <c r="AP1068" s="60">
        <v>256.42</v>
      </c>
      <c r="AQ1068" s="60">
        <v>305.58</v>
      </c>
      <c r="AR1068" s="61">
        <v>305.58</v>
      </c>
    </row>
    <row r="1069" spans="1:44" x14ac:dyDescent="0.35">
      <c r="A1069" s="49" t="str">
        <f t="shared" si="92"/>
        <v>39</v>
      </c>
      <c r="B1069" s="27">
        <v>68627</v>
      </c>
      <c r="C1069" s="25" t="str">
        <f>TEXT(129916,"0000000")</f>
        <v>0129916</v>
      </c>
      <c r="D1069" s="27">
        <v>1644</v>
      </c>
      <c r="E1069" s="25" t="s">
        <v>2448</v>
      </c>
      <c r="F1069" s="25" t="s">
        <v>5</v>
      </c>
      <c r="G1069" s="59" t="s">
        <v>2449</v>
      </c>
      <c r="H1069" s="60">
        <v>0</v>
      </c>
      <c r="I1069" s="60">
        <v>0</v>
      </c>
      <c r="J1069" s="60">
        <v>0</v>
      </c>
      <c r="K1069" s="60">
        <v>0</v>
      </c>
      <c r="L1069" s="60">
        <v>0</v>
      </c>
      <c r="M1069" s="60">
        <v>0</v>
      </c>
      <c r="N1069" s="60">
        <v>0</v>
      </c>
      <c r="O1069" s="60">
        <v>0</v>
      </c>
      <c r="P1069" s="60">
        <v>0</v>
      </c>
      <c r="Q1069" s="60">
        <v>0</v>
      </c>
      <c r="R1069" s="60">
        <v>0</v>
      </c>
      <c r="S1069" s="60">
        <v>0</v>
      </c>
      <c r="T1069" s="60">
        <v>0</v>
      </c>
      <c r="U1069" s="60">
        <v>0</v>
      </c>
      <c r="V1069" s="60">
        <v>0</v>
      </c>
      <c r="W1069" s="60">
        <v>0</v>
      </c>
      <c r="X1069" s="60">
        <v>0</v>
      </c>
      <c r="Y1069" s="60">
        <v>0</v>
      </c>
      <c r="Z1069" s="60">
        <v>0</v>
      </c>
      <c r="AA1069" s="60">
        <v>0</v>
      </c>
      <c r="AB1069" s="60">
        <v>0</v>
      </c>
      <c r="AC1069" s="60">
        <v>661.14</v>
      </c>
      <c r="AD1069" s="60">
        <v>605.46</v>
      </c>
      <c r="AE1069" s="60">
        <v>605.04</v>
      </c>
      <c r="AF1069" s="60">
        <v>0</v>
      </c>
      <c r="AG1069" s="60">
        <v>0</v>
      </c>
      <c r="AH1069" s="60">
        <v>0</v>
      </c>
      <c r="AI1069" s="60">
        <v>661.14</v>
      </c>
      <c r="AJ1069" s="60">
        <v>605.46</v>
      </c>
      <c r="AK1069" s="60">
        <v>605.04</v>
      </c>
      <c r="AL1069" s="60">
        <v>0</v>
      </c>
      <c r="AM1069" s="60">
        <v>0</v>
      </c>
      <c r="AN1069" s="60">
        <v>0</v>
      </c>
      <c r="AO1069" s="60">
        <v>661.14</v>
      </c>
      <c r="AP1069" s="60">
        <v>605.46</v>
      </c>
      <c r="AQ1069" s="60">
        <v>605.04</v>
      </c>
      <c r="AR1069" s="61">
        <v>661.14</v>
      </c>
    </row>
    <row r="1070" spans="1:44" x14ac:dyDescent="0.35">
      <c r="A1070" s="49" t="str">
        <f t="shared" si="92"/>
        <v>39</v>
      </c>
      <c r="B1070" s="27">
        <v>68627</v>
      </c>
      <c r="C1070" s="25" t="str">
        <f>TEXT(132050,"0000000")</f>
        <v>0132050</v>
      </c>
      <c r="D1070" s="27">
        <v>1731</v>
      </c>
      <c r="E1070" s="25" t="s">
        <v>2450</v>
      </c>
      <c r="F1070" s="25" t="s">
        <v>5</v>
      </c>
      <c r="G1070" s="59" t="s">
        <v>2451</v>
      </c>
      <c r="H1070" s="60">
        <v>0</v>
      </c>
      <c r="I1070" s="60">
        <v>0</v>
      </c>
      <c r="J1070" s="60">
        <v>0</v>
      </c>
      <c r="K1070" s="60">
        <v>0</v>
      </c>
      <c r="L1070" s="60">
        <v>0</v>
      </c>
      <c r="M1070" s="60">
        <v>0</v>
      </c>
      <c r="N1070" s="60">
        <v>0</v>
      </c>
      <c r="O1070" s="60">
        <v>0</v>
      </c>
      <c r="P1070" s="60">
        <v>0</v>
      </c>
      <c r="Q1070" s="60">
        <v>0</v>
      </c>
      <c r="R1070" s="60">
        <v>0</v>
      </c>
      <c r="S1070" s="60">
        <v>0</v>
      </c>
      <c r="T1070" s="60">
        <v>0</v>
      </c>
      <c r="U1070" s="60">
        <v>0</v>
      </c>
      <c r="V1070" s="60">
        <v>0</v>
      </c>
      <c r="W1070" s="60">
        <v>0</v>
      </c>
      <c r="X1070" s="60">
        <v>0</v>
      </c>
      <c r="Y1070" s="60">
        <v>0</v>
      </c>
      <c r="Z1070" s="60">
        <v>0</v>
      </c>
      <c r="AA1070" s="60">
        <v>0</v>
      </c>
      <c r="AB1070" s="60">
        <v>0</v>
      </c>
      <c r="AC1070" s="60">
        <v>188.09</v>
      </c>
      <c r="AD1070" s="60">
        <v>186.36</v>
      </c>
      <c r="AE1070" s="60">
        <v>219.13</v>
      </c>
      <c r="AF1070" s="60">
        <v>0</v>
      </c>
      <c r="AG1070" s="60">
        <v>0</v>
      </c>
      <c r="AH1070" s="60">
        <v>0</v>
      </c>
      <c r="AI1070" s="60">
        <v>188.09</v>
      </c>
      <c r="AJ1070" s="60">
        <v>186.36</v>
      </c>
      <c r="AK1070" s="60">
        <v>219.13</v>
      </c>
      <c r="AL1070" s="60">
        <v>0</v>
      </c>
      <c r="AM1070" s="60">
        <v>0</v>
      </c>
      <c r="AN1070" s="60">
        <v>0</v>
      </c>
      <c r="AO1070" s="60">
        <v>188.09</v>
      </c>
      <c r="AP1070" s="60">
        <v>186.36</v>
      </c>
      <c r="AQ1070" s="60">
        <v>219.13</v>
      </c>
      <c r="AR1070" s="61">
        <v>219.13</v>
      </c>
    </row>
    <row r="1071" spans="1:44" x14ac:dyDescent="0.35">
      <c r="A1071" s="49" t="str">
        <f>TEXT(1,"00")</f>
        <v>01</v>
      </c>
      <c r="B1071" s="27">
        <v>61259</v>
      </c>
      <c r="C1071" s="25" t="str">
        <f>TEXT(130732,"0000000")</f>
        <v>0130732</v>
      </c>
      <c r="D1071" s="27">
        <v>1663</v>
      </c>
      <c r="E1071" s="25" t="s">
        <v>127</v>
      </c>
      <c r="F1071" s="25" t="s">
        <v>5</v>
      </c>
      <c r="G1071" s="59" t="s">
        <v>128</v>
      </c>
      <c r="H1071" s="60">
        <v>0</v>
      </c>
      <c r="I1071" s="60">
        <v>0</v>
      </c>
      <c r="J1071" s="60">
        <v>0</v>
      </c>
      <c r="K1071" s="60">
        <v>0</v>
      </c>
      <c r="L1071" s="60">
        <v>0</v>
      </c>
      <c r="M1071" s="60">
        <v>0</v>
      </c>
      <c r="N1071" s="60">
        <v>0</v>
      </c>
      <c r="O1071" s="60">
        <v>0</v>
      </c>
      <c r="P1071" s="60">
        <v>0</v>
      </c>
      <c r="Q1071" s="60">
        <v>0</v>
      </c>
      <c r="R1071" s="60">
        <v>0</v>
      </c>
      <c r="S1071" s="60">
        <v>0</v>
      </c>
      <c r="T1071" s="60">
        <v>0</v>
      </c>
      <c r="U1071" s="60">
        <v>0</v>
      </c>
      <c r="V1071" s="60">
        <v>0</v>
      </c>
      <c r="W1071" s="60">
        <v>0</v>
      </c>
      <c r="X1071" s="60">
        <v>0</v>
      </c>
      <c r="Y1071" s="60">
        <v>0</v>
      </c>
      <c r="Z1071" s="60">
        <v>0</v>
      </c>
      <c r="AA1071" s="60">
        <v>0</v>
      </c>
      <c r="AB1071" s="60">
        <v>0</v>
      </c>
      <c r="AC1071" s="60">
        <v>214.19</v>
      </c>
      <c r="AD1071" s="60">
        <v>208.06</v>
      </c>
      <c r="AE1071" s="60">
        <v>212.89</v>
      </c>
      <c r="AF1071" s="60">
        <v>0</v>
      </c>
      <c r="AG1071" s="60">
        <v>0</v>
      </c>
      <c r="AH1071" s="60">
        <v>0</v>
      </c>
      <c r="AI1071" s="60">
        <v>214.19</v>
      </c>
      <c r="AJ1071" s="60">
        <v>208.06</v>
      </c>
      <c r="AK1071" s="60">
        <v>212.89</v>
      </c>
      <c r="AL1071" s="60">
        <v>0</v>
      </c>
      <c r="AM1071" s="60">
        <v>0</v>
      </c>
      <c r="AN1071" s="60">
        <v>0</v>
      </c>
      <c r="AO1071" s="60">
        <v>214.19</v>
      </c>
      <c r="AP1071" s="60">
        <v>208.06</v>
      </c>
      <c r="AQ1071" s="60">
        <v>212.89</v>
      </c>
      <c r="AR1071" s="61">
        <v>214.19</v>
      </c>
    </row>
    <row r="1072" spans="1:44" x14ac:dyDescent="0.35">
      <c r="A1072" s="49" t="str">
        <f t="shared" ref="A1072:A1081" si="93">TEXT(39,"00")</f>
        <v>39</v>
      </c>
      <c r="B1072" s="27">
        <v>68627</v>
      </c>
      <c r="C1072" s="25" t="str">
        <f>TEXT(133116,"0000000")</f>
        <v>0133116</v>
      </c>
      <c r="D1072" s="27">
        <v>1762</v>
      </c>
      <c r="E1072" s="25" t="s">
        <v>2452</v>
      </c>
      <c r="F1072" s="25" t="s">
        <v>5</v>
      </c>
      <c r="G1072" s="59" t="s">
        <v>2453</v>
      </c>
      <c r="H1072" s="60">
        <v>0</v>
      </c>
      <c r="I1072" s="60">
        <v>0</v>
      </c>
      <c r="J1072" s="60">
        <v>0</v>
      </c>
      <c r="K1072" s="60">
        <v>0</v>
      </c>
      <c r="L1072" s="60">
        <v>0</v>
      </c>
      <c r="M1072" s="60">
        <v>0</v>
      </c>
      <c r="N1072" s="60">
        <v>0</v>
      </c>
      <c r="O1072" s="60">
        <v>0</v>
      </c>
      <c r="P1072" s="60">
        <v>0</v>
      </c>
      <c r="Q1072" s="60">
        <v>0</v>
      </c>
      <c r="R1072" s="60">
        <v>0</v>
      </c>
      <c r="S1072" s="60">
        <v>0</v>
      </c>
      <c r="T1072" s="60">
        <v>0</v>
      </c>
      <c r="U1072" s="60">
        <v>0</v>
      </c>
      <c r="V1072" s="60">
        <v>0</v>
      </c>
      <c r="W1072" s="60">
        <v>0</v>
      </c>
      <c r="X1072" s="60">
        <v>0</v>
      </c>
      <c r="Y1072" s="60">
        <v>0</v>
      </c>
      <c r="Z1072" s="60">
        <v>0</v>
      </c>
      <c r="AA1072" s="60">
        <v>0</v>
      </c>
      <c r="AB1072" s="60">
        <v>0</v>
      </c>
      <c r="AC1072" s="60">
        <v>259.11</v>
      </c>
      <c r="AD1072" s="60">
        <v>185.12</v>
      </c>
      <c r="AE1072" s="60">
        <v>180.22</v>
      </c>
      <c r="AF1072" s="60">
        <v>0</v>
      </c>
      <c r="AG1072" s="60">
        <v>0</v>
      </c>
      <c r="AH1072" s="60">
        <v>0</v>
      </c>
      <c r="AI1072" s="60">
        <v>259.11</v>
      </c>
      <c r="AJ1072" s="60">
        <v>185.12</v>
      </c>
      <c r="AK1072" s="60">
        <v>180.22</v>
      </c>
      <c r="AL1072" s="60">
        <v>0</v>
      </c>
      <c r="AM1072" s="60">
        <v>0</v>
      </c>
      <c r="AN1072" s="60">
        <v>0</v>
      </c>
      <c r="AO1072" s="60">
        <v>259.11</v>
      </c>
      <c r="AP1072" s="60">
        <v>185.12</v>
      </c>
      <c r="AQ1072" s="60">
        <v>180.22</v>
      </c>
      <c r="AR1072" s="61">
        <v>259.11</v>
      </c>
    </row>
    <row r="1073" spans="1:44" x14ac:dyDescent="0.35">
      <c r="A1073" s="49" t="str">
        <f t="shared" si="93"/>
        <v>39</v>
      </c>
      <c r="B1073" s="27">
        <v>68627</v>
      </c>
      <c r="C1073" s="25" t="str">
        <f>TEXT(136028,"0000000")</f>
        <v>0136028</v>
      </c>
      <c r="D1073" s="27">
        <v>1878</v>
      </c>
      <c r="E1073" s="25" t="s">
        <v>2454</v>
      </c>
      <c r="F1073" s="25" t="s">
        <v>5</v>
      </c>
      <c r="G1073" s="59" t="s">
        <v>2455</v>
      </c>
      <c r="H1073" s="60">
        <v>0</v>
      </c>
      <c r="I1073" s="60">
        <v>0</v>
      </c>
      <c r="J1073" s="60">
        <v>0</v>
      </c>
      <c r="K1073" s="60">
        <v>0</v>
      </c>
      <c r="L1073" s="60">
        <v>0</v>
      </c>
      <c r="M1073" s="60">
        <v>0</v>
      </c>
      <c r="N1073" s="60">
        <v>0</v>
      </c>
      <c r="O1073" s="60">
        <v>0</v>
      </c>
      <c r="P1073" s="60">
        <v>0</v>
      </c>
      <c r="Q1073" s="60">
        <v>0</v>
      </c>
      <c r="R1073" s="60">
        <v>0</v>
      </c>
      <c r="S1073" s="60">
        <v>0</v>
      </c>
      <c r="T1073" s="60">
        <v>0</v>
      </c>
      <c r="U1073" s="60">
        <v>0</v>
      </c>
      <c r="V1073" s="60">
        <v>0</v>
      </c>
      <c r="W1073" s="60">
        <v>0</v>
      </c>
      <c r="X1073" s="60">
        <v>0</v>
      </c>
      <c r="Y1073" s="60">
        <v>0</v>
      </c>
      <c r="Z1073" s="60">
        <v>0</v>
      </c>
      <c r="AA1073" s="60">
        <v>0</v>
      </c>
      <c r="AB1073" s="60">
        <v>0</v>
      </c>
      <c r="AC1073" s="60">
        <v>130.41999999999999</v>
      </c>
      <c r="AD1073" s="60">
        <v>129.06</v>
      </c>
      <c r="AE1073" s="60">
        <v>155.72</v>
      </c>
      <c r="AF1073" s="60">
        <v>0</v>
      </c>
      <c r="AG1073" s="60">
        <v>0</v>
      </c>
      <c r="AH1073" s="60">
        <v>0</v>
      </c>
      <c r="AI1073" s="60">
        <v>130.41999999999999</v>
      </c>
      <c r="AJ1073" s="60">
        <v>129.06</v>
      </c>
      <c r="AK1073" s="60">
        <v>155.72</v>
      </c>
      <c r="AL1073" s="60">
        <v>0</v>
      </c>
      <c r="AM1073" s="60">
        <v>0</v>
      </c>
      <c r="AN1073" s="60">
        <v>0</v>
      </c>
      <c r="AO1073" s="60">
        <v>130.41999999999999</v>
      </c>
      <c r="AP1073" s="60">
        <v>129.06</v>
      </c>
      <c r="AQ1073" s="60">
        <v>155.72</v>
      </c>
      <c r="AR1073" s="61">
        <v>155.72</v>
      </c>
    </row>
    <row r="1074" spans="1:44" x14ac:dyDescent="0.35">
      <c r="A1074" s="49" t="str">
        <f t="shared" si="93"/>
        <v>39</v>
      </c>
      <c r="B1074" s="27">
        <v>68627</v>
      </c>
      <c r="C1074" s="25" t="str">
        <f>TEXT(136135,"0000000")</f>
        <v>0136135</v>
      </c>
      <c r="D1074" s="27">
        <v>1879</v>
      </c>
      <c r="E1074" s="25" t="s">
        <v>2456</v>
      </c>
      <c r="F1074" s="25" t="s">
        <v>5</v>
      </c>
      <c r="G1074" s="59" t="s">
        <v>2457</v>
      </c>
      <c r="H1074" s="60">
        <v>0</v>
      </c>
      <c r="I1074" s="60">
        <v>0</v>
      </c>
      <c r="J1074" s="60">
        <v>0</v>
      </c>
      <c r="K1074" s="60">
        <v>0</v>
      </c>
      <c r="L1074" s="60">
        <v>0</v>
      </c>
      <c r="M1074" s="60">
        <v>0</v>
      </c>
      <c r="N1074" s="60">
        <v>0</v>
      </c>
      <c r="O1074" s="60">
        <v>0</v>
      </c>
      <c r="P1074" s="60">
        <v>0</v>
      </c>
      <c r="Q1074" s="60">
        <v>0</v>
      </c>
      <c r="R1074" s="60">
        <v>0</v>
      </c>
      <c r="S1074" s="60">
        <v>0</v>
      </c>
      <c r="T1074" s="60">
        <v>0</v>
      </c>
      <c r="U1074" s="60">
        <v>0</v>
      </c>
      <c r="V1074" s="60">
        <v>0</v>
      </c>
      <c r="W1074" s="60">
        <v>0</v>
      </c>
      <c r="X1074" s="60">
        <v>0</v>
      </c>
      <c r="Y1074" s="60">
        <v>0</v>
      </c>
      <c r="Z1074" s="60">
        <v>0</v>
      </c>
      <c r="AA1074" s="60">
        <v>0</v>
      </c>
      <c r="AB1074" s="60">
        <v>0</v>
      </c>
      <c r="AC1074" s="60">
        <v>240.89</v>
      </c>
      <c r="AD1074" s="60">
        <v>257.39</v>
      </c>
      <c r="AE1074" s="60">
        <v>242.7</v>
      </c>
      <c r="AF1074" s="60">
        <v>0</v>
      </c>
      <c r="AG1074" s="60">
        <v>0</v>
      </c>
      <c r="AH1074" s="60">
        <v>0</v>
      </c>
      <c r="AI1074" s="60">
        <v>240.89</v>
      </c>
      <c r="AJ1074" s="60">
        <v>257.39</v>
      </c>
      <c r="AK1074" s="60">
        <v>242.7</v>
      </c>
      <c r="AL1074" s="60">
        <v>0</v>
      </c>
      <c r="AM1074" s="60">
        <v>0</v>
      </c>
      <c r="AN1074" s="60">
        <v>0</v>
      </c>
      <c r="AO1074" s="60">
        <v>240.89</v>
      </c>
      <c r="AP1074" s="60">
        <v>257.39</v>
      </c>
      <c r="AQ1074" s="60">
        <v>242.7</v>
      </c>
      <c r="AR1074" s="61">
        <v>257.39</v>
      </c>
    </row>
    <row r="1075" spans="1:44" x14ac:dyDescent="0.35">
      <c r="A1075" s="49" t="str">
        <f t="shared" si="93"/>
        <v>39</v>
      </c>
      <c r="B1075" s="27">
        <v>68627</v>
      </c>
      <c r="C1075" s="25" t="str">
        <f>TEXT(6119309,"0000000")</f>
        <v>6119309</v>
      </c>
      <c r="D1075" s="26" t="s">
        <v>2460</v>
      </c>
      <c r="E1075" s="25" t="s">
        <v>2458</v>
      </c>
      <c r="F1075" s="25" t="s">
        <v>5</v>
      </c>
      <c r="G1075" s="59" t="s">
        <v>2459</v>
      </c>
      <c r="H1075" s="60">
        <v>0</v>
      </c>
      <c r="I1075" s="60">
        <v>0</v>
      </c>
      <c r="J1075" s="60">
        <v>0</v>
      </c>
      <c r="K1075" s="60">
        <v>0</v>
      </c>
      <c r="L1075" s="60">
        <v>0</v>
      </c>
      <c r="M1075" s="60">
        <v>0</v>
      </c>
      <c r="N1075" s="60">
        <v>0</v>
      </c>
      <c r="O1075" s="60">
        <v>0</v>
      </c>
      <c r="P1075" s="60">
        <v>0</v>
      </c>
      <c r="Q1075" s="60">
        <v>0</v>
      </c>
      <c r="R1075" s="60">
        <v>0</v>
      </c>
      <c r="S1075" s="60">
        <v>0</v>
      </c>
      <c r="T1075" s="60">
        <v>0</v>
      </c>
      <c r="U1075" s="60">
        <v>0</v>
      </c>
      <c r="V1075" s="60">
        <v>0</v>
      </c>
      <c r="W1075" s="60">
        <v>0</v>
      </c>
      <c r="X1075" s="60">
        <v>0</v>
      </c>
      <c r="Y1075" s="60">
        <v>0</v>
      </c>
      <c r="Z1075" s="60">
        <v>0</v>
      </c>
      <c r="AA1075" s="60">
        <v>0</v>
      </c>
      <c r="AB1075" s="60">
        <v>0</v>
      </c>
      <c r="AC1075" s="60">
        <v>782.12</v>
      </c>
      <c r="AD1075" s="60">
        <v>774</v>
      </c>
      <c r="AE1075" s="60">
        <v>794.69</v>
      </c>
      <c r="AF1075" s="60">
        <v>0</v>
      </c>
      <c r="AG1075" s="60">
        <v>0</v>
      </c>
      <c r="AH1075" s="60">
        <v>0</v>
      </c>
      <c r="AI1075" s="60">
        <v>782.12</v>
      </c>
      <c r="AJ1075" s="60">
        <v>774</v>
      </c>
      <c r="AK1075" s="60">
        <v>794.69</v>
      </c>
      <c r="AL1075" s="60">
        <v>0</v>
      </c>
      <c r="AM1075" s="60">
        <v>0</v>
      </c>
      <c r="AN1075" s="60">
        <v>0</v>
      </c>
      <c r="AO1075" s="60">
        <v>782.12</v>
      </c>
      <c r="AP1075" s="60">
        <v>774</v>
      </c>
      <c r="AQ1075" s="60">
        <v>794.69</v>
      </c>
      <c r="AR1075" s="61">
        <v>794.69</v>
      </c>
    </row>
    <row r="1076" spans="1:44" ht="31" x14ac:dyDescent="0.35">
      <c r="A1076" s="49" t="str">
        <f t="shared" si="93"/>
        <v>39</v>
      </c>
      <c r="B1076" s="27">
        <v>68650</v>
      </c>
      <c r="C1076" s="25" t="str">
        <f>TEXT(125849,"0000000")</f>
        <v>0125849</v>
      </c>
      <c r="D1076" s="27">
        <v>1398</v>
      </c>
      <c r="E1076" s="25" t="s">
        <v>2465</v>
      </c>
      <c r="F1076" s="25" t="s">
        <v>5</v>
      </c>
      <c r="G1076" s="59" t="s">
        <v>2466</v>
      </c>
      <c r="H1076" s="60">
        <v>0</v>
      </c>
      <c r="I1076" s="60">
        <v>0</v>
      </c>
      <c r="J1076" s="60">
        <v>0</v>
      </c>
      <c r="K1076" s="60">
        <v>0</v>
      </c>
      <c r="L1076" s="60">
        <v>0</v>
      </c>
      <c r="M1076" s="60">
        <v>0</v>
      </c>
      <c r="N1076" s="60">
        <v>0</v>
      </c>
      <c r="O1076" s="60">
        <v>0</v>
      </c>
      <c r="P1076" s="60">
        <v>0</v>
      </c>
      <c r="Q1076" s="60">
        <v>0</v>
      </c>
      <c r="R1076" s="60">
        <v>0</v>
      </c>
      <c r="S1076" s="60">
        <v>0</v>
      </c>
      <c r="T1076" s="60">
        <v>0</v>
      </c>
      <c r="U1076" s="60">
        <v>0</v>
      </c>
      <c r="V1076" s="60">
        <v>0</v>
      </c>
      <c r="W1076" s="60">
        <v>0</v>
      </c>
      <c r="X1076" s="60">
        <v>0</v>
      </c>
      <c r="Y1076" s="60">
        <v>0</v>
      </c>
      <c r="Z1076" s="60">
        <v>0</v>
      </c>
      <c r="AA1076" s="60">
        <v>0</v>
      </c>
      <c r="AB1076" s="60">
        <v>0</v>
      </c>
      <c r="AC1076" s="60">
        <v>1725.99</v>
      </c>
      <c r="AD1076" s="60">
        <v>1664.09</v>
      </c>
      <c r="AE1076" s="60">
        <v>1522.61</v>
      </c>
      <c r="AF1076" s="60">
        <v>0</v>
      </c>
      <c r="AG1076" s="60">
        <v>0</v>
      </c>
      <c r="AH1076" s="60">
        <v>0</v>
      </c>
      <c r="AI1076" s="60">
        <v>1725.99</v>
      </c>
      <c r="AJ1076" s="60">
        <v>1664.09</v>
      </c>
      <c r="AK1076" s="60">
        <v>1522.61</v>
      </c>
      <c r="AL1076" s="60">
        <v>0</v>
      </c>
      <c r="AM1076" s="60">
        <v>0</v>
      </c>
      <c r="AN1076" s="60">
        <v>0</v>
      </c>
      <c r="AO1076" s="60">
        <v>1725.99</v>
      </c>
      <c r="AP1076" s="60">
        <v>1664.09</v>
      </c>
      <c r="AQ1076" s="60">
        <v>1522.61</v>
      </c>
      <c r="AR1076" s="61">
        <v>1725.99</v>
      </c>
    </row>
    <row r="1077" spans="1:44" x14ac:dyDescent="0.35">
      <c r="A1077" s="49" t="str">
        <f t="shared" si="93"/>
        <v>39</v>
      </c>
      <c r="B1077" s="27">
        <v>68676</v>
      </c>
      <c r="C1077" s="25" t="str">
        <f>TEXT(108647,"0000000")</f>
        <v>0108647</v>
      </c>
      <c r="D1077" s="26" t="s">
        <v>2471</v>
      </c>
      <c r="E1077" s="25" t="s">
        <v>2469</v>
      </c>
      <c r="F1077" s="25" t="s">
        <v>5</v>
      </c>
      <c r="G1077" s="59" t="s">
        <v>2470</v>
      </c>
      <c r="H1077" s="60">
        <v>0</v>
      </c>
      <c r="I1077" s="60">
        <v>0</v>
      </c>
      <c r="J1077" s="60">
        <v>0</v>
      </c>
      <c r="K1077" s="60">
        <v>0</v>
      </c>
      <c r="L1077" s="60">
        <v>0</v>
      </c>
      <c r="M1077" s="60">
        <v>0</v>
      </c>
      <c r="N1077" s="60">
        <v>0</v>
      </c>
      <c r="O1077" s="60">
        <v>0</v>
      </c>
      <c r="P1077" s="60">
        <v>0</v>
      </c>
      <c r="Q1077" s="60">
        <v>0</v>
      </c>
      <c r="R1077" s="60">
        <v>0</v>
      </c>
      <c r="S1077" s="60">
        <v>0</v>
      </c>
      <c r="T1077" s="60">
        <v>0</v>
      </c>
      <c r="U1077" s="60">
        <v>0</v>
      </c>
      <c r="V1077" s="60">
        <v>0</v>
      </c>
      <c r="W1077" s="60">
        <v>0</v>
      </c>
      <c r="X1077" s="60">
        <v>0</v>
      </c>
      <c r="Y1077" s="60">
        <v>0</v>
      </c>
      <c r="Z1077" s="60">
        <v>0</v>
      </c>
      <c r="AA1077" s="60">
        <v>0</v>
      </c>
      <c r="AB1077" s="60">
        <v>0</v>
      </c>
      <c r="AC1077" s="60">
        <v>368.47</v>
      </c>
      <c r="AD1077" s="60">
        <v>345.33</v>
      </c>
      <c r="AE1077" s="60">
        <v>340.96</v>
      </c>
      <c r="AF1077" s="60">
        <v>0</v>
      </c>
      <c r="AG1077" s="60">
        <v>0</v>
      </c>
      <c r="AH1077" s="60">
        <v>0</v>
      </c>
      <c r="AI1077" s="60">
        <v>368.47</v>
      </c>
      <c r="AJ1077" s="60">
        <v>345.33</v>
      </c>
      <c r="AK1077" s="60">
        <v>340.96</v>
      </c>
      <c r="AL1077" s="60">
        <v>0</v>
      </c>
      <c r="AM1077" s="60">
        <v>0</v>
      </c>
      <c r="AN1077" s="60">
        <v>0</v>
      </c>
      <c r="AO1077" s="60">
        <v>368.47</v>
      </c>
      <c r="AP1077" s="60">
        <v>345.33</v>
      </c>
      <c r="AQ1077" s="60">
        <v>340.96</v>
      </c>
      <c r="AR1077" s="61">
        <v>368.47</v>
      </c>
    </row>
    <row r="1078" spans="1:44" x14ac:dyDescent="0.35">
      <c r="A1078" s="49" t="str">
        <f t="shared" si="93"/>
        <v>39</v>
      </c>
      <c r="B1078" s="27">
        <v>68676</v>
      </c>
      <c r="C1078" s="25" t="str">
        <f>TEXT(114876,"0000000")</f>
        <v>0114876</v>
      </c>
      <c r="D1078" s="27">
        <v>1553</v>
      </c>
      <c r="E1078" s="25" t="s">
        <v>2472</v>
      </c>
      <c r="F1078" s="25" t="s">
        <v>5</v>
      </c>
      <c r="G1078" s="59" t="s">
        <v>2473</v>
      </c>
      <c r="H1078" s="60">
        <v>0</v>
      </c>
      <c r="I1078" s="60">
        <v>0</v>
      </c>
      <c r="J1078" s="60">
        <v>0</v>
      </c>
      <c r="K1078" s="60">
        <v>0</v>
      </c>
      <c r="L1078" s="60">
        <v>0</v>
      </c>
      <c r="M1078" s="60">
        <v>0</v>
      </c>
      <c r="N1078" s="60">
        <v>0</v>
      </c>
      <c r="O1078" s="60">
        <v>0</v>
      </c>
      <c r="P1078" s="60">
        <v>0</v>
      </c>
      <c r="Q1078" s="60">
        <v>0</v>
      </c>
      <c r="R1078" s="60">
        <v>0</v>
      </c>
      <c r="S1078" s="60">
        <v>0</v>
      </c>
      <c r="T1078" s="60">
        <v>0</v>
      </c>
      <c r="U1078" s="60">
        <v>0</v>
      </c>
      <c r="V1078" s="60">
        <v>0</v>
      </c>
      <c r="W1078" s="60">
        <v>0</v>
      </c>
      <c r="X1078" s="60">
        <v>0</v>
      </c>
      <c r="Y1078" s="60">
        <v>0</v>
      </c>
      <c r="Z1078" s="60">
        <v>0</v>
      </c>
      <c r="AA1078" s="60">
        <v>0</v>
      </c>
      <c r="AB1078" s="60">
        <v>0</v>
      </c>
      <c r="AC1078" s="60">
        <v>414.61</v>
      </c>
      <c r="AD1078" s="60">
        <v>395.25</v>
      </c>
      <c r="AE1078" s="60">
        <v>379.8</v>
      </c>
      <c r="AF1078" s="60">
        <v>0</v>
      </c>
      <c r="AG1078" s="60">
        <v>0</v>
      </c>
      <c r="AH1078" s="60">
        <v>0</v>
      </c>
      <c r="AI1078" s="60">
        <v>414.61</v>
      </c>
      <c r="AJ1078" s="60">
        <v>395.25</v>
      </c>
      <c r="AK1078" s="60">
        <v>379.8</v>
      </c>
      <c r="AL1078" s="60">
        <v>0</v>
      </c>
      <c r="AM1078" s="60">
        <v>0</v>
      </c>
      <c r="AN1078" s="60">
        <v>0</v>
      </c>
      <c r="AO1078" s="60">
        <v>414.61</v>
      </c>
      <c r="AP1078" s="60">
        <v>395.25</v>
      </c>
      <c r="AQ1078" s="60">
        <v>379.8</v>
      </c>
      <c r="AR1078" s="61">
        <v>414.61</v>
      </c>
    </row>
    <row r="1079" spans="1:44" x14ac:dyDescent="0.35">
      <c r="A1079" s="49" t="str">
        <f t="shared" si="93"/>
        <v>39</v>
      </c>
      <c r="B1079" s="27">
        <v>68676</v>
      </c>
      <c r="C1079" s="25" t="str">
        <f>TEXT(117853,"0000000")</f>
        <v>0117853</v>
      </c>
      <c r="D1079" s="27">
        <v>1027</v>
      </c>
      <c r="E1079" s="25" t="s">
        <v>2474</v>
      </c>
      <c r="F1079" s="25" t="s">
        <v>5</v>
      </c>
      <c r="G1079" s="59" t="s">
        <v>2475</v>
      </c>
      <c r="H1079" s="60">
        <v>0</v>
      </c>
      <c r="I1079" s="60">
        <v>0</v>
      </c>
      <c r="J1079" s="60">
        <v>0</v>
      </c>
      <c r="K1079" s="60">
        <v>0</v>
      </c>
      <c r="L1079" s="60">
        <v>0</v>
      </c>
      <c r="M1079" s="60">
        <v>0</v>
      </c>
      <c r="N1079" s="60">
        <v>0</v>
      </c>
      <c r="O1079" s="60">
        <v>0</v>
      </c>
      <c r="P1079" s="60">
        <v>0</v>
      </c>
      <c r="Q1079" s="60">
        <v>0</v>
      </c>
      <c r="R1079" s="60">
        <v>0</v>
      </c>
      <c r="S1079" s="60">
        <v>0</v>
      </c>
      <c r="T1079" s="60">
        <v>0</v>
      </c>
      <c r="U1079" s="60">
        <v>0</v>
      </c>
      <c r="V1079" s="60">
        <v>0</v>
      </c>
      <c r="W1079" s="60">
        <v>0</v>
      </c>
      <c r="X1079" s="60">
        <v>0</v>
      </c>
      <c r="Y1079" s="60">
        <v>0</v>
      </c>
      <c r="Z1079" s="60">
        <v>0</v>
      </c>
      <c r="AA1079" s="60">
        <v>0</v>
      </c>
      <c r="AB1079" s="60">
        <v>0</v>
      </c>
      <c r="AC1079" s="60">
        <v>211.49</v>
      </c>
      <c r="AD1079" s="60">
        <v>226.29</v>
      </c>
      <c r="AE1079" s="60">
        <v>212.56</v>
      </c>
      <c r="AF1079" s="60">
        <v>0</v>
      </c>
      <c r="AG1079" s="60">
        <v>0</v>
      </c>
      <c r="AH1079" s="60">
        <v>0</v>
      </c>
      <c r="AI1079" s="60">
        <v>211.49</v>
      </c>
      <c r="AJ1079" s="60">
        <v>226.29</v>
      </c>
      <c r="AK1079" s="60">
        <v>212.56</v>
      </c>
      <c r="AL1079" s="60">
        <v>0</v>
      </c>
      <c r="AM1079" s="60">
        <v>0</v>
      </c>
      <c r="AN1079" s="60">
        <v>0</v>
      </c>
      <c r="AO1079" s="60">
        <v>211.49</v>
      </c>
      <c r="AP1079" s="60">
        <v>226.29</v>
      </c>
      <c r="AQ1079" s="60">
        <v>212.56</v>
      </c>
      <c r="AR1079" s="61">
        <v>226.29</v>
      </c>
    </row>
    <row r="1080" spans="1:44" x14ac:dyDescent="0.35">
      <c r="A1080" s="49" t="str">
        <f t="shared" si="93"/>
        <v>39</v>
      </c>
      <c r="B1080" s="27">
        <v>68676</v>
      </c>
      <c r="C1080" s="25" t="str">
        <f>TEXT(118497,"0000000")</f>
        <v>0118497</v>
      </c>
      <c r="D1080" s="27">
        <v>1048</v>
      </c>
      <c r="E1080" s="25" t="s">
        <v>2476</v>
      </c>
      <c r="F1080" s="25" t="s">
        <v>5</v>
      </c>
      <c r="G1080" s="59" t="s">
        <v>2477</v>
      </c>
      <c r="H1080" s="60">
        <v>0</v>
      </c>
      <c r="I1080" s="60">
        <v>0</v>
      </c>
      <c r="J1080" s="60">
        <v>0</v>
      </c>
      <c r="K1080" s="60">
        <v>0</v>
      </c>
      <c r="L1080" s="60">
        <v>0</v>
      </c>
      <c r="M1080" s="60">
        <v>0</v>
      </c>
      <c r="N1080" s="60">
        <v>0</v>
      </c>
      <c r="O1080" s="60">
        <v>0</v>
      </c>
      <c r="P1080" s="60">
        <v>0</v>
      </c>
      <c r="Q1080" s="60">
        <v>0</v>
      </c>
      <c r="R1080" s="60">
        <v>0</v>
      </c>
      <c r="S1080" s="60">
        <v>0</v>
      </c>
      <c r="T1080" s="60">
        <v>0</v>
      </c>
      <c r="U1080" s="60">
        <v>0</v>
      </c>
      <c r="V1080" s="60">
        <v>0</v>
      </c>
      <c r="W1080" s="60">
        <v>0</v>
      </c>
      <c r="X1080" s="60">
        <v>0</v>
      </c>
      <c r="Y1080" s="60">
        <v>0</v>
      </c>
      <c r="Z1080" s="60">
        <v>0</v>
      </c>
      <c r="AA1080" s="60">
        <v>0</v>
      </c>
      <c r="AB1080" s="60">
        <v>0</v>
      </c>
      <c r="AC1080" s="60">
        <v>697.99</v>
      </c>
      <c r="AD1080" s="60">
        <v>702.22</v>
      </c>
      <c r="AE1080" s="60">
        <v>687.68</v>
      </c>
      <c r="AF1080" s="60">
        <v>0</v>
      </c>
      <c r="AG1080" s="60">
        <v>0</v>
      </c>
      <c r="AH1080" s="60">
        <v>0</v>
      </c>
      <c r="AI1080" s="60">
        <v>697.99</v>
      </c>
      <c r="AJ1080" s="60">
        <v>702.22</v>
      </c>
      <c r="AK1080" s="60">
        <v>687.68</v>
      </c>
      <c r="AL1080" s="60">
        <v>0</v>
      </c>
      <c r="AM1080" s="60">
        <v>0</v>
      </c>
      <c r="AN1080" s="60">
        <v>0</v>
      </c>
      <c r="AO1080" s="60">
        <v>697.99</v>
      </c>
      <c r="AP1080" s="60">
        <v>702.22</v>
      </c>
      <c r="AQ1080" s="60">
        <v>687.68</v>
      </c>
      <c r="AR1080" s="61">
        <v>702.22</v>
      </c>
    </row>
    <row r="1081" spans="1:44" x14ac:dyDescent="0.35">
      <c r="A1081" s="49" t="str">
        <f t="shared" si="93"/>
        <v>39</v>
      </c>
      <c r="B1081" s="27">
        <v>68676</v>
      </c>
      <c r="C1081" s="25" t="str">
        <f>TEXT(120725,"0000000")</f>
        <v>0120725</v>
      </c>
      <c r="D1081" s="27">
        <v>1142</v>
      </c>
      <c r="E1081" s="25" t="s">
        <v>2478</v>
      </c>
      <c r="F1081" s="25" t="s">
        <v>5</v>
      </c>
      <c r="G1081" s="59" t="s">
        <v>2479</v>
      </c>
      <c r="H1081" s="60">
        <v>0</v>
      </c>
      <c r="I1081" s="60">
        <v>0</v>
      </c>
      <c r="J1081" s="60">
        <v>0</v>
      </c>
      <c r="K1081" s="60">
        <v>0</v>
      </c>
      <c r="L1081" s="60">
        <v>0</v>
      </c>
      <c r="M1081" s="60">
        <v>0</v>
      </c>
      <c r="N1081" s="60">
        <v>0</v>
      </c>
      <c r="O1081" s="60">
        <v>0</v>
      </c>
      <c r="P1081" s="60">
        <v>0</v>
      </c>
      <c r="Q1081" s="60">
        <v>0</v>
      </c>
      <c r="R1081" s="60">
        <v>0</v>
      </c>
      <c r="S1081" s="60">
        <v>0</v>
      </c>
      <c r="T1081" s="60">
        <v>0</v>
      </c>
      <c r="U1081" s="60">
        <v>0</v>
      </c>
      <c r="V1081" s="60">
        <v>0</v>
      </c>
      <c r="W1081" s="60">
        <v>0</v>
      </c>
      <c r="X1081" s="60">
        <v>0</v>
      </c>
      <c r="Y1081" s="60">
        <v>0</v>
      </c>
      <c r="Z1081" s="60">
        <v>0</v>
      </c>
      <c r="AA1081" s="60">
        <v>0</v>
      </c>
      <c r="AB1081" s="60">
        <v>0</v>
      </c>
      <c r="AC1081" s="60">
        <v>344.55</v>
      </c>
      <c r="AD1081" s="60">
        <v>349</v>
      </c>
      <c r="AE1081" s="60">
        <v>371.01</v>
      </c>
      <c r="AF1081" s="60">
        <v>0</v>
      </c>
      <c r="AG1081" s="60">
        <v>0</v>
      </c>
      <c r="AH1081" s="60">
        <v>0</v>
      </c>
      <c r="AI1081" s="60">
        <v>344.55</v>
      </c>
      <c r="AJ1081" s="60">
        <v>349</v>
      </c>
      <c r="AK1081" s="60">
        <v>371.01</v>
      </c>
      <c r="AL1081" s="60">
        <v>0</v>
      </c>
      <c r="AM1081" s="60">
        <v>0</v>
      </c>
      <c r="AN1081" s="60">
        <v>0</v>
      </c>
      <c r="AO1081" s="60">
        <v>344.55</v>
      </c>
      <c r="AP1081" s="60">
        <v>349</v>
      </c>
      <c r="AQ1081" s="60">
        <v>371.01</v>
      </c>
      <c r="AR1081" s="61">
        <v>371.01</v>
      </c>
    </row>
    <row r="1082" spans="1:44" x14ac:dyDescent="0.35">
      <c r="A1082" s="49" t="str">
        <f>TEXT(1,"00")</f>
        <v>01</v>
      </c>
      <c r="B1082" s="27">
        <v>61259</v>
      </c>
      <c r="C1082" s="25" t="str">
        <f>TEXT(132514,"0000000")</f>
        <v>0132514</v>
      </c>
      <c r="D1082" s="27">
        <v>1708</v>
      </c>
      <c r="E1082" s="25" t="s">
        <v>129</v>
      </c>
      <c r="F1082" s="25" t="s">
        <v>5</v>
      </c>
      <c r="G1082" s="59" t="s">
        <v>130</v>
      </c>
      <c r="H1082" s="60">
        <v>0</v>
      </c>
      <c r="I1082" s="60">
        <v>0</v>
      </c>
      <c r="J1082" s="60">
        <v>0</v>
      </c>
      <c r="K1082" s="60">
        <v>0</v>
      </c>
      <c r="L1082" s="60">
        <v>0</v>
      </c>
      <c r="M1082" s="60">
        <v>0</v>
      </c>
      <c r="N1082" s="60">
        <v>0</v>
      </c>
      <c r="O1082" s="60">
        <v>0</v>
      </c>
      <c r="P1082" s="60">
        <v>0</v>
      </c>
      <c r="Q1082" s="60">
        <v>0</v>
      </c>
      <c r="R1082" s="60">
        <v>0</v>
      </c>
      <c r="S1082" s="60">
        <v>0</v>
      </c>
      <c r="T1082" s="60">
        <v>0</v>
      </c>
      <c r="U1082" s="60">
        <v>0</v>
      </c>
      <c r="V1082" s="60">
        <v>0</v>
      </c>
      <c r="W1082" s="60">
        <v>0</v>
      </c>
      <c r="X1082" s="60">
        <v>0</v>
      </c>
      <c r="Y1082" s="60">
        <v>0</v>
      </c>
      <c r="Z1082" s="60">
        <v>0</v>
      </c>
      <c r="AA1082" s="60">
        <v>0</v>
      </c>
      <c r="AB1082" s="60">
        <v>0</v>
      </c>
      <c r="AC1082" s="60">
        <v>306.37</v>
      </c>
      <c r="AD1082" s="60">
        <v>306.92</v>
      </c>
      <c r="AE1082" s="60">
        <v>290.7</v>
      </c>
      <c r="AF1082" s="60">
        <v>0</v>
      </c>
      <c r="AG1082" s="60">
        <v>0</v>
      </c>
      <c r="AH1082" s="60">
        <v>0</v>
      </c>
      <c r="AI1082" s="60">
        <v>306.37</v>
      </c>
      <c r="AJ1082" s="60">
        <v>306.92</v>
      </c>
      <c r="AK1082" s="60">
        <v>290.7</v>
      </c>
      <c r="AL1082" s="60">
        <v>0</v>
      </c>
      <c r="AM1082" s="60">
        <v>0</v>
      </c>
      <c r="AN1082" s="60">
        <v>0</v>
      </c>
      <c r="AO1082" s="60">
        <v>306.37</v>
      </c>
      <c r="AP1082" s="60">
        <v>306.92</v>
      </c>
      <c r="AQ1082" s="60">
        <v>290.7</v>
      </c>
      <c r="AR1082" s="61">
        <v>306.92</v>
      </c>
    </row>
    <row r="1083" spans="1:44" x14ac:dyDescent="0.35">
      <c r="A1083" s="49" t="str">
        <f t="shared" ref="A1083:A1092" si="94">TEXT(39,"00")</f>
        <v>39</v>
      </c>
      <c r="B1083" s="27">
        <v>68676</v>
      </c>
      <c r="C1083" s="25" t="str">
        <f>TEXT(120733,"0000000")</f>
        <v>0120733</v>
      </c>
      <c r="D1083" s="27">
        <v>1143</v>
      </c>
      <c r="E1083" s="25" t="s">
        <v>2480</v>
      </c>
      <c r="F1083" s="25" t="s">
        <v>5</v>
      </c>
      <c r="G1083" s="59" t="s">
        <v>2481</v>
      </c>
      <c r="H1083" s="60">
        <v>0</v>
      </c>
      <c r="I1083" s="60">
        <v>0</v>
      </c>
      <c r="J1083" s="60">
        <v>0</v>
      </c>
      <c r="K1083" s="60">
        <v>0</v>
      </c>
      <c r="L1083" s="60">
        <v>0</v>
      </c>
      <c r="M1083" s="60">
        <v>0</v>
      </c>
      <c r="N1083" s="60">
        <v>0</v>
      </c>
      <c r="O1083" s="60">
        <v>0</v>
      </c>
      <c r="P1083" s="60">
        <v>0</v>
      </c>
      <c r="Q1083" s="60">
        <v>0</v>
      </c>
      <c r="R1083" s="60">
        <v>0</v>
      </c>
      <c r="S1083" s="60">
        <v>0</v>
      </c>
      <c r="T1083" s="60">
        <v>0</v>
      </c>
      <c r="U1083" s="60">
        <v>0</v>
      </c>
      <c r="V1083" s="60">
        <v>0</v>
      </c>
      <c r="W1083" s="60">
        <v>0</v>
      </c>
      <c r="X1083" s="60">
        <v>0</v>
      </c>
      <c r="Y1083" s="60">
        <v>0</v>
      </c>
      <c r="Z1083" s="60">
        <v>0</v>
      </c>
      <c r="AA1083" s="60">
        <v>0</v>
      </c>
      <c r="AB1083" s="60">
        <v>0</v>
      </c>
      <c r="AC1083" s="60">
        <v>418.96</v>
      </c>
      <c r="AD1083" s="60">
        <v>411.08</v>
      </c>
      <c r="AE1083" s="60">
        <v>435.2</v>
      </c>
      <c r="AF1083" s="60">
        <v>0</v>
      </c>
      <c r="AG1083" s="60">
        <v>0</v>
      </c>
      <c r="AH1083" s="60">
        <v>0</v>
      </c>
      <c r="AI1083" s="60">
        <v>418.96</v>
      </c>
      <c r="AJ1083" s="60">
        <v>411.08</v>
      </c>
      <c r="AK1083" s="60">
        <v>435.2</v>
      </c>
      <c r="AL1083" s="60">
        <v>0</v>
      </c>
      <c r="AM1083" s="60">
        <v>0</v>
      </c>
      <c r="AN1083" s="60">
        <v>0</v>
      </c>
      <c r="AO1083" s="60">
        <v>418.96</v>
      </c>
      <c r="AP1083" s="60">
        <v>411.08</v>
      </c>
      <c r="AQ1083" s="60">
        <v>435.2</v>
      </c>
      <c r="AR1083" s="61">
        <v>435.2</v>
      </c>
    </row>
    <row r="1084" spans="1:44" x14ac:dyDescent="0.35">
      <c r="A1084" s="49" t="str">
        <f t="shared" si="94"/>
        <v>39</v>
      </c>
      <c r="B1084" s="27">
        <v>68676</v>
      </c>
      <c r="C1084" s="25" t="str">
        <f>TEXT(121541,"0000000")</f>
        <v>0121541</v>
      </c>
      <c r="D1084" s="27">
        <v>1552</v>
      </c>
      <c r="E1084" s="25" t="s">
        <v>2482</v>
      </c>
      <c r="F1084" s="25" t="s">
        <v>5</v>
      </c>
      <c r="G1084" s="59" t="s">
        <v>2483</v>
      </c>
      <c r="H1084" s="60">
        <v>0</v>
      </c>
      <c r="I1084" s="60">
        <v>0</v>
      </c>
      <c r="J1084" s="60">
        <v>0</v>
      </c>
      <c r="K1084" s="60">
        <v>0</v>
      </c>
      <c r="L1084" s="60">
        <v>0</v>
      </c>
      <c r="M1084" s="60">
        <v>0</v>
      </c>
      <c r="N1084" s="60">
        <v>0</v>
      </c>
      <c r="O1084" s="60">
        <v>0</v>
      </c>
      <c r="P1084" s="60">
        <v>0</v>
      </c>
      <c r="Q1084" s="60">
        <v>0</v>
      </c>
      <c r="R1084" s="60">
        <v>0</v>
      </c>
      <c r="S1084" s="60">
        <v>0</v>
      </c>
      <c r="T1084" s="60">
        <v>0</v>
      </c>
      <c r="U1084" s="60">
        <v>0</v>
      </c>
      <c r="V1084" s="60">
        <v>0</v>
      </c>
      <c r="W1084" s="60">
        <v>0</v>
      </c>
      <c r="X1084" s="60">
        <v>0</v>
      </c>
      <c r="Y1084" s="60">
        <v>0</v>
      </c>
      <c r="Z1084" s="60">
        <v>0</v>
      </c>
      <c r="AA1084" s="60">
        <v>0</v>
      </c>
      <c r="AB1084" s="60">
        <v>0</v>
      </c>
      <c r="AC1084" s="60">
        <v>286.02999999999997</v>
      </c>
      <c r="AD1084" s="60">
        <v>255.14</v>
      </c>
      <c r="AE1084" s="60">
        <v>260.25</v>
      </c>
      <c r="AF1084" s="60">
        <v>0</v>
      </c>
      <c r="AG1084" s="60">
        <v>0</v>
      </c>
      <c r="AH1084" s="60">
        <v>0</v>
      </c>
      <c r="AI1084" s="60">
        <v>286.02999999999997</v>
      </c>
      <c r="AJ1084" s="60">
        <v>255.14</v>
      </c>
      <c r="AK1084" s="60">
        <v>260.25</v>
      </c>
      <c r="AL1084" s="60">
        <v>0</v>
      </c>
      <c r="AM1084" s="60">
        <v>0</v>
      </c>
      <c r="AN1084" s="60">
        <v>0</v>
      </c>
      <c r="AO1084" s="60">
        <v>286.02999999999997</v>
      </c>
      <c r="AP1084" s="60">
        <v>255.14</v>
      </c>
      <c r="AQ1084" s="60">
        <v>260.25</v>
      </c>
      <c r="AR1084" s="61">
        <v>286.02999999999997</v>
      </c>
    </row>
    <row r="1085" spans="1:44" x14ac:dyDescent="0.35">
      <c r="A1085" s="49" t="str">
        <f t="shared" si="94"/>
        <v>39</v>
      </c>
      <c r="B1085" s="27">
        <v>68676</v>
      </c>
      <c r="C1085" s="25" t="str">
        <f>TEXT(136283,"0000000")</f>
        <v>0136283</v>
      </c>
      <c r="D1085" s="27">
        <v>1890</v>
      </c>
      <c r="E1085" s="25" t="s">
        <v>2484</v>
      </c>
      <c r="F1085" s="25" t="s">
        <v>5</v>
      </c>
      <c r="G1085" s="59" t="s">
        <v>2485</v>
      </c>
      <c r="H1085" s="60">
        <v>0</v>
      </c>
      <c r="I1085" s="60">
        <v>0</v>
      </c>
      <c r="J1085" s="60">
        <v>0</v>
      </c>
      <c r="K1085" s="60">
        <v>0</v>
      </c>
      <c r="L1085" s="60">
        <v>0</v>
      </c>
      <c r="M1085" s="60">
        <v>0</v>
      </c>
      <c r="N1085" s="60">
        <v>0</v>
      </c>
      <c r="O1085" s="60">
        <v>0</v>
      </c>
      <c r="P1085" s="60">
        <v>0</v>
      </c>
      <c r="Q1085" s="60">
        <v>0</v>
      </c>
      <c r="R1085" s="60">
        <v>0</v>
      </c>
      <c r="S1085" s="60">
        <v>0</v>
      </c>
      <c r="T1085" s="60">
        <v>0</v>
      </c>
      <c r="U1085" s="60">
        <v>0</v>
      </c>
      <c r="V1085" s="60">
        <v>0</v>
      </c>
      <c r="W1085" s="60">
        <v>0</v>
      </c>
      <c r="X1085" s="60">
        <v>0</v>
      </c>
      <c r="Y1085" s="60">
        <v>0</v>
      </c>
      <c r="Z1085" s="60">
        <v>0</v>
      </c>
      <c r="AA1085" s="60">
        <v>0</v>
      </c>
      <c r="AB1085" s="60">
        <v>0</v>
      </c>
      <c r="AC1085" s="60">
        <v>156.99</v>
      </c>
      <c r="AD1085" s="60">
        <v>178.75</v>
      </c>
      <c r="AE1085" s="60">
        <v>0</v>
      </c>
      <c r="AF1085" s="60">
        <v>0</v>
      </c>
      <c r="AG1085" s="60">
        <v>0</v>
      </c>
      <c r="AH1085" s="60">
        <v>0</v>
      </c>
      <c r="AI1085" s="60">
        <v>156.99</v>
      </c>
      <c r="AJ1085" s="60">
        <v>178.75</v>
      </c>
      <c r="AK1085" s="60">
        <v>0</v>
      </c>
      <c r="AL1085" s="60">
        <v>0</v>
      </c>
      <c r="AM1085" s="60">
        <v>0</v>
      </c>
      <c r="AN1085" s="60">
        <v>186.47</v>
      </c>
      <c r="AO1085" s="60">
        <v>156.99</v>
      </c>
      <c r="AP1085" s="60">
        <v>178.75</v>
      </c>
      <c r="AQ1085" s="60">
        <v>186.47</v>
      </c>
      <c r="AR1085" s="61">
        <v>186.47</v>
      </c>
    </row>
    <row r="1086" spans="1:44" x14ac:dyDescent="0.35">
      <c r="A1086" s="49" t="str">
        <f t="shared" si="94"/>
        <v>39</v>
      </c>
      <c r="B1086" s="27">
        <v>68676</v>
      </c>
      <c r="C1086" s="25" t="str">
        <f>TEXT(139865,"0000000")</f>
        <v>0139865</v>
      </c>
      <c r="D1086" s="27">
        <v>2064</v>
      </c>
      <c r="E1086" s="25" t="s">
        <v>2486</v>
      </c>
      <c r="F1086" s="25" t="s">
        <v>5</v>
      </c>
      <c r="G1086" s="59" t="s">
        <v>2487</v>
      </c>
      <c r="H1086" s="60">
        <v>0</v>
      </c>
      <c r="I1086" s="60">
        <v>0</v>
      </c>
      <c r="J1086" s="60">
        <v>0</v>
      </c>
      <c r="K1086" s="60">
        <v>0</v>
      </c>
      <c r="L1086" s="60">
        <v>0</v>
      </c>
      <c r="M1086" s="60">
        <v>0</v>
      </c>
      <c r="N1086" s="60">
        <v>0</v>
      </c>
      <c r="O1086" s="60">
        <v>0</v>
      </c>
      <c r="P1086" s="60">
        <v>0</v>
      </c>
      <c r="Q1086" s="60">
        <v>0</v>
      </c>
      <c r="R1086" s="60">
        <v>0</v>
      </c>
      <c r="S1086" s="60">
        <v>0</v>
      </c>
      <c r="T1086" s="60">
        <v>0</v>
      </c>
      <c r="U1086" s="60">
        <v>0</v>
      </c>
      <c r="V1086" s="60">
        <v>0</v>
      </c>
      <c r="W1086" s="60">
        <v>0</v>
      </c>
      <c r="X1086" s="60">
        <v>0</v>
      </c>
      <c r="Y1086" s="60">
        <v>0</v>
      </c>
      <c r="Z1086" s="60">
        <v>0</v>
      </c>
      <c r="AA1086" s="60">
        <v>0</v>
      </c>
      <c r="AB1086" s="60">
        <v>0</v>
      </c>
      <c r="AC1086" s="60">
        <v>208.85</v>
      </c>
      <c r="AD1086" s="60">
        <v>127.45</v>
      </c>
      <c r="AE1086" s="60">
        <v>72.180000000000007</v>
      </c>
      <c r="AF1086" s="60">
        <v>0</v>
      </c>
      <c r="AG1086" s="60">
        <v>0</v>
      </c>
      <c r="AH1086" s="60">
        <v>0</v>
      </c>
      <c r="AI1086" s="60">
        <v>208.85</v>
      </c>
      <c r="AJ1086" s="60">
        <v>127.45</v>
      </c>
      <c r="AK1086" s="60">
        <v>72.180000000000007</v>
      </c>
      <c r="AL1086" s="60">
        <v>0</v>
      </c>
      <c r="AM1086" s="60">
        <v>0</v>
      </c>
      <c r="AN1086" s="60">
        <v>0</v>
      </c>
      <c r="AO1086" s="60">
        <v>208.85</v>
      </c>
      <c r="AP1086" s="60">
        <v>127.45</v>
      </c>
      <c r="AQ1086" s="60">
        <v>72.180000000000007</v>
      </c>
      <c r="AR1086" s="61">
        <v>208.85</v>
      </c>
    </row>
    <row r="1087" spans="1:44" x14ac:dyDescent="0.35">
      <c r="A1087" s="49" t="str">
        <f t="shared" si="94"/>
        <v>39</v>
      </c>
      <c r="B1087" s="27">
        <v>68676</v>
      </c>
      <c r="C1087" s="25" t="str">
        <f>TEXT(139923,"0000000")</f>
        <v>0139923</v>
      </c>
      <c r="D1087" s="27">
        <v>2063</v>
      </c>
      <c r="E1087" s="25" t="s">
        <v>2490</v>
      </c>
      <c r="F1087" s="25" t="s">
        <v>5</v>
      </c>
      <c r="G1087" s="59" t="s">
        <v>3545</v>
      </c>
      <c r="H1087" s="60">
        <v>0</v>
      </c>
      <c r="I1087" s="60">
        <v>0</v>
      </c>
      <c r="J1087" s="60">
        <v>0</v>
      </c>
      <c r="K1087" s="60">
        <v>0</v>
      </c>
      <c r="L1087" s="60">
        <v>0</v>
      </c>
      <c r="M1087" s="60">
        <v>0</v>
      </c>
      <c r="N1087" s="60">
        <v>0</v>
      </c>
      <c r="O1087" s="60">
        <v>0</v>
      </c>
      <c r="P1087" s="60">
        <v>0</v>
      </c>
      <c r="Q1087" s="60">
        <v>0</v>
      </c>
      <c r="R1087" s="60">
        <v>0</v>
      </c>
      <c r="S1087" s="60">
        <v>0</v>
      </c>
      <c r="T1087" s="60">
        <v>0</v>
      </c>
      <c r="U1087" s="60">
        <v>0</v>
      </c>
      <c r="V1087" s="60">
        <v>0</v>
      </c>
      <c r="W1087" s="60">
        <v>0</v>
      </c>
      <c r="X1087" s="60">
        <v>0</v>
      </c>
      <c r="Y1087" s="60">
        <v>0</v>
      </c>
      <c r="Z1087" s="60">
        <v>0</v>
      </c>
      <c r="AA1087" s="60">
        <v>0</v>
      </c>
      <c r="AB1087" s="60">
        <v>0</v>
      </c>
      <c r="AC1087" s="60">
        <v>268.25</v>
      </c>
      <c r="AD1087" s="60">
        <v>155.57</v>
      </c>
      <c r="AE1087" s="60">
        <v>81.38</v>
      </c>
      <c r="AF1087" s="60">
        <v>0</v>
      </c>
      <c r="AG1087" s="60">
        <v>0</v>
      </c>
      <c r="AH1087" s="60">
        <v>0</v>
      </c>
      <c r="AI1087" s="60">
        <v>268.25</v>
      </c>
      <c r="AJ1087" s="60">
        <v>155.57</v>
      </c>
      <c r="AK1087" s="60">
        <v>81.38</v>
      </c>
      <c r="AL1087" s="60">
        <v>0</v>
      </c>
      <c r="AM1087" s="60">
        <v>0</v>
      </c>
      <c r="AN1087" s="60">
        <v>0</v>
      </c>
      <c r="AO1087" s="60">
        <v>268.25</v>
      </c>
      <c r="AP1087" s="60">
        <v>155.57</v>
      </c>
      <c r="AQ1087" s="60">
        <v>81.38</v>
      </c>
      <c r="AR1087" s="61">
        <v>268.25</v>
      </c>
    </row>
    <row r="1088" spans="1:44" x14ac:dyDescent="0.35">
      <c r="A1088" s="49" t="str">
        <f t="shared" si="94"/>
        <v>39</v>
      </c>
      <c r="B1088" s="27">
        <v>68676</v>
      </c>
      <c r="C1088" s="25" t="str">
        <f>TEXT(140616,"0000000")</f>
        <v>0140616</v>
      </c>
      <c r="D1088" s="27">
        <v>2109</v>
      </c>
      <c r="E1088" s="25" t="s">
        <v>2492</v>
      </c>
      <c r="F1088" s="25" t="s">
        <v>5</v>
      </c>
      <c r="G1088" s="59" t="s">
        <v>3546</v>
      </c>
      <c r="H1088" s="60">
        <v>0</v>
      </c>
      <c r="I1088" s="60">
        <v>0</v>
      </c>
      <c r="J1088" s="60">
        <v>0</v>
      </c>
      <c r="K1088" s="60">
        <v>0</v>
      </c>
      <c r="L1088" s="60">
        <v>0</v>
      </c>
      <c r="M1088" s="60">
        <v>0</v>
      </c>
      <c r="N1088" s="60">
        <v>0</v>
      </c>
      <c r="O1088" s="60">
        <v>0</v>
      </c>
      <c r="P1088" s="60">
        <v>0</v>
      </c>
      <c r="Q1088" s="60">
        <v>0</v>
      </c>
      <c r="R1088" s="60">
        <v>0</v>
      </c>
      <c r="S1088" s="60">
        <v>0</v>
      </c>
      <c r="T1088" s="60">
        <v>0</v>
      </c>
      <c r="U1088" s="60">
        <v>0</v>
      </c>
      <c r="V1088" s="60">
        <v>0</v>
      </c>
      <c r="W1088" s="60">
        <v>0</v>
      </c>
      <c r="X1088" s="60">
        <v>0</v>
      </c>
      <c r="Y1088" s="60">
        <v>0</v>
      </c>
      <c r="Z1088" s="60">
        <v>0</v>
      </c>
      <c r="AA1088" s="60">
        <v>0</v>
      </c>
      <c r="AB1088" s="60">
        <v>0</v>
      </c>
      <c r="AC1088" s="60">
        <v>94.54</v>
      </c>
      <c r="AD1088" s="60">
        <v>69.5</v>
      </c>
      <c r="AE1088" s="60">
        <v>44.93</v>
      </c>
      <c r="AF1088" s="60">
        <v>0</v>
      </c>
      <c r="AG1088" s="60">
        <v>0</v>
      </c>
      <c r="AH1088" s="60">
        <v>0</v>
      </c>
      <c r="AI1088" s="60">
        <v>94.54</v>
      </c>
      <c r="AJ1088" s="60">
        <v>69.5</v>
      </c>
      <c r="AK1088" s="60">
        <v>44.93</v>
      </c>
      <c r="AL1088" s="60">
        <v>0</v>
      </c>
      <c r="AM1088" s="60">
        <v>0</v>
      </c>
      <c r="AN1088" s="60">
        <v>0</v>
      </c>
      <c r="AO1088" s="60">
        <v>94.54</v>
      </c>
      <c r="AP1088" s="60">
        <v>69.5</v>
      </c>
      <c r="AQ1088" s="60">
        <v>44.93</v>
      </c>
      <c r="AR1088" s="61">
        <v>94.54</v>
      </c>
    </row>
    <row r="1089" spans="1:44" x14ac:dyDescent="0.35">
      <c r="A1089" s="49" t="str">
        <f t="shared" si="94"/>
        <v>39</v>
      </c>
      <c r="B1089" s="27">
        <v>68676</v>
      </c>
      <c r="C1089" s="25" t="str">
        <f>TEXT(141358,"0000000")</f>
        <v>0141358</v>
      </c>
      <c r="D1089" s="27">
        <v>2124</v>
      </c>
      <c r="E1089" s="25" t="s">
        <v>2494</v>
      </c>
      <c r="F1089" s="25" t="s">
        <v>5</v>
      </c>
      <c r="G1089" s="59" t="s">
        <v>2495</v>
      </c>
      <c r="H1089" s="60">
        <v>0</v>
      </c>
      <c r="I1089" s="60">
        <v>0</v>
      </c>
      <c r="J1089" s="60">
        <v>0</v>
      </c>
      <c r="K1089" s="60">
        <v>0</v>
      </c>
      <c r="L1089" s="60">
        <v>0</v>
      </c>
      <c r="M1089" s="60">
        <v>0</v>
      </c>
      <c r="N1089" s="60">
        <v>0</v>
      </c>
      <c r="O1089" s="60">
        <v>0</v>
      </c>
      <c r="P1089" s="60">
        <v>0</v>
      </c>
      <c r="Q1089" s="60">
        <v>0</v>
      </c>
      <c r="R1089" s="60">
        <v>0</v>
      </c>
      <c r="S1089" s="60">
        <v>0</v>
      </c>
      <c r="T1089" s="60">
        <v>0</v>
      </c>
      <c r="U1089" s="60">
        <v>0</v>
      </c>
      <c r="V1089" s="60">
        <v>0</v>
      </c>
      <c r="W1089" s="60">
        <v>0</v>
      </c>
      <c r="X1089" s="60">
        <v>0</v>
      </c>
      <c r="Y1089" s="60">
        <v>0</v>
      </c>
      <c r="Z1089" s="60">
        <v>0</v>
      </c>
      <c r="AA1089" s="60">
        <v>0</v>
      </c>
      <c r="AB1089" s="60">
        <v>0</v>
      </c>
      <c r="AC1089" s="60">
        <v>234.58</v>
      </c>
      <c r="AD1089" s="60">
        <v>29.19</v>
      </c>
      <c r="AE1089" s="60">
        <v>0</v>
      </c>
      <c r="AF1089" s="60">
        <v>0</v>
      </c>
      <c r="AG1089" s="60">
        <v>0</v>
      </c>
      <c r="AH1089" s="60">
        <v>0</v>
      </c>
      <c r="AI1089" s="60">
        <v>234.58</v>
      </c>
      <c r="AJ1089" s="60">
        <v>29.19</v>
      </c>
      <c r="AK1089" s="60">
        <v>0</v>
      </c>
      <c r="AL1089" s="60">
        <v>0</v>
      </c>
      <c r="AM1089" s="60">
        <v>0</v>
      </c>
      <c r="AN1089" s="60">
        <v>0</v>
      </c>
      <c r="AO1089" s="60">
        <v>234.58</v>
      </c>
      <c r="AP1089" s="60">
        <v>29.19</v>
      </c>
      <c r="AQ1089" s="60">
        <v>0</v>
      </c>
      <c r="AR1089" s="61">
        <v>234.58</v>
      </c>
    </row>
    <row r="1090" spans="1:44" x14ac:dyDescent="0.35">
      <c r="A1090" s="49" t="str">
        <f t="shared" si="94"/>
        <v>39</v>
      </c>
      <c r="B1090" s="27">
        <v>75499</v>
      </c>
      <c r="C1090" s="25" t="str">
        <f>TEXT(102384,"0000000")</f>
        <v>0102384</v>
      </c>
      <c r="D1090" s="26" t="s">
        <v>2500</v>
      </c>
      <c r="E1090" s="25" t="s">
        <v>2498</v>
      </c>
      <c r="F1090" s="25" t="s">
        <v>5</v>
      </c>
      <c r="G1090" s="59" t="s">
        <v>2499</v>
      </c>
      <c r="H1090" s="60">
        <v>0</v>
      </c>
      <c r="I1090" s="60">
        <v>0</v>
      </c>
      <c r="J1090" s="60">
        <v>0</v>
      </c>
      <c r="K1090" s="60">
        <v>0</v>
      </c>
      <c r="L1090" s="60">
        <v>0</v>
      </c>
      <c r="M1090" s="60">
        <v>0</v>
      </c>
      <c r="N1090" s="60">
        <v>0</v>
      </c>
      <c r="O1090" s="60">
        <v>0</v>
      </c>
      <c r="P1090" s="60">
        <v>0</v>
      </c>
      <c r="Q1090" s="60">
        <v>0</v>
      </c>
      <c r="R1090" s="60">
        <v>0</v>
      </c>
      <c r="S1090" s="60">
        <v>0</v>
      </c>
      <c r="T1090" s="60">
        <v>0</v>
      </c>
      <c r="U1090" s="60">
        <v>0</v>
      </c>
      <c r="V1090" s="60">
        <v>0</v>
      </c>
      <c r="W1090" s="60">
        <v>0</v>
      </c>
      <c r="X1090" s="60">
        <v>0</v>
      </c>
      <c r="Y1090" s="60">
        <v>0</v>
      </c>
      <c r="Z1090" s="60">
        <v>0</v>
      </c>
      <c r="AA1090" s="60">
        <v>0</v>
      </c>
      <c r="AB1090" s="60">
        <v>0</v>
      </c>
      <c r="AC1090" s="60">
        <v>382.26</v>
      </c>
      <c r="AD1090" s="60">
        <v>374.12</v>
      </c>
      <c r="AE1090" s="60">
        <v>358.61</v>
      </c>
      <c r="AF1090" s="60">
        <v>0</v>
      </c>
      <c r="AG1090" s="60">
        <v>0</v>
      </c>
      <c r="AH1090" s="60">
        <v>0</v>
      </c>
      <c r="AI1090" s="60">
        <v>382.26</v>
      </c>
      <c r="AJ1090" s="60">
        <v>374.12</v>
      </c>
      <c r="AK1090" s="60">
        <v>358.61</v>
      </c>
      <c r="AL1090" s="60">
        <v>0</v>
      </c>
      <c r="AM1090" s="60">
        <v>0</v>
      </c>
      <c r="AN1090" s="60">
        <v>0</v>
      </c>
      <c r="AO1090" s="60">
        <v>382.26</v>
      </c>
      <c r="AP1090" s="60">
        <v>374.12</v>
      </c>
      <c r="AQ1090" s="60">
        <v>358.61</v>
      </c>
      <c r="AR1090" s="61">
        <v>382.26</v>
      </c>
    </row>
    <row r="1091" spans="1:44" x14ac:dyDescent="0.35">
      <c r="A1091" s="49" t="str">
        <f t="shared" si="94"/>
        <v>39</v>
      </c>
      <c r="B1091" s="27">
        <v>75499</v>
      </c>
      <c r="C1091" s="25" t="str">
        <f>TEXT(102392,"0000000")</f>
        <v>0102392</v>
      </c>
      <c r="D1091" s="26" t="s">
        <v>2503</v>
      </c>
      <c r="E1091" s="25" t="s">
        <v>2501</v>
      </c>
      <c r="F1091" s="25" t="s">
        <v>5</v>
      </c>
      <c r="G1091" s="59" t="s">
        <v>2502</v>
      </c>
      <c r="H1091" s="60">
        <v>0</v>
      </c>
      <c r="I1091" s="60">
        <v>0</v>
      </c>
      <c r="J1091" s="60">
        <v>0</v>
      </c>
      <c r="K1091" s="60">
        <v>0</v>
      </c>
      <c r="L1091" s="60">
        <v>0</v>
      </c>
      <c r="M1091" s="60">
        <v>0</v>
      </c>
      <c r="N1091" s="60">
        <v>0</v>
      </c>
      <c r="O1091" s="60">
        <v>0</v>
      </c>
      <c r="P1091" s="60">
        <v>0</v>
      </c>
      <c r="Q1091" s="60">
        <v>0</v>
      </c>
      <c r="R1091" s="60">
        <v>0</v>
      </c>
      <c r="S1091" s="60">
        <v>0</v>
      </c>
      <c r="T1091" s="60">
        <v>0</v>
      </c>
      <c r="U1091" s="60">
        <v>0</v>
      </c>
      <c r="V1091" s="60">
        <v>0</v>
      </c>
      <c r="W1091" s="60">
        <v>0</v>
      </c>
      <c r="X1091" s="60">
        <v>0</v>
      </c>
      <c r="Y1091" s="60">
        <v>0</v>
      </c>
      <c r="Z1091" s="60">
        <v>0</v>
      </c>
      <c r="AA1091" s="60">
        <v>0</v>
      </c>
      <c r="AB1091" s="60">
        <v>0</v>
      </c>
      <c r="AC1091" s="60">
        <v>460.96</v>
      </c>
      <c r="AD1091" s="60">
        <v>456.64</v>
      </c>
      <c r="AE1091" s="60">
        <v>498.91</v>
      </c>
      <c r="AF1091" s="60">
        <v>0</v>
      </c>
      <c r="AG1091" s="60">
        <v>0</v>
      </c>
      <c r="AH1091" s="60">
        <v>0</v>
      </c>
      <c r="AI1091" s="60">
        <v>460.96</v>
      </c>
      <c r="AJ1091" s="60">
        <v>456.64</v>
      </c>
      <c r="AK1091" s="60">
        <v>498.91</v>
      </c>
      <c r="AL1091" s="60">
        <v>0</v>
      </c>
      <c r="AM1091" s="60">
        <v>0</v>
      </c>
      <c r="AN1091" s="60">
        <v>0</v>
      </c>
      <c r="AO1091" s="60">
        <v>460.96</v>
      </c>
      <c r="AP1091" s="60">
        <v>456.64</v>
      </c>
      <c r="AQ1091" s="60">
        <v>498.91</v>
      </c>
      <c r="AR1091" s="61">
        <v>498.91</v>
      </c>
    </row>
    <row r="1092" spans="1:44" x14ac:dyDescent="0.35">
      <c r="A1092" s="49" t="str">
        <f t="shared" si="94"/>
        <v>39</v>
      </c>
      <c r="B1092" s="27">
        <v>75499</v>
      </c>
      <c r="C1092" s="25" t="str">
        <f>TEXT(6118665,"0000000")</f>
        <v>6118665</v>
      </c>
      <c r="D1092" s="26" t="s">
        <v>2506</v>
      </c>
      <c r="E1092" s="25" t="s">
        <v>2504</v>
      </c>
      <c r="F1092" s="25" t="s">
        <v>5</v>
      </c>
      <c r="G1092" s="59" t="s">
        <v>2505</v>
      </c>
      <c r="H1092" s="60">
        <v>0</v>
      </c>
      <c r="I1092" s="60">
        <v>0</v>
      </c>
      <c r="J1092" s="60">
        <v>0</v>
      </c>
      <c r="K1092" s="60">
        <v>0</v>
      </c>
      <c r="L1092" s="60">
        <v>0</v>
      </c>
      <c r="M1092" s="60">
        <v>0</v>
      </c>
      <c r="N1092" s="60">
        <v>0</v>
      </c>
      <c r="O1092" s="60">
        <v>0</v>
      </c>
      <c r="P1092" s="60">
        <v>0</v>
      </c>
      <c r="Q1092" s="60">
        <v>0</v>
      </c>
      <c r="R1092" s="60">
        <v>0</v>
      </c>
      <c r="S1092" s="60">
        <v>0</v>
      </c>
      <c r="T1092" s="60">
        <v>0</v>
      </c>
      <c r="U1092" s="60">
        <v>0</v>
      </c>
      <c r="V1092" s="60">
        <v>0</v>
      </c>
      <c r="W1092" s="60">
        <v>0</v>
      </c>
      <c r="X1092" s="60">
        <v>0</v>
      </c>
      <c r="Y1092" s="60">
        <v>0</v>
      </c>
      <c r="Z1092" s="60">
        <v>0</v>
      </c>
      <c r="AA1092" s="60">
        <v>0</v>
      </c>
      <c r="AB1092" s="60">
        <v>0</v>
      </c>
      <c r="AC1092" s="60">
        <v>350.18</v>
      </c>
      <c r="AD1092" s="60">
        <v>348.5</v>
      </c>
      <c r="AE1092" s="60">
        <v>344.7</v>
      </c>
      <c r="AF1092" s="60">
        <v>0</v>
      </c>
      <c r="AG1092" s="60">
        <v>0</v>
      </c>
      <c r="AH1092" s="60">
        <v>0</v>
      </c>
      <c r="AI1092" s="60">
        <v>350.18</v>
      </c>
      <c r="AJ1092" s="60">
        <v>348.5</v>
      </c>
      <c r="AK1092" s="60">
        <v>344.7</v>
      </c>
      <c r="AL1092" s="60">
        <v>0</v>
      </c>
      <c r="AM1092" s="60">
        <v>0</v>
      </c>
      <c r="AN1092" s="60">
        <v>0</v>
      </c>
      <c r="AO1092" s="60">
        <v>350.18</v>
      </c>
      <c r="AP1092" s="60">
        <v>348.5</v>
      </c>
      <c r="AQ1092" s="60">
        <v>344.7</v>
      </c>
      <c r="AR1092" s="61">
        <v>350.18</v>
      </c>
    </row>
    <row r="1093" spans="1:44" ht="31" x14ac:dyDescent="0.35">
      <c r="A1093" s="49" t="str">
        <f>TEXT(1,"00")</f>
        <v>01</v>
      </c>
      <c r="B1093" s="27">
        <v>61259</v>
      </c>
      <c r="C1093" s="25" t="str">
        <f>TEXT(134015,"0000000")</f>
        <v>0134015</v>
      </c>
      <c r="D1093" s="27">
        <v>1783</v>
      </c>
      <c r="E1093" s="25" t="s">
        <v>131</v>
      </c>
      <c r="F1093" s="25" t="s">
        <v>5</v>
      </c>
      <c r="G1093" s="59" t="s">
        <v>132</v>
      </c>
      <c r="H1093" s="60">
        <v>0</v>
      </c>
      <c r="I1093" s="60">
        <v>0</v>
      </c>
      <c r="J1093" s="60">
        <v>0</v>
      </c>
      <c r="K1093" s="60">
        <v>0</v>
      </c>
      <c r="L1093" s="60">
        <v>0</v>
      </c>
      <c r="M1093" s="60">
        <v>0</v>
      </c>
      <c r="N1093" s="60">
        <v>0</v>
      </c>
      <c r="O1093" s="60">
        <v>0</v>
      </c>
      <c r="P1093" s="60">
        <v>0</v>
      </c>
      <c r="Q1093" s="60">
        <v>0</v>
      </c>
      <c r="R1093" s="60">
        <v>0</v>
      </c>
      <c r="S1093" s="60">
        <v>0</v>
      </c>
      <c r="T1093" s="60">
        <v>0</v>
      </c>
      <c r="U1093" s="60">
        <v>0</v>
      </c>
      <c r="V1093" s="60">
        <v>0</v>
      </c>
      <c r="W1093" s="60">
        <v>0</v>
      </c>
      <c r="X1093" s="60">
        <v>0</v>
      </c>
      <c r="Y1093" s="60">
        <v>0</v>
      </c>
      <c r="Z1093" s="60">
        <v>0</v>
      </c>
      <c r="AA1093" s="60">
        <v>0</v>
      </c>
      <c r="AB1093" s="60">
        <v>0</v>
      </c>
      <c r="AC1093" s="60">
        <v>656.13</v>
      </c>
      <c r="AD1093" s="60">
        <v>625.91</v>
      </c>
      <c r="AE1093" s="60">
        <v>587.29999999999995</v>
      </c>
      <c r="AF1093" s="60">
        <v>0</v>
      </c>
      <c r="AG1093" s="60">
        <v>0</v>
      </c>
      <c r="AH1093" s="60">
        <v>0</v>
      </c>
      <c r="AI1093" s="60">
        <v>656.13</v>
      </c>
      <c r="AJ1093" s="60">
        <v>625.91</v>
      </c>
      <c r="AK1093" s="60">
        <v>587.29999999999995</v>
      </c>
      <c r="AL1093" s="60">
        <v>0</v>
      </c>
      <c r="AM1093" s="60">
        <v>0</v>
      </c>
      <c r="AN1093" s="60">
        <v>0</v>
      </c>
      <c r="AO1093" s="60">
        <v>656.13</v>
      </c>
      <c r="AP1093" s="60">
        <v>625.91</v>
      </c>
      <c r="AQ1093" s="60">
        <v>587.29999999999995</v>
      </c>
      <c r="AR1093" s="61">
        <v>656.13</v>
      </c>
    </row>
    <row r="1094" spans="1:44" x14ac:dyDescent="0.35">
      <c r="A1094" s="49" t="str">
        <f>TEXT(41,"00")</f>
        <v>41</v>
      </c>
      <c r="B1094" s="27">
        <v>68916</v>
      </c>
      <c r="C1094" s="25" t="str">
        <f>TEXT(112284,"0000000")</f>
        <v>0112284</v>
      </c>
      <c r="D1094" s="26" t="s">
        <v>2557</v>
      </c>
      <c r="E1094" s="25" t="s">
        <v>2555</v>
      </c>
      <c r="F1094" s="25" t="s">
        <v>5</v>
      </c>
      <c r="G1094" s="59" t="s">
        <v>2556</v>
      </c>
      <c r="H1094" s="60">
        <v>0</v>
      </c>
      <c r="I1094" s="60">
        <v>0</v>
      </c>
      <c r="J1094" s="60">
        <v>0</v>
      </c>
      <c r="K1094" s="60">
        <v>0</v>
      </c>
      <c r="L1094" s="60">
        <v>0</v>
      </c>
      <c r="M1094" s="60">
        <v>0</v>
      </c>
      <c r="N1094" s="60">
        <v>0</v>
      </c>
      <c r="O1094" s="60">
        <v>0</v>
      </c>
      <c r="P1094" s="60">
        <v>0</v>
      </c>
      <c r="Q1094" s="60">
        <v>0</v>
      </c>
      <c r="R1094" s="60">
        <v>0</v>
      </c>
      <c r="S1094" s="60">
        <v>0</v>
      </c>
      <c r="T1094" s="60">
        <v>0</v>
      </c>
      <c r="U1094" s="60">
        <v>0</v>
      </c>
      <c r="V1094" s="60">
        <v>0</v>
      </c>
      <c r="W1094" s="60">
        <v>0</v>
      </c>
      <c r="X1094" s="60">
        <v>0</v>
      </c>
      <c r="Y1094" s="60">
        <v>0</v>
      </c>
      <c r="Z1094" s="60">
        <v>0</v>
      </c>
      <c r="AA1094" s="60">
        <v>0</v>
      </c>
      <c r="AB1094" s="60">
        <v>0</v>
      </c>
      <c r="AC1094" s="60">
        <v>1044.18</v>
      </c>
      <c r="AD1094" s="60">
        <v>1011.82</v>
      </c>
      <c r="AE1094" s="60">
        <v>1046.3</v>
      </c>
      <c r="AF1094" s="60">
        <v>0</v>
      </c>
      <c r="AG1094" s="60">
        <v>0</v>
      </c>
      <c r="AH1094" s="60">
        <v>0</v>
      </c>
      <c r="AI1094" s="60">
        <v>1044.18</v>
      </c>
      <c r="AJ1094" s="60">
        <v>1011.82</v>
      </c>
      <c r="AK1094" s="60">
        <v>1046.3</v>
      </c>
      <c r="AL1094" s="60">
        <v>0</v>
      </c>
      <c r="AM1094" s="60">
        <v>0</v>
      </c>
      <c r="AN1094" s="60">
        <v>0</v>
      </c>
      <c r="AO1094" s="60">
        <v>1044.18</v>
      </c>
      <c r="AP1094" s="60">
        <v>1011.82</v>
      </c>
      <c r="AQ1094" s="60">
        <v>1046.3</v>
      </c>
      <c r="AR1094" s="61">
        <v>1046.3</v>
      </c>
    </row>
    <row r="1095" spans="1:44" x14ac:dyDescent="0.35">
      <c r="A1095" s="49" t="str">
        <f>TEXT(41,"00")</f>
        <v>41</v>
      </c>
      <c r="B1095" s="27">
        <v>68924</v>
      </c>
      <c r="C1095" s="25" t="str">
        <f>TEXT(127548,"0000000")</f>
        <v>0127548</v>
      </c>
      <c r="D1095" s="27">
        <v>1500</v>
      </c>
      <c r="E1095" s="25" t="s">
        <v>2560</v>
      </c>
      <c r="F1095" s="25" t="s">
        <v>5</v>
      </c>
      <c r="G1095" s="59" t="s">
        <v>2561</v>
      </c>
      <c r="H1095" s="60">
        <v>0</v>
      </c>
      <c r="I1095" s="60">
        <v>0</v>
      </c>
      <c r="J1095" s="60">
        <v>0</v>
      </c>
      <c r="K1095" s="60">
        <v>0</v>
      </c>
      <c r="L1095" s="60">
        <v>0</v>
      </c>
      <c r="M1095" s="60">
        <v>0</v>
      </c>
      <c r="N1095" s="60">
        <v>0</v>
      </c>
      <c r="O1095" s="60">
        <v>0</v>
      </c>
      <c r="P1095" s="60">
        <v>0</v>
      </c>
      <c r="Q1095" s="60">
        <v>0</v>
      </c>
      <c r="R1095" s="60">
        <v>0</v>
      </c>
      <c r="S1095" s="60">
        <v>0</v>
      </c>
      <c r="T1095" s="60">
        <v>0</v>
      </c>
      <c r="U1095" s="60">
        <v>0</v>
      </c>
      <c r="V1095" s="60">
        <v>0</v>
      </c>
      <c r="W1095" s="60">
        <v>0</v>
      </c>
      <c r="X1095" s="60">
        <v>0</v>
      </c>
      <c r="Y1095" s="60">
        <v>0</v>
      </c>
      <c r="Z1095" s="60">
        <v>0</v>
      </c>
      <c r="AA1095" s="60">
        <v>0</v>
      </c>
      <c r="AB1095" s="60">
        <v>0</v>
      </c>
      <c r="AC1095" s="60">
        <v>426.5</v>
      </c>
      <c r="AD1095" s="60">
        <v>413.14</v>
      </c>
      <c r="AE1095" s="60">
        <v>428.56</v>
      </c>
      <c r="AF1095" s="60">
        <v>0</v>
      </c>
      <c r="AG1095" s="60">
        <v>0</v>
      </c>
      <c r="AH1095" s="60">
        <v>0</v>
      </c>
      <c r="AI1095" s="60">
        <v>426.5</v>
      </c>
      <c r="AJ1095" s="60">
        <v>413.14</v>
      </c>
      <c r="AK1095" s="60">
        <v>428.56</v>
      </c>
      <c r="AL1095" s="60">
        <v>0</v>
      </c>
      <c r="AM1095" s="60">
        <v>0</v>
      </c>
      <c r="AN1095" s="60">
        <v>0</v>
      </c>
      <c r="AO1095" s="60">
        <v>426.5</v>
      </c>
      <c r="AP1095" s="60">
        <v>413.14</v>
      </c>
      <c r="AQ1095" s="60">
        <v>428.56</v>
      </c>
      <c r="AR1095" s="61">
        <v>428.56</v>
      </c>
    </row>
    <row r="1096" spans="1:44" x14ac:dyDescent="0.35">
      <c r="A1096" s="49" t="str">
        <f>TEXT(41,"00")</f>
        <v>41</v>
      </c>
      <c r="B1096" s="27">
        <v>68999</v>
      </c>
      <c r="C1096" s="25" t="str">
        <f>TEXT(134197,"0000000")</f>
        <v>0134197</v>
      </c>
      <c r="D1096" s="26" t="s">
        <v>2578</v>
      </c>
      <c r="E1096" s="25" t="s">
        <v>2576</v>
      </c>
      <c r="F1096" s="25" t="s">
        <v>5</v>
      </c>
      <c r="G1096" s="59" t="s">
        <v>2577</v>
      </c>
      <c r="H1096" s="60">
        <v>0</v>
      </c>
      <c r="I1096" s="60">
        <v>0</v>
      </c>
      <c r="J1096" s="60">
        <v>0</v>
      </c>
      <c r="K1096" s="60">
        <v>0</v>
      </c>
      <c r="L1096" s="60">
        <v>0</v>
      </c>
      <c r="M1096" s="60">
        <v>0</v>
      </c>
      <c r="N1096" s="60">
        <v>0</v>
      </c>
      <c r="O1096" s="60">
        <v>0</v>
      </c>
      <c r="P1096" s="60">
        <v>0</v>
      </c>
      <c r="Q1096" s="60">
        <v>0</v>
      </c>
      <c r="R1096" s="60">
        <v>0</v>
      </c>
      <c r="S1096" s="60">
        <v>0</v>
      </c>
      <c r="T1096" s="60">
        <v>0</v>
      </c>
      <c r="U1096" s="60">
        <v>0</v>
      </c>
      <c r="V1096" s="60">
        <v>0</v>
      </c>
      <c r="W1096" s="60">
        <v>0</v>
      </c>
      <c r="X1096" s="60">
        <v>0</v>
      </c>
      <c r="Y1096" s="60">
        <v>0</v>
      </c>
      <c r="Z1096" s="60">
        <v>0</v>
      </c>
      <c r="AA1096" s="60">
        <v>0</v>
      </c>
      <c r="AB1096" s="60">
        <v>0</v>
      </c>
      <c r="AC1096" s="60">
        <v>517.14</v>
      </c>
      <c r="AD1096" s="60">
        <v>485.22</v>
      </c>
      <c r="AE1096" s="60">
        <v>505.93</v>
      </c>
      <c r="AF1096" s="60">
        <v>0</v>
      </c>
      <c r="AG1096" s="60">
        <v>0</v>
      </c>
      <c r="AH1096" s="60">
        <v>0</v>
      </c>
      <c r="AI1096" s="60">
        <v>517.14</v>
      </c>
      <c r="AJ1096" s="60">
        <v>485.22</v>
      </c>
      <c r="AK1096" s="60">
        <v>505.93</v>
      </c>
      <c r="AL1096" s="60">
        <v>0</v>
      </c>
      <c r="AM1096" s="60">
        <v>0</v>
      </c>
      <c r="AN1096" s="60">
        <v>0</v>
      </c>
      <c r="AO1096" s="60">
        <v>517.14</v>
      </c>
      <c r="AP1096" s="60">
        <v>485.22</v>
      </c>
      <c r="AQ1096" s="60">
        <v>505.93</v>
      </c>
      <c r="AR1096" s="61">
        <v>517.14</v>
      </c>
    </row>
    <row r="1097" spans="1:44" x14ac:dyDescent="0.35">
      <c r="A1097" s="49" t="str">
        <f>TEXT(41,"00")</f>
        <v>41</v>
      </c>
      <c r="B1097" s="27">
        <v>69005</v>
      </c>
      <c r="C1097" s="25" t="str">
        <f>TEXT(132076,"0000000")</f>
        <v>0132076</v>
      </c>
      <c r="D1097" s="27">
        <v>1736</v>
      </c>
      <c r="E1097" s="25" t="s">
        <v>2587</v>
      </c>
      <c r="F1097" s="25" t="s">
        <v>5</v>
      </c>
      <c r="G1097" s="59" t="s">
        <v>2588</v>
      </c>
      <c r="H1097" s="60">
        <v>0</v>
      </c>
      <c r="I1097" s="60">
        <v>0</v>
      </c>
      <c r="J1097" s="60">
        <v>0</v>
      </c>
      <c r="K1097" s="60">
        <v>0</v>
      </c>
      <c r="L1097" s="60">
        <v>0</v>
      </c>
      <c r="M1097" s="60">
        <v>0</v>
      </c>
      <c r="N1097" s="60">
        <v>0</v>
      </c>
      <c r="O1097" s="60">
        <v>0</v>
      </c>
      <c r="P1097" s="60">
        <v>0</v>
      </c>
      <c r="Q1097" s="60">
        <v>0</v>
      </c>
      <c r="R1097" s="60">
        <v>0</v>
      </c>
      <c r="S1097" s="60">
        <v>0</v>
      </c>
      <c r="T1097" s="60">
        <v>0</v>
      </c>
      <c r="U1097" s="60">
        <v>0</v>
      </c>
      <c r="V1097" s="60">
        <v>0</v>
      </c>
      <c r="W1097" s="60">
        <v>0</v>
      </c>
      <c r="X1097" s="60">
        <v>0</v>
      </c>
      <c r="Y1097" s="60">
        <v>0</v>
      </c>
      <c r="Z1097" s="60">
        <v>0</v>
      </c>
      <c r="AA1097" s="60">
        <v>0</v>
      </c>
      <c r="AB1097" s="60">
        <v>0</v>
      </c>
      <c r="AC1097" s="60">
        <v>278.16000000000003</v>
      </c>
      <c r="AD1097" s="60">
        <v>278.27999999999997</v>
      </c>
      <c r="AE1097" s="60">
        <v>264.98</v>
      </c>
      <c r="AF1097" s="60">
        <v>0</v>
      </c>
      <c r="AG1097" s="60">
        <v>0</v>
      </c>
      <c r="AH1097" s="60">
        <v>0</v>
      </c>
      <c r="AI1097" s="60">
        <v>278.16000000000003</v>
      </c>
      <c r="AJ1097" s="60">
        <v>278.27999999999997</v>
      </c>
      <c r="AK1097" s="60">
        <v>264.98</v>
      </c>
      <c r="AL1097" s="60">
        <v>0</v>
      </c>
      <c r="AM1097" s="60">
        <v>0</v>
      </c>
      <c r="AN1097" s="60">
        <v>0</v>
      </c>
      <c r="AO1097" s="60">
        <v>278.16000000000003</v>
      </c>
      <c r="AP1097" s="60">
        <v>278.27999999999997</v>
      </c>
      <c r="AQ1097" s="60">
        <v>264.98</v>
      </c>
      <c r="AR1097" s="61">
        <v>278.27999999999997</v>
      </c>
    </row>
    <row r="1098" spans="1:44" x14ac:dyDescent="0.35">
      <c r="A1098" s="49" t="str">
        <f t="shared" ref="A1098:A1103" si="95">TEXT(42,"00")</f>
        <v>42</v>
      </c>
      <c r="B1098" s="27">
        <v>69112</v>
      </c>
      <c r="C1098" s="25" t="str">
        <f>TEXT(124255,"0000000")</f>
        <v>0124255</v>
      </c>
      <c r="D1098" s="27">
        <v>1319</v>
      </c>
      <c r="E1098" s="25" t="s">
        <v>2626</v>
      </c>
      <c r="F1098" s="25" t="s">
        <v>5</v>
      </c>
      <c r="G1098" s="59" t="s">
        <v>2627</v>
      </c>
      <c r="H1098" s="60">
        <v>0</v>
      </c>
      <c r="I1098" s="60">
        <v>0</v>
      </c>
      <c r="J1098" s="60">
        <v>0</v>
      </c>
      <c r="K1098" s="60">
        <v>0</v>
      </c>
      <c r="L1098" s="60">
        <v>0</v>
      </c>
      <c r="M1098" s="60">
        <v>0</v>
      </c>
      <c r="N1098" s="60">
        <v>0</v>
      </c>
      <c r="O1098" s="60">
        <v>0</v>
      </c>
      <c r="P1098" s="60">
        <v>0</v>
      </c>
      <c r="Q1098" s="60">
        <v>0</v>
      </c>
      <c r="R1098" s="60">
        <v>0</v>
      </c>
      <c r="S1098" s="60">
        <v>0</v>
      </c>
      <c r="T1098" s="60">
        <v>0</v>
      </c>
      <c r="U1098" s="60">
        <v>0</v>
      </c>
      <c r="V1098" s="60">
        <v>0</v>
      </c>
      <c r="W1098" s="60">
        <v>0</v>
      </c>
      <c r="X1098" s="60">
        <v>0</v>
      </c>
      <c r="Y1098" s="60">
        <v>0</v>
      </c>
      <c r="Z1098" s="60">
        <v>0</v>
      </c>
      <c r="AA1098" s="60">
        <v>0</v>
      </c>
      <c r="AB1098" s="60">
        <v>0</v>
      </c>
      <c r="AC1098" s="60">
        <v>301.14</v>
      </c>
      <c r="AD1098" s="60">
        <v>307.5</v>
      </c>
      <c r="AE1098" s="60">
        <v>311.81</v>
      </c>
      <c r="AF1098" s="60">
        <v>0</v>
      </c>
      <c r="AG1098" s="60">
        <v>0</v>
      </c>
      <c r="AH1098" s="60">
        <v>0</v>
      </c>
      <c r="AI1098" s="60">
        <v>301.14</v>
      </c>
      <c r="AJ1098" s="60">
        <v>307.5</v>
      </c>
      <c r="AK1098" s="60">
        <v>311.81</v>
      </c>
      <c r="AL1098" s="60">
        <v>0</v>
      </c>
      <c r="AM1098" s="60">
        <v>0</v>
      </c>
      <c r="AN1098" s="60">
        <v>0</v>
      </c>
      <c r="AO1098" s="60">
        <v>301.14</v>
      </c>
      <c r="AP1098" s="60">
        <v>307.5</v>
      </c>
      <c r="AQ1098" s="60">
        <v>311.81</v>
      </c>
      <c r="AR1098" s="61">
        <v>311.81</v>
      </c>
    </row>
    <row r="1099" spans="1:44" x14ac:dyDescent="0.35">
      <c r="A1099" s="49" t="str">
        <f t="shared" si="95"/>
        <v>42</v>
      </c>
      <c r="B1099" s="27">
        <v>69112</v>
      </c>
      <c r="C1099" s="25" t="str">
        <f>TEXT(137877,"0000000")</f>
        <v>0137877</v>
      </c>
      <c r="D1099" s="27">
        <v>1994</v>
      </c>
      <c r="E1099" s="25" t="s">
        <v>2628</v>
      </c>
      <c r="F1099" s="25" t="s">
        <v>5</v>
      </c>
      <c r="G1099" s="59" t="s">
        <v>2629</v>
      </c>
      <c r="H1099" s="60">
        <v>0</v>
      </c>
      <c r="I1099" s="60">
        <v>0</v>
      </c>
      <c r="J1099" s="60">
        <v>0</v>
      </c>
      <c r="K1099" s="60">
        <v>0</v>
      </c>
      <c r="L1099" s="60">
        <v>0</v>
      </c>
      <c r="M1099" s="60">
        <v>0</v>
      </c>
      <c r="N1099" s="60">
        <v>0</v>
      </c>
      <c r="O1099" s="60">
        <v>0</v>
      </c>
      <c r="P1099" s="60">
        <v>0</v>
      </c>
      <c r="Q1099" s="60">
        <v>0</v>
      </c>
      <c r="R1099" s="60">
        <v>0</v>
      </c>
      <c r="S1099" s="60">
        <v>0</v>
      </c>
      <c r="T1099" s="60">
        <v>0</v>
      </c>
      <c r="U1099" s="60">
        <v>0</v>
      </c>
      <c r="V1099" s="60">
        <v>0</v>
      </c>
      <c r="W1099" s="60">
        <v>0</v>
      </c>
      <c r="X1099" s="60">
        <v>0</v>
      </c>
      <c r="Y1099" s="60">
        <v>0</v>
      </c>
      <c r="Z1099" s="60">
        <v>0</v>
      </c>
      <c r="AA1099" s="60">
        <v>0</v>
      </c>
      <c r="AB1099" s="60">
        <v>0</v>
      </c>
      <c r="AC1099" s="60">
        <v>248.71</v>
      </c>
      <c r="AD1099" s="60">
        <v>244.97</v>
      </c>
      <c r="AE1099" s="60">
        <v>216.74</v>
      </c>
      <c r="AF1099" s="60">
        <v>0</v>
      </c>
      <c r="AG1099" s="60">
        <v>0</v>
      </c>
      <c r="AH1099" s="60">
        <v>0</v>
      </c>
      <c r="AI1099" s="60">
        <v>248.71</v>
      </c>
      <c r="AJ1099" s="60">
        <v>244.97</v>
      </c>
      <c r="AK1099" s="60">
        <v>216.74</v>
      </c>
      <c r="AL1099" s="60">
        <v>0</v>
      </c>
      <c r="AM1099" s="60">
        <v>0</v>
      </c>
      <c r="AN1099" s="60">
        <v>0</v>
      </c>
      <c r="AO1099" s="60">
        <v>248.71</v>
      </c>
      <c r="AP1099" s="60">
        <v>244.97</v>
      </c>
      <c r="AQ1099" s="60">
        <v>216.74</v>
      </c>
      <c r="AR1099" s="61">
        <v>248.71</v>
      </c>
    </row>
    <row r="1100" spans="1:44" x14ac:dyDescent="0.35">
      <c r="A1100" s="49" t="str">
        <f t="shared" si="95"/>
        <v>42</v>
      </c>
      <c r="B1100" s="27">
        <v>69112</v>
      </c>
      <c r="C1100" s="25" t="str">
        <f>TEXT(137885,"0000000")</f>
        <v>0137885</v>
      </c>
      <c r="D1100" s="27">
        <v>1995</v>
      </c>
      <c r="E1100" s="25" t="s">
        <v>2630</v>
      </c>
      <c r="F1100" s="25" t="s">
        <v>5</v>
      </c>
      <c r="G1100" s="59" t="s">
        <v>2631</v>
      </c>
      <c r="H1100" s="60">
        <v>0</v>
      </c>
      <c r="I1100" s="60">
        <v>0</v>
      </c>
      <c r="J1100" s="60">
        <v>0</v>
      </c>
      <c r="K1100" s="60">
        <v>0</v>
      </c>
      <c r="L1100" s="60">
        <v>0</v>
      </c>
      <c r="M1100" s="60">
        <v>0</v>
      </c>
      <c r="N1100" s="60">
        <v>0</v>
      </c>
      <c r="O1100" s="60">
        <v>0</v>
      </c>
      <c r="P1100" s="60">
        <v>0</v>
      </c>
      <c r="Q1100" s="60">
        <v>0</v>
      </c>
      <c r="R1100" s="60">
        <v>0</v>
      </c>
      <c r="S1100" s="60">
        <v>0</v>
      </c>
      <c r="T1100" s="60">
        <v>0</v>
      </c>
      <c r="U1100" s="60">
        <v>0</v>
      </c>
      <c r="V1100" s="60">
        <v>0</v>
      </c>
      <c r="W1100" s="60">
        <v>0</v>
      </c>
      <c r="X1100" s="60">
        <v>0</v>
      </c>
      <c r="Y1100" s="60">
        <v>0</v>
      </c>
      <c r="Z1100" s="60">
        <v>0</v>
      </c>
      <c r="AA1100" s="60">
        <v>0</v>
      </c>
      <c r="AB1100" s="60">
        <v>0</v>
      </c>
      <c r="AC1100" s="60">
        <v>290.54000000000002</v>
      </c>
      <c r="AD1100" s="60">
        <v>284.8</v>
      </c>
      <c r="AE1100" s="60">
        <v>296.27999999999997</v>
      </c>
      <c r="AF1100" s="60">
        <v>0</v>
      </c>
      <c r="AG1100" s="60">
        <v>0</v>
      </c>
      <c r="AH1100" s="60">
        <v>0</v>
      </c>
      <c r="AI1100" s="60">
        <v>290.54000000000002</v>
      </c>
      <c r="AJ1100" s="60">
        <v>284.8</v>
      </c>
      <c r="AK1100" s="60">
        <v>296.27999999999997</v>
      </c>
      <c r="AL1100" s="60">
        <v>0</v>
      </c>
      <c r="AM1100" s="60">
        <v>0</v>
      </c>
      <c r="AN1100" s="60">
        <v>0</v>
      </c>
      <c r="AO1100" s="60">
        <v>290.54000000000002</v>
      </c>
      <c r="AP1100" s="60">
        <v>284.8</v>
      </c>
      <c r="AQ1100" s="60">
        <v>296.27999999999997</v>
      </c>
      <c r="AR1100" s="61">
        <v>296.27999999999997</v>
      </c>
    </row>
    <row r="1101" spans="1:44" x14ac:dyDescent="0.35">
      <c r="A1101" s="49" t="str">
        <f t="shared" si="95"/>
        <v>42</v>
      </c>
      <c r="B1101" s="27">
        <v>75010</v>
      </c>
      <c r="C1101" s="25" t="str">
        <f>TEXT(138891,"0000000")</f>
        <v>0138891</v>
      </c>
      <c r="D1101" s="27">
        <v>2031</v>
      </c>
      <c r="E1101" s="25" t="s">
        <v>2667</v>
      </c>
      <c r="F1101" s="25" t="s">
        <v>5</v>
      </c>
      <c r="G1101" s="59" t="s">
        <v>2668</v>
      </c>
      <c r="H1101" s="60">
        <v>0</v>
      </c>
      <c r="I1101" s="60">
        <v>0</v>
      </c>
      <c r="J1101" s="60">
        <v>0</v>
      </c>
      <c r="K1101" s="60">
        <v>0</v>
      </c>
      <c r="L1101" s="60">
        <v>0</v>
      </c>
      <c r="M1101" s="60">
        <v>0</v>
      </c>
      <c r="N1101" s="60">
        <v>0</v>
      </c>
      <c r="O1101" s="60">
        <v>0</v>
      </c>
      <c r="P1101" s="60">
        <v>0</v>
      </c>
      <c r="Q1101" s="60">
        <v>0</v>
      </c>
      <c r="R1101" s="60">
        <v>0</v>
      </c>
      <c r="S1101" s="60">
        <v>0</v>
      </c>
      <c r="T1101" s="60">
        <v>0</v>
      </c>
      <c r="U1101" s="60">
        <v>0</v>
      </c>
      <c r="V1101" s="60">
        <v>0</v>
      </c>
      <c r="W1101" s="60">
        <v>0</v>
      </c>
      <c r="X1101" s="60">
        <v>0</v>
      </c>
      <c r="Y1101" s="60">
        <v>0</v>
      </c>
      <c r="Z1101" s="60">
        <v>0</v>
      </c>
      <c r="AA1101" s="60">
        <v>0</v>
      </c>
      <c r="AB1101" s="60">
        <v>0</v>
      </c>
      <c r="AC1101" s="60">
        <v>134.91999999999999</v>
      </c>
      <c r="AD1101" s="60">
        <v>110.03</v>
      </c>
      <c r="AE1101" s="60">
        <v>92.82</v>
      </c>
      <c r="AF1101" s="60">
        <v>0</v>
      </c>
      <c r="AG1101" s="60">
        <v>0</v>
      </c>
      <c r="AH1101" s="60">
        <v>0</v>
      </c>
      <c r="AI1101" s="60">
        <v>134.91999999999999</v>
      </c>
      <c r="AJ1101" s="60">
        <v>110.03</v>
      </c>
      <c r="AK1101" s="60">
        <v>92.82</v>
      </c>
      <c r="AL1101" s="60">
        <v>0</v>
      </c>
      <c r="AM1101" s="60">
        <v>0</v>
      </c>
      <c r="AN1101" s="60">
        <v>0</v>
      </c>
      <c r="AO1101" s="60">
        <v>134.91999999999999</v>
      </c>
      <c r="AP1101" s="60">
        <v>110.03</v>
      </c>
      <c r="AQ1101" s="60">
        <v>92.82</v>
      </c>
      <c r="AR1101" s="61">
        <v>134.91999999999999</v>
      </c>
    </row>
    <row r="1102" spans="1:44" x14ac:dyDescent="0.35">
      <c r="A1102" s="49" t="str">
        <f t="shared" si="95"/>
        <v>42</v>
      </c>
      <c r="B1102" s="27">
        <v>77198</v>
      </c>
      <c r="C1102" s="25" t="str">
        <f>TEXT(138362,"0000000")</f>
        <v>0138362</v>
      </c>
      <c r="D1102" s="27">
        <v>2011</v>
      </c>
      <c r="E1102" s="25" t="s">
        <v>2677</v>
      </c>
      <c r="F1102" s="25" t="s">
        <v>5</v>
      </c>
      <c r="G1102" s="59" t="s">
        <v>2678</v>
      </c>
      <c r="H1102" s="60">
        <v>0</v>
      </c>
      <c r="I1102" s="60">
        <v>0</v>
      </c>
      <c r="J1102" s="60">
        <v>0</v>
      </c>
      <c r="K1102" s="60">
        <v>0</v>
      </c>
      <c r="L1102" s="60">
        <v>0</v>
      </c>
      <c r="M1102" s="60">
        <v>0</v>
      </c>
      <c r="N1102" s="60">
        <v>0</v>
      </c>
      <c r="O1102" s="60">
        <v>0</v>
      </c>
      <c r="P1102" s="60">
        <v>0</v>
      </c>
      <c r="Q1102" s="60">
        <v>0</v>
      </c>
      <c r="R1102" s="60">
        <v>0</v>
      </c>
      <c r="S1102" s="60">
        <v>0</v>
      </c>
      <c r="T1102" s="60">
        <v>0</v>
      </c>
      <c r="U1102" s="60">
        <v>0</v>
      </c>
      <c r="V1102" s="60">
        <v>0</v>
      </c>
      <c r="W1102" s="60">
        <v>0</v>
      </c>
      <c r="X1102" s="60">
        <v>0</v>
      </c>
      <c r="Y1102" s="60">
        <v>0</v>
      </c>
      <c r="Z1102" s="60">
        <v>0</v>
      </c>
      <c r="AA1102" s="60">
        <v>0</v>
      </c>
      <c r="AB1102" s="60">
        <v>0</v>
      </c>
      <c r="AC1102" s="60">
        <v>140.97999999999999</v>
      </c>
      <c r="AD1102" s="60">
        <v>147.81</v>
      </c>
      <c r="AE1102" s="60">
        <v>194.53</v>
      </c>
      <c r="AF1102" s="60">
        <v>0</v>
      </c>
      <c r="AG1102" s="60">
        <v>0</v>
      </c>
      <c r="AH1102" s="60">
        <v>0</v>
      </c>
      <c r="AI1102" s="60">
        <v>140.97999999999999</v>
      </c>
      <c r="AJ1102" s="60">
        <v>147.81</v>
      </c>
      <c r="AK1102" s="60">
        <v>194.53</v>
      </c>
      <c r="AL1102" s="60">
        <v>0</v>
      </c>
      <c r="AM1102" s="60">
        <v>0</v>
      </c>
      <c r="AN1102" s="60">
        <v>0</v>
      </c>
      <c r="AO1102" s="60">
        <v>140.97999999999999</v>
      </c>
      <c r="AP1102" s="60">
        <v>147.81</v>
      </c>
      <c r="AQ1102" s="60">
        <v>194.53</v>
      </c>
      <c r="AR1102" s="61">
        <v>194.53</v>
      </c>
    </row>
    <row r="1103" spans="1:44" x14ac:dyDescent="0.35">
      <c r="A1103" s="49" t="str">
        <f t="shared" si="95"/>
        <v>42</v>
      </c>
      <c r="B1103" s="27">
        <v>77206</v>
      </c>
      <c r="C1103" s="25" t="str">
        <f>TEXT(138370,"0000000")</f>
        <v>0138370</v>
      </c>
      <c r="D1103" s="27">
        <v>2012</v>
      </c>
      <c r="E1103" s="25" t="s">
        <v>2679</v>
      </c>
      <c r="F1103" s="25" t="s">
        <v>5</v>
      </c>
      <c r="G1103" s="59" t="s">
        <v>2680</v>
      </c>
      <c r="H1103" s="60">
        <v>0</v>
      </c>
      <c r="I1103" s="60">
        <v>0</v>
      </c>
      <c r="J1103" s="60">
        <v>0</v>
      </c>
      <c r="K1103" s="60">
        <v>0</v>
      </c>
      <c r="L1103" s="60">
        <v>0</v>
      </c>
      <c r="M1103" s="60">
        <v>0</v>
      </c>
      <c r="N1103" s="60">
        <v>0</v>
      </c>
      <c r="O1103" s="60">
        <v>0</v>
      </c>
      <c r="P1103" s="60">
        <v>0</v>
      </c>
      <c r="Q1103" s="60">
        <v>0</v>
      </c>
      <c r="R1103" s="60">
        <v>0</v>
      </c>
      <c r="S1103" s="60">
        <v>0</v>
      </c>
      <c r="T1103" s="60">
        <v>0</v>
      </c>
      <c r="U1103" s="60">
        <v>0</v>
      </c>
      <c r="V1103" s="60">
        <v>0</v>
      </c>
      <c r="W1103" s="60">
        <v>0</v>
      </c>
      <c r="X1103" s="60">
        <v>0</v>
      </c>
      <c r="Y1103" s="60">
        <v>0</v>
      </c>
      <c r="Z1103" s="60">
        <v>0</v>
      </c>
      <c r="AA1103" s="60">
        <v>0</v>
      </c>
      <c r="AB1103" s="60">
        <v>0</v>
      </c>
      <c r="AC1103" s="60">
        <v>101.17</v>
      </c>
      <c r="AD1103" s="60">
        <v>103.08</v>
      </c>
      <c r="AE1103" s="60">
        <v>96.97</v>
      </c>
      <c r="AF1103" s="60">
        <v>0</v>
      </c>
      <c r="AG1103" s="60">
        <v>0</v>
      </c>
      <c r="AH1103" s="60">
        <v>0</v>
      </c>
      <c r="AI1103" s="60">
        <v>101.17</v>
      </c>
      <c r="AJ1103" s="60">
        <v>103.08</v>
      </c>
      <c r="AK1103" s="60">
        <v>96.97</v>
      </c>
      <c r="AL1103" s="60">
        <v>0</v>
      </c>
      <c r="AM1103" s="60">
        <v>0</v>
      </c>
      <c r="AN1103" s="60">
        <v>0</v>
      </c>
      <c r="AO1103" s="60">
        <v>101.17</v>
      </c>
      <c r="AP1103" s="60">
        <v>103.08</v>
      </c>
      <c r="AQ1103" s="60">
        <v>96.97</v>
      </c>
      <c r="AR1103" s="61">
        <v>103.08</v>
      </c>
    </row>
    <row r="1104" spans="1:44" x14ac:dyDescent="0.35">
      <c r="A1104" s="49" t="str">
        <f>TEXT(1,"00")</f>
        <v>01</v>
      </c>
      <c r="B1104" s="27">
        <v>61259</v>
      </c>
      <c r="C1104" s="25" t="str">
        <f>TEXT(3030772,"0000000")</f>
        <v>3030772</v>
      </c>
      <c r="D1104" s="26" t="s">
        <v>135</v>
      </c>
      <c r="E1104" s="25" t="s">
        <v>133</v>
      </c>
      <c r="F1104" s="25" t="s">
        <v>5</v>
      </c>
      <c r="G1104" s="59" t="s">
        <v>134</v>
      </c>
      <c r="H1104" s="60">
        <v>0</v>
      </c>
      <c r="I1104" s="60">
        <v>0</v>
      </c>
      <c r="J1104" s="60">
        <v>0</v>
      </c>
      <c r="K1104" s="60">
        <v>0</v>
      </c>
      <c r="L1104" s="60">
        <v>0</v>
      </c>
      <c r="M1104" s="60">
        <v>0</v>
      </c>
      <c r="N1104" s="60">
        <v>0</v>
      </c>
      <c r="O1104" s="60">
        <v>0</v>
      </c>
      <c r="P1104" s="60">
        <v>0</v>
      </c>
      <c r="Q1104" s="60">
        <v>0</v>
      </c>
      <c r="R1104" s="60">
        <v>0</v>
      </c>
      <c r="S1104" s="60">
        <v>0</v>
      </c>
      <c r="T1104" s="60">
        <v>0</v>
      </c>
      <c r="U1104" s="60">
        <v>0</v>
      </c>
      <c r="V1104" s="60">
        <v>0</v>
      </c>
      <c r="W1104" s="60">
        <v>0</v>
      </c>
      <c r="X1104" s="60">
        <v>0</v>
      </c>
      <c r="Y1104" s="60">
        <v>0</v>
      </c>
      <c r="Z1104" s="60">
        <v>0</v>
      </c>
      <c r="AA1104" s="60">
        <v>0</v>
      </c>
      <c r="AB1104" s="60">
        <v>0</v>
      </c>
      <c r="AC1104" s="60">
        <v>735.61</v>
      </c>
      <c r="AD1104" s="60">
        <v>714.38</v>
      </c>
      <c r="AE1104" s="60">
        <v>735.31</v>
      </c>
      <c r="AF1104" s="60">
        <v>0</v>
      </c>
      <c r="AG1104" s="60">
        <v>0</v>
      </c>
      <c r="AH1104" s="60">
        <v>0</v>
      </c>
      <c r="AI1104" s="60">
        <v>735.61</v>
      </c>
      <c r="AJ1104" s="60">
        <v>714.38</v>
      </c>
      <c r="AK1104" s="60">
        <v>735.31</v>
      </c>
      <c r="AL1104" s="60">
        <v>0</v>
      </c>
      <c r="AM1104" s="60">
        <v>0</v>
      </c>
      <c r="AN1104" s="60">
        <v>0</v>
      </c>
      <c r="AO1104" s="60">
        <v>735.61</v>
      </c>
      <c r="AP1104" s="60">
        <v>714.38</v>
      </c>
      <c r="AQ1104" s="60">
        <v>735.31</v>
      </c>
      <c r="AR1104" s="61">
        <v>735.61</v>
      </c>
    </row>
    <row r="1105" spans="1:44" x14ac:dyDescent="0.35">
      <c r="A1105" s="49" t="str">
        <f>TEXT(42,"00")</f>
        <v>42</v>
      </c>
      <c r="B1105" s="27">
        <v>77214</v>
      </c>
      <c r="C1105" s="25" t="str">
        <f>TEXT(138388,"0000000")</f>
        <v>0138388</v>
      </c>
      <c r="D1105" s="27">
        <v>2013</v>
      </c>
      <c r="E1105" s="25" t="s">
        <v>2681</v>
      </c>
      <c r="F1105" s="25" t="s">
        <v>5</v>
      </c>
      <c r="G1105" s="59" t="s">
        <v>2682</v>
      </c>
      <c r="H1105" s="60">
        <v>0</v>
      </c>
      <c r="I1105" s="60">
        <v>0</v>
      </c>
      <c r="J1105" s="60">
        <v>0</v>
      </c>
      <c r="K1105" s="60">
        <v>0</v>
      </c>
      <c r="L1105" s="60">
        <v>0</v>
      </c>
      <c r="M1105" s="60">
        <v>0</v>
      </c>
      <c r="N1105" s="60">
        <v>0</v>
      </c>
      <c r="O1105" s="60">
        <v>0</v>
      </c>
      <c r="P1105" s="60">
        <v>0</v>
      </c>
      <c r="Q1105" s="60">
        <v>0</v>
      </c>
      <c r="R1105" s="60">
        <v>0</v>
      </c>
      <c r="S1105" s="60">
        <v>0</v>
      </c>
      <c r="T1105" s="60">
        <v>0</v>
      </c>
      <c r="U1105" s="60">
        <v>0</v>
      </c>
      <c r="V1105" s="60">
        <v>0</v>
      </c>
      <c r="W1105" s="60">
        <v>0</v>
      </c>
      <c r="X1105" s="60">
        <v>0</v>
      </c>
      <c r="Y1105" s="60">
        <v>0</v>
      </c>
      <c r="Z1105" s="60">
        <v>0</v>
      </c>
      <c r="AA1105" s="60">
        <v>0</v>
      </c>
      <c r="AB1105" s="60">
        <v>0</v>
      </c>
      <c r="AC1105" s="60">
        <v>33.909999999999997</v>
      </c>
      <c r="AD1105" s="60">
        <v>40.54</v>
      </c>
      <c r="AE1105" s="60">
        <v>41.34</v>
      </c>
      <c r="AF1105" s="60">
        <v>0</v>
      </c>
      <c r="AG1105" s="60">
        <v>0</v>
      </c>
      <c r="AH1105" s="60">
        <v>0</v>
      </c>
      <c r="AI1105" s="60">
        <v>33.909999999999997</v>
      </c>
      <c r="AJ1105" s="60">
        <v>40.54</v>
      </c>
      <c r="AK1105" s="60">
        <v>41.34</v>
      </c>
      <c r="AL1105" s="60">
        <v>0</v>
      </c>
      <c r="AM1105" s="60">
        <v>0</v>
      </c>
      <c r="AN1105" s="60">
        <v>0</v>
      </c>
      <c r="AO1105" s="60">
        <v>33.909999999999997</v>
      </c>
      <c r="AP1105" s="60">
        <v>40.54</v>
      </c>
      <c r="AQ1105" s="60">
        <v>41.34</v>
      </c>
      <c r="AR1105" s="61">
        <v>41.34</v>
      </c>
    </row>
    <row r="1106" spans="1:44" x14ac:dyDescent="0.35">
      <c r="A1106" s="49" t="str">
        <f>TEXT(42,"00")</f>
        <v>42</v>
      </c>
      <c r="B1106" s="27">
        <v>77222</v>
      </c>
      <c r="C1106" s="25" t="str">
        <f>TEXT(138396,"0000000")</f>
        <v>0138396</v>
      </c>
      <c r="D1106" s="27">
        <v>2014</v>
      </c>
      <c r="E1106" s="25" t="s">
        <v>2683</v>
      </c>
      <c r="F1106" s="25" t="s">
        <v>5</v>
      </c>
      <c r="G1106" s="59" t="s">
        <v>2684</v>
      </c>
      <c r="H1106" s="60">
        <v>0</v>
      </c>
      <c r="I1106" s="60">
        <v>0</v>
      </c>
      <c r="J1106" s="60">
        <v>0</v>
      </c>
      <c r="K1106" s="60">
        <v>0</v>
      </c>
      <c r="L1106" s="60">
        <v>0</v>
      </c>
      <c r="M1106" s="60">
        <v>0</v>
      </c>
      <c r="N1106" s="60">
        <v>0</v>
      </c>
      <c r="O1106" s="60">
        <v>0</v>
      </c>
      <c r="P1106" s="60">
        <v>0</v>
      </c>
      <c r="Q1106" s="60">
        <v>0</v>
      </c>
      <c r="R1106" s="60">
        <v>0</v>
      </c>
      <c r="S1106" s="60">
        <v>0</v>
      </c>
      <c r="T1106" s="60">
        <v>0</v>
      </c>
      <c r="U1106" s="60">
        <v>0</v>
      </c>
      <c r="V1106" s="60">
        <v>0</v>
      </c>
      <c r="W1106" s="60">
        <v>0</v>
      </c>
      <c r="X1106" s="60">
        <v>0</v>
      </c>
      <c r="Y1106" s="60">
        <v>0</v>
      </c>
      <c r="Z1106" s="60">
        <v>0</v>
      </c>
      <c r="AA1106" s="60">
        <v>0</v>
      </c>
      <c r="AB1106" s="60">
        <v>0</v>
      </c>
      <c r="AC1106" s="60">
        <v>70.010000000000005</v>
      </c>
      <c r="AD1106" s="60">
        <v>73.86</v>
      </c>
      <c r="AE1106" s="60">
        <v>98.48</v>
      </c>
      <c r="AF1106" s="60">
        <v>0</v>
      </c>
      <c r="AG1106" s="60">
        <v>0</v>
      </c>
      <c r="AH1106" s="60">
        <v>0</v>
      </c>
      <c r="AI1106" s="60">
        <v>70.010000000000005</v>
      </c>
      <c r="AJ1106" s="60">
        <v>73.86</v>
      </c>
      <c r="AK1106" s="60">
        <v>98.48</v>
      </c>
      <c r="AL1106" s="60">
        <v>0</v>
      </c>
      <c r="AM1106" s="60">
        <v>0</v>
      </c>
      <c r="AN1106" s="60">
        <v>0</v>
      </c>
      <c r="AO1106" s="60">
        <v>70.010000000000005</v>
      </c>
      <c r="AP1106" s="60">
        <v>73.86</v>
      </c>
      <c r="AQ1106" s="60">
        <v>98.48</v>
      </c>
      <c r="AR1106" s="61">
        <v>98.48</v>
      </c>
    </row>
    <row r="1107" spans="1:44" x14ac:dyDescent="0.35">
      <c r="A1107" s="49" t="str">
        <f t="shared" ref="A1107:A1114" si="96">TEXT(43,"00")</f>
        <v>43</v>
      </c>
      <c r="B1107" s="27">
        <v>10439</v>
      </c>
      <c r="C1107" s="25" t="str">
        <f>TEXT(113704,"0000000")</f>
        <v>0113704</v>
      </c>
      <c r="D1107" s="26" t="s">
        <v>2701</v>
      </c>
      <c r="E1107" s="25" t="s">
        <v>2699</v>
      </c>
      <c r="F1107" s="25" t="s">
        <v>5</v>
      </c>
      <c r="G1107" s="59" t="s">
        <v>2700</v>
      </c>
      <c r="H1107" s="60">
        <v>0</v>
      </c>
      <c r="I1107" s="60">
        <v>0</v>
      </c>
      <c r="J1107" s="60">
        <v>0</v>
      </c>
      <c r="K1107" s="60">
        <v>0</v>
      </c>
      <c r="L1107" s="60">
        <v>0</v>
      </c>
      <c r="M1107" s="60">
        <v>0</v>
      </c>
      <c r="N1107" s="60">
        <v>0</v>
      </c>
      <c r="O1107" s="60">
        <v>0</v>
      </c>
      <c r="P1107" s="60">
        <v>0</v>
      </c>
      <c r="Q1107" s="60">
        <v>0</v>
      </c>
      <c r="R1107" s="60">
        <v>0</v>
      </c>
      <c r="S1107" s="60">
        <v>0</v>
      </c>
      <c r="T1107" s="60">
        <v>0</v>
      </c>
      <c r="U1107" s="60">
        <v>0</v>
      </c>
      <c r="V1107" s="60">
        <v>0</v>
      </c>
      <c r="W1107" s="60">
        <v>0</v>
      </c>
      <c r="X1107" s="60">
        <v>0</v>
      </c>
      <c r="Y1107" s="60">
        <v>0</v>
      </c>
      <c r="Z1107" s="60">
        <v>0</v>
      </c>
      <c r="AA1107" s="60">
        <v>0</v>
      </c>
      <c r="AB1107" s="60">
        <v>0</v>
      </c>
      <c r="AC1107" s="60">
        <v>452.22</v>
      </c>
      <c r="AD1107" s="60">
        <v>446.35</v>
      </c>
      <c r="AE1107" s="60">
        <v>423.81</v>
      </c>
      <c r="AF1107" s="60">
        <v>0</v>
      </c>
      <c r="AG1107" s="60">
        <v>0</v>
      </c>
      <c r="AH1107" s="60">
        <v>0</v>
      </c>
      <c r="AI1107" s="60">
        <v>452.22</v>
      </c>
      <c r="AJ1107" s="60">
        <v>446.35</v>
      </c>
      <c r="AK1107" s="60">
        <v>423.81</v>
      </c>
      <c r="AL1107" s="60">
        <v>0</v>
      </c>
      <c r="AM1107" s="60">
        <v>0</v>
      </c>
      <c r="AN1107" s="60">
        <v>0</v>
      </c>
      <c r="AO1107" s="60">
        <v>452.22</v>
      </c>
      <c r="AP1107" s="60">
        <v>446.35</v>
      </c>
      <c r="AQ1107" s="60">
        <v>423.81</v>
      </c>
      <c r="AR1107" s="61">
        <v>452.22</v>
      </c>
    </row>
    <row r="1108" spans="1:44" x14ac:dyDescent="0.35">
      <c r="A1108" s="49" t="str">
        <f t="shared" si="96"/>
        <v>43</v>
      </c>
      <c r="B1108" s="27">
        <v>10439</v>
      </c>
      <c r="C1108" s="25" t="str">
        <f>TEXT(116814,"0000000")</f>
        <v>0116814</v>
      </c>
      <c r="D1108" s="26" t="s">
        <v>2704</v>
      </c>
      <c r="E1108" s="25" t="s">
        <v>2702</v>
      </c>
      <c r="F1108" s="25" t="s">
        <v>5</v>
      </c>
      <c r="G1108" s="59" t="s">
        <v>2703</v>
      </c>
      <c r="H1108" s="60">
        <v>0</v>
      </c>
      <c r="I1108" s="60">
        <v>0</v>
      </c>
      <c r="J1108" s="60">
        <v>0</v>
      </c>
      <c r="K1108" s="60">
        <v>0</v>
      </c>
      <c r="L1108" s="60">
        <v>0</v>
      </c>
      <c r="M1108" s="60">
        <v>0</v>
      </c>
      <c r="N1108" s="60">
        <v>0</v>
      </c>
      <c r="O1108" s="60">
        <v>0</v>
      </c>
      <c r="P1108" s="60">
        <v>0</v>
      </c>
      <c r="Q1108" s="60">
        <v>0</v>
      </c>
      <c r="R1108" s="60">
        <v>0</v>
      </c>
      <c r="S1108" s="60">
        <v>0</v>
      </c>
      <c r="T1108" s="60">
        <v>0</v>
      </c>
      <c r="U1108" s="60">
        <v>0</v>
      </c>
      <c r="V1108" s="60">
        <v>0</v>
      </c>
      <c r="W1108" s="60">
        <v>0</v>
      </c>
      <c r="X1108" s="60">
        <v>0</v>
      </c>
      <c r="Y1108" s="60">
        <v>0</v>
      </c>
      <c r="Z1108" s="60">
        <v>0</v>
      </c>
      <c r="AA1108" s="60">
        <v>0</v>
      </c>
      <c r="AB1108" s="60">
        <v>0</v>
      </c>
      <c r="AC1108" s="60">
        <v>177.71</v>
      </c>
      <c r="AD1108" s="60">
        <v>174.09</v>
      </c>
      <c r="AE1108" s="60">
        <v>188.96</v>
      </c>
      <c r="AF1108" s="60">
        <v>0</v>
      </c>
      <c r="AG1108" s="60">
        <v>0</v>
      </c>
      <c r="AH1108" s="60">
        <v>0</v>
      </c>
      <c r="AI1108" s="60">
        <v>177.71</v>
      </c>
      <c r="AJ1108" s="60">
        <v>174.09</v>
      </c>
      <c r="AK1108" s="60">
        <v>188.96</v>
      </c>
      <c r="AL1108" s="60">
        <v>0</v>
      </c>
      <c r="AM1108" s="60">
        <v>0</v>
      </c>
      <c r="AN1108" s="60">
        <v>0</v>
      </c>
      <c r="AO1108" s="60">
        <v>177.71</v>
      </c>
      <c r="AP1108" s="60">
        <v>174.09</v>
      </c>
      <c r="AQ1108" s="60">
        <v>188.96</v>
      </c>
      <c r="AR1108" s="61">
        <v>188.96</v>
      </c>
    </row>
    <row r="1109" spans="1:44" x14ac:dyDescent="0.35">
      <c r="A1109" s="49" t="str">
        <f t="shared" si="96"/>
        <v>43</v>
      </c>
      <c r="B1109" s="27">
        <v>10439</v>
      </c>
      <c r="C1109" s="25" t="str">
        <f>TEXT(119024,"0000000")</f>
        <v>0119024</v>
      </c>
      <c r="D1109" s="27">
        <v>1061</v>
      </c>
      <c r="E1109" s="25" t="s">
        <v>2705</v>
      </c>
      <c r="F1109" s="25" t="s">
        <v>5</v>
      </c>
      <c r="G1109" s="59" t="s">
        <v>2706</v>
      </c>
      <c r="H1109" s="60">
        <v>0</v>
      </c>
      <c r="I1109" s="60">
        <v>0</v>
      </c>
      <c r="J1109" s="60">
        <v>0</v>
      </c>
      <c r="K1109" s="60">
        <v>0</v>
      </c>
      <c r="L1109" s="60">
        <v>0</v>
      </c>
      <c r="M1109" s="60">
        <v>0</v>
      </c>
      <c r="N1109" s="60">
        <v>0</v>
      </c>
      <c r="O1109" s="60">
        <v>0</v>
      </c>
      <c r="P1109" s="60">
        <v>0</v>
      </c>
      <c r="Q1109" s="60">
        <v>0</v>
      </c>
      <c r="R1109" s="60">
        <v>0</v>
      </c>
      <c r="S1109" s="60">
        <v>0</v>
      </c>
      <c r="T1109" s="60">
        <v>0</v>
      </c>
      <c r="U1109" s="60">
        <v>0</v>
      </c>
      <c r="V1109" s="60">
        <v>0</v>
      </c>
      <c r="W1109" s="60">
        <v>0</v>
      </c>
      <c r="X1109" s="60">
        <v>0</v>
      </c>
      <c r="Y1109" s="60">
        <v>0</v>
      </c>
      <c r="Z1109" s="60">
        <v>0</v>
      </c>
      <c r="AA1109" s="60">
        <v>0</v>
      </c>
      <c r="AB1109" s="60">
        <v>0</v>
      </c>
      <c r="AC1109" s="60">
        <v>278.41000000000003</v>
      </c>
      <c r="AD1109" s="60">
        <v>282.45999999999998</v>
      </c>
      <c r="AE1109" s="60">
        <v>277.14</v>
      </c>
      <c r="AF1109" s="60">
        <v>0</v>
      </c>
      <c r="AG1109" s="60">
        <v>0</v>
      </c>
      <c r="AH1109" s="60">
        <v>0</v>
      </c>
      <c r="AI1109" s="60">
        <v>278.41000000000003</v>
      </c>
      <c r="AJ1109" s="60">
        <v>282.45999999999998</v>
      </c>
      <c r="AK1109" s="60">
        <v>277.14</v>
      </c>
      <c r="AL1109" s="60">
        <v>0</v>
      </c>
      <c r="AM1109" s="60">
        <v>0</v>
      </c>
      <c r="AN1109" s="60">
        <v>0</v>
      </c>
      <c r="AO1109" s="60">
        <v>278.41000000000003</v>
      </c>
      <c r="AP1109" s="60">
        <v>282.45999999999998</v>
      </c>
      <c r="AQ1109" s="60">
        <v>277.14</v>
      </c>
      <c r="AR1109" s="61">
        <v>282.45999999999998</v>
      </c>
    </row>
    <row r="1110" spans="1:44" x14ac:dyDescent="0.35">
      <c r="A1110" s="49" t="str">
        <f t="shared" si="96"/>
        <v>43</v>
      </c>
      <c r="B1110" s="27">
        <v>10439</v>
      </c>
      <c r="C1110" s="25" t="str">
        <f>TEXT(120642,"0000000")</f>
        <v>0120642</v>
      </c>
      <c r="D1110" s="27">
        <v>1127</v>
      </c>
      <c r="E1110" s="25" t="s">
        <v>2707</v>
      </c>
      <c r="F1110" s="25" t="s">
        <v>5</v>
      </c>
      <c r="G1110" s="59" t="s">
        <v>2708</v>
      </c>
      <c r="H1110" s="60">
        <v>0</v>
      </c>
      <c r="I1110" s="60">
        <v>0</v>
      </c>
      <c r="J1110" s="60">
        <v>0</v>
      </c>
      <c r="K1110" s="60">
        <v>0</v>
      </c>
      <c r="L1110" s="60">
        <v>0</v>
      </c>
      <c r="M1110" s="60">
        <v>0</v>
      </c>
      <c r="N1110" s="60">
        <v>0</v>
      </c>
      <c r="O1110" s="60">
        <v>0</v>
      </c>
      <c r="P1110" s="60">
        <v>0</v>
      </c>
      <c r="Q1110" s="60">
        <v>0</v>
      </c>
      <c r="R1110" s="60">
        <v>0</v>
      </c>
      <c r="S1110" s="60">
        <v>0</v>
      </c>
      <c r="T1110" s="60">
        <v>0</v>
      </c>
      <c r="U1110" s="60">
        <v>0</v>
      </c>
      <c r="V1110" s="60">
        <v>0</v>
      </c>
      <c r="W1110" s="60">
        <v>0</v>
      </c>
      <c r="X1110" s="60">
        <v>0</v>
      </c>
      <c r="Y1110" s="60">
        <v>0</v>
      </c>
      <c r="Z1110" s="60">
        <v>332.43</v>
      </c>
      <c r="AA1110" s="60">
        <v>335.96</v>
      </c>
      <c r="AB1110" s="60">
        <v>342.81</v>
      </c>
      <c r="AC1110" s="60">
        <v>0</v>
      </c>
      <c r="AD1110" s="60">
        <v>0</v>
      </c>
      <c r="AE1110" s="60">
        <v>0</v>
      </c>
      <c r="AF1110" s="60">
        <v>0</v>
      </c>
      <c r="AG1110" s="60">
        <v>0</v>
      </c>
      <c r="AH1110" s="60">
        <v>0</v>
      </c>
      <c r="AI1110" s="60">
        <v>332.43</v>
      </c>
      <c r="AJ1110" s="60">
        <v>335.96</v>
      </c>
      <c r="AK1110" s="60">
        <v>342.81</v>
      </c>
      <c r="AL1110" s="60">
        <v>0</v>
      </c>
      <c r="AM1110" s="60">
        <v>0</v>
      </c>
      <c r="AN1110" s="60">
        <v>0</v>
      </c>
      <c r="AO1110" s="60">
        <v>332.43</v>
      </c>
      <c r="AP1110" s="60">
        <v>335.96</v>
      </c>
      <c r="AQ1110" s="60">
        <v>342.81</v>
      </c>
      <c r="AR1110" s="61">
        <v>342.81</v>
      </c>
    </row>
    <row r="1111" spans="1:44" x14ac:dyDescent="0.35">
      <c r="A1111" s="49" t="str">
        <f t="shared" si="96"/>
        <v>43</v>
      </c>
      <c r="B1111" s="27">
        <v>10439</v>
      </c>
      <c r="C1111" s="25" t="str">
        <f>TEXT(121483,"0000000")</f>
        <v>0121483</v>
      </c>
      <c r="D1111" s="27">
        <v>1167</v>
      </c>
      <c r="E1111" s="25" t="s">
        <v>2709</v>
      </c>
      <c r="F1111" s="25" t="s">
        <v>5</v>
      </c>
      <c r="G1111" s="59" t="s">
        <v>2710</v>
      </c>
      <c r="H1111" s="60">
        <v>0</v>
      </c>
      <c r="I1111" s="60">
        <v>0</v>
      </c>
      <c r="J1111" s="60">
        <v>0</v>
      </c>
      <c r="K1111" s="60">
        <v>0</v>
      </c>
      <c r="L1111" s="60">
        <v>0</v>
      </c>
      <c r="M1111" s="60">
        <v>0</v>
      </c>
      <c r="N1111" s="60">
        <v>0</v>
      </c>
      <c r="O1111" s="60">
        <v>0</v>
      </c>
      <c r="P1111" s="60">
        <v>0</v>
      </c>
      <c r="Q1111" s="60">
        <v>0</v>
      </c>
      <c r="R1111" s="60">
        <v>0</v>
      </c>
      <c r="S1111" s="60">
        <v>0</v>
      </c>
      <c r="T1111" s="60">
        <v>0</v>
      </c>
      <c r="U1111" s="60">
        <v>0</v>
      </c>
      <c r="V1111" s="60">
        <v>0</v>
      </c>
      <c r="W1111" s="60">
        <v>0</v>
      </c>
      <c r="X1111" s="60">
        <v>0</v>
      </c>
      <c r="Y1111" s="60">
        <v>0</v>
      </c>
      <c r="Z1111" s="60">
        <v>0</v>
      </c>
      <c r="AA1111" s="60">
        <v>0</v>
      </c>
      <c r="AB1111" s="60">
        <v>0</v>
      </c>
      <c r="AC1111" s="60">
        <v>524.25</v>
      </c>
      <c r="AD1111" s="60">
        <v>487.77</v>
      </c>
      <c r="AE1111" s="60">
        <v>493.23</v>
      </c>
      <c r="AF1111" s="60">
        <v>0</v>
      </c>
      <c r="AG1111" s="60">
        <v>0</v>
      </c>
      <c r="AH1111" s="60">
        <v>0</v>
      </c>
      <c r="AI1111" s="60">
        <v>524.25</v>
      </c>
      <c r="AJ1111" s="60">
        <v>487.77</v>
      </c>
      <c r="AK1111" s="60">
        <v>493.23</v>
      </c>
      <c r="AL1111" s="60">
        <v>0</v>
      </c>
      <c r="AM1111" s="60">
        <v>0</v>
      </c>
      <c r="AN1111" s="60">
        <v>0</v>
      </c>
      <c r="AO1111" s="60">
        <v>524.25</v>
      </c>
      <c r="AP1111" s="60">
        <v>487.77</v>
      </c>
      <c r="AQ1111" s="60">
        <v>493.23</v>
      </c>
      <c r="AR1111" s="61">
        <v>524.25</v>
      </c>
    </row>
    <row r="1112" spans="1:44" x14ac:dyDescent="0.35">
      <c r="A1112" s="49" t="str">
        <f t="shared" si="96"/>
        <v>43</v>
      </c>
      <c r="B1112" s="27">
        <v>10439</v>
      </c>
      <c r="C1112" s="25" t="str">
        <f>TEXT(123281,"0000000")</f>
        <v>0123281</v>
      </c>
      <c r="D1112" s="27">
        <v>1193</v>
      </c>
      <c r="E1112" s="25" t="s">
        <v>2711</v>
      </c>
      <c r="F1112" s="25" t="s">
        <v>5</v>
      </c>
      <c r="G1112" s="59" t="s">
        <v>2712</v>
      </c>
      <c r="H1112" s="60">
        <v>0</v>
      </c>
      <c r="I1112" s="60">
        <v>0</v>
      </c>
      <c r="J1112" s="60">
        <v>0</v>
      </c>
      <c r="K1112" s="60">
        <v>0</v>
      </c>
      <c r="L1112" s="60">
        <v>0</v>
      </c>
      <c r="M1112" s="60">
        <v>0</v>
      </c>
      <c r="N1112" s="60">
        <v>0</v>
      </c>
      <c r="O1112" s="60">
        <v>0</v>
      </c>
      <c r="P1112" s="60">
        <v>0</v>
      </c>
      <c r="Q1112" s="60">
        <v>0</v>
      </c>
      <c r="R1112" s="60">
        <v>0</v>
      </c>
      <c r="S1112" s="60">
        <v>0</v>
      </c>
      <c r="T1112" s="60">
        <v>0</v>
      </c>
      <c r="U1112" s="60">
        <v>0</v>
      </c>
      <c r="V1112" s="60">
        <v>0</v>
      </c>
      <c r="W1112" s="60">
        <v>0</v>
      </c>
      <c r="X1112" s="60">
        <v>0</v>
      </c>
      <c r="Y1112" s="60">
        <v>0</v>
      </c>
      <c r="Z1112" s="60">
        <v>378.17</v>
      </c>
      <c r="AA1112" s="60">
        <v>365.86</v>
      </c>
      <c r="AB1112" s="60">
        <v>389.85</v>
      </c>
      <c r="AC1112" s="60">
        <v>0</v>
      </c>
      <c r="AD1112" s="60">
        <v>0</v>
      </c>
      <c r="AE1112" s="60">
        <v>0</v>
      </c>
      <c r="AF1112" s="60">
        <v>0</v>
      </c>
      <c r="AG1112" s="60">
        <v>0</v>
      </c>
      <c r="AH1112" s="60">
        <v>0</v>
      </c>
      <c r="AI1112" s="60">
        <v>378.17</v>
      </c>
      <c r="AJ1112" s="60">
        <v>365.86</v>
      </c>
      <c r="AK1112" s="60">
        <v>389.85</v>
      </c>
      <c r="AL1112" s="60">
        <v>0</v>
      </c>
      <c r="AM1112" s="60">
        <v>0</v>
      </c>
      <c r="AN1112" s="60">
        <v>0</v>
      </c>
      <c r="AO1112" s="60">
        <v>378.17</v>
      </c>
      <c r="AP1112" s="60">
        <v>365.86</v>
      </c>
      <c r="AQ1112" s="60">
        <v>389.85</v>
      </c>
      <c r="AR1112" s="61">
        <v>389.85</v>
      </c>
    </row>
    <row r="1113" spans="1:44" x14ac:dyDescent="0.35">
      <c r="A1113" s="49" t="str">
        <f t="shared" si="96"/>
        <v>43</v>
      </c>
      <c r="B1113" s="27">
        <v>10439</v>
      </c>
      <c r="C1113" s="25" t="str">
        <f>TEXT(123794,"0000000")</f>
        <v>0123794</v>
      </c>
      <c r="D1113" s="27">
        <v>1282</v>
      </c>
      <c r="E1113" s="25" t="s">
        <v>2713</v>
      </c>
      <c r="F1113" s="25" t="s">
        <v>5</v>
      </c>
      <c r="G1113" s="59" t="s">
        <v>2714</v>
      </c>
      <c r="H1113" s="60">
        <v>0</v>
      </c>
      <c r="I1113" s="60">
        <v>0</v>
      </c>
      <c r="J1113" s="60">
        <v>0</v>
      </c>
      <c r="K1113" s="60">
        <v>0</v>
      </c>
      <c r="L1113" s="60">
        <v>0</v>
      </c>
      <c r="M1113" s="60">
        <v>0</v>
      </c>
      <c r="N1113" s="60">
        <v>0</v>
      </c>
      <c r="O1113" s="60">
        <v>0</v>
      </c>
      <c r="P1113" s="60">
        <v>0</v>
      </c>
      <c r="Q1113" s="60">
        <v>0</v>
      </c>
      <c r="R1113" s="60">
        <v>0</v>
      </c>
      <c r="S1113" s="60">
        <v>0</v>
      </c>
      <c r="T1113" s="60">
        <v>0</v>
      </c>
      <c r="U1113" s="60">
        <v>0</v>
      </c>
      <c r="V1113" s="60">
        <v>0</v>
      </c>
      <c r="W1113" s="60">
        <v>0</v>
      </c>
      <c r="X1113" s="60">
        <v>0</v>
      </c>
      <c r="Y1113" s="60">
        <v>0</v>
      </c>
      <c r="Z1113" s="60">
        <v>0</v>
      </c>
      <c r="AA1113" s="60">
        <v>0</v>
      </c>
      <c r="AB1113" s="60">
        <v>0</v>
      </c>
      <c r="AC1113" s="60">
        <v>394.84</v>
      </c>
      <c r="AD1113" s="60">
        <v>285.02</v>
      </c>
      <c r="AE1113" s="60">
        <v>344.59</v>
      </c>
      <c r="AF1113" s="60">
        <v>0</v>
      </c>
      <c r="AG1113" s="60">
        <v>0</v>
      </c>
      <c r="AH1113" s="60">
        <v>0</v>
      </c>
      <c r="AI1113" s="60">
        <v>394.84</v>
      </c>
      <c r="AJ1113" s="60">
        <v>285.02</v>
      </c>
      <c r="AK1113" s="60">
        <v>344.59</v>
      </c>
      <c r="AL1113" s="60">
        <v>0</v>
      </c>
      <c r="AM1113" s="60">
        <v>0</v>
      </c>
      <c r="AN1113" s="60">
        <v>0</v>
      </c>
      <c r="AO1113" s="60">
        <v>394.84</v>
      </c>
      <c r="AP1113" s="60">
        <v>285.02</v>
      </c>
      <c r="AQ1113" s="60">
        <v>344.59</v>
      </c>
      <c r="AR1113" s="61">
        <v>394.84</v>
      </c>
    </row>
    <row r="1114" spans="1:44" x14ac:dyDescent="0.35">
      <c r="A1114" s="49" t="str">
        <f t="shared" si="96"/>
        <v>43</v>
      </c>
      <c r="B1114" s="27">
        <v>10439</v>
      </c>
      <c r="C1114" s="25" t="str">
        <f>TEXT(124065,"0000000")</f>
        <v>0124065</v>
      </c>
      <c r="D1114" s="27">
        <v>1290</v>
      </c>
      <c r="E1114" s="25" t="s">
        <v>2715</v>
      </c>
      <c r="F1114" s="25" t="s">
        <v>5</v>
      </c>
      <c r="G1114" s="59" t="s">
        <v>2716</v>
      </c>
      <c r="H1114" s="60">
        <v>0</v>
      </c>
      <c r="I1114" s="60">
        <v>0</v>
      </c>
      <c r="J1114" s="60">
        <v>0</v>
      </c>
      <c r="K1114" s="60">
        <v>0</v>
      </c>
      <c r="L1114" s="60">
        <v>0</v>
      </c>
      <c r="M1114" s="60">
        <v>0</v>
      </c>
      <c r="N1114" s="60">
        <v>0</v>
      </c>
      <c r="O1114" s="60">
        <v>0</v>
      </c>
      <c r="P1114" s="60">
        <v>0</v>
      </c>
      <c r="Q1114" s="60">
        <v>0</v>
      </c>
      <c r="R1114" s="60">
        <v>0</v>
      </c>
      <c r="S1114" s="60">
        <v>0</v>
      </c>
      <c r="T1114" s="60">
        <v>0</v>
      </c>
      <c r="U1114" s="60">
        <v>0</v>
      </c>
      <c r="V1114" s="60">
        <v>0</v>
      </c>
      <c r="W1114" s="60">
        <v>0</v>
      </c>
      <c r="X1114" s="60">
        <v>0</v>
      </c>
      <c r="Y1114" s="60">
        <v>0</v>
      </c>
      <c r="Z1114" s="60">
        <v>0</v>
      </c>
      <c r="AA1114" s="60">
        <v>0</v>
      </c>
      <c r="AB1114" s="60">
        <v>0</v>
      </c>
      <c r="AC1114" s="60">
        <v>285.33999999999997</v>
      </c>
      <c r="AD1114" s="60">
        <v>274.82</v>
      </c>
      <c r="AE1114" s="60">
        <v>255.44</v>
      </c>
      <c r="AF1114" s="60">
        <v>0</v>
      </c>
      <c r="AG1114" s="60">
        <v>0</v>
      </c>
      <c r="AH1114" s="60">
        <v>0</v>
      </c>
      <c r="AI1114" s="60">
        <v>285.33999999999997</v>
      </c>
      <c r="AJ1114" s="60">
        <v>274.82</v>
      </c>
      <c r="AK1114" s="60">
        <v>255.44</v>
      </c>
      <c r="AL1114" s="60">
        <v>0</v>
      </c>
      <c r="AM1114" s="60">
        <v>0</v>
      </c>
      <c r="AN1114" s="60">
        <v>0</v>
      </c>
      <c r="AO1114" s="60">
        <v>285.33999999999997</v>
      </c>
      <c r="AP1114" s="60">
        <v>274.82</v>
      </c>
      <c r="AQ1114" s="60">
        <v>255.44</v>
      </c>
      <c r="AR1114" s="61">
        <v>285.33999999999997</v>
      </c>
    </row>
    <row r="1115" spans="1:44" x14ac:dyDescent="0.35">
      <c r="A1115" s="49" t="str">
        <f>TEXT(1,"00")</f>
        <v>01</v>
      </c>
      <c r="B1115" s="27">
        <v>61259</v>
      </c>
      <c r="C1115" s="25" t="str">
        <f>TEXT(6111660,"0000000")</f>
        <v>6111660</v>
      </c>
      <c r="D1115" s="26" t="s">
        <v>138</v>
      </c>
      <c r="E1115" s="25" t="s">
        <v>136</v>
      </c>
      <c r="F1115" s="25" t="s">
        <v>5</v>
      </c>
      <c r="G1115" s="59" t="s">
        <v>137</v>
      </c>
      <c r="H1115" s="60">
        <v>0</v>
      </c>
      <c r="I1115" s="60">
        <v>0</v>
      </c>
      <c r="J1115" s="60">
        <v>0</v>
      </c>
      <c r="K1115" s="60">
        <v>0</v>
      </c>
      <c r="L1115" s="60">
        <v>0</v>
      </c>
      <c r="M1115" s="60">
        <v>0</v>
      </c>
      <c r="N1115" s="60">
        <v>0</v>
      </c>
      <c r="O1115" s="60">
        <v>0</v>
      </c>
      <c r="P1115" s="60">
        <v>0</v>
      </c>
      <c r="Q1115" s="60">
        <v>0</v>
      </c>
      <c r="R1115" s="60">
        <v>0</v>
      </c>
      <c r="S1115" s="60">
        <v>0</v>
      </c>
      <c r="T1115" s="60">
        <v>0</v>
      </c>
      <c r="U1115" s="60">
        <v>0</v>
      </c>
      <c r="V1115" s="60">
        <v>0</v>
      </c>
      <c r="W1115" s="60">
        <v>0</v>
      </c>
      <c r="X1115" s="60">
        <v>0</v>
      </c>
      <c r="Y1115" s="60">
        <v>0</v>
      </c>
      <c r="Z1115" s="60">
        <v>0</v>
      </c>
      <c r="AA1115" s="60">
        <v>0</v>
      </c>
      <c r="AB1115" s="60">
        <v>0</v>
      </c>
      <c r="AC1115" s="60">
        <v>206.98</v>
      </c>
      <c r="AD1115" s="60">
        <v>190.56</v>
      </c>
      <c r="AE1115" s="60">
        <v>208.51</v>
      </c>
      <c r="AF1115" s="60">
        <v>0</v>
      </c>
      <c r="AG1115" s="60">
        <v>0</v>
      </c>
      <c r="AH1115" s="60">
        <v>0</v>
      </c>
      <c r="AI1115" s="60">
        <v>206.98</v>
      </c>
      <c r="AJ1115" s="60">
        <v>190.56</v>
      </c>
      <c r="AK1115" s="60">
        <v>208.51</v>
      </c>
      <c r="AL1115" s="60">
        <v>0</v>
      </c>
      <c r="AM1115" s="60">
        <v>0</v>
      </c>
      <c r="AN1115" s="60">
        <v>0</v>
      </c>
      <c r="AO1115" s="60">
        <v>206.98</v>
      </c>
      <c r="AP1115" s="60">
        <v>190.56</v>
      </c>
      <c r="AQ1115" s="60">
        <v>208.51</v>
      </c>
      <c r="AR1115" s="61">
        <v>208.51</v>
      </c>
    </row>
    <row r="1116" spans="1:44" x14ac:dyDescent="0.35">
      <c r="A1116" s="49" t="str">
        <f t="shared" ref="A1116:A1124" si="97">TEXT(43,"00")</f>
        <v>43</v>
      </c>
      <c r="B1116" s="27">
        <v>10439</v>
      </c>
      <c r="C1116" s="25" t="str">
        <f>TEXT(125781,"0000000")</f>
        <v>0125781</v>
      </c>
      <c r="D1116" s="27">
        <v>1393</v>
      </c>
      <c r="E1116" s="25" t="s">
        <v>2717</v>
      </c>
      <c r="F1116" s="25" t="s">
        <v>5</v>
      </c>
      <c r="G1116" s="59" t="s">
        <v>2718</v>
      </c>
      <c r="H1116" s="60">
        <v>0</v>
      </c>
      <c r="I1116" s="60">
        <v>0</v>
      </c>
      <c r="J1116" s="60">
        <v>0</v>
      </c>
      <c r="K1116" s="60">
        <v>0</v>
      </c>
      <c r="L1116" s="60">
        <v>0</v>
      </c>
      <c r="M1116" s="60">
        <v>0</v>
      </c>
      <c r="N1116" s="60">
        <v>0</v>
      </c>
      <c r="O1116" s="60">
        <v>0</v>
      </c>
      <c r="P1116" s="60">
        <v>0</v>
      </c>
      <c r="Q1116" s="60">
        <v>0</v>
      </c>
      <c r="R1116" s="60">
        <v>0</v>
      </c>
      <c r="S1116" s="60">
        <v>0</v>
      </c>
      <c r="T1116" s="60">
        <v>0</v>
      </c>
      <c r="U1116" s="60">
        <v>0</v>
      </c>
      <c r="V1116" s="60">
        <v>0</v>
      </c>
      <c r="W1116" s="60">
        <v>0</v>
      </c>
      <c r="X1116" s="60">
        <v>0</v>
      </c>
      <c r="Y1116" s="60">
        <v>0</v>
      </c>
      <c r="Z1116" s="60">
        <v>450.11</v>
      </c>
      <c r="AA1116" s="60">
        <v>448.87</v>
      </c>
      <c r="AB1116" s="60">
        <v>460.33</v>
      </c>
      <c r="AC1116" s="60">
        <v>0</v>
      </c>
      <c r="AD1116" s="60">
        <v>0</v>
      </c>
      <c r="AE1116" s="60">
        <v>0</v>
      </c>
      <c r="AF1116" s="60">
        <v>0</v>
      </c>
      <c r="AG1116" s="60">
        <v>0</v>
      </c>
      <c r="AH1116" s="60">
        <v>0</v>
      </c>
      <c r="AI1116" s="60">
        <v>450.11</v>
      </c>
      <c r="AJ1116" s="60">
        <v>448.87</v>
      </c>
      <c r="AK1116" s="60">
        <v>460.33</v>
      </c>
      <c r="AL1116" s="60">
        <v>0</v>
      </c>
      <c r="AM1116" s="60">
        <v>0</v>
      </c>
      <c r="AN1116" s="60">
        <v>0</v>
      </c>
      <c r="AO1116" s="60">
        <v>450.11</v>
      </c>
      <c r="AP1116" s="60">
        <v>448.87</v>
      </c>
      <c r="AQ1116" s="60">
        <v>460.33</v>
      </c>
      <c r="AR1116" s="61">
        <v>460.33</v>
      </c>
    </row>
    <row r="1117" spans="1:44" x14ac:dyDescent="0.35">
      <c r="A1117" s="49" t="str">
        <f t="shared" si="97"/>
        <v>43</v>
      </c>
      <c r="B1117" s="27">
        <v>10439</v>
      </c>
      <c r="C1117" s="25" t="str">
        <f>TEXT(125799,"0000000")</f>
        <v>0125799</v>
      </c>
      <c r="D1117" s="27">
        <v>1394</v>
      </c>
      <c r="E1117" s="25" t="s">
        <v>2719</v>
      </c>
      <c r="F1117" s="25" t="s">
        <v>5</v>
      </c>
      <c r="G1117" s="59" t="s">
        <v>2720</v>
      </c>
      <c r="H1117" s="60">
        <v>0</v>
      </c>
      <c r="I1117" s="60">
        <v>0</v>
      </c>
      <c r="J1117" s="60">
        <v>0</v>
      </c>
      <c r="K1117" s="60">
        <v>0</v>
      </c>
      <c r="L1117" s="60">
        <v>0</v>
      </c>
      <c r="M1117" s="60">
        <v>0</v>
      </c>
      <c r="N1117" s="60">
        <v>0</v>
      </c>
      <c r="O1117" s="60">
        <v>0</v>
      </c>
      <c r="P1117" s="60">
        <v>0</v>
      </c>
      <c r="Q1117" s="60">
        <v>0</v>
      </c>
      <c r="R1117" s="60">
        <v>0</v>
      </c>
      <c r="S1117" s="60">
        <v>0</v>
      </c>
      <c r="T1117" s="60">
        <v>0</v>
      </c>
      <c r="U1117" s="60">
        <v>0</v>
      </c>
      <c r="V1117" s="60">
        <v>0</v>
      </c>
      <c r="W1117" s="60">
        <v>0</v>
      </c>
      <c r="X1117" s="60">
        <v>0</v>
      </c>
      <c r="Y1117" s="60">
        <v>0</v>
      </c>
      <c r="Z1117" s="60">
        <v>491.12</v>
      </c>
      <c r="AA1117" s="60">
        <v>460.44</v>
      </c>
      <c r="AB1117" s="60">
        <v>466.67</v>
      </c>
      <c r="AC1117" s="60">
        <v>0</v>
      </c>
      <c r="AD1117" s="60">
        <v>0</v>
      </c>
      <c r="AE1117" s="60">
        <v>0</v>
      </c>
      <c r="AF1117" s="60">
        <v>0</v>
      </c>
      <c r="AG1117" s="60">
        <v>0</v>
      </c>
      <c r="AH1117" s="60">
        <v>0</v>
      </c>
      <c r="AI1117" s="60">
        <v>491.12</v>
      </c>
      <c r="AJ1117" s="60">
        <v>460.44</v>
      </c>
      <c r="AK1117" s="60">
        <v>466.67</v>
      </c>
      <c r="AL1117" s="60">
        <v>0</v>
      </c>
      <c r="AM1117" s="60">
        <v>0</v>
      </c>
      <c r="AN1117" s="60">
        <v>0</v>
      </c>
      <c r="AO1117" s="60">
        <v>491.12</v>
      </c>
      <c r="AP1117" s="60">
        <v>460.44</v>
      </c>
      <c r="AQ1117" s="60">
        <v>466.67</v>
      </c>
      <c r="AR1117" s="61">
        <v>491.12</v>
      </c>
    </row>
    <row r="1118" spans="1:44" x14ac:dyDescent="0.35">
      <c r="A1118" s="49" t="str">
        <f t="shared" si="97"/>
        <v>43</v>
      </c>
      <c r="B1118" s="27">
        <v>10439</v>
      </c>
      <c r="C1118" s="25" t="str">
        <f>TEXT(129213,"0000000")</f>
        <v>0129213</v>
      </c>
      <c r="D1118" s="27">
        <v>1618</v>
      </c>
      <c r="E1118" s="25" t="s">
        <v>2723</v>
      </c>
      <c r="F1118" s="25" t="s">
        <v>5</v>
      </c>
      <c r="G1118" s="59" t="s">
        <v>2724</v>
      </c>
      <c r="H1118" s="60">
        <v>0</v>
      </c>
      <c r="I1118" s="60">
        <v>0</v>
      </c>
      <c r="J1118" s="60">
        <v>0</v>
      </c>
      <c r="K1118" s="60">
        <v>0</v>
      </c>
      <c r="L1118" s="60">
        <v>0</v>
      </c>
      <c r="M1118" s="60">
        <v>0</v>
      </c>
      <c r="N1118" s="60">
        <v>0</v>
      </c>
      <c r="O1118" s="60">
        <v>0</v>
      </c>
      <c r="P1118" s="60">
        <v>0</v>
      </c>
      <c r="Q1118" s="60">
        <v>0</v>
      </c>
      <c r="R1118" s="60">
        <v>0</v>
      </c>
      <c r="S1118" s="60">
        <v>0</v>
      </c>
      <c r="T1118" s="60">
        <v>0</v>
      </c>
      <c r="U1118" s="60">
        <v>0</v>
      </c>
      <c r="V1118" s="60">
        <v>0</v>
      </c>
      <c r="W1118" s="60">
        <v>0</v>
      </c>
      <c r="X1118" s="60">
        <v>0</v>
      </c>
      <c r="Y1118" s="60">
        <v>0</v>
      </c>
      <c r="Z1118" s="60">
        <v>0</v>
      </c>
      <c r="AA1118" s="60">
        <v>0</v>
      </c>
      <c r="AB1118" s="60">
        <v>0</v>
      </c>
      <c r="AC1118" s="60">
        <v>412.93</v>
      </c>
      <c r="AD1118" s="60">
        <v>397.64</v>
      </c>
      <c r="AE1118" s="60">
        <v>374.44</v>
      </c>
      <c r="AF1118" s="60">
        <v>0</v>
      </c>
      <c r="AG1118" s="60">
        <v>0</v>
      </c>
      <c r="AH1118" s="60">
        <v>0</v>
      </c>
      <c r="AI1118" s="60">
        <v>412.93</v>
      </c>
      <c r="AJ1118" s="60">
        <v>397.64</v>
      </c>
      <c r="AK1118" s="60">
        <v>374.44</v>
      </c>
      <c r="AL1118" s="60">
        <v>0</v>
      </c>
      <c r="AM1118" s="60">
        <v>0</v>
      </c>
      <c r="AN1118" s="60">
        <v>0</v>
      </c>
      <c r="AO1118" s="60">
        <v>412.93</v>
      </c>
      <c r="AP1118" s="60">
        <v>397.64</v>
      </c>
      <c r="AQ1118" s="60">
        <v>374.44</v>
      </c>
      <c r="AR1118" s="61">
        <v>412.93</v>
      </c>
    </row>
    <row r="1119" spans="1:44" x14ac:dyDescent="0.35">
      <c r="A1119" s="49" t="str">
        <f t="shared" si="97"/>
        <v>43</v>
      </c>
      <c r="B1119" s="27">
        <v>10439</v>
      </c>
      <c r="C1119" s="25" t="str">
        <f>TEXT(131110,"0000000")</f>
        <v>0131110</v>
      </c>
      <c r="D1119" s="27">
        <v>1687</v>
      </c>
      <c r="E1119" s="25" t="s">
        <v>2725</v>
      </c>
      <c r="F1119" s="25" t="s">
        <v>5</v>
      </c>
      <c r="G1119" s="59" t="s">
        <v>2726</v>
      </c>
      <c r="H1119" s="60">
        <v>0</v>
      </c>
      <c r="I1119" s="60">
        <v>0</v>
      </c>
      <c r="J1119" s="60">
        <v>0</v>
      </c>
      <c r="K1119" s="60">
        <v>0</v>
      </c>
      <c r="L1119" s="60">
        <v>0</v>
      </c>
      <c r="M1119" s="60">
        <v>0</v>
      </c>
      <c r="N1119" s="60">
        <v>0</v>
      </c>
      <c r="O1119" s="60">
        <v>0</v>
      </c>
      <c r="P1119" s="60">
        <v>0</v>
      </c>
      <c r="Q1119" s="60">
        <v>0</v>
      </c>
      <c r="R1119" s="60">
        <v>0</v>
      </c>
      <c r="S1119" s="60">
        <v>0</v>
      </c>
      <c r="T1119" s="60">
        <v>0</v>
      </c>
      <c r="U1119" s="60">
        <v>0</v>
      </c>
      <c r="V1119" s="60">
        <v>0</v>
      </c>
      <c r="W1119" s="60">
        <v>0</v>
      </c>
      <c r="X1119" s="60">
        <v>0</v>
      </c>
      <c r="Y1119" s="60">
        <v>0</v>
      </c>
      <c r="Z1119" s="60">
        <v>0</v>
      </c>
      <c r="AA1119" s="60">
        <v>0</v>
      </c>
      <c r="AB1119" s="60">
        <v>0</v>
      </c>
      <c r="AC1119" s="60">
        <v>501.79</v>
      </c>
      <c r="AD1119" s="60">
        <v>502.37</v>
      </c>
      <c r="AE1119" s="60">
        <v>510.13</v>
      </c>
      <c r="AF1119" s="60">
        <v>0</v>
      </c>
      <c r="AG1119" s="60">
        <v>0</v>
      </c>
      <c r="AH1119" s="60">
        <v>0</v>
      </c>
      <c r="AI1119" s="60">
        <v>501.79</v>
      </c>
      <c r="AJ1119" s="60">
        <v>502.37</v>
      </c>
      <c r="AK1119" s="60">
        <v>510.13</v>
      </c>
      <c r="AL1119" s="60">
        <v>0</v>
      </c>
      <c r="AM1119" s="60">
        <v>0</v>
      </c>
      <c r="AN1119" s="60">
        <v>0</v>
      </c>
      <c r="AO1119" s="60">
        <v>501.79</v>
      </c>
      <c r="AP1119" s="60">
        <v>502.37</v>
      </c>
      <c r="AQ1119" s="60">
        <v>510.13</v>
      </c>
      <c r="AR1119" s="61">
        <v>510.13</v>
      </c>
    </row>
    <row r="1120" spans="1:44" x14ac:dyDescent="0.35">
      <c r="A1120" s="49" t="str">
        <f t="shared" si="97"/>
        <v>43</v>
      </c>
      <c r="B1120" s="27">
        <v>10439</v>
      </c>
      <c r="C1120" s="25" t="str">
        <f>TEXT(133496,"0000000")</f>
        <v>0133496</v>
      </c>
      <c r="D1120" s="27">
        <v>1778</v>
      </c>
      <c r="E1120" s="25" t="s">
        <v>2731</v>
      </c>
      <c r="F1120" s="25" t="s">
        <v>5</v>
      </c>
      <c r="G1120" s="59" t="s">
        <v>2732</v>
      </c>
      <c r="H1120" s="60">
        <v>0</v>
      </c>
      <c r="I1120" s="60">
        <v>0</v>
      </c>
      <c r="J1120" s="60">
        <v>0</v>
      </c>
      <c r="K1120" s="60">
        <v>0</v>
      </c>
      <c r="L1120" s="60">
        <v>0</v>
      </c>
      <c r="M1120" s="60">
        <v>0</v>
      </c>
      <c r="N1120" s="60">
        <v>0</v>
      </c>
      <c r="O1120" s="60">
        <v>0</v>
      </c>
      <c r="P1120" s="60">
        <v>0</v>
      </c>
      <c r="Q1120" s="60">
        <v>0</v>
      </c>
      <c r="R1120" s="60">
        <v>0</v>
      </c>
      <c r="S1120" s="60">
        <v>0</v>
      </c>
      <c r="T1120" s="60">
        <v>0</v>
      </c>
      <c r="U1120" s="60">
        <v>0</v>
      </c>
      <c r="V1120" s="60">
        <v>0</v>
      </c>
      <c r="W1120" s="60">
        <v>0</v>
      </c>
      <c r="X1120" s="60">
        <v>0</v>
      </c>
      <c r="Y1120" s="60">
        <v>0</v>
      </c>
      <c r="Z1120" s="60">
        <v>0</v>
      </c>
      <c r="AA1120" s="60">
        <v>0</v>
      </c>
      <c r="AB1120" s="60">
        <v>0</v>
      </c>
      <c r="AC1120" s="60">
        <v>568.96</v>
      </c>
      <c r="AD1120" s="60">
        <v>531.1</v>
      </c>
      <c r="AE1120" s="60">
        <v>548.11</v>
      </c>
      <c r="AF1120" s="60">
        <v>0</v>
      </c>
      <c r="AG1120" s="60">
        <v>0</v>
      </c>
      <c r="AH1120" s="60">
        <v>0</v>
      </c>
      <c r="AI1120" s="60">
        <v>568.96</v>
      </c>
      <c r="AJ1120" s="60">
        <v>531.1</v>
      </c>
      <c r="AK1120" s="60">
        <v>548.11</v>
      </c>
      <c r="AL1120" s="60">
        <v>0</v>
      </c>
      <c r="AM1120" s="60">
        <v>0</v>
      </c>
      <c r="AN1120" s="60">
        <v>0</v>
      </c>
      <c r="AO1120" s="60">
        <v>568.96</v>
      </c>
      <c r="AP1120" s="60">
        <v>531.1</v>
      </c>
      <c r="AQ1120" s="60">
        <v>548.11</v>
      </c>
      <c r="AR1120" s="61">
        <v>568.96</v>
      </c>
    </row>
    <row r="1121" spans="1:44" x14ac:dyDescent="0.35">
      <c r="A1121" s="49" t="str">
        <f t="shared" si="97"/>
        <v>43</v>
      </c>
      <c r="B1121" s="27">
        <v>69369</v>
      </c>
      <c r="C1121" s="25" t="str">
        <f>TEXT(106633,"0000000")</f>
        <v>0106633</v>
      </c>
      <c r="D1121" s="26" t="s">
        <v>2737</v>
      </c>
      <c r="E1121" s="25" t="s">
        <v>2735</v>
      </c>
      <c r="F1121" s="25" t="s">
        <v>5</v>
      </c>
      <c r="G1121" s="59" t="s">
        <v>2736</v>
      </c>
      <c r="H1121" s="60">
        <v>0</v>
      </c>
      <c r="I1121" s="60">
        <v>0</v>
      </c>
      <c r="J1121" s="60">
        <v>0</v>
      </c>
      <c r="K1121" s="60">
        <v>0</v>
      </c>
      <c r="L1121" s="60">
        <v>0</v>
      </c>
      <c r="M1121" s="60">
        <v>0</v>
      </c>
      <c r="N1121" s="60">
        <v>0</v>
      </c>
      <c r="O1121" s="60">
        <v>0</v>
      </c>
      <c r="P1121" s="60">
        <v>0</v>
      </c>
      <c r="Q1121" s="60">
        <v>0</v>
      </c>
      <c r="R1121" s="60">
        <v>0</v>
      </c>
      <c r="S1121" s="60">
        <v>0</v>
      </c>
      <c r="T1121" s="60">
        <v>0</v>
      </c>
      <c r="U1121" s="60">
        <v>0</v>
      </c>
      <c r="V1121" s="60">
        <v>0</v>
      </c>
      <c r="W1121" s="60">
        <v>0</v>
      </c>
      <c r="X1121" s="60">
        <v>0</v>
      </c>
      <c r="Y1121" s="60">
        <v>0</v>
      </c>
      <c r="Z1121" s="60">
        <v>0</v>
      </c>
      <c r="AA1121" s="60">
        <v>0</v>
      </c>
      <c r="AB1121" s="60">
        <v>0</v>
      </c>
      <c r="AC1121" s="60">
        <v>401.02</v>
      </c>
      <c r="AD1121" s="60">
        <v>393.08</v>
      </c>
      <c r="AE1121" s="60">
        <v>399.85</v>
      </c>
      <c r="AF1121" s="60">
        <v>0</v>
      </c>
      <c r="AG1121" s="60">
        <v>0</v>
      </c>
      <c r="AH1121" s="60">
        <v>0</v>
      </c>
      <c r="AI1121" s="60">
        <v>401.02</v>
      </c>
      <c r="AJ1121" s="60">
        <v>393.08</v>
      </c>
      <c r="AK1121" s="60">
        <v>399.85</v>
      </c>
      <c r="AL1121" s="60">
        <v>0</v>
      </c>
      <c r="AM1121" s="60">
        <v>0</v>
      </c>
      <c r="AN1121" s="60">
        <v>0</v>
      </c>
      <c r="AO1121" s="60">
        <v>401.02</v>
      </c>
      <c r="AP1121" s="60">
        <v>393.08</v>
      </c>
      <c r="AQ1121" s="60">
        <v>399.85</v>
      </c>
      <c r="AR1121" s="61">
        <v>401.02</v>
      </c>
    </row>
    <row r="1122" spans="1:44" x14ac:dyDescent="0.35">
      <c r="A1122" s="49" t="str">
        <f t="shared" si="97"/>
        <v>43</v>
      </c>
      <c r="B1122" s="27">
        <v>69369</v>
      </c>
      <c r="C1122" s="25" t="str">
        <f>TEXT(125526,"0000000")</f>
        <v>0125526</v>
      </c>
      <c r="D1122" s="27">
        <v>1375</v>
      </c>
      <c r="E1122" s="25" t="s">
        <v>2738</v>
      </c>
      <c r="F1122" s="25" t="s">
        <v>5</v>
      </c>
      <c r="G1122" s="59" t="s">
        <v>2739</v>
      </c>
      <c r="H1122" s="60">
        <v>0</v>
      </c>
      <c r="I1122" s="60">
        <v>0</v>
      </c>
      <c r="J1122" s="60">
        <v>0</v>
      </c>
      <c r="K1122" s="60">
        <v>0</v>
      </c>
      <c r="L1122" s="60">
        <v>0</v>
      </c>
      <c r="M1122" s="60">
        <v>0</v>
      </c>
      <c r="N1122" s="60">
        <v>0</v>
      </c>
      <c r="O1122" s="60">
        <v>0</v>
      </c>
      <c r="P1122" s="60">
        <v>0</v>
      </c>
      <c r="Q1122" s="60">
        <v>0</v>
      </c>
      <c r="R1122" s="60">
        <v>0</v>
      </c>
      <c r="S1122" s="60">
        <v>0</v>
      </c>
      <c r="T1122" s="60">
        <v>0</v>
      </c>
      <c r="U1122" s="60">
        <v>0</v>
      </c>
      <c r="V1122" s="60">
        <v>0</v>
      </c>
      <c r="W1122" s="60">
        <v>0</v>
      </c>
      <c r="X1122" s="60">
        <v>0</v>
      </c>
      <c r="Y1122" s="60">
        <v>0</v>
      </c>
      <c r="Z1122" s="60">
        <v>0</v>
      </c>
      <c r="AA1122" s="60">
        <v>0</v>
      </c>
      <c r="AB1122" s="60">
        <v>0</v>
      </c>
      <c r="AC1122" s="60">
        <v>429.91</v>
      </c>
      <c r="AD1122" s="60">
        <v>417.1</v>
      </c>
      <c r="AE1122" s="60">
        <v>350.11</v>
      </c>
      <c r="AF1122" s="60">
        <v>0</v>
      </c>
      <c r="AG1122" s="60">
        <v>0</v>
      </c>
      <c r="AH1122" s="60">
        <v>0</v>
      </c>
      <c r="AI1122" s="60">
        <v>429.91</v>
      </c>
      <c r="AJ1122" s="60">
        <v>417.1</v>
      </c>
      <c r="AK1122" s="60">
        <v>350.11</v>
      </c>
      <c r="AL1122" s="60">
        <v>0</v>
      </c>
      <c r="AM1122" s="60">
        <v>0</v>
      </c>
      <c r="AN1122" s="60">
        <v>0</v>
      </c>
      <c r="AO1122" s="60">
        <v>429.91</v>
      </c>
      <c r="AP1122" s="60">
        <v>417.1</v>
      </c>
      <c r="AQ1122" s="60">
        <v>350.11</v>
      </c>
      <c r="AR1122" s="61">
        <v>429.91</v>
      </c>
    </row>
    <row r="1123" spans="1:44" x14ac:dyDescent="0.35">
      <c r="A1123" s="49" t="str">
        <f t="shared" si="97"/>
        <v>43</v>
      </c>
      <c r="B1123" s="27">
        <v>69369</v>
      </c>
      <c r="C1123" s="25" t="str">
        <f>TEXT(129924,"0000000")</f>
        <v>0129924</v>
      </c>
      <c r="D1123" s="27">
        <v>1609</v>
      </c>
      <c r="E1123" s="25" t="s">
        <v>2740</v>
      </c>
      <c r="F1123" s="25" t="s">
        <v>5</v>
      </c>
      <c r="G1123" s="59" t="s">
        <v>2741</v>
      </c>
      <c r="H1123" s="60">
        <v>0</v>
      </c>
      <c r="I1123" s="60">
        <v>0</v>
      </c>
      <c r="J1123" s="60">
        <v>0</v>
      </c>
      <c r="K1123" s="60">
        <v>0</v>
      </c>
      <c r="L1123" s="60">
        <v>0</v>
      </c>
      <c r="M1123" s="60">
        <v>0</v>
      </c>
      <c r="N1123" s="60">
        <v>0</v>
      </c>
      <c r="O1123" s="60">
        <v>0</v>
      </c>
      <c r="P1123" s="60">
        <v>0</v>
      </c>
      <c r="Q1123" s="60">
        <v>0</v>
      </c>
      <c r="R1123" s="60">
        <v>0</v>
      </c>
      <c r="S1123" s="60">
        <v>0</v>
      </c>
      <c r="T1123" s="60">
        <v>0</v>
      </c>
      <c r="U1123" s="60">
        <v>0</v>
      </c>
      <c r="V1123" s="60">
        <v>0</v>
      </c>
      <c r="W1123" s="60">
        <v>0</v>
      </c>
      <c r="X1123" s="60">
        <v>0</v>
      </c>
      <c r="Y1123" s="60">
        <v>0</v>
      </c>
      <c r="Z1123" s="60">
        <v>0</v>
      </c>
      <c r="AA1123" s="60">
        <v>0</v>
      </c>
      <c r="AB1123" s="60">
        <v>0</v>
      </c>
      <c r="AC1123" s="60">
        <v>385.37</v>
      </c>
      <c r="AD1123" s="60">
        <v>367.55</v>
      </c>
      <c r="AE1123" s="60">
        <v>381.4</v>
      </c>
      <c r="AF1123" s="60">
        <v>0</v>
      </c>
      <c r="AG1123" s="60">
        <v>0</v>
      </c>
      <c r="AH1123" s="60">
        <v>0</v>
      </c>
      <c r="AI1123" s="60">
        <v>385.37</v>
      </c>
      <c r="AJ1123" s="60">
        <v>367.55</v>
      </c>
      <c r="AK1123" s="60">
        <v>381.4</v>
      </c>
      <c r="AL1123" s="60">
        <v>0</v>
      </c>
      <c r="AM1123" s="60">
        <v>0</v>
      </c>
      <c r="AN1123" s="60">
        <v>0</v>
      </c>
      <c r="AO1123" s="60">
        <v>385.37</v>
      </c>
      <c r="AP1123" s="60">
        <v>367.55</v>
      </c>
      <c r="AQ1123" s="60">
        <v>381.4</v>
      </c>
      <c r="AR1123" s="61">
        <v>385.37</v>
      </c>
    </row>
    <row r="1124" spans="1:44" ht="31" x14ac:dyDescent="0.35">
      <c r="A1124" s="49" t="str">
        <f t="shared" si="97"/>
        <v>43</v>
      </c>
      <c r="B1124" s="27">
        <v>69427</v>
      </c>
      <c r="C1124" s="25" t="str">
        <f>TEXT(107151,"0000000")</f>
        <v>0107151</v>
      </c>
      <c r="D1124" s="26" t="s">
        <v>2756</v>
      </c>
      <c r="E1124" s="25" t="s">
        <v>2754</v>
      </c>
      <c r="F1124" s="25" t="s">
        <v>5</v>
      </c>
      <c r="G1124" s="59" t="s">
        <v>2755</v>
      </c>
      <c r="H1124" s="60">
        <v>0</v>
      </c>
      <c r="I1124" s="60">
        <v>0</v>
      </c>
      <c r="J1124" s="60">
        <v>0</v>
      </c>
      <c r="K1124" s="60">
        <v>0</v>
      </c>
      <c r="L1124" s="60">
        <v>0</v>
      </c>
      <c r="M1124" s="60">
        <v>0</v>
      </c>
      <c r="N1124" s="60">
        <v>0</v>
      </c>
      <c r="O1124" s="60">
        <v>0</v>
      </c>
      <c r="P1124" s="60">
        <v>0</v>
      </c>
      <c r="Q1124" s="60">
        <v>0</v>
      </c>
      <c r="R1124" s="60">
        <v>0</v>
      </c>
      <c r="S1124" s="60">
        <v>0</v>
      </c>
      <c r="T1124" s="60">
        <v>0</v>
      </c>
      <c r="U1124" s="60">
        <v>0</v>
      </c>
      <c r="V1124" s="60">
        <v>0</v>
      </c>
      <c r="W1124" s="60">
        <v>0</v>
      </c>
      <c r="X1124" s="60">
        <v>0</v>
      </c>
      <c r="Y1124" s="60">
        <v>0</v>
      </c>
      <c r="Z1124" s="60">
        <v>0</v>
      </c>
      <c r="AA1124" s="60">
        <v>0</v>
      </c>
      <c r="AB1124" s="60">
        <v>0</v>
      </c>
      <c r="AC1124" s="60">
        <v>529.20000000000005</v>
      </c>
      <c r="AD1124" s="60">
        <v>477.46</v>
      </c>
      <c r="AE1124" s="60">
        <v>399.44</v>
      </c>
      <c r="AF1124" s="60">
        <v>0</v>
      </c>
      <c r="AG1124" s="60">
        <v>0</v>
      </c>
      <c r="AH1124" s="60">
        <v>0</v>
      </c>
      <c r="AI1124" s="60">
        <v>529.20000000000005</v>
      </c>
      <c r="AJ1124" s="60">
        <v>477.46</v>
      </c>
      <c r="AK1124" s="60">
        <v>399.44</v>
      </c>
      <c r="AL1124" s="60">
        <v>0</v>
      </c>
      <c r="AM1124" s="60">
        <v>0</v>
      </c>
      <c r="AN1124" s="60">
        <v>0</v>
      </c>
      <c r="AO1124" s="60">
        <v>529.20000000000005</v>
      </c>
      <c r="AP1124" s="60">
        <v>477.46</v>
      </c>
      <c r="AQ1124" s="60">
        <v>399.44</v>
      </c>
      <c r="AR1124" s="61">
        <v>529.20000000000005</v>
      </c>
    </row>
    <row r="1125" spans="1:44" x14ac:dyDescent="0.35">
      <c r="A1125" s="49" t="str">
        <f>TEXT(1,"00")</f>
        <v>01</v>
      </c>
      <c r="B1125" s="27">
        <v>61259</v>
      </c>
      <c r="C1125" s="25" t="str">
        <f>TEXT(6113807,"0000000")</f>
        <v>6113807</v>
      </c>
      <c r="D1125" s="26" t="s">
        <v>141</v>
      </c>
      <c r="E1125" s="25" t="s">
        <v>139</v>
      </c>
      <c r="F1125" s="25" t="s">
        <v>5</v>
      </c>
      <c r="G1125" s="59" t="s">
        <v>140</v>
      </c>
      <c r="H1125" s="60">
        <v>0</v>
      </c>
      <c r="I1125" s="60">
        <v>0</v>
      </c>
      <c r="J1125" s="60">
        <v>0</v>
      </c>
      <c r="K1125" s="60">
        <v>0</v>
      </c>
      <c r="L1125" s="60">
        <v>0</v>
      </c>
      <c r="M1125" s="60">
        <v>0</v>
      </c>
      <c r="N1125" s="60">
        <v>0</v>
      </c>
      <c r="O1125" s="60">
        <v>0</v>
      </c>
      <c r="P1125" s="60">
        <v>0</v>
      </c>
      <c r="Q1125" s="60">
        <v>0</v>
      </c>
      <c r="R1125" s="60">
        <v>0</v>
      </c>
      <c r="S1125" s="60">
        <v>0</v>
      </c>
      <c r="T1125" s="60">
        <v>0</v>
      </c>
      <c r="U1125" s="60">
        <v>0</v>
      </c>
      <c r="V1125" s="60">
        <v>0</v>
      </c>
      <c r="W1125" s="60">
        <v>0</v>
      </c>
      <c r="X1125" s="60">
        <v>0</v>
      </c>
      <c r="Y1125" s="60">
        <v>0</v>
      </c>
      <c r="Z1125" s="60">
        <v>0</v>
      </c>
      <c r="AA1125" s="60">
        <v>0</v>
      </c>
      <c r="AB1125" s="60">
        <v>0</v>
      </c>
      <c r="AC1125" s="60">
        <v>196.33</v>
      </c>
      <c r="AD1125" s="60">
        <v>208.09</v>
      </c>
      <c r="AE1125" s="60">
        <v>0</v>
      </c>
      <c r="AF1125" s="60">
        <v>0</v>
      </c>
      <c r="AG1125" s="60">
        <v>0</v>
      </c>
      <c r="AH1125" s="60">
        <v>0</v>
      </c>
      <c r="AI1125" s="60">
        <v>196.33</v>
      </c>
      <c r="AJ1125" s="60">
        <v>208.09</v>
      </c>
      <c r="AK1125" s="60">
        <v>0</v>
      </c>
      <c r="AL1125" s="60">
        <v>0</v>
      </c>
      <c r="AM1125" s="60">
        <v>0</v>
      </c>
      <c r="AN1125" s="60">
        <v>223.62</v>
      </c>
      <c r="AO1125" s="60">
        <v>196.33</v>
      </c>
      <c r="AP1125" s="60">
        <v>208.09</v>
      </c>
      <c r="AQ1125" s="60">
        <v>223.62</v>
      </c>
      <c r="AR1125" s="61">
        <v>223.62</v>
      </c>
    </row>
    <row r="1126" spans="1:44" x14ac:dyDescent="0.35">
      <c r="A1126" s="49" t="str">
        <f t="shared" ref="A1126:A1135" si="98">TEXT(43,"00")</f>
        <v>43</v>
      </c>
      <c r="B1126" s="27">
        <v>69427</v>
      </c>
      <c r="C1126" s="25" t="str">
        <f>TEXT(116889,"0000000")</f>
        <v>0116889</v>
      </c>
      <c r="D1126" s="26" t="s">
        <v>2759</v>
      </c>
      <c r="E1126" s="25" t="s">
        <v>2757</v>
      </c>
      <c r="F1126" s="25" t="s">
        <v>5</v>
      </c>
      <c r="G1126" s="59" t="s">
        <v>2758</v>
      </c>
      <c r="H1126" s="60">
        <v>0</v>
      </c>
      <c r="I1126" s="60">
        <v>0</v>
      </c>
      <c r="J1126" s="60">
        <v>0</v>
      </c>
      <c r="K1126" s="60">
        <v>0</v>
      </c>
      <c r="L1126" s="60">
        <v>0</v>
      </c>
      <c r="M1126" s="60">
        <v>0</v>
      </c>
      <c r="N1126" s="60">
        <v>0</v>
      </c>
      <c r="O1126" s="60">
        <v>0</v>
      </c>
      <c r="P1126" s="60">
        <v>0</v>
      </c>
      <c r="Q1126" s="60">
        <v>0</v>
      </c>
      <c r="R1126" s="60">
        <v>0</v>
      </c>
      <c r="S1126" s="60">
        <v>0</v>
      </c>
      <c r="T1126" s="60">
        <v>0</v>
      </c>
      <c r="U1126" s="60">
        <v>0</v>
      </c>
      <c r="V1126" s="60">
        <v>0</v>
      </c>
      <c r="W1126" s="60">
        <v>0</v>
      </c>
      <c r="X1126" s="60">
        <v>0</v>
      </c>
      <c r="Y1126" s="60">
        <v>0</v>
      </c>
      <c r="Z1126" s="60">
        <v>0</v>
      </c>
      <c r="AA1126" s="60">
        <v>0</v>
      </c>
      <c r="AB1126" s="60">
        <v>0</v>
      </c>
      <c r="AC1126" s="60">
        <v>480.67</v>
      </c>
      <c r="AD1126" s="60">
        <v>491.48</v>
      </c>
      <c r="AE1126" s="60">
        <v>498.88</v>
      </c>
      <c r="AF1126" s="60">
        <v>0</v>
      </c>
      <c r="AG1126" s="60">
        <v>0</v>
      </c>
      <c r="AH1126" s="60">
        <v>0</v>
      </c>
      <c r="AI1126" s="60">
        <v>480.67</v>
      </c>
      <c r="AJ1126" s="60">
        <v>491.48</v>
      </c>
      <c r="AK1126" s="60">
        <v>498.88</v>
      </c>
      <c r="AL1126" s="60">
        <v>0</v>
      </c>
      <c r="AM1126" s="60">
        <v>0</v>
      </c>
      <c r="AN1126" s="60">
        <v>0</v>
      </c>
      <c r="AO1126" s="60">
        <v>480.67</v>
      </c>
      <c r="AP1126" s="60">
        <v>491.48</v>
      </c>
      <c r="AQ1126" s="60">
        <v>498.88</v>
      </c>
      <c r="AR1126" s="61">
        <v>498.88</v>
      </c>
    </row>
    <row r="1127" spans="1:44" x14ac:dyDescent="0.35">
      <c r="A1127" s="49" t="str">
        <f t="shared" si="98"/>
        <v>43</v>
      </c>
      <c r="B1127" s="27">
        <v>69427</v>
      </c>
      <c r="C1127" s="25" t="str">
        <f>TEXT(125617,"0000000")</f>
        <v>0125617</v>
      </c>
      <c r="D1127" s="27">
        <v>1387</v>
      </c>
      <c r="E1127" s="25" t="s">
        <v>2760</v>
      </c>
      <c r="F1127" s="25" t="s">
        <v>5</v>
      </c>
      <c r="G1127" s="59" t="s">
        <v>2761</v>
      </c>
      <c r="H1127" s="60">
        <v>0</v>
      </c>
      <c r="I1127" s="60">
        <v>0</v>
      </c>
      <c r="J1127" s="60">
        <v>0</v>
      </c>
      <c r="K1127" s="60">
        <v>0</v>
      </c>
      <c r="L1127" s="60">
        <v>0</v>
      </c>
      <c r="M1127" s="60">
        <v>0</v>
      </c>
      <c r="N1127" s="60">
        <v>0</v>
      </c>
      <c r="O1127" s="60">
        <v>0</v>
      </c>
      <c r="P1127" s="60">
        <v>0</v>
      </c>
      <c r="Q1127" s="60">
        <v>0</v>
      </c>
      <c r="R1127" s="60">
        <v>0</v>
      </c>
      <c r="S1127" s="60">
        <v>0</v>
      </c>
      <c r="T1127" s="60">
        <v>0</v>
      </c>
      <c r="U1127" s="60">
        <v>0</v>
      </c>
      <c r="V1127" s="60">
        <v>0</v>
      </c>
      <c r="W1127" s="60">
        <v>0</v>
      </c>
      <c r="X1127" s="60">
        <v>0</v>
      </c>
      <c r="Y1127" s="60">
        <v>0</v>
      </c>
      <c r="Z1127" s="60">
        <v>0</v>
      </c>
      <c r="AA1127" s="60">
        <v>0</v>
      </c>
      <c r="AB1127" s="60">
        <v>0</v>
      </c>
      <c r="AC1127" s="60">
        <v>296.51</v>
      </c>
      <c r="AD1127" s="60">
        <v>321.57</v>
      </c>
      <c r="AE1127" s="60">
        <v>347.16</v>
      </c>
      <c r="AF1127" s="60">
        <v>0</v>
      </c>
      <c r="AG1127" s="60">
        <v>0</v>
      </c>
      <c r="AH1127" s="60">
        <v>0</v>
      </c>
      <c r="AI1127" s="60">
        <v>296.51</v>
      </c>
      <c r="AJ1127" s="60">
        <v>321.57</v>
      </c>
      <c r="AK1127" s="60">
        <v>347.16</v>
      </c>
      <c r="AL1127" s="60">
        <v>0</v>
      </c>
      <c r="AM1127" s="60">
        <v>0</v>
      </c>
      <c r="AN1127" s="60">
        <v>0</v>
      </c>
      <c r="AO1127" s="60">
        <v>296.51</v>
      </c>
      <c r="AP1127" s="60">
        <v>321.57</v>
      </c>
      <c r="AQ1127" s="60">
        <v>347.16</v>
      </c>
      <c r="AR1127" s="61">
        <v>347.16</v>
      </c>
    </row>
    <row r="1128" spans="1:44" x14ac:dyDescent="0.35">
      <c r="A1128" s="49" t="str">
        <f t="shared" si="98"/>
        <v>43</v>
      </c>
      <c r="B1128" s="27">
        <v>69427</v>
      </c>
      <c r="C1128" s="25" t="str">
        <f>TEXT(132274,"0000000")</f>
        <v>0132274</v>
      </c>
      <c r="D1128" s="27">
        <v>1737</v>
      </c>
      <c r="E1128" s="25" t="s">
        <v>2766</v>
      </c>
      <c r="F1128" s="25" t="s">
        <v>5</v>
      </c>
      <c r="G1128" s="59" t="s">
        <v>2767</v>
      </c>
      <c r="H1128" s="60">
        <v>0</v>
      </c>
      <c r="I1128" s="60">
        <v>0</v>
      </c>
      <c r="J1128" s="60">
        <v>0</v>
      </c>
      <c r="K1128" s="60">
        <v>0</v>
      </c>
      <c r="L1128" s="60">
        <v>0</v>
      </c>
      <c r="M1128" s="60">
        <v>0</v>
      </c>
      <c r="N1128" s="60">
        <v>0</v>
      </c>
      <c r="O1128" s="60">
        <v>0</v>
      </c>
      <c r="P1128" s="60">
        <v>0</v>
      </c>
      <c r="Q1128" s="60">
        <v>0</v>
      </c>
      <c r="R1128" s="60">
        <v>0</v>
      </c>
      <c r="S1128" s="60">
        <v>0</v>
      </c>
      <c r="T1128" s="60">
        <v>0</v>
      </c>
      <c r="U1128" s="60">
        <v>0</v>
      </c>
      <c r="V1128" s="60">
        <v>0</v>
      </c>
      <c r="W1128" s="60">
        <v>0</v>
      </c>
      <c r="X1128" s="60">
        <v>0</v>
      </c>
      <c r="Y1128" s="60">
        <v>0</v>
      </c>
      <c r="Z1128" s="60">
        <v>0</v>
      </c>
      <c r="AA1128" s="60">
        <v>0</v>
      </c>
      <c r="AB1128" s="60">
        <v>0</v>
      </c>
      <c r="AC1128" s="60">
        <v>379.11</v>
      </c>
      <c r="AD1128" s="60">
        <v>399.74</v>
      </c>
      <c r="AE1128" s="60">
        <v>422.44</v>
      </c>
      <c r="AF1128" s="60">
        <v>0</v>
      </c>
      <c r="AG1128" s="60">
        <v>0</v>
      </c>
      <c r="AH1128" s="60">
        <v>0</v>
      </c>
      <c r="AI1128" s="60">
        <v>379.11</v>
      </c>
      <c r="AJ1128" s="60">
        <v>399.74</v>
      </c>
      <c r="AK1128" s="60">
        <v>422.44</v>
      </c>
      <c r="AL1128" s="60">
        <v>0</v>
      </c>
      <c r="AM1128" s="60">
        <v>0</v>
      </c>
      <c r="AN1128" s="60">
        <v>0</v>
      </c>
      <c r="AO1128" s="60">
        <v>379.11</v>
      </c>
      <c r="AP1128" s="60">
        <v>399.74</v>
      </c>
      <c r="AQ1128" s="60">
        <v>422.44</v>
      </c>
      <c r="AR1128" s="61">
        <v>422.44</v>
      </c>
    </row>
    <row r="1129" spans="1:44" x14ac:dyDescent="0.35">
      <c r="A1129" s="49" t="str">
        <f t="shared" si="98"/>
        <v>43</v>
      </c>
      <c r="B1129" s="27">
        <v>69427</v>
      </c>
      <c r="C1129" s="25" t="str">
        <f>TEXT(4330676,"0000000")</f>
        <v>4330676</v>
      </c>
      <c r="D1129" s="26" t="s">
        <v>2773</v>
      </c>
      <c r="E1129" s="25" t="s">
        <v>2771</v>
      </c>
      <c r="F1129" s="25" t="s">
        <v>5</v>
      </c>
      <c r="G1129" s="59" t="s">
        <v>2772</v>
      </c>
      <c r="H1129" s="60">
        <v>0</v>
      </c>
      <c r="I1129" s="60">
        <v>0</v>
      </c>
      <c r="J1129" s="60">
        <v>0</v>
      </c>
      <c r="K1129" s="60">
        <v>0</v>
      </c>
      <c r="L1129" s="60">
        <v>0</v>
      </c>
      <c r="M1129" s="60">
        <v>0</v>
      </c>
      <c r="N1129" s="60">
        <v>0</v>
      </c>
      <c r="O1129" s="60">
        <v>0</v>
      </c>
      <c r="P1129" s="60">
        <v>0</v>
      </c>
      <c r="Q1129" s="60">
        <v>0</v>
      </c>
      <c r="R1129" s="60">
        <v>0</v>
      </c>
      <c r="S1129" s="60">
        <v>0</v>
      </c>
      <c r="T1129" s="60">
        <v>0</v>
      </c>
      <c r="U1129" s="60">
        <v>0</v>
      </c>
      <c r="V1129" s="60">
        <v>0</v>
      </c>
      <c r="W1129" s="60">
        <v>0</v>
      </c>
      <c r="X1129" s="60">
        <v>0</v>
      </c>
      <c r="Y1129" s="60">
        <v>0</v>
      </c>
      <c r="Z1129" s="60">
        <v>0</v>
      </c>
      <c r="AA1129" s="60">
        <v>0</v>
      </c>
      <c r="AB1129" s="60">
        <v>0</v>
      </c>
      <c r="AC1129" s="60">
        <v>141.52000000000001</v>
      </c>
      <c r="AD1129" s="60">
        <v>129.65</v>
      </c>
      <c r="AE1129" s="60">
        <v>85.54</v>
      </c>
      <c r="AF1129" s="60">
        <v>0</v>
      </c>
      <c r="AG1129" s="60">
        <v>0</v>
      </c>
      <c r="AH1129" s="60">
        <v>0</v>
      </c>
      <c r="AI1129" s="60">
        <v>141.52000000000001</v>
      </c>
      <c r="AJ1129" s="60">
        <v>129.65</v>
      </c>
      <c r="AK1129" s="60">
        <v>85.54</v>
      </c>
      <c r="AL1129" s="60">
        <v>0</v>
      </c>
      <c r="AM1129" s="60">
        <v>0</v>
      </c>
      <c r="AN1129" s="60">
        <v>0</v>
      </c>
      <c r="AO1129" s="60">
        <v>141.52000000000001</v>
      </c>
      <c r="AP1129" s="60">
        <v>129.65</v>
      </c>
      <c r="AQ1129" s="60">
        <v>85.54</v>
      </c>
      <c r="AR1129" s="61">
        <v>141.52000000000001</v>
      </c>
    </row>
    <row r="1130" spans="1:44" x14ac:dyDescent="0.35">
      <c r="A1130" s="49" t="str">
        <f t="shared" si="98"/>
        <v>43</v>
      </c>
      <c r="B1130" s="27">
        <v>69427</v>
      </c>
      <c r="C1130" s="25" t="str">
        <f>TEXT(4330726,"0000000")</f>
        <v>4330726</v>
      </c>
      <c r="D1130" s="26" t="s">
        <v>2776</v>
      </c>
      <c r="E1130" s="25" t="s">
        <v>2774</v>
      </c>
      <c r="F1130" s="25" t="s">
        <v>5</v>
      </c>
      <c r="G1130" s="59" t="s">
        <v>2775</v>
      </c>
      <c r="H1130" s="60">
        <v>0</v>
      </c>
      <c r="I1130" s="60">
        <v>0</v>
      </c>
      <c r="J1130" s="60">
        <v>0</v>
      </c>
      <c r="K1130" s="60">
        <v>0</v>
      </c>
      <c r="L1130" s="60">
        <v>0</v>
      </c>
      <c r="M1130" s="60">
        <v>0</v>
      </c>
      <c r="N1130" s="60">
        <v>0</v>
      </c>
      <c r="O1130" s="60">
        <v>0</v>
      </c>
      <c r="P1130" s="60">
        <v>0</v>
      </c>
      <c r="Q1130" s="60">
        <v>0</v>
      </c>
      <c r="R1130" s="60">
        <v>0</v>
      </c>
      <c r="S1130" s="60">
        <v>0</v>
      </c>
      <c r="T1130" s="60">
        <v>0</v>
      </c>
      <c r="U1130" s="60">
        <v>0</v>
      </c>
      <c r="V1130" s="60">
        <v>0</v>
      </c>
      <c r="W1130" s="60">
        <v>0</v>
      </c>
      <c r="X1130" s="60">
        <v>0</v>
      </c>
      <c r="Y1130" s="60">
        <v>0</v>
      </c>
      <c r="Z1130" s="60">
        <v>0</v>
      </c>
      <c r="AA1130" s="60">
        <v>0</v>
      </c>
      <c r="AB1130" s="60">
        <v>0</v>
      </c>
      <c r="AC1130" s="60">
        <v>378.88</v>
      </c>
      <c r="AD1130" s="60">
        <v>362.25</v>
      </c>
      <c r="AE1130" s="60">
        <v>326.55</v>
      </c>
      <c r="AF1130" s="60">
        <v>0</v>
      </c>
      <c r="AG1130" s="60">
        <v>0</v>
      </c>
      <c r="AH1130" s="60">
        <v>0</v>
      </c>
      <c r="AI1130" s="60">
        <v>378.88</v>
      </c>
      <c r="AJ1130" s="60">
        <v>362.25</v>
      </c>
      <c r="AK1130" s="60">
        <v>326.55</v>
      </c>
      <c r="AL1130" s="60">
        <v>0</v>
      </c>
      <c r="AM1130" s="60">
        <v>0</v>
      </c>
      <c r="AN1130" s="60">
        <v>0</v>
      </c>
      <c r="AO1130" s="60">
        <v>378.88</v>
      </c>
      <c r="AP1130" s="60">
        <v>362.25</v>
      </c>
      <c r="AQ1130" s="60">
        <v>326.55</v>
      </c>
      <c r="AR1130" s="61">
        <v>378.88</v>
      </c>
    </row>
    <row r="1131" spans="1:44" x14ac:dyDescent="0.35">
      <c r="A1131" s="49" t="str">
        <f t="shared" si="98"/>
        <v>43</v>
      </c>
      <c r="B1131" s="27">
        <v>69450</v>
      </c>
      <c r="C1131" s="25" t="str">
        <f>TEXT(123299,"0000000")</f>
        <v>0123299</v>
      </c>
      <c r="D1131" s="27">
        <v>1192</v>
      </c>
      <c r="E1131" s="25" t="s">
        <v>2784</v>
      </c>
      <c r="F1131" s="25" t="s">
        <v>5</v>
      </c>
      <c r="G1131" s="59" t="s">
        <v>2785</v>
      </c>
      <c r="H1131" s="60">
        <v>0</v>
      </c>
      <c r="I1131" s="60">
        <v>0</v>
      </c>
      <c r="J1131" s="60">
        <v>0</v>
      </c>
      <c r="K1131" s="60">
        <v>0</v>
      </c>
      <c r="L1131" s="60">
        <v>0</v>
      </c>
      <c r="M1131" s="60">
        <v>0</v>
      </c>
      <c r="N1131" s="60">
        <v>0</v>
      </c>
      <c r="O1131" s="60">
        <v>0</v>
      </c>
      <c r="P1131" s="60">
        <v>0</v>
      </c>
      <c r="Q1131" s="60">
        <v>0</v>
      </c>
      <c r="R1131" s="60">
        <v>0</v>
      </c>
      <c r="S1131" s="60">
        <v>0</v>
      </c>
      <c r="T1131" s="60">
        <v>0</v>
      </c>
      <c r="U1131" s="60">
        <v>0</v>
      </c>
      <c r="V1131" s="60">
        <v>0</v>
      </c>
      <c r="W1131" s="60">
        <v>0</v>
      </c>
      <c r="X1131" s="60">
        <v>0</v>
      </c>
      <c r="Y1131" s="60">
        <v>0</v>
      </c>
      <c r="Z1131" s="60">
        <v>0</v>
      </c>
      <c r="AA1131" s="60">
        <v>0</v>
      </c>
      <c r="AB1131" s="60">
        <v>0</v>
      </c>
      <c r="AC1131" s="60">
        <v>533.26</v>
      </c>
      <c r="AD1131" s="60">
        <v>534.59</v>
      </c>
      <c r="AE1131" s="60">
        <v>508.53</v>
      </c>
      <c r="AF1131" s="60">
        <v>0</v>
      </c>
      <c r="AG1131" s="60">
        <v>0</v>
      </c>
      <c r="AH1131" s="60">
        <v>0</v>
      </c>
      <c r="AI1131" s="60">
        <v>533.26</v>
      </c>
      <c r="AJ1131" s="60">
        <v>534.59</v>
      </c>
      <c r="AK1131" s="60">
        <v>508.53</v>
      </c>
      <c r="AL1131" s="60">
        <v>0</v>
      </c>
      <c r="AM1131" s="60">
        <v>0</v>
      </c>
      <c r="AN1131" s="60">
        <v>0</v>
      </c>
      <c r="AO1131" s="60">
        <v>533.26</v>
      </c>
      <c r="AP1131" s="60">
        <v>534.59</v>
      </c>
      <c r="AQ1131" s="60">
        <v>508.53</v>
      </c>
      <c r="AR1131" s="61">
        <v>534.59</v>
      </c>
    </row>
    <row r="1132" spans="1:44" x14ac:dyDescent="0.35">
      <c r="A1132" s="49" t="str">
        <f t="shared" si="98"/>
        <v>43</v>
      </c>
      <c r="B1132" s="27">
        <v>69450</v>
      </c>
      <c r="C1132" s="25" t="str">
        <f>TEXT(128108,"0000000")</f>
        <v>0128108</v>
      </c>
      <c r="D1132" s="27">
        <v>1526</v>
      </c>
      <c r="E1132" s="25" t="s">
        <v>2786</v>
      </c>
      <c r="F1132" s="25" t="s">
        <v>5</v>
      </c>
      <c r="G1132" s="59" t="s">
        <v>2787</v>
      </c>
      <c r="H1132" s="60">
        <v>0</v>
      </c>
      <c r="I1132" s="60">
        <v>0</v>
      </c>
      <c r="J1132" s="60">
        <v>0</v>
      </c>
      <c r="K1132" s="60">
        <v>0</v>
      </c>
      <c r="L1132" s="60">
        <v>0</v>
      </c>
      <c r="M1132" s="60">
        <v>0</v>
      </c>
      <c r="N1132" s="60">
        <v>0</v>
      </c>
      <c r="O1132" s="60">
        <v>0</v>
      </c>
      <c r="P1132" s="60">
        <v>0</v>
      </c>
      <c r="Q1132" s="60">
        <v>0</v>
      </c>
      <c r="R1132" s="60">
        <v>0</v>
      </c>
      <c r="S1132" s="60">
        <v>0</v>
      </c>
      <c r="T1132" s="60">
        <v>0</v>
      </c>
      <c r="U1132" s="60">
        <v>0</v>
      </c>
      <c r="V1132" s="60">
        <v>0</v>
      </c>
      <c r="W1132" s="60">
        <v>0</v>
      </c>
      <c r="X1132" s="60">
        <v>0</v>
      </c>
      <c r="Y1132" s="60">
        <v>0</v>
      </c>
      <c r="Z1132" s="60">
        <v>0</v>
      </c>
      <c r="AA1132" s="60">
        <v>0</v>
      </c>
      <c r="AB1132" s="60">
        <v>0</v>
      </c>
      <c r="AC1132" s="60">
        <v>508.26</v>
      </c>
      <c r="AD1132" s="60">
        <v>505.82</v>
      </c>
      <c r="AE1132" s="60">
        <v>516.09</v>
      </c>
      <c r="AF1132" s="60">
        <v>0</v>
      </c>
      <c r="AG1132" s="60">
        <v>0</v>
      </c>
      <c r="AH1132" s="60">
        <v>0</v>
      </c>
      <c r="AI1132" s="60">
        <v>508.26</v>
      </c>
      <c r="AJ1132" s="60">
        <v>505.82</v>
      </c>
      <c r="AK1132" s="60">
        <v>516.09</v>
      </c>
      <c r="AL1132" s="60">
        <v>0</v>
      </c>
      <c r="AM1132" s="60">
        <v>0</v>
      </c>
      <c r="AN1132" s="60">
        <v>0</v>
      </c>
      <c r="AO1132" s="60">
        <v>508.26</v>
      </c>
      <c r="AP1132" s="60">
        <v>505.82</v>
      </c>
      <c r="AQ1132" s="60">
        <v>516.09</v>
      </c>
      <c r="AR1132" s="61">
        <v>516.09</v>
      </c>
    </row>
    <row r="1133" spans="1:44" x14ac:dyDescent="0.35">
      <c r="A1133" s="49" t="str">
        <f t="shared" si="98"/>
        <v>43</v>
      </c>
      <c r="B1133" s="27">
        <v>69450</v>
      </c>
      <c r="C1133" s="25" t="str">
        <f>TEXT(129205,"0000000")</f>
        <v>0129205</v>
      </c>
      <c r="D1133" s="27">
        <v>1608</v>
      </c>
      <c r="E1133" s="25" t="s">
        <v>2788</v>
      </c>
      <c r="F1133" s="25" t="s">
        <v>5</v>
      </c>
      <c r="G1133" s="59" t="s">
        <v>2789</v>
      </c>
      <c r="H1133" s="60">
        <v>0</v>
      </c>
      <c r="I1133" s="60">
        <v>0</v>
      </c>
      <c r="J1133" s="60">
        <v>0</v>
      </c>
      <c r="K1133" s="60">
        <v>0</v>
      </c>
      <c r="L1133" s="60">
        <v>0</v>
      </c>
      <c r="M1133" s="60">
        <v>0</v>
      </c>
      <c r="N1133" s="60">
        <v>0</v>
      </c>
      <c r="O1133" s="60">
        <v>0</v>
      </c>
      <c r="P1133" s="60">
        <v>0</v>
      </c>
      <c r="Q1133" s="60">
        <v>0</v>
      </c>
      <c r="R1133" s="60">
        <v>0</v>
      </c>
      <c r="S1133" s="60">
        <v>0</v>
      </c>
      <c r="T1133" s="60">
        <v>0</v>
      </c>
      <c r="U1133" s="60">
        <v>0</v>
      </c>
      <c r="V1133" s="60">
        <v>0</v>
      </c>
      <c r="W1133" s="60">
        <v>0</v>
      </c>
      <c r="X1133" s="60">
        <v>0</v>
      </c>
      <c r="Y1133" s="60">
        <v>0</v>
      </c>
      <c r="Z1133" s="60">
        <v>0</v>
      </c>
      <c r="AA1133" s="60">
        <v>0</v>
      </c>
      <c r="AB1133" s="60">
        <v>0</v>
      </c>
      <c r="AC1133" s="60">
        <v>436.99</v>
      </c>
      <c r="AD1133" s="60">
        <v>423.79</v>
      </c>
      <c r="AE1133" s="60">
        <v>426.34</v>
      </c>
      <c r="AF1133" s="60">
        <v>0</v>
      </c>
      <c r="AG1133" s="60">
        <v>0</v>
      </c>
      <c r="AH1133" s="60">
        <v>0</v>
      </c>
      <c r="AI1133" s="60">
        <v>436.99</v>
      </c>
      <c r="AJ1133" s="60">
        <v>423.79</v>
      </c>
      <c r="AK1133" s="60">
        <v>426.34</v>
      </c>
      <c r="AL1133" s="60">
        <v>0</v>
      </c>
      <c r="AM1133" s="60">
        <v>0</v>
      </c>
      <c r="AN1133" s="60">
        <v>0</v>
      </c>
      <c r="AO1133" s="60">
        <v>436.99</v>
      </c>
      <c r="AP1133" s="60">
        <v>423.79</v>
      </c>
      <c r="AQ1133" s="60">
        <v>426.34</v>
      </c>
      <c r="AR1133" s="61">
        <v>436.99</v>
      </c>
    </row>
    <row r="1134" spans="1:44" x14ac:dyDescent="0.35">
      <c r="A1134" s="49" t="str">
        <f t="shared" si="98"/>
        <v>43</v>
      </c>
      <c r="B1134" s="27">
        <v>69450</v>
      </c>
      <c r="C1134" s="25" t="str">
        <f>TEXT(129247,"0000000")</f>
        <v>0129247</v>
      </c>
      <c r="D1134" s="27">
        <v>1545</v>
      </c>
      <c r="E1134" s="25" t="s">
        <v>2790</v>
      </c>
      <c r="F1134" s="25" t="s">
        <v>5</v>
      </c>
      <c r="G1134" s="59" t="s">
        <v>2791</v>
      </c>
      <c r="H1134" s="60">
        <v>0</v>
      </c>
      <c r="I1134" s="60">
        <v>0</v>
      </c>
      <c r="J1134" s="60">
        <v>0</v>
      </c>
      <c r="K1134" s="60">
        <v>0</v>
      </c>
      <c r="L1134" s="60">
        <v>0</v>
      </c>
      <c r="M1134" s="60">
        <v>0</v>
      </c>
      <c r="N1134" s="60">
        <v>0</v>
      </c>
      <c r="O1134" s="60">
        <v>0</v>
      </c>
      <c r="P1134" s="60">
        <v>0</v>
      </c>
      <c r="Q1134" s="60">
        <v>0</v>
      </c>
      <c r="R1134" s="60">
        <v>0</v>
      </c>
      <c r="S1134" s="60">
        <v>0</v>
      </c>
      <c r="T1134" s="60">
        <v>0</v>
      </c>
      <c r="U1134" s="60">
        <v>0</v>
      </c>
      <c r="V1134" s="60">
        <v>0</v>
      </c>
      <c r="W1134" s="60">
        <v>0</v>
      </c>
      <c r="X1134" s="60">
        <v>0</v>
      </c>
      <c r="Y1134" s="60">
        <v>0</v>
      </c>
      <c r="Z1134" s="60">
        <v>0</v>
      </c>
      <c r="AA1134" s="60">
        <v>0</v>
      </c>
      <c r="AB1134" s="60">
        <v>0</v>
      </c>
      <c r="AC1134" s="60">
        <v>214.5</v>
      </c>
      <c r="AD1134" s="60">
        <v>204.36</v>
      </c>
      <c r="AE1134" s="60">
        <v>198.19</v>
      </c>
      <c r="AF1134" s="60">
        <v>0</v>
      </c>
      <c r="AG1134" s="60">
        <v>0</v>
      </c>
      <c r="AH1134" s="60">
        <v>0</v>
      </c>
      <c r="AI1134" s="60">
        <v>214.5</v>
      </c>
      <c r="AJ1134" s="60">
        <v>204.36</v>
      </c>
      <c r="AK1134" s="60">
        <v>198.19</v>
      </c>
      <c r="AL1134" s="60">
        <v>0</v>
      </c>
      <c r="AM1134" s="60">
        <v>0</v>
      </c>
      <c r="AN1134" s="60">
        <v>0</v>
      </c>
      <c r="AO1134" s="60">
        <v>214.5</v>
      </c>
      <c r="AP1134" s="60">
        <v>204.36</v>
      </c>
      <c r="AQ1134" s="60">
        <v>198.19</v>
      </c>
      <c r="AR1134" s="61">
        <v>214.5</v>
      </c>
    </row>
    <row r="1135" spans="1:44" x14ac:dyDescent="0.35">
      <c r="A1135" s="49" t="str">
        <f t="shared" si="98"/>
        <v>43</v>
      </c>
      <c r="B1135" s="27">
        <v>69484</v>
      </c>
      <c r="C1135" s="25" t="str">
        <f>TEXT(123760,"0000000")</f>
        <v>0123760</v>
      </c>
      <c r="D1135" s="27">
        <v>1278</v>
      </c>
      <c r="E1135" s="25" t="s">
        <v>2796</v>
      </c>
      <c r="F1135" s="25" t="s">
        <v>5</v>
      </c>
      <c r="G1135" s="59" t="s">
        <v>2797</v>
      </c>
      <c r="H1135" s="60">
        <v>0</v>
      </c>
      <c r="I1135" s="60">
        <v>0</v>
      </c>
      <c r="J1135" s="60">
        <v>0</v>
      </c>
      <c r="K1135" s="60">
        <v>0</v>
      </c>
      <c r="L1135" s="60">
        <v>0</v>
      </c>
      <c r="M1135" s="60">
        <v>0</v>
      </c>
      <c r="N1135" s="60">
        <v>0</v>
      </c>
      <c r="O1135" s="60">
        <v>0</v>
      </c>
      <c r="P1135" s="60">
        <v>0</v>
      </c>
      <c r="Q1135" s="60">
        <v>0</v>
      </c>
      <c r="R1135" s="60">
        <v>0</v>
      </c>
      <c r="S1135" s="60">
        <v>0</v>
      </c>
      <c r="T1135" s="60">
        <v>0</v>
      </c>
      <c r="U1135" s="60">
        <v>0</v>
      </c>
      <c r="V1135" s="60">
        <v>0</v>
      </c>
      <c r="W1135" s="60">
        <v>0</v>
      </c>
      <c r="X1135" s="60">
        <v>0</v>
      </c>
      <c r="Y1135" s="60">
        <v>0</v>
      </c>
      <c r="Z1135" s="60">
        <v>0</v>
      </c>
      <c r="AA1135" s="60">
        <v>0</v>
      </c>
      <c r="AB1135" s="60">
        <v>0</v>
      </c>
      <c r="AC1135" s="60">
        <v>512.41</v>
      </c>
      <c r="AD1135" s="60">
        <v>498.03</v>
      </c>
      <c r="AE1135" s="60">
        <v>508.72</v>
      </c>
      <c r="AF1135" s="60">
        <v>0</v>
      </c>
      <c r="AG1135" s="60">
        <v>0</v>
      </c>
      <c r="AH1135" s="60">
        <v>0</v>
      </c>
      <c r="AI1135" s="60">
        <v>512.41</v>
      </c>
      <c r="AJ1135" s="60">
        <v>498.03</v>
      </c>
      <c r="AK1135" s="60">
        <v>508.72</v>
      </c>
      <c r="AL1135" s="60">
        <v>0</v>
      </c>
      <c r="AM1135" s="60">
        <v>0</v>
      </c>
      <c r="AN1135" s="60">
        <v>0</v>
      </c>
      <c r="AO1135" s="60">
        <v>512.41</v>
      </c>
      <c r="AP1135" s="60">
        <v>498.03</v>
      </c>
      <c r="AQ1135" s="60">
        <v>508.72</v>
      </c>
      <c r="AR1135" s="61">
        <v>512.41</v>
      </c>
    </row>
    <row r="1136" spans="1:44" x14ac:dyDescent="0.35">
      <c r="A1136" s="49" t="str">
        <f>TEXT(1,"00")</f>
        <v>01</v>
      </c>
      <c r="B1136" s="27">
        <v>61259</v>
      </c>
      <c r="C1136" s="25" t="str">
        <f>TEXT(6117568,"0000000")</f>
        <v>6117568</v>
      </c>
      <c r="D1136" s="26" t="s">
        <v>144</v>
      </c>
      <c r="E1136" s="25" t="s">
        <v>142</v>
      </c>
      <c r="F1136" s="25" t="s">
        <v>5</v>
      </c>
      <c r="G1136" s="59" t="s">
        <v>143</v>
      </c>
      <c r="H1136" s="60">
        <v>0</v>
      </c>
      <c r="I1136" s="60">
        <v>0</v>
      </c>
      <c r="J1136" s="60">
        <v>0</v>
      </c>
      <c r="K1136" s="60">
        <v>0</v>
      </c>
      <c r="L1136" s="60">
        <v>0</v>
      </c>
      <c r="M1136" s="60">
        <v>0</v>
      </c>
      <c r="N1136" s="60">
        <v>0</v>
      </c>
      <c r="O1136" s="60">
        <v>0</v>
      </c>
      <c r="P1136" s="60">
        <v>0</v>
      </c>
      <c r="Q1136" s="60">
        <v>0</v>
      </c>
      <c r="R1136" s="60">
        <v>0</v>
      </c>
      <c r="S1136" s="60">
        <v>0</v>
      </c>
      <c r="T1136" s="60">
        <v>0</v>
      </c>
      <c r="U1136" s="60">
        <v>0</v>
      </c>
      <c r="V1136" s="60">
        <v>0</v>
      </c>
      <c r="W1136" s="60">
        <v>0</v>
      </c>
      <c r="X1136" s="60">
        <v>0</v>
      </c>
      <c r="Y1136" s="60">
        <v>0</v>
      </c>
      <c r="Z1136" s="60">
        <v>0</v>
      </c>
      <c r="AA1136" s="60">
        <v>0</v>
      </c>
      <c r="AB1136" s="60">
        <v>0</v>
      </c>
      <c r="AC1136" s="60">
        <v>370.95</v>
      </c>
      <c r="AD1136" s="60">
        <v>354.87</v>
      </c>
      <c r="AE1136" s="60">
        <v>348.59</v>
      </c>
      <c r="AF1136" s="60">
        <v>0</v>
      </c>
      <c r="AG1136" s="60">
        <v>0</v>
      </c>
      <c r="AH1136" s="60">
        <v>0</v>
      </c>
      <c r="AI1136" s="60">
        <v>370.95</v>
      </c>
      <c r="AJ1136" s="60">
        <v>354.87</v>
      </c>
      <c r="AK1136" s="60">
        <v>348.59</v>
      </c>
      <c r="AL1136" s="60">
        <v>0</v>
      </c>
      <c r="AM1136" s="60">
        <v>0</v>
      </c>
      <c r="AN1136" s="60">
        <v>0</v>
      </c>
      <c r="AO1136" s="60">
        <v>370.95</v>
      </c>
      <c r="AP1136" s="60">
        <v>354.87</v>
      </c>
      <c r="AQ1136" s="60">
        <v>348.59</v>
      </c>
      <c r="AR1136" s="61">
        <v>370.95</v>
      </c>
    </row>
    <row r="1137" spans="1:44" x14ac:dyDescent="0.35">
      <c r="A1137" s="49" t="str">
        <f>TEXT(43,"00")</f>
        <v>43</v>
      </c>
      <c r="B1137" s="27">
        <v>69666</v>
      </c>
      <c r="C1137" s="25" t="str">
        <f>TEXT(129718,"0000000")</f>
        <v>0129718</v>
      </c>
      <c r="D1137" s="27">
        <v>1623</v>
      </c>
      <c r="E1137" s="25" t="s">
        <v>2829</v>
      </c>
      <c r="F1137" s="25" t="s">
        <v>5</v>
      </c>
      <c r="G1137" s="59" t="s">
        <v>2830</v>
      </c>
      <c r="H1137" s="60">
        <v>0</v>
      </c>
      <c r="I1137" s="60">
        <v>0</v>
      </c>
      <c r="J1137" s="60">
        <v>0</v>
      </c>
      <c r="K1137" s="60">
        <v>0</v>
      </c>
      <c r="L1137" s="60">
        <v>0</v>
      </c>
      <c r="M1137" s="60">
        <v>0</v>
      </c>
      <c r="N1137" s="60">
        <v>0</v>
      </c>
      <c r="O1137" s="60">
        <v>0</v>
      </c>
      <c r="P1137" s="60">
        <v>0</v>
      </c>
      <c r="Q1137" s="60">
        <v>0</v>
      </c>
      <c r="R1137" s="60">
        <v>0</v>
      </c>
      <c r="S1137" s="60">
        <v>0</v>
      </c>
      <c r="T1137" s="60">
        <v>0</v>
      </c>
      <c r="U1137" s="60">
        <v>0</v>
      </c>
      <c r="V1137" s="60">
        <v>0</v>
      </c>
      <c r="W1137" s="60">
        <v>0</v>
      </c>
      <c r="X1137" s="60">
        <v>0</v>
      </c>
      <c r="Y1137" s="60">
        <v>0</v>
      </c>
      <c r="Z1137" s="60">
        <v>0</v>
      </c>
      <c r="AA1137" s="60">
        <v>0</v>
      </c>
      <c r="AB1137" s="60">
        <v>0</v>
      </c>
      <c r="AC1137" s="60">
        <v>217.33</v>
      </c>
      <c r="AD1137" s="60">
        <v>256.68</v>
      </c>
      <c r="AE1137" s="60">
        <v>369.98</v>
      </c>
      <c r="AF1137" s="60">
        <v>0</v>
      </c>
      <c r="AG1137" s="60">
        <v>0</v>
      </c>
      <c r="AH1137" s="60">
        <v>0</v>
      </c>
      <c r="AI1137" s="60">
        <v>217.33</v>
      </c>
      <c r="AJ1137" s="60">
        <v>256.68</v>
      </c>
      <c r="AK1137" s="60">
        <v>369.98</v>
      </c>
      <c r="AL1137" s="60">
        <v>0</v>
      </c>
      <c r="AM1137" s="60">
        <v>0</v>
      </c>
      <c r="AN1137" s="60">
        <v>0</v>
      </c>
      <c r="AO1137" s="60">
        <v>217.33</v>
      </c>
      <c r="AP1137" s="60">
        <v>256.68</v>
      </c>
      <c r="AQ1137" s="60">
        <v>369.98</v>
      </c>
      <c r="AR1137" s="61">
        <v>369.98</v>
      </c>
    </row>
    <row r="1138" spans="1:44" x14ac:dyDescent="0.35">
      <c r="A1138" s="49" t="str">
        <f>TEXT(43,"00")</f>
        <v>43</v>
      </c>
      <c r="B1138" s="27">
        <v>69666</v>
      </c>
      <c r="C1138" s="25" t="str">
        <f>TEXT(131656,"0000000")</f>
        <v>0131656</v>
      </c>
      <c r="D1138" s="27">
        <v>1546</v>
      </c>
      <c r="E1138" s="25" t="s">
        <v>2831</v>
      </c>
      <c r="F1138" s="25" t="s">
        <v>5</v>
      </c>
      <c r="G1138" s="59" t="s">
        <v>2832</v>
      </c>
      <c r="H1138" s="60">
        <v>0</v>
      </c>
      <c r="I1138" s="60">
        <v>0</v>
      </c>
      <c r="J1138" s="60">
        <v>0</v>
      </c>
      <c r="K1138" s="60">
        <v>0</v>
      </c>
      <c r="L1138" s="60">
        <v>0</v>
      </c>
      <c r="M1138" s="60">
        <v>0</v>
      </c>
      <c r="N1138" s="60">
        <v>0</v>
      </c>
      <c r="O1138" s="60">
        <v>0</v>
      </c>
      <c r="P1138" s="60">
        <v>0</v>
      </c>
      <c r="Q1138" s="60">
        <v>0</v>
      </c>
      <c r="R1138" s="60">
        <v>0</v>
      </c>
      <c r="S1138" s="60">
        <v>0</v>
      </c>
      <c r="T1138" s="60">
        <v>0</v>
      </c>
      <c r="U1138" s="60">
        <v>0</v>
      </c>
      <c r="V1138" s="60">
        <v>0</v>
      </c>
      <c r="W1138" s="60">
        <v>0</v>
      </c>
      <c r="X1138" s="60">
        <v>0</v>
      </c>
      <c r="Y1138" s="60">
        <v>0</v>
      </c>
      <c r="Z1138" s="60">
        <v>0</v>
      </c>
      <c r="AA1138" s="60">
        <v>0</v>
      </c>
      <c r="AB1138" s="60">
        <v>0</v>
      </c>
      <c r="AC1138" s="60">
        <v>203.57</v>
      </c>
      <c r="AD1138" s="60">
        <v>218.83</v>
      </c>
      <c r="AE1138" s="60">
        <v>206.96</v>
      </c>
      <c r="AF1138" s="60">
        <v>0</v>
      </c>
      <c r="AG1138" s="60">
        <v>0</v>
      </c>
      <c r="AH1138" s="60">
        <v>0</v>
      </c>
      <c r="AI1138" s="60">
        <v>203.57</v>
      </c>
      <c r="AJ1138" s="60">
        <v>218.83</v>
      </c>
      <c r="AK1138" s="60">
        <v>206.96</v>
      </c>
      <c r="AL1138" s="60">
        <v>0</v>
      </c>
      <c r="AM1138" s="60">
        <v>0</v>
      </c>
      <c r="AN1138" s="60">
        <v>0</v>
      </c>
      <c r="AO1138" s="60">
        <v>203.57</v>
      </c>
      <c r="AP1138" s="60">
        <v>218.83</v>
      </c>
      <c r="AQ1138" s="60">
        <v>206.96</v>
      </c>
      <c r="AR1138" s="61">
        <v>218.83</v>
      </c>
    </row>
    <row r="1139" spans="1:44" x14ac:dyDescent="0.35">
      <c r="A1139" s="49" t="str">
        <f>TEXT(43,"00")</f>
        <v>43</v>
      </c>
      <c r="B1139" s="27">
        <v>69666</v>
      </c>
      <c r="C1139" s="25" t="str">
        <f>TEXT(4330585,"0000000")</f>
        <v>4330585</v>
      </c>
      <c r="D1139" s="26" t="s">
        <v>2835</v>
      </c>
      <c r="E1139" s="25" t="s">
        <v>2833</v>
      </c>
      <c r="F1139" s="25" t="s">
        <v>5</v>
      </c>
      <c r="G1139" s="59" t="s">
        <v>2834</v>
      </c>
      <c r="H1139" s="60">
        <v>0</v>
      </c>
      <c r="I1139" s="60">
        <v>0</v>
      </c>
      <c r="J1139" s="60">
        <v>0</v>
      </c>
      <c r="K1139" s="60">
        <v>0</v>
      </c>
      <c r="L1139" s="60">
        <v>0</v>
      </c>
      <c r="M1139" s="60">
        <v>0</v>
      </c>
      <c r="N1139" s="60">
        <v>0</v>
      </c>
      <c r="O1139" s="60">
        <v>0</v>
      </c>
      <c r="P1139" s="60">
        <v>0</v>
      </c>
      <c r="Q1139" s="60">
        <v>0</v>
      </c>
      <c r="R1139" s="60">
        <v>0</v>
      </c>
      <c r="S1139" s="60">
        <v>0</v>
      </c>
      <c r="T1139" s="60">
        <v>0</v>
      </c>
      <c r="U1139" s="60">
        <v>0</v>
      </c>
      <c r="V1139" s="60">
        <v>0</v>
      </c>
      <c r="W1139" s="60">
        <v>0</v>
      </c>
      <c r="X1139" s="60">
        <v>0</v>
      </c>
      <c r="Y1139" s="60">
        <v>0</v>
      </c>
      <c r="Z1139" s="60">
        <v>0</v>
      </c>
      <c r="AA1139" s="60">
        <v>0</v>
      </c>
      <c r="AB1139" s="60">
        <v>0</v>
      </c>
      <c r="AC1139" s="60">
        <v>413.23</v>
      </c>
      <c r="AD1139" s="60">
        <v>446.24</v>
      </c>
      <c r="AE1139" s="60">
        <v>484.9</v>
      </c>
      <c r="AF1139" s="60">
        <v>0</v>
      </c>
      <c r="AG1139" s="60">
        <v>0</v>
      </c>
      <c r="AH1139" s="60">
        <v>0</v>
      </c>
      <c r="AI1139" s="60">
        <v>413.23</v>
      </c>
      <c r="AJ1139" s="60">
        <v>446.24</v>
      </c>
      <c r="AK1139" s="60">
        <v>484.9</v>
      </c>
      <c r="AL1139" s="60">
        <v>0</v>
      </c>
      <c r="AM1139" s="60">
        <v>0</v>
      </c>
      <c r="AN1139" s="60">
        <v>0</v>
      </c>
      <c r="AO1139" s="60">
        <v>413.23</v>
      </c>
      <c r="AP1139" s="60">
        <v>446.24</v>
      </c>
      <c r="AQ1139" s="60">
        <v>484.9</v>
      </c>
      <c r="AR1139" s="61">
        <v>484.9</v>
      </c>
    </row>
    <row r="1140" spans="1:44" x14ac:dyDescent="0.35">
      <c r="A1140" s="49" t="str">
        <f>TEXT(43,"00")</f>
        <v>43</v>
      </c>
      <c r="B1140" s="27">
        <v>77149</v>
      </c>
      <c r="C1140" s="25" t="str">
        <f>TEXT(137315,"0000000")</f>
        <v>0137315</v>
      </c>
      <c r="D1140" s="27">
        <v>1955</v>
      </c>
      <c r="E1140" s="25" t="s">
        <v>2848</v>
      </c>
      <c r="F1140" s="25" t="s">
        <v>5</v>
      </c>
      <c r="G1140" s="59" t="s">
        <v>2849</v>
      </c>
      <c r="H1140" s="60">
        <v>0</v>
      </c>
      <c r="I1140" s="60">
        <v>0</v>
      </c>
      <c r="J1140" s="60">
        <v>0</v>
      </c>
      <c r="K1140" s="60">
        <v>0</v>
      </c>
      <c r="L1140" s="60">
        <v>0</v>
      </c>
      <c r="M1140" s="60">
        <v>0</v>
      </c>
      <c r="N1140" s="60">
        <v>0</v>
      </c>
      <c r="O1140" s="60">
        <v>0</v>
      </c>
      <c r="P1140" s="60">
        <v>0</v>
      </c>
      <c r="Q1140" s="60">
        <v>0</v>
      </c>
      <c r="R1140" s="60">
        <v>0</v>
      </c>
      <c r="S1140" s="60">
        <v>0</v>
      </c>
      <c r="T1140" s="60">
        <v>0</v>
      </c>
      <c r="U1140" s="60">
        <v>0</v>
      </c>
      <c r="V1140" s="60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v>288.08999999999997</v>
      </c>
      <c r="AD1140" s="60">
        <v>314.33</v>
      </c>
      <c r="AE1140" s="60">
        <v>331.12</v>
      </c>
      <c r="AF1140" s="60">
        <v>0</v>
      </c>
      <c r="AG1140" s="60">
        <v>0</v>
      </c>
      <c r="AH1140" s="60">
        <v>0</v>
      </c>
      <c r="AI1140" s="60">
        <v>288.08999999999997</v>
      </c>
      <c r="AJ1140" s="60">
        <v>314.33</v>
      </c>
      <c r="AK1140" s="60">
        <v>331.12</v>
      </c>
      <c r="AL1140" s="60">
        <v>0</v>
      </c>
      <c r="AM1140" s="60">
        <v>0</v>
      </c>
      <c r="AN1140" s="60">
        <v>0</v>
      </c>
      <c r="AO1140" s="60">
        <v>288.08999999999997</v>
      </c>
      <c r="AP1140" s="60">
        <v>314.33</v>
      </c>
      <c r="AQ1140" s="60">
        <v>331.12</v>
      </c>
      <c r="AR1140" s="61">
        <v>331.12</v>
      </c>
    </row>
    <row r="1141" spans="1:44" x14ac:dyDescent="0.35">
      <c r="A1141" s="49" t="str">
        <f>TEXT(44,"00")</f>
        <v>44</v>
      </c>
      <c r="B1141" s="27">
        <v>69799</v>
      </c>
      <c r="C1141" s="25" t="str">
        <f>TEXT(117804,"0000000")</f>
        <v>0117804</v>
      </c>
      <c r="D1141" s="27">
        <v>1004</v>
      </c>
      <c r="E1141" s="25" t="s">
        <v>2867</v>
      </c>
      <c r="F1141" s="25" t="s">
        <v>5</v>
      </c>
      <c r="G1141" s="59" t="s">
        <v>2868</v>
      </c>
      <c r="H1141" s="60">
        <v>0</v>
      </c>
      <c r="I1141" s="60">
        <v>0</v>
      </c>
      <c r="J1141" s="60">
        <v>0</v>
      </c>
      <c r="K1141" s="60">
        <v>0</v>
      </c>
      <c r="L1141" s="60">
        <v>0</v>
      </c>
      <c r="M1141" s="60">
        <v>0</v>
      </c>
      <c r="N1141" s="60">
        <v>0</v>
      </c>
      <c r="O1141" s="60">
        <v>0</v>
      </c>
      <c r="P1141" s="60">
        <v>0</v>
      </c>
      <c r="Q1141" s="60">
        <v>0</v>
      </c>
      <c r="R1141" s="60">
        <v>0</v>
      </c>
      <c r="S1141" s="60">
        <v>0</v>
      </c>
      <c r="T1141" s="60">
        <v>0</v>
      </c>
      <c r="U1141" s="60">
        <v>0</v>
      </c>
      <c r="V1141" s="60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v>478.23</v>
      </c>
      <c r="AD1141" s="60">
        <v>471.53</v>
      </c>
      <c r="AE1141" s="60">
        <v>481.38</v>
      </c>
      <c r="AF1141" s="60">
        <v>0</v>
      </c>
      <c r="AG1141" s="60">
        <v>0</v>
      </c>
      <c r="AH1141" s="60">
        <v>0</v>
      </c>
      <c r="AI1141" s="60">
        <v>478.23</v>
      </c>
      <c r="AJ1141" s="60">
        <v>471.53</v>
      </c>
      <c r="AK1141" s="60">
        <v>481.38</v>
      </c>
      <c r="AL1141" s="60">
        <v>0</v>
      </c>
      <c r="AM1141" s="60">
        <v>0</v>
      </c>
      <c r="AN1141" s="60">
        <v>0</v>
      </c>
      <c r="AO1141" s="60">
        <v>478.23</v>
      </c>
      <c r="AP1141" s="60">
        <v>471.53</v>
      </c>
      <c r="AQ1141" s="60">
        <v>481.38</v>
      </c>
      <c r="AR1141" s="61">
        <v>481.38</v>
      </c>
    </row>
    <row r="1142" spans="1:44" x14ac:dyDescent="0.35">
      <c r="A1142" s="49" t="str">
        <f>TEXT(44,"00")</f>
        <v>44</v>
      </c>
      <c r="B1142" s="27">
        <v>75432</v>
      </c>
      <c r="C1142" s="25" t="str">
        <f>TEXT(139410,"0000000")</f>
        <v>0139410</v>
      </c>
      <c r="D1142" s="27">
        <v>2056</v>
      </c>
      <c r="E1142" s="25" t="s">
        <v>2881</v>
      </c>
      <c r="F1142" s="25" t="s">
        <v>5</v>
      </c>
      <c r="G1142" s="59" t="s">
        <v>2882</v>
      </c>
      <c r="H1142" s="60">
        <v>0</v>
      </c>
      <c r="I1142" s="60">
        <v>0</v>
      </c>
      <c r="J1142" s="60">
        <v>0</v>
      </c>
      <c r="K1142" s="60">
        <v>0</v>
      </c>
      <c r="L1142" s="60">
        <v>0</v>
      </c>
      <c r="M1142" s="60">
        <v>0</v>
      </c>
      <c r="N1142" s="60">
        <v>0</v>
      </c>
      <c r="O1142" s="60">
        <v>0</v>
      </c>
      <c r="P1142" s="60">
        <v>0</v>
      </c>
      <c r="Q1142" s="60">
        <v>0</v>
      </c>
      <c r="R1142" s="60">
        <v>0</v>
      </c>
      <c r="S1142" s="60">
        <v>0</v>
      </c>
      <c r="T1142" s="60">
        <v>0</v>
      </c>
      <c r="U1142" s="60">
        <v>0</v>
      </c>
      <c r="V1142" s="60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v>559.53</v>
      </c>
      <c r="AD1142" s="60">
        <v>458.21</v>
      </c>
      <c r="AE1142" s="60">
        <v>435.93</v>
      </c>
      <c r="AF1142" s="60">
        <v>0</v>
      </c>
      <c r="AG1142" s="60">
        <v>0</v>
      </c>
      <c r="AH1142" s="60">
        <v>0</v>
      </c>
      <c r="AI1142" s="60">
        <v>559.53</v>
      </c>
      <c r="AJ1142" s="60">
        <v>458.21</v>
      </c>
      <c r="AK1142" s="60">
        <v>435.93</v>
      </c>
      <c r="AL1142" s="60">
        <v>0</v>
      </c>
      <c r="AM1142" s="60">
        <v>0</v>
      </c>
      <c r="AN1142" s="60">
        <v>0</v>
      </c>
      <c r="AO1142" s="60">
        <v>559.53</v>
      </c>
      <c r="AP1142" s="60">
        <v>458.21</v>
      </c>
      <c r="AQ1142" s="60">
        <v>435.93</v>
      </c>
      <c r="AR1142" s="61">
        <v>559.53</v>
      </c>
    </row>
    <row r="1143" spans="1:44" x14ac:dyDescent="0.35">
      <c r="A1143" s="49" t="str">
        <f>TEXT(44,"00")</f>
        <v>44</v>
      </c>
      <c r="B1143" s="27">
        <v>77248</v>
      </c>
      <c r="C1143" s="25" t="str">
        <f>TEXT(138909,"0000000")</f>
        <v>0138909</v>
      </c>
      <c r="D1143" s="27">
        <v>2032</v>
      </c>
      <c r="E1143" s="25" t="s">
        <v>2883</v>
      </c>
      <c r="F1143" s="25" t="s">
        <v>5</v>
      </c>
      <c r="G1143" s="59" t="s">
        <v>2884</v>
      </c>
      <c r="H1143" s="60">
        <v>0</v>
      </c>
      <c r="I1143" s="60">
        <v>0</v>
      </c>
      <c r="J1143" s="60">
        <v>0</v>
      </c>
      <c r="K1143" s="60">
        <v>0</v>
      </c>
      <c r="L1143" s="60">
        <v>0</v>
      </c>
      <c r="M1143" s="60">
        <v>0</v>
      </c>
      <c r="N1143" s="60">
        <v>0</v>
      </c>
      <c r="O1143" s="60">
        <v>0</v>
      </c>
      <c r="P1143" s="60">
        <v>0</v>
      </c>
      <c r="Q1143" s="60">
        <v>0</v>
      </c>
      <c r="R1143" s="60">
        <v>0</v>
      </c>
      <c r="S1143" s="60">
        <v>0</v>
      </c>
      <c r="T1143" s="60">
        <v>0</v>
      </c>
      <c r="U1143" s="60">
        <v>0</v>
      </c>
      <c r="V1143" s="60">
        <v>0</v>
      </c>
      <c r="W1143" s="60">
        <v>0</v>
      </c>
      <c r="X1143" s="60">
        <v>0</v>
      </c>
      <c r="Y1143" s="60">
        <v>0</v>
      </c>
      <c r="Z1143" s="60">
        <v>0</v>
      </c>
      <c r="AA1143" s="60">
        <v>0</v>
      </c>
      <c r="AB1143" s="60">
        <v>0</v>
      </c>
      <c r="AC1143" s="60">
        <v>417.32</v>
      </c>
      <c r="AD1143" s="60">
        <v>346.1</v>
      </c>
      <c r="AE1143" s="60">
        <v>279.93</v>
      </c>
      <c r="AF1143" s="60">
        <v>0</v>
      </c>
      <c r="AG1143" s="60">
        <v>0</v>
      </c>
      <c r="AH1143" s="60">
        <v>0</v>
      </c>
      <c r="AI1143" s="60">
        <v>417.32</v>
      </c>
      <c r="AJ1143" s="60">
        <v>346.1</v>
      </c>
      <c r="AK1143" s="60">
        <v>279.93</v>
      </c>
      <c r="AL1143" s="60">
        <v>0</v>
      </c>
      <c r="AM1143" s="60">
        <v>0</v>
      </c>
      <c r="AN1143" s="60">
        <v>0</v>
      </c>
      <c r="AO1143" s="60">
        <v>417.32</v>
      </c>
      <c r="AP1143" s="60">
        <v>346.1</v>
      </c>
      <c r="AQ1143" s="60">
        <v>279.93</v>
      </c>
      <c r="AR1143" s="61">
        <v>417.32</v>
      </c>
    </row>
    <row r="1144" spans="1:44" x14ac:dyDescent="0.35">
      <c r="A1144" s="49" t="str">
        <f>TEXT(45,"00")</f>
        <v>45</v>
      </c>
      <c r="B1144" s="27">
        <v>10454</v>
      </c>
      <c r="C1144" s="25" t="str">
        <f>TEXT(111674,"0000000")</f>
        <v>0111674</v>
      </c>
      <c r="D1144" s="26" t="s">
        <v>2889</v>
      </c>
      <c r="E1144" s="25" t="s">
        <v>2887</v>
      </c>
      <c r="F1144" s="25" t="s">
        <v>5</v>
      </c>
      <c r="G1144" s="59" t="s">
        <v>2888</v>
      </c>
      <c r="H1144" s="60">
        <v>0</v>
      </c>
      <c r="I1144" s="60">
        <v>0</v>
      </c>
      <c r="J1144" s="60">
        <v>0</v>
      </c>
      <c r="K1144" s="60">
        <v>0</v>
      </c>
      <c r="L1144" s="60">
        <v>0</v>
      </c>
      <c r="M1144" s="60">
        <v>0</v>
      </c>
      <c r="N1144" s="60">
        <v>0</v>
      </c>
      <c r="O1144" s="60">
        <v>0</v>
      </c>
      <c r="P1144" s="60">
        <v>0</v>
      </c>
      <c r="Q1144" s="60">
        <v>0</v>
      </c>
      <c r="R1144" s="60">
        <v>0</v>
      </c>
      <c r="S1144" s="60">
        <v>0</v>
      </c>
      <c r="T1144" s="60">
        <v>0</v>
      </c>
      <c r="U1144" s="60">
        <v>0</v>
      </c>
      <c r="V1144" s="60">
        <v>0</v>
      </c>
      <c r="W1144" s="60">
        <v>0</v>
      </c>
      <c r="X1144" s="60">
        <v>0</v>
      </c>
      <c r="Y1144" s="60">
        <v>0</v>
      </c>
      <c r="Z1144" s="60">
        <v>218.75</v>
      </c>
      <c r="AA1144" s="60">
        <v>224.1</v>
      </c>
      <c r="AB1144" s="60">
        <v>206.89</v>
      </c>
      <c r="AC1144" s="60">
        <v>0</v>
      </c>
      <c r="AD1144" s="60">
        <v>0</v>
      </c>
      <c r="AE1144" s="60">
        <v>0</v>
      </c>
      <c r="AF1144" s="60">
        <v>0</v>
      </c>
      <c r="AG1144" s="60">
        <v>0</v>
      </c>
      <c r="AH1144" s="60">
        <v>0</v>
      </c>
      <c r="AI1144" s="60">
        <v>218.75</v>
      </c>
      <c r="AJ1144" s="60">
        <v>224.1</v>
      </c>
      <c r="AK1144" s="60">
        <v>206.89</v>
      </c>
      <c r="AL1144" s="60">
        <v>0</v>
      </c>
      <c r="AM1144" s="60">
        <v>0</v>
      </c>
      <c r="AN1144" s="60">
        <v>0</v>
      </c>
      <c r="AO1144" s="60">
        <v>218.75</v>
      </c>
      <c r="AP1144" s="60">
        <v>224.1</v>
      </c>
      <c r="AQ1144" s="60">
        <v>206.89</v>
      </c>
      <c r="AR1144" s="61">
        <v>224.1</v>
      </c>
    </row>
    <row r="1145" spans="1:44" x14ac:dyDescent="0.35">
      <c r="A1145" s="49" t="str">
        <f>TEXT(45,"00")</f>
        <v>45</v>
      </c>
      <c r="B1145" s="27">
        <v>10454</v>
      </c>
      <c r="C1145" s="25" t="str">
        <f>TEXT(132944,"0000000")</f>
        <v>0132944</v>
      </c>
      <c r="D1145" s="27">
        <v>1770</v>
      </c>
      <c r="E1145" s="25" t="s">
        <v>2892</v>
      </c>
      <c r="F1145" s="25" t="s">
        <v>5</v>
      </c>
      <c r="G1145" s="59" t="s">
        <v>2893</v>
      </c>
      <c r="H1145" s="60">
        <v>0</v>
      </c>
      <c r="I1145" s="60">
        <v>0</v>
      </c>
      <c r="J1145" s="60">
        <v>0</v>
      </c>
      <c r="K1145" s="60">
        <v>0</v>
      </c>
      <c r="L1145" s="60">
        <v>0</v>
      </c>
      <c r="M1145" s="60">
        <v>0</v>
      </c>
      <c r="N1145" s="60">
        <v>0</v>
      </c>
      <c r="O1145" s="60">
        <v>0</v>
      </c>
      <c r="P1145" s="60">
        <v>0</v>
      </c>
      <c r="Q1145" s="60">
        <v>0</v>
      </c>
      <c r="R1145" s="60">
        <v>0</v>
      </c>
      <c r="S1145" s="60">
        <v>0</v>
      </c>
      <c r="T1145" s="60">
        <v>0</v>
      </c>
      <c r="U1145" s="60">
        <v>0</v>
      </c>
      <c r="V1145" s="60">
        <v>0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v>222.04</v>
      </c>
      <c r="AD1145" s="60">
        <v>223.15</v>
      </c>
      <c r="AE1145" s="60">
        <v>209.7</v>
      </c>
      <c r="AF1145" s="60">
        <v>0</v>
      </c>
      <c r="AG1145" s="60">
        <v>0</v>
      </c>
      <c r="AH1145" s="60">
        <v>0</v>
      </c>
      <c r="AI1145" s="60">
        <v>222.04</v>
      </c>
      <c r="AJ1145" s="60">
        <v>223.15</v>
      </c>
      <c r="AK1145" s="60">
        <v>209.7</v>
      </c>
      <c r="AL1145" s="60">
        <v>0</v>
      </c>
      <c r="AM1145" s="60">
        <v>0</v>
      </c>
      <c r="AN1145" s="60">
        <v>0</v>
      </c>
      <c r="AO1145" s="60">
        <v>222.04</v>
      </c>
      <c r="AP1145" s="60">
        <v>223.15</v>
      </c>
      <c r="AQ1145" s="60">
        <v>209.7</v>
      </c>
      <c r="AR1145" s="61">
        <v>223.15</v>
      </c>
    </row>
    <row r="1146" spans="1:44" x14ac:dyDescent="0.35">
      <c r="A1146" s="49" t="str">
        <f>TEXT(1,"00")</f>
        <v>01</v>
      </c>
      <c r="B1146" s="27">
        <v>61259</v>
      </c>
      <c r="C1146" s="25" t="str">
        <f>TEXT(6118608,"0000000")</f>
        <v>6118608</v>
      </c>
      <c r="D1146" s="27">
        <v>1443</v>
      </c>
      <c r="E1146" s="25" t="s">
        <v>145</v>
      </c>
      <c r="F1146" s="25" t="s">
        <v>5</v>
      </c>
      <c r="G1146" s="59" t="s">
        <v>146</v>
      </c>
      <c r="H1146" s="60">
        <v>0</v>
      </c>
      <c r="I1146" s="60">
        <v>0</v>
      </c>
      <c r="J1146" s="60">
        <v>0</v>
      </c>
      <c r="K1146" s="60">
        <v>0</v>
      </c>
      <c r="L1146" s="60">
        <v>0</v>
      </c>
      <c r="M1146" s="60">
        <v>0</v>
      </c>
      <c r="N1146" s="60">
        <v>0</v>
      </c>
      <c r="O1146" s="60">
        <v>0</v>
      </c>
      <c r="P1146" s="60">
        <v>0</v>
      </c>
      <c r="Q1146" s="60">
        <v>0</v>
      </c>
      <c r="R1146" s="60">
        <v>0</v>
      </c>
      <c r="S1146" s="60">
        <v>0</v>
      </c>
      <c r="T1146" s="60">
        <v>0</v>
      </c>
      <c r="U1146" s="60">
        <v>0</v>
      </c>
      <c r="V1146" s="60">
        <v>0</v>
      </c>
      <c r="W1146" s="60">
        <v>0</v>
      </c>
      <c r="X1146" s="60">
        <v>0</v>
      </c>
      <c r="Y1146" s="60">
        <v>0</v>
      </c>
      <c r="Z1146" s="60">
        <v>0</v>
      </c>
      <c r="AA1146" s="60">
        <v>0</v>
      </c>
      <c r="AB1146" s="60">
        <v>0</v>
      </c>
      <c r="AC1146" s="60">
        <v>447.06</v>
      </c>
      <c r="AD1146" s="60">
        <v>447.76</v>
      </c>
      <c r="AE1146" s="60">
        <v>455.32</v>
      </c>
      <c r="AF1146" s="60">
        <v>0</v>
      </c>
      <c r="AG1146" s="60">
        <v>0</v>
      </c>
      <c r="AH1146" s="60">
        <v>0</v>
      </c>
      <c r="AI1146" s="60">
        <v>447.06</v>
      </c>
      <c r="AJ1146" s="60">
        <v>447.76</v>
      </c>
      <c r="AK1146" s="60">
        <v>455.32</v>
      </c>
      <c r="AL1146" s="60">
        <v>0</v>
      </c>
      <c r="AM1146" s="60">
        <v>0</v>
      </c>
      <c r="AN1146" s="60">
        <v>0</v>
      </c>
      <c r="AO1146" s="60">
        <v>447.06</v>
      </c>
      <c r="AP1146" s="60">
        <v>447.76</v>
      </c>
      <c r="AQ1146" s="60">
        <v>455.32</v>
      </c>
      <c r="AR1146" s="61">
        <v>455.32</v>
      </c>
    </row>
    <row r="1147" spans="1:44" x14ac:dyDescent="0.35">
      <c r="A1147" s="49" t="str">
        <f>TEXT(45,"00")</f>
        <v>45</v>
      </c>
      <c r="B1147" s="27">
        <v>69948</v>
      </c>
      <c r="C1147" s="25" t="str">
        <f>TEXT(134122,"0000000")</f>
        <v>0134122</v>
      </c>
      <c r="D1147" s="27">
        <v>1793</v>
      </c>
      <c r="E1147" s="25" t="s">
        <v>2906</v>
      </c>
      <c r="F1147" s="25" t="s">
        <v>5</v>
      </c>
      <c r="G1147" s="59" t="s">
        <v>2907</v>
      </c>
      <c r="H1147" s="60">
        <v>0</v>
      </c>
      <c r="I1147" s="60">
        <v>0</v>
      </c>
      <c r="J1147" s="60">
        <v>0</v>
      </c>
      <c r="K1147" s="60">
        <v>0</v>
      </c>
      <c r="L1147" s="60">
        <v>0</v>
      </c>
      <c r="M1147" s="60">
        <v>0</v>
      </c>
      <c r="N1147" s="60">
        <v>0</v>
      </c>
      <c r="O1147" s="60">
        <v>0</v>
      </c>
      <c r="P1147" s="60">
        <v>0</v>
      </c>
      <c r="Q1147" s="60">
        <v>0</v>
      </c>
      <c r="R1147" s="60">
        <v>0</v>
      </c>
      <c r="S1147" s="60">
        <v>0</v>
      </c>
      <c r="T1147" s="60">
        <v>0</v>
      </c>
      <c r="U1147" s="60">
        <v>0</v>
      </c>
      <c r="V1147" s="60">
        <v>0</v>
      </c>
      <c r="W1147" s="60">
        <v>0</v>
      </c>
      <c r="X1147" s="60">
        <v>0</v>
      </c>
      <c r="Y1147" s="60">
        <v>0</v>
      </c>
      <c r="Z1147" s="60">
        <v>0</v>
      </c>
      <c r="AA1147" s="60">
        <v>0</v>
      </c>
      <c r="AB1147" s="60">
        <v>0</v>
      </c>
      <c r="AC1147" s="60">
        <v>597.65</v>
      </c>
      <c r="AD1147" s="60">
        <v>570.25</v>
      </c>
      <c r="AE1147" s="60">
        <v>515</v>
      </c>
      <c r="AF1147" s="60">
        <v>0</v>
      </c>
      <c r="AG1147" s="60">
        <v>0</v>
      </c>
      <c r="AH1147" s="60">
        <v>0</v>
      </c>
      <c r="AI1147" s="60">
        <v>597.65</v>
      </c>
      <c r="AJ1147" s="60">
        <v>570.25</v>
      </c>
      <c r="AK1147" s="60">
        <v>515</v>
      </c>
      <c r="AL1147" s="60">
        <v>0</v>
      </c>
      <c r="AM1147" s="60">
        <v>0</v>
      </c>
      <c r="AN1147" s="60">
        <v>0</v>
      </c>
      <c r="AO1147" s="60">
        <v>597.65</v>
      </c>
      <c r="AP1147" s="60">
        <v>570.25</v>
      </c>
      <c r="AQ1147" s="60">
        <v>515</v>
      </c>
      <c r="AR1147" s="61">
        <v>597.65</v>
      </c>
    </row>
    <row r="1148" spans="1:44" x14ac:dyDescent="0.35">
      <c r="A1148" s="49" t="str">
        <f>TEXT(45,"00")</f>
        <v>45</v>
      </c>
      <c r="B1148" s="27">
        <v>69948</v>
      </c>
      <c r="C1148" s="25" t="str">
        <f>TEXT(139543,"0000000")</f>
        <v>0139543</v>
      </c>
      <c r="D1148" s="27">
        <v>2065</v>
      </c>
      <c r="E1148" s="25" t="s">
        <v>2908</v>
      </c>
      <c r="F1148" s="25" t="s">
        <v>5</v>
      </c>
      <c r="G1148" s="59" t="s">
        <v>2909</v>
      </c>
      <c r="H1148" s="60">
        <v>0</v>
      </c>
      <c r="I1148" s="60">
        <v>0</v>
      </c>
      <c r="J1148" s="60">
        <v>0</v>
      </c>
      <c r="K1148" s="60">
        <v>0</v>
      </c>
      <c r="L1148" s="60">
        <v>0</v>
      </c>
      <c r="M1148" s="60">
        <v>0</v>
      </c>
      <c r="N1148" s="60">
        <v>0</v>
      </c>
      <c r="O1148" s="60">
        <v>0</v>
      </c>
      <c r="P1148" s="60">
        <v>0</v>
      </c>
      <c r="Q1148" s="60">
        <v>0</v>
      </c>
      <c r="R1148" s="60">
        <v>0</v>
      </c>
      <c r="S1148" s="60">
        <v>0</v>
      </c>
      <c r="T1148" s="60">
        <v>0</v>
      </c>
      <c r="U1148" s="60">
        <v>0</v>
      </c>
      <c r="V1148" s="60">
        <v>0</v>
      </c>
      <c r="W1148" s="60">
        <v>0</v>
      </c>
      <c r="X1148" s="60">
        <v>0</v>
      </c>
      <c r="Y1148" s="60">
        <v>0</v>
      </c>
      <c r="Z1148" s="60">
        <v>0</v>
      </c>
      <c r="AA1148" s="60">
        <v>0</v>
      </c>
      <c r="AB1148" s="60">
        <v>0</v>
      </c>
      <c r="AC1148" s="60">
        <v>489.84</v>
      </c>
      <c r="AD1148" s="60">
        <v>489.48</v>
      </c>
      <c r="AE1148" s="60">
        <v>490.32</v>
      </c>
      <c r="AF1148" s="60">
        <v>0</v>
      </c>
      <c r="AG1148" s="60">
        <v>0</v>
      </c>
      <c r="AH1148" s="60">
        <v>0</v>
      </c>
      <c r="AI1148" s="60">
        <v>489.84</v>
      </c>
      <c r="AJ1148" s="60">
        <v>489.48</v>
      </c>
      <c r="AK1148" s="60">
        <v>490.32</v>
      </c>
      <c r="AL1148" s="60">
        <v>0</v>
      </c>
      <c r="AM1148" s="60">
        <v>0</v>
      </c>
      <c r="AN1148" s="60">
        <v>0</v>
      </c>
      <c r="AO1148" s="60">
        <v>489.84</v>
      </c>
      <c r="AP1148" s="60">
        <v>489.48</v>
      </c>
      <c r="AQ1148" s="60">
        <v>490.32</v>
      </c>
      <c r="AR1148" s="61">
        <v>490.32</v>
      </c>
    </row>
    <row r="1149" spans="1:44" x14ac:dyDescent="0.35">
      <c r="A1149" s="49" t="str">
        <f>TEXT(45,"00")</f>
        <v>45</v>
      </c>
      <c r="B1149" s="27">
        <v>69948</v>
      </c>
      <c r="C1149" s="25" t="str">
        <f>TEXT(141580,"0000000")</f>
        <v>0141580</v>
      </c>
      <c r="D1149" s="27">
        <v>2126</v>
      </c>
      <c r="E1149" s="25" t="s">
        <v>2910</v>
      </c>
      <c r="F1149" s="25" t="s">
        <v>5</v>
      </c>
      <c r="G1149" s="59" t="s">
        <v>2911</v>
      </c>
      <c r="H1149" s="60">
        <v>0</v>
      </c>
      <c r="I1149" s="60">
        <v>0</v>
      </c>
      <c r="J1149" s="60">
        <v>0</v>
      </c>
      <c r="K1149" s="60">
        <v>0</v>
      </c>
      <c r="L1149" s="60">
        <v>0</v>
      </c>
      <c r="M1149" s="60">
        <v>0</v>
      </c>
      <c r="N1149" s="60">
        <v>0</v>
      </c>
      <c r="O1149" s="60">
        <v>0</v>
      </c>
      <c r="P1149" s="60">
        <v>0</v>
      </c>
      <c r="Q1149" s="60">
        <v>0</v>
      </c>
      <c r="R1149" s="60">
        <v>0</v>
      </c>
      <c r="S1149" s="60">
        <v>0</v>
      </c>
      <c r="T1149" s="60">
        <v>0</v>
      </c>
      <c r="U1149" s="60">
        <v>0</v>
      </c>
      <c r="V1149" s="60">
        <v>0</v>
      </c>
      <c r="W1149" s="60">
        <v>0</v>
      </c>
      <c r="X1149" s="60">
        <v>0</v>
      </c>
      <c r="Y1149" s="60">
        <v>0</v>
      </c>
      <c r="Z1149" s="60">
        <v>0</v>
      </c>
      <c r="AA1149" s="60">
        <v>0</v>
      </c>
      <c r="AB1149" s="60">
        <v>0</v>
      </c>
      <c r="AC1149" s="60">
        <v>287.43</v>
      </c>
      <c r="AD1149" s="60">
        <v>273.49</v>
      </c>
      <c r="AE1149" s="60">
        <v>0</v>
      </c>
      <c r="AF1149" s="60">
        <v>0</v>
      </c>
      <c r="AG1149" s="60">
        <v>0</v>
      </c>
      <c r="AH1149" s="60">
        <v>0</v>
      </c>
      <c r="AI1149" s="60">
        <v>287.43</v>
      </c>
      <c r="AJ1149" s="60">
        <v>273.49</v>
      </c>
      <c r="AK1149" s="60">
        <v>0</v>
      </c>
      <c r="AL1149" s="60">
        <v>0</v>
      </c>
      <c r="AM1149" s="60">
        <v>0</v>
      </c>
      <c r="AN1149" s="60">
        <v>0</v>
      </c>
      <c r="AO1149" s="60">
        <v>287.43</v>
      </c>
      <c r="AP1149" s="60">
        <v>273.49</v>
      </c>
      <c r="AQ1149" s="60">
        <v>0</v>
      </c>
      <c r="AR1149" s="61">
        <v>287.43</v>
      </c>
    </row>
    <row r="1150" spans="1:44" x14ac:dyDescent="0.35">
      <c r="A1150" s="49" t="str">
        <f>TEXT(45,"00")</f>
        <v>45</v>
      </c>
      <c r="B1150" s="27">
        <v>70136</v>
      </c>
      <c r="C1150" s="25" t="str">
        <f>TEXT(4530267,"0000000")</f>
        <v>4530267</v>
      </c>
      <c r="D1150" s="26" t="s">
        <v>2949</v>
      </c>
      <c r="E1150" s="25" t="s">
        <v>2947</v>
      </c>
      <c r="F1150" s="25" t="s">
        <v>5</v>
      </c>
      <c r="G1150" s="59" t="s">
        <v>2948</v>
      </c>
      <c r="H1150" s="60">
        <v>0</v>
      </c>
      <c r="I1150" s="60">
        <v>0</v>
      </c>
      <c r="J1150" s="60">
        <v>0</v>
      </c>
      <c r="K1150" s="60">
        <v>0</v>
      </c>
      <c r="L1150" s="60">
        <v>0</v>
      </c>
      <c r="M1150" s="60">
        <v>0</v>
      </c>
      <c r="N1150" s="60">
        <v>0</v>
      </c>
      <c r="O1150" s="60">
        <v>0</v>
      </c>
      <c r="P1150" s="60">
        <v>0</v>
      </c>
      <c r="Q1150" s="60">
        <v>0</v>
      </c>
      <c r="R1150" s="60">
        <v>0</v>
      </c>
      <c r="S1150" s="60">
        <v>0</v>
      </c>
      <c r="T1150" s="60">
        <v>0</v>
      </c>
      <c r="U1150" s="60">
        <v>0</v>
      </c>
      <c r="V1150" s="60">
        <v>0</v>
      </c>
      <c r="W1150" s="60">
        <v>0</v>
      </c>
      <c r="X1150" s="60">
        <v>0</v>
      </c>
      <c r="Y1150" s="60">
        <v>0</v>
      </c>
      <c r="Z1150" s="60">
        <v>0</v>
      </c>
      <c r="AA1150" s="60">
        <v>0</v>
      </c>
      <c r="AB1150" s="60">
        <v>0</v>
      </c>
      <c r="AC1150" s="60">
        <v>270.06</v>
      </c>
      <c r="AD1150" s="60">
        <v>270.06</v>
      </c>
      <c r="AE1150" s="60">
        <v>232.41</v>
      </c>
      <c r="AF1150" s="60">
        <v>0</v>
      </c>
      <c r="AG1150" s="60">
        <v>0</v>
      </c>
      <c r="AH1150" s="60">
        <v>0</v>
      </c>
      <c r="AI1150" s="60">
        <v>270.06</v>
      </c>
      <c r="AJ1150" s="60">
        <v>270.06</v>
      </c>
      <c r="AK1150" s="60">
        <v>232.41</v>
      </c>
      <c r="AL1150" s="60">
        <v>0</v>
      </c>
      <c r="AM1150" s="60">
        <v>0</v>
      </c>
      <c r="AN1150" s="60">
        <v>0</v>
      </c>
      <c r="AO1150" s="60">
        <v>270.06</v>
      </c>
      <c r="AP1150" s="60">
        <v>270.06</v>
      </c>
      <c r="AQ1150" s="60">
        <v>232.41</v>
      </c>
      <c r="AR1150" s="61">
        <v>270.06</v>
      </c>
    </row>
    <row r="1151" spans="1:44" x14ac:dyDescent="0.35">
      <c r="A1151" s="49" t="str">
        <f>TEXT(48,"00")</f>
        <v>48</v>
      </c>
      <c r="B1151" s="27">
        <v>10488</v>
      </c>
      <c r="C1151" s="25" t="str">
        <f>TEXT(139030,"0000000")</f>
        <v>0139030</v>
      </c>
      <c r="D1151" s="27">
        <v>2034</v>
      </c>
      <c r="E1151" s="25" t="s">
        <v>3021</v>
      </c>
      <c r="F1151" s="25" t="s">
        <v>5</v>
      </c>
      <c r="G1151" s="59" t="s">
        <v>3022</v>
      </c>
      <c r="H1151" s="60">
        <v>0</v>
      </c>
      <c r="I1151" s="60">
        <v>0</v>
      </c>
      <c r="J1151" s="60">
        <v>0</v>
      </c>
      <c r="K1151" s="60">
        <v>0</v>
      </c>
      <c r="L1151" s="60">
        <v>0</v>
      </c>
      <c r="M1151" s="60">
        <v>0</v>
      </c>
      <c r="N1151" s="60">
        <v>0</v>
      </c>
      <c r="O1151" s="60">
        <v>0</v>
      </c>
      <c r="P1151" s="60">
        <v>0</v>
      </c>
      <c r="Q1151" s="60">
        <v>0</v>
      </c>
      <c r="R1151" s="60">
        <v>0</v>
      </c>
      <c r="S1151" s="60">
        <v>0</v>
      </c>
      <c r="T1151" s="60">
        <v>0</v>
      </c>
      <c r="U1151" s="60">
        <v>0</v>
      </c>
      <c r="V1151" s="60">
        <v>0</v>
      </c>
      <c r="W1151" s="60">
        <v>0</v>
      </c>
      <c r="X1151" s="60">
        <v>0</v>
      </c>
      <c r="Y1151" s="60">
        <v>0</v>
      </c>
      <c r="Z1151" s="60">
        <v>0</v>
      </c>
      <c r="AA1151" s="60">
        <v>0</v>
      </c>
      <c r="AB1151" s="60">
        <v>0</v>
      </c>
      <c r="AC1151" s="60">
        <v>604.58000000000004</v>
      </c>
      <c r="AD1151" s="60">
        <v>580.37</v>
      </c>
      <c r="AE1151" s="60">
        <v>504.34</v>
      </c>
      <c r="AF1151" s="60">
        <v>0</v>
      </c>
      <c r="AG1151" s="60">
        <v>0</v>
      </c>
      <c r="AH1151" s="60">
        <v>0</v>
      </c>
      <c r="AI1151" s="60">
        <v>604.58000000000004</v>
      </c>
      <c r="AJ1151" s="60">
        <v>580.37</v>
      </c>
      <c r="AK1151" s="60">
        <v>504.34</v>
      </c>
      <c r="AL1151" s="60">
        <v>0</v>
      </c>
      <c r="AM1151" s="60">
        <v>0</v>
      </c>
      <c r="AN1151" s="60">
        <v>0</v>
      </c>
      <c r="AO1151" s="60">
        <v>604.58000000000004</v>
      </c>
      <c r="AP1151" s="60">
        <v>580.37</v>
      </c>
      <c r="AQ1151" s="60">
        <v>504.34</v>
      </c>
      <c r="AR1151" s="61">
        <v>604.58000000000004</v>
      </c>
    </row>
    <row r="1152" spans="1:44" x14ac:dyDescent="0.35">
      <c r="A1152" s="49" t="str">
        <f>TEXT(48,"00")</f>
        <v>48</v>
      </c>
      <c r="B1152" s="27">
        <v>70532</v>
      </c>
      <c r="C1152" s="25" t="str">
        <f>TEXT(122267,"0000000")</f>
        <v>0122267</v>
      </c>
      <c r="D1152" s="27">
        <v>1210</v>
      </c>
      <c r="E1152" s="25" t="s">
        <v>3027</v>
      </c>
      <c r="F1152" s="25" t="s">
        <v>5</v>
      </c>
      <c r="G1152" s="59" t="s">
        <v>3028</v>
      </c>
      <c r="H1152" s="60">
        <v>0</v>
      </c>
      <c r="I1152" s="60">
        <v>0</v>
      </c>
      <c r="J1152" s="60">
        <v>0</v>
      </c>
      <c r="K1152" s="60">
        <v>0</v>
      </c>
      <c r="L1152" s="60">
        <v>0</v>
      </c>
      <c r="M1152" s="60">
        <v>0</v>
      </c>
      <c r="N1152" s="60">
        <v>0</v>
      </c>
      <c r="O1152" s="60">
        <v>0</v>
      </c>
      <c r="P1152" s="60">
        <v>0</v>
      </c>
      <c r="Q1152" s="60">
        <v>0</v>
      </c>
      <c r="R1152" s="60">
        <v>0</v>
      </c>
      <c r="S1152" s="60">
        <v>0</v>
      </c>
      <c r="T1152" s="60">
        <v>0</v>
      </c>
      <c r="U1152" s="60">
        <v>0</v>
      </c>
      <c r="V1152" s="60">
        <v>0</v>
      </c>
      <c r="W1152" s="60">
        <v>0</v>
      </c>
      <c r="X1152" s="60">
        <v>0</v>
      </c>
      <c r="Y1152" s="60">
        <v>0</v>
      </c>
      <c r="Z1152" s="60">
        <v>0</v>
      </c>
      <c r="AA1152" s="60">
        <v>0</v>
      </c>
      <c r="AB1152" s="60">
        <v>0</v>
      </c>
      <c r="AC1152" s="60">
        <v>436.57</v>
      </c>
      <c r="AD1152" s="60">
        <v>427.91</v>
      </c>
      <c r="AE1152" s="60">
        <v>397.77</v>
      </c>
      <c r="AF1152" s="60">
        <v>0</v>
      </c>
      <c r="AG1152" s="60">
        <v>0</v>
      </c>
      <c r="AH1152" s="60">
        <v>0</v>
      </c>
      <c r="AI1152" s="60">
        <v>436.57</v>
      </c>
      <c r="AJ1152" s="60">
        <v>427.91</v>
      </c>
      <c r="AK1152" s="60">
        <v>397.77</v>
      </c>
      <c r="AL1152" s="60">
        <v>0</v>
      </c>
      <c r="AM1152" s="60">
        <v>0</v>
      </c>
      <c r="AN1152" s="60">
        <v>0</v>
      </c>
      <c r="AO1152" s="60">
        <v>436.57</v>
      </c>
      <c r="AP1152" s="60">
        <v>427.91</v>
      </c>
      <c r="AQ1152" s="60">
        <v>397.77</v>
      </c>
      <c r="AR1152" s="61">
        <v>436.57</v>
      </c>
    </row>
    <row r="1153" spans="1:44" x14ac:dyDescent="0.35">
      <c r="A1153" s="49" t="str">
        <f>TEXT(48,"00")</f>
        <v>48</v>
      </c>
      <c r="B1153" s="27">
        <v>70573</v>
      </c>
      <c r="C1153" s="25" t="str">
        <f>TEXT(129494,"0000000")</f>
        <v>0129494</v>
      </c>
      <c r="D1153" s="27">
        <v>1635</v>
      </c>
      <c r="E1153" s="25" t="s">
        <v>3035</v>
      </c>
      <c r="F1153" s="25" t="s">
        <v>5</v>
      </c>
      <c r="G1153" s="59" t="s">
        <v>3547</v>
      </c>
      <c r="H1153" s="60">
        <v>0</v>
      </c>
      <c r="I1153" s="60">
        <v>0</v>
      </c>
      <c r="J1153" s="60">
        <v>0</v>
      </c>
      <c r="K1153" s="60">
        <v>0</v>
      </c>
      <c r="L1153" s="60">
        <v>0</v>
      </c>
      <c r="M1153" s="60">
        <v>0</v>
      </c>
      <c r="N1153" s="60">
        <v>0</v>
      </c>
      <c r="O1153" s="60">
        <v>0</v>
      </c>
      <c r="P1153" s="60">
        <v>0</v>
      </c>
      <c r="Q1153" s="60">
        <v>0</v>
      </c>
      <c r="R1153" s="60">
        <v>0</v>
      </c>
      <c r="S1153" s="60">
        <v>0</v>
      </c>
      <c r="T1153" s="60">
        <v>0</v>
      </c>
      <c r="U1153" s="60">
        <v>0</v>
      </c>
      <c r="V1153" s="60">
        <v>0</v>
      </c>
      <c r="W1153" s="60">
        <v>0</v>
      </c>
      <c r="X1153" s="60">
        <v>0</v>
      </c>
      <c r="Y1153" s="60">
        <v>0</v>
      </c>
      <c r="Z1153" s="60">
        <v>0</v>
      </c>
      <c r="AA1153" s="60">
        <v>0</v>
      </c>
      <c r="AB1153" s="60">
        <v>0</v>
      </c>
      <c r="AC1153" s="60">
        <v>652.25</v>
      </c>
      <c r="AD1153" s="60">
        <v>628.91</v>
      </c>
      <c r="AE1153" s="60">
        <v>592.1</v>
      </c>
      <c r="AF1153" s="60">
        <v>0</v>
      </c>
      <c r="AG1153" s="60">
        <v>0</v>
      </c>
      <c r="AH1153" s="60">
        <v>0</v>
      </c>
      <c r="AI1153" s="60">
        <v>652.25</v>
      </c>
      <c r="AJ1153" s="60">
        <v>628.91</v>
      </c>
      <c r="AK1153" s="60">
        <v>592.1</v>
      </c>
      <c r="AL1153" s="60">
        <v>0</v>
      </c>
      <c r="AM1153" s="60">
        <v>0</v>
      </c>
      <c r="AN1153" s="60">
        <v>0</v>
      </c>
      <c r="AO1153" s="60">
        <v>652.25</v>
      </c>
      <c r="AP1153" s="60">
        <v>628.91</v>
      </c>
      <c r="AQ1153" s="60">
        <v>592.1</v>
      </c>
      <c r="AR1153" s="61">
        <v>652.25</v>
      </c>
    </row>
    <row r="1154" spans="1:44" x14ac:dyDescent="0.35">
      <c r="A1154" s="49" t="str">
        <f>TEXT(48,"00")</f>
        <v>48</v>
      </c>
      <c r="B1154" s="27">
        <v>70581</v>
      </c>
      <c r="C1154" s="25" t="str">
        <f>TEXT(134262,"0000000")</f>
        <v>0134262</v>
      </c>
      <c r="D1154" s="27">
        <v>1779</v>
      </c>
      <c r="E1154" s="25" t="s">
        <v>3039</v>
      </c>
      <c r="F1154" s="25" t="s">
        <v>5</v>
      </c>
      <c r="G1154" s="59" t="s">
        <v>3040</v>
      </c>
      <c r="H1154" s="60">
        <v>0</v>
      </c>
      <c r="I1154" s="60">
        <v>0</v>
      </c>
      <c r="J1154" s="60">
        <v>0</v>
      </c>
      <c r="K1154" s="60">
        <v>0</v>
      </c>
      <c r="L1154" s="60">
        <v>0</v>
      </c>
      <c r="M1154" s="60">
        <v>0</v>
      </c>
      <c r="N1154" s="60">
        <v>0</v>
      </c>
      <c r="O1154" s="60">
        <v>0</v>
      </c>
      <c r="P1154" s="60">
        <v>0</v>
      </c>
      <c r="Q1154" s="60">
        <v>0</v>
      </c>
      <c r="R1154" s="60">
        <v>0</v>
      </c>
      <c r="S1154" s="60">
        <v>0</v>
      </c>
      <c r="T1154" s="60">
        <v>0</v>
      </c>
      <c r="U1154" s="60">
        <v>0</v>
      </c>
      <c r="V1154" s="60">
        <v>0</v>
      </c>
      <c r="W1154" s="60">
        <v>0</v>
      </c>
      <c r="X1154" s="60">
        <v>0</v>
      </c>
      <c r="Y1154" s="60">
        <v>0</v>
      </c>
      <c r="Z1154" s="60">
        <v>0</v>
      </c>
      <c r="AA1154" s="60">
        <v>0</v>
      </c>
      <c r="AB1154" s="60">
        <v>0</v>
      </c>
      <c r="AC1154" s="60">
        <v>872.2</v>
      </c>
      <c r="AD1154" s="60">
        <v>803.82</v>
      </c>
      <c r="AE1154" s="60">
        <v>723.86</v>
      </c>
      <c r="AF1154" s="60">
        <v>0</v>
      </c>
      <c r="AG1154" s="60">
        <v>0</v>
      </c>
      <c r="AH1154" s="60">
        <v>0</v>
      </c>
      <c r="AI1154" s="60">
        <v>872.2</v>
      </c>
      <c r="AJ1154" s="60">
        <v>803.82</v>
      </c>
      <c r="AK1154" s="60">
        <v>723.86</v>
      </c>
      <c r="AL1154" s="60">
        <v>0</v>
      </c>
      <c r="AM1154" s="60">
        <v>0</v>
      </c>
      <c r="AN1154" s="60">
        <v>0</v>
      </c>
      <c r="AO1154" s="60">
        <v>872.2</v>
      </c>
      <c r="AP1154" s="60">
        <v>803.82</v>
      </c>
      <c r="AQ1154" s="60">
        <v>723.86</v>
      </c>
      <c r="AR1154" s="61">
        <v>872.2</v>
      </c>
    </row>
    <row r="1155" spans="1:44" x14ac:dyDescent="0.35">
      <c r="A1155" s="49" t="str">
        <f>TEXT(49,"00")</f>
        <v>49</v>
      </c>
      <c r="B1155" s="27">
        <v>70839</v>
      </c>
      <c r="C1155" s="25" t="str">
        <f>TEXT(138065,"0000000")</f>
        <v>0138065</v>
      </c>
      <c r="D1155" s="27">
        <v>1985</v>
      </c>
      <c r="E1155" s="25" t="s">
        <v>3103</v>
      </c>
      <c r="F1155" s="25" t="s">
        <v>5</v>
      </c>
      <c r="G1155" s="59" t="s">
        <v>3104</v>
      </c>
      <c r="H1155" s="60">
        <v>0</v>
      </c>
      <c r="I1155" s="60">
        <v>0</v>
      </c>
      <c r="J1155" s="60">
        <v>0</v>
      </c>
      <c r="K1155" s="60">
        <v>0</v>
      </c>
      <c r="L1155" s="60">
        <v>0</v>
      </c>
      <c r="M1155" s="60">
        <v>0</v>
      </c>
      <c r="N1155" s="60">
        <v>0</v>
      </c>
      <c r="O1155" s="60">
        <v>0</v>
      </c>
      <c r="P1155" s="60">
        <v>0</v>
      </c>
      <c r="Q1155" s="60">
        <v>0</v>
      </c>
      <c r="R1155" s="60">
        <v>0</v>
      </c>
      <c r="S1155" s="60">
        <v>0</v>
      </c>
      <c r="T1155" s="60">
        <v>0</v>
      </c>
      <c r="U1155" s="60">
        <v>0</v>
      </c>
      <c r="V1155" s="60">
        <v>0</v>
      </c>
      <c r="W1155" s="60">
        <v>0</v>
      </c>
      <c r="X1155" s="60">
        <v>0</v>
      </c>
      <c r="Y1155" s="60">
        <v>0</v>
      </c>
      <c r="Z1155" s="60">
        <v>0</v>
      </c>
      <c r="AA1155" s="60">
        <v>0</v>
      </c>
      <c r="AB1155" s="60">
        <v>0</v>
      </c>
      <c r="AC1155" s="60">
        <v>359.15</v>
      </c>
      <c r="AD1155" s="60">
        <v>308.22000000000003</v>
      </c>
      <c r="AE1155" s="60">
        <v>308.35000000000002</v>
      </c>
      <c r="AF1155" s="60">
        <v>0</v>
      </c>
      <c r="AG1155" s="60">
        <v>0</v>
      </c>
      <c r="AH1155" s="60">
        <v>0</v>
      </c>
      <c r="AI1155" s="60">
        <v>359.15</v>
      </c>
      <c r="AJ1155" s="60">
        <v>308.22000000000003</v>
      </c>
      <c r="AK1155" s="60">
        <v>308.35000000000002</v>
      </c>
      <c r="AL1155" s="60">
        <v>0</v>
      </c>
      <c r="AM1155" s="60">
        <v>0</v>
      </c>
      <c r="AN1155" s="60">
        <v>0</v>
      </c>
      <c r="AO1155" s="60">
        <v>359.15</v>
      </c>
      <c r="AP1155" s="60">
        <v>308.22000000000003</v>
      </c>
      <c r="AQ1155" s="60">
        <v>308.35000000000002</v>
      </c>
      <c r="AR1155" s="61">
        <v>359.15</v>
      </c>
    </row>
    <row r="1156" spans="1:44" x14ac:dyDescent="0.35">
      <c r="A1156" s="49" t="str">
        <f>TEXT(49,"00")</f>
        <v>49</v>
      </c>
      <c r="B1156" s="27">
        <v>70847</v>
      </c>
      <c r="C1156" s="25" t="str">
        <f>TEXT(119750,"0000000")</f>
        <v>0119750</v>
      </c>
      <c r="D1156" s="27">
        <v>1086</v>
      </c>
      <c r="E1156" s="25" t="s">
        <v>3107</v>
      </c>
      <c r="F1156" s="25" t="s">
        <v>5</v>
      </c>
      <c r="G1156" s="59" t="s">
        <v>3108</v>
      </c>
      <c r="H1156" s="60">
        <v>0</v>
      </c>
      <c r="I1156" s="60">
        <v>0</v>
      </c>
      <c r="J1156" s="60">
        <v>0</v>
      </c>
      <c r="K1156" s="60">
        <v>0</v>
      </c>
      <c r="L1156" s="60">
        <v>0</v>
      </c>
      <c r="M1156" s="60">
        <v>0</v>
      </c>
      <c r="N1156" s="60">
        <v>0</v>
      </c>
      <c r="O1156" s="60">
        <v>0</v>
      </c>
      <c r="P1156" s="60">
        <v>0</v>
      </c>
      <c r="Q1156" s="60">
        <v>0</v>
      </c>
      <c r="R1156" s="60">
        <v>0</v>
      </c>
      <c r="S1156" s="60">
        <v>0</v>
      </c>
      <c r="T1156" s="60">
        <v>0</v>
      </c>
      <c r="U1156" s="60">
        <v>0</v>
      </c>
      <c r="V1156" s="60">
        <v>0</v>
      </c>
      <c r="W1156" s="60">
        <v>0</v>
      </c>
      <c r="X1156" s="60">
        <v>0</v>
      </c>
      <c r="Y1156" s="60">
        <v>0</v>
      </c>
      <c r="Z1156" s="60">
        <v>0</v>
      </c>
      <c r="AA1156" s="60">
        <v>0</v>
      </c>
      <c r="AB1156" s="60">
        <v>0</v>
      </c>
      <c r="AC1156" s="60">
        <v>115.82</v>
      </c>
      <c r="AD1156" s="60">
        <v>120.78</v>
      </c>
      <c r="AE1156" s="60">
        <v>121.3</v>
      </c>
      <c r="AF1156" s="60">
        <v>0</v>
      </c>
      <c r="AG1156" s="60">
        <v>0</v>
      </c>
      <c r="AH1156" s="60">
        <v>0</v>
      </c>
      <c r="AI1156" s="60">
        <v>115.82</v>
      </c>
      <c r="AJ1156" s="60">
        <v>120.78</v>
      </c>
      <c r="AK1156" s="60">
        <v>121.3</v>
      </c>
      <c r="AL1156" s="60">
        <v>0</v>
      </c>
      <c r="AM1156" s="60">
        <v>0</v>
      </c>
      <c r="AN1156" s="60">
        <v>0</v>
      </c>
      <c r="AO1156" s="60">
        <v>115.82</v>
      </c>
      <c r="AP1156" s="60">
        <v>120.78</v>
      </c>
      <c r="AQ1156" s="60">
        <v>121.3</v>
      </c>
      <c r="AR1156" s="61">
        <v>121.3</v>
      </c>
    </row>
    <row r="1157" spans="1:44" x14ac:dyDescent="0.35">
      <c r="A1157" s="49" t="str">
        <f>TEXT(1,"00")</f>
        <v>01</v>
      </c>
      <c r="B1157" s="27">
        <v>61309</v>
      </c>
      <c r="C1157" s="25" t="str">
        <f>TEXT(101212,"0000000")</f>
        <v>0101212</v>
      </c>
      <c r="D1157" s="26" t="s">
        <v>155</v>
      </c>
      <c r="E1157" s="25" t="s">
        <v>153</v>
      </c>
      <c r="F1157" s="25" t="s">
        <v>5</v>
      </c>
      <c r="G1157" s="59" t="s">
        <v>154</v>
      </c>
      <c r="H1157" s="60">
        <v>0</v>
      </c>
      <c r="I1157" s="60">
        <v>0</v>
      </c>
      <c r="J1157" s="60">
        <v>0</v>
      </c>
      <c r="K1157" s="60">
        <v>0</v>
      </c>
      <c r="L1157" s="60">
        <v>0</v>
      </c>
      <c r="M1157" s="60">
        <v>0</v>
      </c>
      <c r="N1157" s="60">
        <v>0</v>
      </c>
      <c r="O1157" s="60">
        <v>0</v>
      </c>
      <c r="P1157" s="60">
        <v>0</v>
      </c>
      <c r="Q1157" s="60">
        <v>0</v>
      </c>
      <c r="R1157" s="60">
        <v>0</v>
      </c>
      <c r="S1157" s="60">
        <v>0</v>
      </c>
      <c r="T1157" s="60">
        <v>0</v>
      </c>
      <c r="U1157" s="60">
        <v>0</v>
      </c>
      <c r="V1157" s="60">
        <v>0</v>
      </c>
      <c r="W1157" s="60">
        <v>0</v>
      </c>
      <c r="X1157" s="60">
        <v>0</v>
      </c>
      <c r="Y1157" s="60">
        <v>0</v>
      </c>
      <c r="Z1157" s="60">
        <v>0</v>
      </c>
      <c r="AA1157" s="60">
        <v>0</v>
      </c>
      <c r="AB1157" s="60">
        <v>0</v>
      </c>
      <c r="AC1157" s="60">
        <v>406.37</v>
      </c>
      <c r="AD1157" s="60">
        <v>401.38</v>
      </c>
      <c r="AE1157" s="60">
        <v>398.88</v>
      </c>
      <c r="AF1157" s="60">
        <v>0</v>
      </c>
      <c r="AG1157" s="60">
        <v>0</v>
      </c>
      <c r="AH1157" s="60">
        <v>0</v>
      </c>
      <c r="AI1157" s="60">
        <v>406.37</v>
      </c>
      <c r="AJ1157" s="60">
        <v>401.38</v>
      </c>
      <c r="AK1157" s="60">
        <v>398.88</v>
      </c>
      <c r="AL1157" s="60">
        <v>0</v>
      </c>
      <c r="AM1157" s="60">
        <v>0</v>
      </c>
      <c r="AN1157" s="60">
        <v>0</v>
      </c>
      <c r="AO1157" s="60">
        <v>406.37</v>
      </c>
      <c r="AP1157" s="60">
        <v>401.38</v>
      </c>
      <c r="AQ1157" s="60">
        <v>398.88</v>
      </c>
      <c r="AR1157" s="61">
        <v>406.37</v>
      </c>
    </row>
    <row r="1158" spans="1:44" x14ac:dyDescent="0.35">
      <c r="A1158" s="49" t="str">
        <f>TEXT(49,"00")</f>
        <v>49</v>
      </c>
      <c r="B1158" s="27">
        <v>70953</v>
      </c>
      <c r="C1158" s="25" t="str">
        <f>TEXT(105866,"0000000")</f>
        <v>0105866</v>
      </c>
      <c r="D1158" s="26" t="s">
        <v>3136</v>
      </c>
      <c r="E1158" s="25" t="s">
        <v>3134</v>
      </c>
      <c r="F1158" s="25" t="s">
        <v>5</v>
      </c>
      <c r="G1158" s="59" t="s">
        <v>3135</v>
      </c>
      <c r="H1158" s="60">
        <v>0</v>
      </c>
      <c r="I1158" s="60">
        <v>0</v>
      </c>
      <c r="J1158" s="60">
        <v>0</v>
      </c>
      <c r="K1158" s="60">
        <v>0</v>
      </c>
      <c r="L1158" s="60">
        <v>0</v>
      </c>
      <c r="M1158" s="60">
        <v>0</v>
      </c>
      <c r="N1158" s="60">
        <v>0</v>
      </c>
      <c r="O1158" s="60">
        <v>0</v>
      </c>
      <c r="P1158" s="60">
        <v>0</v>
      </c>
      <c r="Q1158" s="60">
        <v>0</v>
      </c>
      <c r="R1158" s="60">
        <v>0</v>
      </c>
      <c r="S1158" s="60">
        <v>0</v>
      </c>
      <c r="T1158" s="60">
        <v>0</v>
      </c>
      <c r="U1158" s="60">
        <v>0</v>
      </c>
      <c r="V1158" s="60">
        <v>0</v>
      </c>
      <c r="W1158" s="60">
        <v>0</v>
      </c>
      <c r="X1158" s="60">
        <v>0</v>
      </c>
      <c r="Y1158" s="60">
        <v>0</v>
      </c>
      <c r="Z1158" s="60">
        <v>0</v>
      </c>
      <c r="AA1158" s="60">
        <v>0</v>
      </c>
      <c r="AB1158" s="60">
        <v>0</v>
      </c>
      <c r="AC1158" s="60">
        <v>204.76</v>
      </c>
      <c r="AD1158" s="60">
        <v>197.79</v>
      </c>
      <c r="AE1158" s="60">
        <v>200.34</v>
      </c>
      <c r="AF1158" s="60">
        <v>0</v>
      </c>
      <c r="AG1158" s="60">
        <v>0</v>
      </c>
      <c r="AH1158" s="60">
        <v>0</v>
      </c>
      <c r="AI1158" s="60">
        <v>204.76</v>
      </c>
      <c r="AJ1158" s="60">
        <v>197.79</v>
      </c>
      <c r="AK1158" s="60">
        <v>200.34</v>
      </c>
      <c r="AL1158" s="60">
        <v>0</v>
      </c>
      <c r="AM1158" s="60">
        <v>0</v>
      </c>
      <c r="AN1158" s="60">
        <v>0</v>
      </c>
      <c r="AO1158" s="60">
        <v>204.76</v>
      </c>
      <c r="AP1158" s="60">
        <v>197.79</v>
      </c>
      <c r="AQ1158" s="60">
        <v>200.34</v>
      </c>
      <c r="AR1158" s="61">
        <v>204.76</v>
      </c>
    </row>
    <row r="1159" spans="1:44" x14ac:dyDescent="0.35">
      <c r="A1159" s="49" t="str">
        <f>TEXT(49,"00")</f>
        <v>49</v>
      </c>
      <c r="B1159" s="27">
        <v>70953</v>
      </c>
      <c r="C1159" s="25" t="str">
        <f>TEXT(6111678,"0000000")</f>
        <v>6111678</v>
      </c>
      <c r="D1159" s="26" t="s">
        <v>3139</v>
      </c>
      <c r="E1159" s="25" t="s">
        <v>3137</v>
      </c>
      <c r="F1159" s="25" t="s">
        <v>5</v>
      </c>
      <c r="G1159" s="59" t="s">
        <v>3138</v>
      </c>
      <c r="H1159" s="60">
        <v>0</v>
      </c>
      <c r="I1159" s="60">
        <v>0</v>
      </c>
      <c r="J1159" s="60">
        <v>0</v>
      </c>
      <c r="K1159" s="60">
        <v>0</v>
      </c>
      <c r="L1159" s="60">
        <v>0</v>
      </c>
      <c r="M1159" s="60">
        <v>0</v>
      </c>
      <c r="N1159" s="60">
        <v>0</v>
      </c>
      <c r="O1159" s="60">
        <v>0</v>
      </c>
      <c r="P1159" s="60">
        <v>0</v>
      </c>
      <c r="Q1159" s="60">
        <v>0</v>
      </c>
      <c r="R1159" s="60">
        <v>0</v>
      </c>
      <c r="S1159" s="60">
        <v>0</v>
      </c>
      <c r="T1159" s="60">
        <v>0</v>
      </c>
      <c r="U1159" s="60">
        <v>0</v>
      </c>
      <c r="V1159" s="60">
        <v>0</v>
      </c>
      <c r="W1159" s="60">
        <v>0</v>
      </c>
      <c r="X1159" s="60">
        <v>0</v>
      </c>
      <c r="Y1159" s="60">
        <v>0</v>
      </c>
      <c r="Z1159" s="60">
        <v>0</v>
      </c>
      <c r="AA1159" s="60">
        <v>0</v>
      </c>
      <c r="AB1159" s="60">
        <v>0</v>
      </c>
      <c r="AC1159" s="60">
        <v>198.43</v>
      </c>
      <c r="AD1159" s="60">
        <v>192.55</v>
      </c>
      <c r="AE1159" s="60">
        <v>186.23</v>
      </c>
      <c r="AF1159" s="60">
        <v>0</v>
      </c>
      <c r="AG1159" s="60">
        <v>0</v>
      </c>
      <c r="AH1159" s="60">
        <v>0</v>
      </c>
      <c r="AI1159" s="60">
        <v>198.43</v>
      </c>
      <c r="AJ1159" s="60">
        <v>192.55</v>
      </c>
      <c r="AK1159" s="60">
        <v>186.23</v>
      </c>
      <c r="AL1159" s="60">
        <v>0</v>
      </c>
      <c r="AM1159" s="60">
        <v>0</v>
      </c>
      <c r="AN1159" s="60">
        <v>0</v>
      </c>
      <c r="AO1159" s="60">
        <v>198.43</v>
      </c>
      <c r="AP1159" s="60">
        <v>192.55</v>
      </c>
      <c r="AQ1159" s="60">
        <v>186.23</v>
      </c>
      <c r="AR1159" s="61">
        <v>198.43</v>
      </c>
    </row>
    <row r="1160" spans="1:44" x14ac:dyDescent="0.35">
      <c r="A1160" s="49" t="str">
        <f>TEXT(49,"00")</f>
        <v>49</v>
      </c>
      <c r="B1160" s="27">
        <v>73882</v>
      </c>
      <c r="C1160" s="25" t="str">
        <f>TEXT(123786,"0000000")</f>
        <v>0123786</v>
      </c>
      <c r="D1160" s="27">
        <v>1281</v>
      </c>
      <c r="E1160" s="25" t="s">
        <v>3154</v>
      </c>
      <c r="F1160" s="25" t="s">
        <v>5</v>
      </c>
      <c r="G1160" s="59" t="s">
        <v>3155</v>
      </c>
      <c r="H1160" s="60">
        <v>0</v>
      </c>
      <c r="I1160" s="60">
        <v>0</v>
      </c>
      <c r="J1160" s="60">
        <v>0</v>
      </c>
      <c r="K1160" s="60">
        <v>0</v>
      </c>
      <c r="L1160" s="60">
        <v>0</v>
      </c>
      <c r="M1160" s="60">
        <v>0</v>
      </c>
      <c r="N1160" s="60">
        <v>0</v>
      </c>
      <c r="O1160" s="60">
        <v>0</v>
      </c>
      <c r="P1160" s="60">
        <v>0</v>
      </c>
      <c r="Q1160" s="60">
        <v>0</v>
      </c>
      <c r="R1160" s="60">
        <v>0</v>
      </c>
      <c r="S1160" s="60">
        <v>0</v>
      </c>
      <c r="T1160" s="60">
        <v>0</v>
      </c>
      <c r="U1160" s="60">
        <v>0</v>
      </c>
      <c r="V1160" s="60">
        <v>0</v>
      </c>
      <c r="W1160" s="60">
        <v>0</v>
      </c>
      <c r="X1160" s="60">
        <v>0</v>
      </c>
      <c r="Y1160" s="60">
        <v>0</v>
      </c>
      <c r="Z1160" s="60">
        <v>0</v>
      </c>
      <c r="AA1160" s="60">
        <v>0</v>
      </c>
      <c r="AB1160" s="60">
        <v>0</v>
      </c>
      <c r="AC1160" s="60">
        <v>404.34</v>
      </c>
      <c r="AD1160" s="60">
        <v>402.57</v>
      </c>
      <c r="AE1160" s="60">
        <v>385.28</v>
      </c>
      <c r="AF1160" s="60">
        <v>0</v>
      </c>
      <c r="AG1160" s="60">
        <v>0</v>
      </c>
      <c r="AH1160" s="60">
        <v>0</v>
      </c>
      <c r="AI1160" s="60">
        <v>404.34</v>
      </c>
      <c r="AJ1160" s="60">
        <v>402.57</v>
      </c>
      <c r="AK1160" s="60">
        <v>385.28</v>
      </c>
      <c r="AL1160" s="60">
        <v>0</v>
      </c>
      <c r="AM1160" s="60">
        <v>0</v>
      </c>
      <c r="AN1160" s="60">
        <v>0</v>
      </c>
      <c r="AO1160" s="60">
        <v>404.34</v>
      </c>
      <c r="AP1160" s="60">
        <v>402.57</v>
      </c>
      <c r="AQ1160" s="60">
        <v>385.28</v>
      </c>
      <c r="AR1160" s="61">
        <v>404.34</v>
      </c>
    </row>
    <row r="1161" spans="1:44" x14ac:dyDescent="0.35">
      <c r="A1161" s="49" t="str">
        <f>TEXT(50,"00")</f>
        <v>50</v>
      </c>
      <c r="B1161" s="27">
        <v>71043</v>
      </c>
      <c r="C1161" s="25" t="str">
        <f>TEXT(112292,"0000000")</f>
        <v>0112292</v>
      </c>
      <c r="D1161" s="26" t="s">
        <v>3166</v>
      </c>
      <c r="E1161" s="25" t="s">
        <v>3164</v>
      </c>
      <c r="F1161" s="25" t="s">
        <v>5</v>
      </c>
      <c r="G1161" s="59" t="s">
        <v>3165</v>
      </c>
      <c r="H1161" s="60">
        <v>0</v>
      </c>
      <c r="I1161" s="60">
        <v>0</v>
      </c>
      <c r="J1161" s="60">
        <v>0</v>
      </c>
      <c r="K1161" s="60">
        <v>0</v>
      </c>
      <c r="L1161" s="60">
        <v>0</v>
      </c>
      <c r="M1161" s="60">
        <v>0</v>
      </c>
      <c r="N1161" s="60">
        <v>0</v>
      </c>
      <c r="O1161" s="60">
        <v>0</v>
      </c>
      <c r="P1161" s="60">
        <v>0</v>
      </c>
      <c r="Q1161" s="60">
        <v>0</v>
      </c>
      <c r="R1161" s="60">
        <v>0</v>
      </c>
      <c r="S1161" s="60">
        <v>0</v>
      </c>
      <c r="T1161" s="60">
        <v>0</v>
      </c>
      <c r="U1161" s="60">
        <v>0</v>
      </c>
      <c r="V1161" s="60">
        <v>0</v>
      </c>
      <c r="W1161" s="60">
        <v>0</v>
      </c>
      <c r="X1161" s="60">
        <v>0</v>
      </c>
      <c r="Y1161" s="60">
        <v>0</v>
      </c>
      <c r="Z1161" s="60">
        <v>0</v>
      </c>
      <c r="AA1161" s="60">
        <v>0</v>
      </c>
      <c r="AB1161" s="60">
        <v>0</v>
      </c>
      <c r="AC1161" s="60">
        <v>351.31</v>
      </c>
      <c r="AD1161" s="60">
        <v>322.24</v>
      </c>
      <c r="AE1161" s="60">
        <v>334.42</v>
      </c>
      <c r="AF1161" s="60">
        <v>0</v>
      </c>
      <c r="AG1161" s="60">
        <v>0</v>
      </c>
      <c r="AH1161" s="60">
        <v>0</v>
      </c>
      <c r="AI1161" s="60">
        <v>351.31</v>
      </c>
      <c r="AJ1161" s="60">
        <v>322.24</v>
      </c>
      <c r="AK1161" s="60">
        <v>334.42</v>
      </c>
      <c r="AL1161" s="60">
        <v>0</v>
      </c>
      <c r="AM1161" s="60">
        <v>0</v>
      </c>
      <c r="AN1161" s="60">
        <v>0</v>
      </c>
      <c r="AO1161" s="60">
        <v>351.31</v>
      </c>
      <c r="AP1161" s="60">
        <v>322.24</v>
      </c>
      <c r="AQ1161" s="60">
        <v>334.42</v>
      </c>
      <c r="AR1161" s="61">
        <v>351.31</v>
      </c>
    </row>
    <row r="1162" spans="1:44" x14ac:dyDescent="0.35">
      <c r="A1162" s="49" t="str">
        <f>TEXT(50,"00")</f>
        <v>50</v>
      </c>
      <c r="B1162" s="27">
        <v>71167</v>
      </c>
      <c r="C1162" s="25" t="str">
        <f>TEXT(137265,"0000000")</f>
        <v>0137265</v>
      </c>
      <c r="D1162" s="27">
        <v>1963</v>
      </c>
      <c r="E1162" s="25" t="s">
        <v>3187</v>
      </c>
      <c r="F1162" s="25" t="s">
        <v>5</v>
      </c>
      <c r="G1162" s="59" t="s">
        <v>3188</v>
      </c>
      <c r="H1162" s="60">
        <v>0</v>
      </c>
      <c r="I1162" s="60">
        <v>0</v>
      </c>
      <c r="J1162" s="60">
        <v>0</v>
      </c>
      <c r="K1162" s="60">
        <v>0</v>
      </c>
      <c r="L1162" s="60">
        <v>0</v>
      </c>
      <c r="M1162" s="60">
        <v>0</v>
      </c>
      <c r="N1162" s="60">
        <v>0</v>
      </c>
      <c r="O1162" s="60">
        <v>0</v>
      </c>
      <c r="P1162" s="60">
        <v>0</v>
      </c>
      <c r="Q1162" s="60">
        <v>0</v>
      </c>
      <c r="R1162" s="60">
        <v>0</v>
      </c>
      <c r="S1162" s="60">
        <v>0</v>
      </c>
      <c r="T1162" s="60">
        <v>0</v>
      </c>
      <c r="U1162" s="60">
        <v>0</v>
      </c>
      <c r="V1162" s="60">
        <v>0</v>
      </c>
      <c r="W1162" s="60">
        <v>0</v>
      </c>
      <c r="X1162" s="60">
        <v>0</v>
      </c>
      <c r="Y1162" s="60">
        <v>0</v>
      </c>
      <c r="Z1162" s="60">
        <v>0</v>
      </c>
      <c r="AA1162" s="60">
        <v>0</v>
      </c>
      <c r="AB1162" s="60">
        <v>0</v>
      </c>
      <c r="AC1162" s="60">
        <v>391.69</v>
      </c>
      <c r="AD1162" s="60">
        <v>373.77</v>
      </c>
      <c r="AE1162" s="60">
        <v>357.27</v>
      </c>
      <c r="AF1162" s="60">
        <v>0</v>
      </c>
      <c r="AG1162" s="60">
        <v>0</v>
      </c>
      <c r="AH1162" s="60">
        <v>0</v>
      </c>
      <c r="AI1162" s="60">
        <v>391.69</v>
      </c>
      <c r="AJ1162" s="60">
        <v>373.77</v>
      </c>
      <c r="AK1162" s="60">
        <v>357.27</v>
      </c>
      <c r="AL1162" s="60">
        <v>0</v>
      </c>
      <c r="AM1162" s="60">
        <v>0</v>
      </c>
      <c r="AN1162" s="60">
        <v>0</v>
      </c>
      <c r="AO1162" s="60">
        <v>391.69</v>
      </c>
      <c r="AP1162" s="60">
        <v>373.77</v>
      </c>
      <c r="AQ1162" s="60">
        <v>357.27</v>
      </c>
      <c r="AR1162" s="61">
        <v>391.69</v>
      </c>
    </row>
    <row r="1163" spans="1:44" ht="31" x14ac:dyDescent="0.35">
      <c r="A1163" s="49" t="str">
        <f>TEXT(50,"00")</f>
        <v>50</v>
      </c>
      <c r="B1163" s="27">
        <v>71167</v>
      </c>
      <c r="C1163" s="25" t="str">
        <f>TEXT(138057,"0000000")</f>
        <v>0138057</v>
      </c>
      <c r="D1163" s="27">
        <v>1973</v>
      </c>
      <c r="E1163" s="25" t="s">
        <v>3189</v>
      </c>
      <c r="F1163" s="25" t="s">
        <v>5</v>
      </c>
      <c r="G1163" s="59" t="s">
        <v>3190</v>
      </c>
      <c r="H1163" s="60">
        <v>0</v>
      </c>
      <c r="I1163" s="60">
        <v>0</v>
      </c>
      <c r="J1163" s="60">
        <v>0</v>
      </c>
      <c r="K1163" s="60">
        <v>0</v>
      </c>
      <c r="L1163" s="60">
        <v>0</v>
      </c>
      <c r="M1163" s="60">
        <v>0</v>
      </c>
      <c r="N1163" s="60">
        <v>0</v>
      </c>
      <c r="O1163" s="60">
        <v>0</v>
      </c>
      <c r="P1163" s="60">
        <v>0</v>
      </c>
      <c r="Q1163" s="60">
        <v>0</v>
      </c>
      <c r="R1163" s="60">
        <v>0</v>
      </c>
      <c r="S1163" s="60">
        <v>0</v>
      </c>
      <c r="T1163" s="60">
        <v>0</v>
      </c>
      <c r="U1163" s="60">
        <v>0</v>
      </c>
      <c r="V1163" s="60">
        <v>0</v>
      </c>
      <c r="W1163" s="60">
        <v>0</v>
      </c>
      <c r="X1163" s="60">
        <v>0</v>
      </c>
      <c r="Y1163" s="60">
        <v>0</v>
      </c>
      <c r="Z1163" s="60">
        <v>0</v>
      </c>
      <c r="AA1163" s="60">
        <v>0</v>
      </c>
      <c r="AB1163" s="60">
        <v>0</v>
      </c>
      <c r="AC1163" s="60">
        <v>709.56</v>
      </c>
      <c r="AD1163" s="60">
        <v>628.77</v>
      </c>
      <c r="AE1163" s="60">
        <v>619.14</v>
      </c>
      <c r="AF1163" s="60">
        <v>0</v>
      </c>
      <c r="AG1163" s="60">
        <v>0</v>
      </c>
      <c r="AH1163" s="60">
        <v>0</v>
      </c>
      <c r="AI1163" s="60">
        <v>709.56</v>
      </c>
      <c r="AJ1163" s="60">
        <v>628.77</v>
      </c>
      <c r="AK1163" s="60">
        <v>619.14</v>
      </c>
      <c r="AL1163" s="60">
        <v>0</v>
      </c>
      <c r="AM1163" s="60">
        <v>0</v>
      </c>
      <c r="AN1163" s="60">
        <v>0</v>
      </c>
      <c r="AO1163" s="60">
        <v>709.56</v>
      </c>
      <c r="AP1163" s="60">
        <v>628.77</v>
      </c>
      <c r="AQ1163" s="60">
        <v>619.14</v>
      </c>
      <c r="AR1163" s="61">
        <v>709.56</v>
      </c>
    </row>
    <row r="1164" spans="1:44" x14ac:dyDescent="0.35">
      <c r="A1164" s="49" t="str">
        <f>TEXT(50,"00")</f>
        <v>50</v>
      </c>
      <c r="B1164" s="27">
        <v>71175</v>
      </c>
      <c r="C1164" s="25" t="str">
        <f>TEXT(120212,"0000000")</f>
        <v>0120212</v>
      </c>
      <c r="D1164" s="27">
        <v>1125</v>
      </c>
      <c r="E1164" s="25" t="s">
        <v>3191</v>
      </c>
      <c r="F1164" s="25" t="s">
        <v>5</v>
      </c>
      <c r="G1164" s="59" t="s">
        <v>3192</v>
      </c>
      <c r="H1164" s="60">
        <v>0</v>
      </c>
      <c r="I1164" s="60">
        <v>0</v>
      </c>
      <c r="J1164" s="60">
        <v>0</v>
      </c>
      <c r="K1164" s="60">
        <v>0</v>
      </c>
      <c r="L1164" s="60">
        <v>0</v>
      </c>
      <c r="M1164" s="60">
        <v>0</v>
      </c>
      <c r="N1164" s="60">
        <v>0</v>
      </c>
      <c r="O1164" s="60">
        <v>0</v>
      </c>
      <c r="P1164" s="60">
        <v>0</v>
      </c>
      <c r="Q1164" s="60">
        <v>0</v>
      </c>
      <c r="R1164" s="60">
        <v>0</v>
      </c>
      <c r="S1164" s="60">
        <v>0</v>
      </c>
      <c r="T1164" s="60">
        <v>0</v>
      </c>
      <c r="U1164" s="60">
        <v>0</v>
      </c>
      <c r="V1164" s="60">
        <v>0</v>
      </c>
      <c r="W1164" s="60">
        <v>0</v>
      </c>
      <c r="X1164" s="60">
        <v>0</v>
      </c>
      <c r="Y1164" s="60">
        <v>0</v>
      </c>
      <c r="Z1164" s="60">
        <v>0</v>
      </c>
      <c r="AA1164" s="60">
        <v>0</v>
      </c>
      <c r="AB1164" s="60">
        <v>0</v>
      </c>
      <c r="AC1164" s="60">
        <v>568.38</v>
      </c>
      <c r="AD1164" s="60">
        <v>540.38</v>
      </c>
      <c r="AE1164" s="60">
        <v>527.17999999999995</v>
      </c>
      <c r="AF1164" s="60">
        <v>0</v>
      </c>
      <c r="AG1164" s="60">
        <v>0</v>
      </c>
      <c r="AH1164" s="60">
        <v>0</v>
      </c>
      <c r="AI1164" s="60">
        <v>568.38</v>
      </c>
      <c r="AJ1164" s="60">
        <v>540.38</v>
      </c>
      <c r="AK1164" s="60">
        <v>527.17999999999995</v>
      </c>
      <c r="AL1164" s="60">
        <v>0</v>
      </c>
      <c r="AM1164" s="60">
        <v>0</v>
      </c>
      <c r="AN1164" s="60">
        <v>0</v>
      </c>
      <c r="AO1164" s="60">
        <v>568.38</v>
      </c>
      <c r="AP1164" s="60">
        <v>540.38</v>
      </c>
      <c r="AQ1164" s="60">
        <v>527.17999999999995</v>
      </c>
      <c r="AR1164" s="61">
        <v>568.38</v>
      </c>
    </row>
    <row r="1165" spans="1:44" x14ac:dyDescent="0.35">
      <c r="A1165" s="49" t="str">
        <f>TEXT(51,"00")</f>
        <v>51</v>
      </c>
      <c r="B1165" s="27">
        <v>71423</v>
      </c>
      <c r="C1165" s="25" t="str">
        <f>TEXT(132977,"0000000")</f>
        <v>0132977</v>
      </c>
      <c r="D1165" s="27">
        <v>1764</v>
      </c>
      <c r="E1165" s="25" t="s">
        <v>3244</v>
      </c>
      <c r="F1165" s="25" t="s">
        <v>5</v>
      </c>
      <c r="G1165" s="59" t="s">
        <v>3245</v>
      </c>
      <c r="H1165" s="60">
        <v>0</v>
      </c>
      <c r="I1165" s="60">
        <v>0</v>
      </c>
      <c r="J1165" s="60">
        <v>0</v>
      </c>
      <c r="K1165" s="60">
        <v>0</v>
      </c>
      <c r="L1165" s="60">
        <v>0</v>
      </c>
      <c r="M1165" s="60">
        <v>0</v>
      </c>
      <c r="N1165" s="60">
        <v>0</v>
      </c>
      <c r="O1165" s="60">
        <v>0</v>
      </c>
      <c r="P1165" s="60">
        <v>0</v>
      </c>
      <c r="Q1165" s="60">
        <v>0</v>
      </c>
      <c r="R1165" s="60">
        <v>0</v>
      </c>
      <c r="S1165" s="60">
        <v>0</v>
      </c>
      <c r="T1165" s="60">
        <v>0</v>
      </c>
      <c r="U1165" s="60">
        <v>0</v>
      </c>
      <c r="V1165" s="60">
        <v>0</v>
      </c>
      <c r="W1165" s="60">
        <v>0</v>
      </c>
      <c r="X1165" s="60">
        <v>0</v>
      </c>
      <c r="Y1165" s="60">
        <v>0</v>
      </c>
      <c r="Z1165" s="60">
        <v>0</v>
      </c>
      <c r="AA1165" s="60">
        <v>0</v>
      </c>
      <c r="AB1165" s="60">
        <v>0</v>
      </c>
      <c r="AC1165" s="60">
        <v>634.35</v>
      </c>
      <c r="AD1165" s="60">
        <v>605.6</v>
      </c>
      <c r="AE1165" s="60">
        <v>530.96</v>
      </c>
      <c r="AF1165" s="60">
        <v>0</v>
      </c>
      <c r="AG1165" s="60">
        <v>0</v>
      </c>
      <c r="AH1165" s="60">
        <v>0</v>
      </c>
      <c r="AI1165" s="60">
        <v>634.35</v>
      </c>
      <c r="AJ1165" s="60">
        <v>605.6</v>
      </c>
      <c r="AK1165" s="60">
        <v>530.96</v>
      </c>
      <c r="AL1165" s="60">
        <v>0</v>
      </c>
      <c r="AM1165" s="60">
        <v>0</v>
      </c>
      <c r="AN1165" s="60">
        <v>0</v>
      </c>
      <c r="AO1165" s="60">
        <v>634.35</v>
      </c>
      <c r="AP1165" s="60">
        <v>605.6</v>
      </c>
      <c r="AQ1165" s="60">
        <v>530.96</v>
      </c>
      <c r="AR1165" s="61">
        <v>634.35</v>
      </c>
    </row>
    <row r="1166" spans="1:44" x14ac:dyDescent="0.35">
      <c r="A1166" s="49" t="str">
        <f>TEXT(51,"00")</f>
        <v>51</v>
      </c>
      <c r="B1166" s="27">
        <v>71456</v>
      </c>
      <c r="C1166" s="25" t="str">
        <f>TEXT(133934,"0000000")</f>
        <v>0133934</v>
      </c>
      <c r="D1166" s="27">
        <v>1801</v>
      </c>
      <c r="E1166" s="25" t="s">
        <v>3252</v>
      </c>
      <c r="F1166" s="25" t="s">
        <v>5</v>
      </c>
      <c r="G1166" s="59" t="s">
        <v>3253</v>
      </c>
      <c r="H1166" s="60">
        <v>0</v>
      </c>
      <c r="I1166" s="60">
        <v>0</v>
      </c>
      <c r="J1166" s="60">
        <v>0</v>
      </c>
      <c r="K1166" s="60">
        <v>0</v>
      </c>
      <c r="L1166" s="60">
        <v>0</v>
      </c>
      <c r="M1166" s="60">
        <v>0</v>
      </c>
      <c r="N1166" s="60">
        <v>0</v>
      </c>
      <c r="O1166" s="60">
        <v>0</v>
      </c>
      <c r="P1166" s="60">
        <v>0</v>
      </c>
      <c r="Q1166" s="60">
        <v>0</v>
      </c>
      <c r="R1166" s="60">
        <v>0</v>
      </c>
      <c r="S1166" s="60">
        <v>0</v>
      </c>
      <c r="T1166" s="60">
        <v>0</v>
      </c>
      <c r="U1166" s="60">
        <v>0</v>
      </c>
      <c r="V1166" s="60">
        <v>0</v>
      </c>
      <c r="W1166" s="60">
        <v>0</v>
      </c>
      <c r="X1166" s="60">
        <v>0</v>
      </c>
      <c r="Y1166" s="60">
        <v>0</v>
      </c>
      <c r="Z1166" s="60">
        <v>0</v>
      </c>
      <c r="AA1166" s="60">
        <v>0</v>
      </c>
      <c r="AB1166" s="60">
        <v>0</v>
      </c>
      <c r="AC1166" s="60">
        <v>2526.65</v>
      </c>
      <c r="AD1166" s="60">
        <v>2357.0300000000002</v>
      </c>
      <c r="AE1166" s="60">
        <v>1792.41</v>
      </c>
      <c r="AF1166" s="60">
        <v>0</v>
      </c>
      <c r="AG1166" s="60">
        <v>0</v>
      </c>
      <c r="AH1166" s="60">
        <v>0</v>
      </c>
      <c r="AI1166" s="60">
        <v>2526.65</v>
      </c>
      <c r="AJ1166" s="60">
        <v>2357.0300000000002</v>
      </c>
      <c r="AK1166" s="60">
        <v>1792.41</v>
      </c>
      <c r="AL1166" s="60">
        <v>0</v>
      </c>
      <c r="AM1166" s="60">
        <v>0</v>
      </c>
      <c r="AN1166" s="60">
        <v>0</v>
      </c>
      <c r="AO1166" s="60">
        <v>2526.65</v>
      </c>
      <c r="AP1166" s="60">
        <v>2357.0300000000002</v>
      </c>
      <c r="AQ1166" s="60">
        <v>1792.41</v>
      </c>
      <c r="AR1166" s="61">
        <v>2526.65</v>
      </c>
    </row>
    <row r="1167" spans="1:44" x14ac:dyDescent="0.35">
      <c r="A1167" s="49" t="str">
        <f>TEXT(51,"00")</f>
        <v>51</v>
      </c>
      <c r="B1167" s="27">
        <v>71464</v>
      </c>
      <c r="C1167" s="25" t="str">
        <f>TEXT(5130125,"0000000")</f>
        <v>5130125</v>
      </c>
      <c r="D1167" s="26" t="s">
        <v>3261</v>
      </c>
      <c r="E1167" s="25" t="s">
        <v>3259</v>
      </c>
      <c r="F1167" s="25" t="s">
        <v>5</v>
      </c>
      <c r="G1167" s="59" t="s">
        <v>3260</v>
      </c>
      <c r="H1167" s="60">
        <v>0</v>
      </c>
      <c r="I1167" s="60">
        <v>0</v>
      </c>
      <c r="J1167" s="60">
        <v>0</v>
      </c>
      <c r="K1167" s="60">
        <v>0</v>
      </c>
      <c r="L1167" s="60">
        <v>0</v>
      </c>
      <c r="M1167" s="60">
        <v>0</v>
      </c>
      <c r="N1167" s="60">
        <v>0</v>
      </c>
      <c r="O1167" s="60">
        <v>0</v>
      </c>
      <c r="P1167" s="60">
        <v>0</v>
      </c>
      <c r="Q1167" s="60">
        <v>0</v>
      </c>
      <c r="R1167" s="60">
        <v>0</v>
      </c>
      <c r="S1167" s="60">
        <v>0</v>
      </c>
      <c r="T1167" s="60">
        <v>0</v>
      </c>
      <c r="U1167" s="60">
        <v>0</v>
      </c>
      <c r="V1167" s="60">
        <v>0</v>
      </c>
      <c r="W1167" s="60">
        <v>0</v>
      </c>
      <c r="X1167" s="60">
        <v>0</v>
      </c>
      <c r="Y1167" s="60">
        <v>0</v>
      </c>
      <c r="Z1167" s="60">
        <v>0</v>
      </c>
      <c r="AA1167" s="60">
        <v>0</v>
      </c>
      <c r="AB1167" s="60">
        <v>0</v>
      </c>
      <c r="AC1167" s="60">
        <v>254.75</v>
      </c>
      <c r="AD1167" s="60">
        <v>264.3</v>
      </c>
      <c r="AE1167" s="60">
        <v>261.38</v>
      </c>
      <c r="AF1167" s="60">
        <v>0</v>
      </c>
      <c r="AG1167" s="60">
        <v>0</v>
      </c>
      <c r="AH1167" s="60">
        <v>0</v>
      </c>
      <c r="AI1167" s="60">
        <v>254.75</v>
      </c>
      <c r="AJ1167" s="60">
        <v>264.3</v>
      </c>
      <c r="AK1167" s="60">
        <v>261.38</v>
      </c>
      <c r="AL1167" s="60">
        <v>0</v>
      </c>
      <c r="AM1167" s="60">
        <v>0</v>
      </c>
      <c r="AN1167" s="60">
        <v>0</v>
      </c>
      <c r="AO1167" s="60">
        <v>254.75</v>
      </c>
      <c r="AP1167" s="60">
        <v>264.3</v>
      </c>
      <c r="AQ1167" s="60">
        <v>261.38</v>
      </c>
      <c r="AR1167" s="61">
        <v>264.3</v>
      </c>
    </row>
    <row r="1168" spans="1:44" x14ac:dyDescent="0.35">
      <c r="A1168" s="49" t="str">
        <f>TEXT(1,"00")</f>
        <v>01</v>
      </c>
      <c r="B1168" s="27">
        <v>61309</v>
      </c>
      <c r="C1168" s="25" t="str">
        <f>TEXT(114421,"0000000")</f>
        <v>0114421</v>
      </c>
      <c r="D1168" s="26" t="s">
        <v>158</v>
      </c>
      <c r="E1168" s="25" t="s">
        <v>156</v>
      </c>
      <c r="F1168" s="25" t="s">
        <v>5</v>
      </c>
      <c r="G1168" s="59" t="s">
        <v>157</v>
      </c>
      <c r="H1168" s="60">
        <v>0</v>
      </c>
      <c r="I1168" s="60">
        <v>0</v>
      </c>
      <c r="J1168" s="60">
        <v>0</v>
      </c>
      <c r="K1168" s="60">
        <v>0</v>
      </c>
      <c r="L1168" s="60">
        <v>0</v>
      </c>
      <c r="M1168" s="60">
        <v>0</v>
      </c>
      <c r="N1168" s="60">
        <v>0</v>
      </c>
      <c r="O1168" s="60">
        <v>0</v>
      </c>
      <c r="P1168" s="60">
        <v>0</v>
      </c>
      <c r="Q1168" s="60">
        <v>0</v>
      </c>
      <c r="R1168" s="60">
        <v>0</v>
      </c>
      <c r="S1168" s="60">
        <v>0</v>
      </c>
      <c r="T1168" s="60">
        <v>0</v>
      </c>
      <c r="U1168" s="60">
        <v>0</v>
      </c>
      <c r="V1168" s="60">
        <v>0</v>
      </c>
      <c r="W1168" s="60">
        <v>0</v>
      </c>
      <c r="X1168" s="60">
        <v>0</v>
      </c>
      <c r="Y1168" s="60">
        <v>0</v>
      </c>
      <c r="Z1168" s="60">
        <v>0</v>
      </c>
      <c r="AA1168" s="60">
        <v>0</v>
      </c>
      <c r="AB1168" s="60">
        <v>0</v>
      </c>
      <c r="AC1168" s="60">
        <v>643.27</v>
      </c>
      <c r="AD1168" s="60">
        <v>608.61</v>
      </c>
      <c r="AE1168" s="60">
        <v>599.80999999999995</v>
      </c>
      <c r="AF1168" s="60">
        <v>0</v>
      </c>
      <c r="AG1168" s="60">
        <v>0</v>
      </c>
      <c r="AH1168" s="60">
        <v>0</v>
      </c>
      <c r="AI1168" s="60">
        <v>643.27</v>
      </c>
      <c r="AJ1168" s="60">
        <v>608.61</v>
      </c>
      <c r="AK1168" s="60">
        <v>599.80999999999995</v>
      </c>
      <c r="AL1168" s="60">
        <v>0</v>
      </c>
      <c r="AM1168" s="60">
        <v>0</v>
      </c>
      <c r="AN1168" s="60">
        <v>0</v>
      </c>
      <c r="AO1168" s="60">
        <v>643.27</v>
      </c>
      <c r="AP1168" s="60">
        <v>608.61</v>
      </c>
      <c r="AQ1168" s="60">
        <v>599.80999999999995</v>
      </c>
      <c r="AR1168" s="61">
        <v>643.27</v>
      </c>
    </row>
    <row r="1169" spans="1:44" x14ac:dyDescent="0.35">
      <c r="A1169" s="49" t="str">
        <f>TEXT(54,"00")</f>
        <v>54</v>
      </c>
      <c r="B1169" s="27">
        <v>10546</v>
      </c>
      <c r="C1169" s="25" t="str">
        <f>TEXT(6119291,"0000000")</f>
        <v>6119291</v>
      </c>
      <c r="D1169" s="26" t="s">
        <v>3320</v>
      </c>
      <c r="E1169" s="25" t="s">
        <v>3318</v>
      </c>
      <c r="F1169" s="25" t="s">
        <v>5</v>
      </c>
      <c r="G1169" s="59" t="s">
        <v>3319</v>
      </c>
      <c r="H1169" s="60">
        <v>0</v>
      </c>
      <c r="I1169" s="60">
        <v>0</v>
      </c>
      <c r="J1169" s="60">
        <v>0</v>
      </c>
      <c r="K1169" s="60">
        <v>0</v>
      </c>
      <c r="L1169" s="60">
        <v>0</v>
      </c>
      <c r="M1169" s="60">
        <v>0</v>
      </c>
      <c r="N1169" s="60">
        <v>0</v>
      </c>
      <c r="O1169" s="60">
        <v>0</v>
      </c>
      <c r="P1169" s="60">
        <v>0</v>
      </c>
      <c r="Q1169" s="60">
        <v>0</v>
      </c>
      <c r="R1169" s="60">
        <v>0</v>
      </c>
      <c r="S1169" s="60">
        <v>0</v>
      </c>
      <c r="T1169" s="60">
        <v>0</v>
      </c>
      <c r="U1169" s="60">
        <v>0</v>
      </c>
      <c r="V1169" s="60">
        <v>0</v>
      </c>
      <c r="W1169" s="60">
        <v>0</v>
      </c>
      <c r="X1169" s="60">
        <v>0</v>
      </c>
      <c r="Y1169" s="60">
        <v>0</v>
      </c>
      <c r="Z1169" s="60">
        <v>0</v>
      </c>
      <c r="AA1169" s="60">
        <v>0</v>
      </c>
      <c r="AB1169" s="60">
        <v>0</v>
      </c>
      <c r="AC1169" s="60">
        <v>404.33</v>
      </c>
      <c r="AD1169" s="60">
        <v>383.58</v>
      </c>
      <c r="AE1169" s="60">
        <v>374.79</v>
      </c>
      <c r="AF1169" s="60">
        <v>0</v>
      </c>
      <c r="AG1169" s="60">
        <v>0</v>
      </c>
      <c r="AH1169" s="60">
        <v>0</v>
      </c>
      <c r="AI1169" s="60">
        <v>404.33</v>
      </c>
      <c r="AJ1169" s="60">
        <v>383.58</v>
      </c>
      <c r="AK1169" s="60">
        <v>374.79</v>
      </c>
      <c r="AL1169" s="60">
        <v>0</v>
      </c>
      <c r="AM1169" s="60">
        <v>0</v>
      </c>
      <c r="AN1169" s="60">
        <v>0</v>
      </c>
      <c r="AO1169" s="60">
        <v>404.33</v>
      </c>
      <c r="AP1169" s="60">
        <v>383.58</v>
      </c>
      <c r="AQ1169" s="60">
        <v>374.79</v>
      </c>
      <c r="AR1169" s="61">
        <v>404.33</v>
      </c>
    </row>
    <row r="1170" spans="1:44" x14ac:dyDescent="0.35">
      <c r="A1170" s="49" t="str">
        <f>TEXT(54,"00")</f>
        <v>54</v>
      </c>
      <c r="B1170" s="27">
        <v>71803</v>
      </c>
      <c r="C1170" s="25" t="str">
        <f>TEXT(112458,"0000000")</f>
        <v>0112458</v>
      </c>
      <c r="D1170" s="26" t="s">
        <v>3327</v>
      </c>
      <c r="E1170" s="25" t="s">
        <v>3325</v>
      </c>
      <c r="F1170" s="25" t="s">
        <v>5</v>
      </c>
      <c r="G1170" s="59" t="s">
        <v>3326</v>
      </c>
      <c r="H1170" s="60">
        <v>0</v>
      </c>
      <c r="I1170" s="60">
        <v>0</v>
      </c>
      <c r="J1170" s="60">
        <v>0</v>
      </c>
      <c r="K1170" s="60">
        <v>0</v>
      </c>
      <c r="L1170" s="60">
        <v>0</v>
      </c>
      <c r="M1170" s="60">
        <v>0</v>
      </c>
      <c r="N1170" s="60">
        <v>0</v>
      </c>
      <c r="O1170" s="60">
        <v>0</v>
      </c>
      <c r="P1170" s="60">
        <v>0</v>
      </c>
      <c r="Q1170" s="60">
        <v>0</v>
      </c>
      <c r="R1170" s="60">
        <v>0</v>
      </c>
      <c r="S1170" s="60">
        <v>0</v>
      </c>
      <c r="T1170" s="60">
        <v>0</v>
      </c>
      <c r="U1170" s="60">
        <v>0</v>
      </c>
      <c r="V1170" s="60">
        <v>0</v>
      </c>
      <c r="W1170" s="60">
        <v>0</v>
      </c>
      <c r="X1170" s="60">
        <v>0</v>
      </c>
      <c r="Y1170" s="60">
        <v>0</v>
      </c>
      <c r="Z1170" s="60">
        <v>0</v>
      </c>
      <c r="AA1170" s="60">
        <v>0</v>
      </c>
      <c r="AB1170" s="60">
        <v>0</v>
      </c>
      <c r="AC1170" s="60">
        <v>796.88</v>
      </c>
      <c r="AD1170" s="60">
        <v>647.91</v>
      </c>
      <c r="AE1170" s="60">
        <v>621.66999999999996</v>
      </c>
      <c r="AF1170" s="60">
        <v>0</v>
      </c>
      <c r="AG1170" s="60">
        <v>0</v>
      </c>
      <c r="AH1170" s="60">
        <v>0</v>
      </c>
      <c r="AI1170" s="60">
        <v>796.88</v>
      </c>
      <c r="AJ1170" s="60">
        <v>647.91</v>
      </c>
      <c r="AK1170" s="60">
        <v>621.66999999999996</v>
      </c>
      <c r="AL1170" s="60">
        <v>0</v>
      </c>
      <c r="AM1170" s="60">
        <v>0</v>
      </c>
      <c r="AN1170" s="60">
        <v>0</v>
      </c>
      <c r="AO1170" s="60">
        <v>796.88</v>
      </c>
      <c r="AP1170" s="60">
        <v>647.91</v>
      </c>
      <c r="AQ1170" s="60">
        <v>621.66999999999996</v>
      </c>
      <c r="AR1170" s="61">
        <v>796.88</v>
      </c>
    </row>
    <row r="1171" spans="1:44" x14ac:dyDescent="0.35">
      <c r="A1171" s="49" t="str">
        <f>TEXT(54,"00")</f>
        <v>54</v>
      </c>
      <c r="B1171" s="27">
        <v>71811</v>
      </c>
      <c r="C1171" s="25" t="str">
        <f>TEXT(139477,"0000000")</f>
        <v>0139477</v>
      </c>
      <c r="D1171" s="27">
        <v>2057</v>
      </c>
      <c r="E1171" s="25" t="s">
        <v>3330</v>
      </c>
      <c r="F1171" s="25" t="s">
        <v>5</v>
      </c>
      <c r="G1171" s="59" t="s">
        <v>3331</v>
      </c>
      <c r="H1171" s="60">
        <v>0</v>
      </c>
      <c r="I1171" s="60">
        <v>0</v>
      </c>
      <c r="J1171" s="60">
        <v>0</v>
      </c>
      <c r="K1171" s="60">
        <v>0</v>
      </c>
      <c r="L1171" s="60">
        <v>0</v>
      </c>
      <c r="M1171" s="60">
        <v>0</v>
      </c>
      <c r="N1171" s="60">
        <v>0</v>
      </c>
      <c r="O1171" s="60">
        <v>0</v>
      </c>
      <c r="P1171" s="60">
        <v>0</v>
      </c>
      <c r="Q1171" s="60">
        <v>0</v>
      </c>
      <c r="R1171" s="60">
        <v>0</v>
      </c>
      <c r="S1171" s="60">
        <v>0</v>
      </c>
      <c r="T1171" s="60">
        <v>0</v>
      </c>
      <c r="U1171" s="60">
        <v>0</v>
      </c>
      <c r="V1171" s="60">
        <v>0</v>
      </c>
      <c r="W1171" s="60">
        <v>0</v>
      </c>
      <c r="X1171" s="60">
        <v>0</v>
      </c>
      <c r="Y1171" s="60">
        <v>0</v>
      </c>
      <c r="Z1171" s="60">
        <v>0</v>
      </c>
      <c r="AA1171" s="60">
        <v>0</v>
      </c>
      <c r="AB1171" s="60">
        <v>0</v>
      </c>
      <c r="AC1171" s="60">
        <v>1148.72</v>
      </c>
      <c r="AD1171" s="60">
        <v>1073.42</v>
      </c>
      <c r="AE1171" s="60">
        <v>1069.93</v>
      </c>
      <c r="AF1171" s="60">
        <v>0</v>
      </c>
      <c r="AG1171" s="60">
        <v>0</v>
      </c>
      <c r="AH1171" s="60">
        <v>0</v>
      </c>
      <c r="AI1171" s="60">
        <v>1148.72</v>
      </c>
      <c r="AJ1171" s="60">
        <v>1073.42</v>
      </c>
      <c r="AK1171" s="60">
        <v>1069.93</v>
      </c>
      <c r="AL1171" s="60">
        <v>0</v>
      </c>
      <c r="AM1171" s="60">
        <v>0</v>
      </c>
      <c r="AN1171" s="60">
        <v>0</v>
      </c>
      <c r="AO1171" s="60">
        <v>1148.72</v>
      </c>
      <c r="AP1171" s="60">
        <v>1073.42</v>
      </c>
      <c r="AQ1171" s="60">
        <v>1069.93</v>
      </c>
      <c r="AR1171" s="61">
        <v>1148.72</v>
      </c>
    </row>
    <row r="1172" spans="1:44" x14ac:dyDescent="0.35">
      <c r="A1172" s="49" t="str">
        <f>TEXT(56,"00")</f>
        <v>56</v>
      </c>
      <c r="B1172" s="27">
        <v>10561</v>
      </c>
      <c r="C1172" s="25" t="str">
        <f>TEXT(109900,"0000000")</f>
        <v>0109900</v>
      </c>
      <c r="D1172" s="26" t="s">
        <v>3438</v>
      </c>
      <c r="E1172" s="25" t="s">
        <v>3436</v>
      </c>
      <c r="F1172" s="25" t="s">
        <v>5</v>
      </c>
      <c r="G1172" s="59" t="s">
        <v>3437</v>
      </c>
      <c r="H1172" s="60">
        <v>0</v>
      </c>
      <c r="I1172" s="60">
        <v>0</v>
      </c>
      <c r="J1172" s="60">
        <v>0</v>
      </c>
      <c r="K1172" s="60">
        <v>0</v>
      </c>
      <c r="L1172" s="60">
        <v>0</v>
      </c>
      <c r="M1172" s="60">
        <v>0</v>
      </c>
      <c r="N1172" s="60">
        <v>0</v>
      </c>
      <c r="O1172" s="60">
        <v>0</v>
      </c>
      <c r="P1172" s="60">
        <v>0</v>
      </c>
      <c r="Q1172" s="60">
        <v>0</v>
      </c>
      <c r="R1172" s="60">
        <v>0</v>
      </c>
      <c r="S1172" s="60">
        <v>0</v>
      </c>
      <c r="T1172" s="60">
        <v>0</v>
      </c>
      <c r="U1172" s="60">
        <v>0</v>
      </c>
      <c r="V1172" s="60">
        <v>0</v>
      </c>
      <c r="W1172" s="60">
        <v>0</v>
      </c>
      <c r="X1172" s="60">
        <v>0</v>
      </c>
      <c r="Y1172" s="60">
        <v>0</v>
      </c>
      <c r="Z1172" s="60">
        <v>2327.6999999999998</v>
      </c>
      <c r="AA1172" s="60">
        <v>2084.56</v>
      </c>
      <c r="AB1172" s="60">
        <v>2144.94</v>
      </c>
      <c r="AC1172" s="60">
        <v>0</v>
      </c>
      <c r="AD1172" s="60">
        <v>0</v>
      </c>
      <c r="AE1172" s="60">
        <v>0</v>
      </c>
      <c r="AF1172" s="60">
        <v>0</v>
      </c>
      <c r="AG1172" s="60">
        <v>0</v>
      </c>
      <c r="AH1172" s="60">
        <v>0</v>
      </c>
      <c r="AI1172" s="60">
        <v>2327.6999999999998</v>
      </c>
      <c r="AJ1172" s="60">
        <v>2084.56</v>
      </c>
      <c r="AK1172" s="60">
        <v>2144.94</v>
      </c>
      <c r="AL1172" s="60">
        <v>0</v>
      </c>
      <c r="AM1172" s="60">
        <v>0</v>
      </c>
      <c r="AN1172" s="60">
        <v>0</v>
      </c>
      <c r="AO1172" s="60">
        <v>2327.6999999999998</v>
      </c>
      <c r="AP1172" s="60">
        <v>2084.56</v>
      </c>
      <c r="AQ1172" s="60">
        <v>2144.94</v>
      </c>
      <c r="AR1172" s="61">
        <v>2327.6999999999998</v>
      </c>
    </row>
    <row r="1173" spans="1:44" x14ac:dyDescent="0.35">
      <c r="A1173" s="49" t="str">
        <f>TEXT(57,"00")</f>
        <v>57</v>
      </c>
      <c r="B1173" s="27">
        <v>10579</v>
      </c>
      <c r="C1173" s="25" t="str">
        <f>TEXT(132464,"0000000")</f>
        <v>0132464</v>
      </c>
      <c r="D1173" s="27">
        <v>1746</v>
      </c>
      <c r="E1173" s="25" t="s">
        <v>3478</v>
      </c>
      <c r="F1173" s="25" t="s">
        <v>5</v>
      </c>
      <c r="G1173" s="59" t="s">
        <v>3479</v>
      </c>
      <c r="H1173" s="60">
        <v>0</v>
      </c>
      <c r="I1173" s="60">
        <v>0</v>
      </c>
      <c r="J1173" s="60">
        <v>0</v>
      </c>
      <c r="K1173" s="60">
        <v>0</v>
      </c>
      <c r="L1173" s="60">
        <v>0</v>
      </c>
      <c r="M1173" s="60">
        <v>0</v>
      </c>
      <c r="N1173" s="60">
        <v>0</v>
      </c>
      <c r="O1173" s="60">
        <v>0</v>
      </c>
      <c r="P1173" s="60">
        <v>0</v>
      </c>
      <c r="Q1173" s="60">
        <v>0</v>
      </c>
      <c r="R1173" s="60">
        <v>0</v>
      </c>
      <c r="S1173" s="60">
        <v>0</v>
      </c>
      <c r="T1173" s="60">
        <v>0</v>
      </c>
      <c r="U1173" s="60">
        <v>0</v>
      </c>
      <c r="V1173" s="60">
        <v>0</v>
      </c>
      <c r="W1173" s="60">
        <v>0</v>
      </c>
      <c r="X1173" s="60">
        <v>0</v>
      </c>
      <c r="Y1173" s="60">
        <v>0</v>
      </c>
      <c r="Z1173" s="60">
        <v>0</v>
      </c>
      <c r="AA1173" s="60">
        <v>0</v>
      </c>
      <c r="AB1173" s="60">
        <v>0</v>
      </c>
      <c r="AC1173" s="60">
        <v>380.44</v>
      </c>
      <c r="AD1173" s="60">
        <v>348.48</v>
      </c>
      <c r="AE1173" s="60">
        <v>279.77</v>
      </c>
      <c r="AF1173" s="60">
        <v>0</v>
      </c>
      <c r="AG1173" s="60">
        <v>0</v>
      </c>
      <c r="AH1173" s="60">
        <v>0</v>
      </c>
      <c r="AI1173" s="60">
        <v>380.44</v>
      </c>
      <c r="AJ1173" s="60">
        <v>348.48</v>
      </c>
      <c r="AK1173" s="60">
        <v>279.77</v>
      </c>
      <c r="AL1173" s="60">
        <v>0</v>
      </c>
      <c r="AM1173" s="60">
        <v>0</v>
      </c>
      <c r="AN1173" s="60">
        <v>0</v>
      </c>
      <c r="AO1173" s="60">
        <v>380.44</v>
      </c>
      <c r="AP1173" s="60">
        <v>348.48</v>
      </c>
      <c r="AQ1173" s="60">
        <v>279.77</v>
      </c>
      <c r="AR1173" s="61">
        <v>380.44</v>
      </c>
    </row>
    <row r="1174" spans="1:44" x14ac:dyDescent="0.35">
      <c r="A1174" s="49" t="str">
        <f>TEXT(57,"00")</f>
        <v>57</v>
      </c>
      <c r="B1174" s="27">
        <v>72694</v>
      </c>
      <c r="C1174" s="25" t="str">
        <f>TEXT(124875,"0000000")</f>
        <v>0124875</v>
      </c>
      <c r="D1174" s="27">
        <v>1338</v>
      </c>
      <c r="E1174" s="25" t="s">
        <v>3485</v>
      </c>
      <c r="F1174" s="25" t="s">
        <v>5</v>
      </c>
      <c r="G1174" s="59" t="s">
        <v>3486</v>
      </c>
      <c r="H1174" s="60">
        <v>0</v>
      </c>
      <c r="I1174" s="60">
        <v>0</v>
      </c>
      <c r="J1174" s="60">
        <v>0</v>
      </c>
      <c r="K1174" s="60">
        <v>0</v>
      </c>
      <c r="L1174" s="60">
        <v>0</v>
      </c>
      <c r="M1174" s="60">
        <v>0</v>
      </c>
      <c r="N1174" s="60">
        <v>0</v>
      </c>
      <c r="O1174" s="60">
        <v>0</v>
      </c>
      <c r="P1174" s="60">
        <v>0</v>
      </c>
      <c r="Q1174" s="60">
        <v>0</v>
      </c>
      <c r="R1174" s="60">
        <v>0</v>
      </c>
      <c r="S1174" s="60">
        <v>0</v>
      </c>
      <c r="T1174" s="60">
        <v>0</v>
      </c>
      <c r="U1174" s="60">
        <v>0</v>
      </c>
      <c r="V1174" s="60">
        <v>0</v>
      </c>
      <c r="W1174" s="60">
        <v>0</v>
      </c>
      <c r="X1174" s="60">
        <v>0</v>
      </c>
      <c r="Y1174" s="60">
        <v>0</v>
      </c>
      <c r="Z1174" s="60">
        <v>0</v>
      </c>
      <c r="AA1174" s="60">
        <v>0</v>
      </c>
      <c r="AB1174" s="60">
        <v>0</v>
      </c>
      <c r="AC1174" s="60">
        <v>351.2</v>
      </c>
      <c r="AD1174" s="60">
        <v>288.2</v>
      </c>
      <c r="AE1174" s="60">
        <v>254.36</v>
      </c>
      <c r="AF1174" s="60">
        <v>0</v>
      </c>
      <c r="AG1174" s="60">
        <v>0</v>
      </c>
      <c r="AH1174" s="60">
        <v>0</v>
      </c>
      <c r="AI1174" s="60">
        <v>351.2</v>
      </c>
      <c r="AJ1174" s="60">
        <v>288.2</v>
      </c>
      <c r="AK1174" s="60">
        <v>254.36</v>
      </c>
      <c r="AL1174" s="60">
        <v>0</v>
      </c>
      <c r="AM1174" s="60">
        <v>0</v>
      </c>
      <c r="AN1174" s="60">
        <v>0</v>
      </c>
      <c r="AO1174" s="60">
        <v>351.2</v>
      </c>
      <c r="AP1174" s="60">
        <v>288.2</v>
      </c>
      <c r="AQ1174" s="60">
        <v>254.36</v>
      </c>
      <c r="AR1174" s="61">
        <v>351.2</v>
      </c>
    </row>
    <row r="1175" spans="1:44" x14ac:dyDescent="0.35">
      <c r="A1175" s="49" t="str">
        <f>TEXT(57,"00")</f>
        <v>57</v>
      </c>
      <c r="B1175" s="27">
        <v>72694</v>
      </c>
      <c r="C1175" s="25" t="str">
        <f>TEXT(131706,"0000000")</f>
        <v>0131706</v>
      </c>
      <c r="D1175" s="27">
        <v>1659</v>
      </c>
      <c r="E1175" s="25" t="s">
        <v>3487</v>
      </c>
      <c r="F1175" s="25" t="s">
        <v>5</v>
      </c>
      <c r="G1175" s="59" t="s">
        <v>3488</v>
      </c>
      <c r="H1175" s="60">
        <v>0</v>
      </c>
      <c r="I1175" s="60">
        <v>0</v>
      </c>
      <c r="J1175" s="60">
        <v>0</v>
      </c>
      <c r="K1175" s="60">
        <v>0</v>
      </c>
      <c r="L1175" s="60">
        <v>0</v>
      </c>
      <c r="M1175" s="60">
        <v>0</v>
      </c>
      <c r="N1175" s="60">
        <v>0</v>
      </c>
      <c r="O1175" s="60">
        <v>0</v>
      </c>
      <c r="P1175" s="60">
        <v>0</v>
      </c>
      <c r="Q1175" s="60">
        <v>0</v>
      </c>
      <c r="R1175" s="60">
        <v>0</v>
      </c>
      <c r="S1175" s="60">
        <v>0</v>
      </c>
      <c r="T1175" s="60">
        <v>0</v>
      </c>
      <c r="U1175" s="60">
        <v>0</v>
      </c>
      <c r="V1175" s="60">
        <v>0</v>
      </c>
      <c r="W1175" s="60">
        <v>0</v>
      </c>
      <c r="X1175" s="60">
        <v>0</v>
      </c>
      <c r="Y1175" s="60">
        <v>0</v>
      </c>
      <c r="Z1175" s="60">
        <v>0</v>
      </c>
      <c r="AA1175" s="60">
        <v>0</v>
      </c>
      <c r="AB1175" s="60">
        <v>0</v>
      </c>
      <c r="AC1175" s="60">
        <v>396.9</v>
      </c>
      <c r="AD1175" s="60">
        <v>388.8</v>
      </c>
      <c r="AE1175" s="60">
        <v>449.39</v>
      </c>
      <c r="AF1175" s="60">
        <v>0</v>
      </c>
      <c r="AG1175" s="60">
        <v>0</v>
      </c>
      <c r="AH1175" s="60">
        <v>0</v>
      </c>
      <c r="AI1175" s="60">
        <v>396.9</v>
      </c>
      <c r="AJ1175" s="60">
        <v>388.8</v>
      </c>
      <c r="AK1175" s="60">
        <v>449.39</v>
      </c>
      <c r="AL1175" s="60">
        <v>0</v>
      </c>
      <c r="AM1175" s="60">
        <v>0</v>
      </c>
      <c r="AN1175" s="60">
        <v>0</v>
      </c>
      <c r="AO1175" s="60">
        <v>396.9</v>
      </c>
      <c r="AP1175" s="60">
        <v>388.8</v>
      </c>
      <c r="AQ1175" s="60">
        <v>449.39</v>
      </c>
      <c r="AR1175" s="61">
        <v>449.39</v>
      </c>
    </row>
    <row r="1176" spans="1:44" x14ac:dyDescent="0.35">
      <c r="A1176" s="49" t="str">
        <f>TEXT(57,"00")</f>
        <v>57</v>
      </c>
      <c r="B1176" s="27">
        <v>72702</v>
      </c>
      <c r="C1176" s="25" t="str">
        <f>TEXT(139436,"0000000")</f>
        <v>0139436</v>
      </c>
      <c r="D1176" s="27">
        <v>2059</v>
      </c>
      <c r="E1176" s="25" t="s">
        <v>3491</v>
      </c>
      <c r="F1176" s="25" t="s">
        <v>5</v>
      </c>
      <c r="G1176" s="59" t="s">
        <v>3492</v>
      </c>
      <c r="H1176" s="60">
        <v>0</v>
      </c>
      <c r="I1176" s="60">
        <v>0</v>
      </c>
      <c r="J1176" s="60">
        <v>0</v>
      </c>
      <c r="K1176" s="60">
        <v>0</v>
      </c>
      <c r="L1176" s="60">
        <v>0</v>
      </c>
      <c r="M1176" s="60">
        <v>0</v>
      </c>
      <c r="N1176" s="60">
        <v>0</v>
      </c>
      <c r="O1176" s="60">
        <v>0</v>
      </c>
      <c r="P1176" s="60">
        <v>0</v>
      </c>
      <c r="Q1176" s="60">
        <v>0</v>
      </c>
      <c r="R1176" s="60">
        <v>0</v>
      </c>
      <c r="S1176" s="60">
        <v>0</v>
      </c>
      <c r="T1176" s="60">
        <v>0</v>
      </c>
      <c r="U1176" s="60">
        <v>0</v>
      </c>
      <c r="V1176" s="60">
        <v>0</v>
      </c>
      <c r="W1176" s="60">
        <v>0</v>
      </c>
      <c r="X1176" s="60">
        <v>0</v>
      </c>
      <c r="Y1176" s="60">
        <v>0</v>
      </c>
      <c r="Z1176" s="60">
        <v>0</v>
      </c>
      <c r="AA1176" s="60">
        <v>0</v>
      </c>
      <c r="AB1176" s="60">
        <v>0</v>
      </c>
      <c r="AC1176" s="60">
        <v>261.85000000000002</v>
      </c>
      <c r="AD1176" s="60">
        <v>656.52</v>
      </c>
      <c r="AE1176" s="60">
        <v>665.38</v>
      </c>
      <c r="AF1176" s="60">
        <v>0</v>
      </c>
      <c r="AG1176" s="60">
        <v>0</v>
      </c>
      <c r="AH1176" s="60">
        <v>0</v>
      </c>
      <c r="AI1176" s="60">
        <v>261.85000000000002</v>
      </c>
      <c r="AJ1176" s="60">
        <v>656.52</v>
      </c>
      <c r="AK1176" s="60">
        <v>665.38</v>
      </c>
      <c r="AL1176" s="60">
        <v>0</v>
      </c>
      <c r="AM1176" s="60">
        <v>0</v>
      </c>
      <c r="AN1176" s="60">
        <v>0</v>
      </c>
      <c r="AO1176" s="60">
        <v>261.85000000000002</v>
      </c>
      <c r="AP1176" s="60">
        <v>656.52</v>
      </c>
      <c r="AQ1176" s="60">
        <v>665.38</v>
      </c>
      <c r="AR1176" s="61">
        <v>665.38</v>
      </c>
    </row>
    <row r="1177" spans="1:44" x14ac:dyDescent="0.35">
      <c r="A1177" s="49" t="str">
        <f>TEXT(58,"00")</f>
        <v>58</v>
      </c>
      <c r="B1177" s="27">
        <v>72736</v>
      </c>
      <c r="C1177" s="25" t="str">
        <f>TEXT(121632,"0000000")</f>
        <v>0121632</v>
      </c>
      <c r="D1177" s="27">
        <v>1182</v>
      </c>
      <c r="E1177" s="25" t="s">
        <v>3499</v>
      </c>
      <c r="F1177" s="25" t="s">
        <v>5</v>
      </c>
      <c r="G1177" s="59" t="s">
        <v>3500</v>
      </c>
      <c r="H1177" s="60">
        <v>0</v>
      </c>
      <c r="I1177" s="60">
        <v>0</v>
      </c>
      <c r="J1177" s="60">
        <v>0</v>
      </c>
      <c r="K1177" s="60">
        <v>0</v>
      </c>
      <c r="L1177" s="60">
        <v>0</v>
      </c>
      <c r="M1177" s="60">
        <v>0</v>
      </c>
      <c r="N1177" s="60">
        <v>0</v>
      </c>
      <c r="O1177" s="60">
        <v>0</v>
      </c>
      <c r="P1177" s="60">
        <v>0</v>
      </c>
      <c r="Q1177" s="60">
        <v>0</v>
      </c>
      <c r="R1177" s="60">
        <v>0</v>
      </c>
      <c r="S1177" s="60">
        <v>0</v>
      </c>
      <c r="T1177" s="60">
        <v>0</v>
      </c>
      <c r="U1177" s="60">
        <v>0</v>
      </c>
      <c r="V1177" s="60">
        <v>0</v>
      </c>
      <c r="W1177" s="60">
        <v>0</v>
      </c>
      <c r="X1177" s="60">
        <v>0</v>
      </c>
      <c r="Y1177" s="60">
        <v>0</v>
      </c>
      <c r="Z1177" s="60">
        <v>0</v>
      </c>
      <c r="AA1177" s="60">
        <v>0</v>
      </c>
      <c r="AB1177" s="60">
        <v>0</v>
      </c>
      <c r="AC1177" s="60">
        <v>190.05</v>
      </c>
      <c r="AD1177" s="60">
        <v>189.51</v>
      </c>
      <c r="AE1177" s="60">
        <v>181.52</v>
      </c>
      <c r="AF1177" s="60">
        <v>0</v>
      </c>
      <c r="AG1177" s="60">
        <v>0</v>
      </c>
      <c r="AH1177" s="60">
        <v>0</v>
      </c>
      <c r="AI1177" s="60">
        <v>190.05</v>
      </c>
      <c r="AJ1177" s="60">
        <v>189.51</v>
      </c>
      <c r="AK1177" s="60">
        <v>181.52</v>
      </c>
      <c r="AL1177" s="60">
        <v>0</v>
      </c>
      <c r="AM1177" s="60">
        <v>0</v>
      </c>
      <c r="AN1177" s="60">
        <v>0</v>
      </c>
      <c r="AO1177" s="60">
        <v>190.05</v>
      </c>
      <c r="AP1177" s="60">
        <v>189.51</v>
      </c>
      <c r="AQ1177" s="60">
        <v>181.52</v>
      </c>
      <c r="AR1177" s="61">
        <v>190.05</v>
      </c>
    </row>
    <row r="1178" spans="1:44" ht="31" x14ac:dyDescent="0.35">
      <c r="A1178" s="49" t="str">
        <f>TEXT(30,"00")</f>
        <v>30</v>
      </c>
      <c r="B1178" s="27">
        <v>10306</v>
      </c>
      <c r="C1178" s="25" t="str">
        <f>TEXT(142224,"0000000")</f>
        <v>0142224</v>
      </c>
      <c r="D1178" s="27">
        <v>2138</v>
      </c>
      <c r="E1178" s="25" t="s">
        <v>3524</v>
      </c>
      <c r="F1178" s="25" t="s">
        <v>5</v>
      </c>
      <c r="G1178" s="59" t="s">
        <v>3525</v>
      </c>
      <c r="H1178" s="60">
        <v>0</v>
      </c>
      <c r="I1178" s="60">
        <v>0</v>
      </c>
      <c r="J1178" s="60">
        <v>0</v>
      </c>
      <c r="K1178" s="60">
        <v>0</v>
      </c>
      <c r="L1178" s="60">
        <v>0</v>
      </c>
      <c r="M1178" s="60">
        <v>0</v>
      </c>
      <c r="N1178" s="60">
        <v>0</v>
      </c>
      <c r="O1178" s="60">
        <v>0</v>
      </c>
      <c r="P1178" s="60">
        <v>0</v>
      </c>
      <c r="Q1178" s="60">
        <v>0</v>
      </c>
      <c r="R1178" s="60">
        <v>0</v>
      </c>
      <c r="S1178" s="60">
        <v>0</v>
      </c>
      <c r="T1178" s="60">
        <v>0</v>
      </c>
      <c r="U1178" s="60">
        <v>0</v>
      </c>
      <c r="V1178" s="60">
        <v>0</v>
      </c>
      <c r="W1178" s="60">
        <v>0</v>
      </c>
      <c r="X1178" s="60">
        <v>0</v>
      </c>
      <c r="Y1178" s="60">
        <v>0</v>
      </c>
      <c r="Z1178" s="60">
        <v>0</v>
      </c>
      <c r="AA1178" s="60">
        <v>0</v>
      </c>
      <c r="AB1178" s="60">
        <v>0</v>
      </c>
      <c r="AC1178" s="60">
        <v>179.83</v>
      </c>
      <c r="AD1178" s="60">
        <v>0</v>
      </c>
      <c r="AE1178" s="60">
        <v>0</v>
      </c>
      <c r="AF1178" s="60">
        <v>0</v>
      </c>
      <c r="AG1178" s="60">
        <v>0</v>
      </c>
      <c r="AH1178" s="60">
        <v>0</v>
      </c>
      <c r="AI1178" s="60">
        <v>179.83</v>
      </c>
      <c r="AJ1178" s="60">
        <v>0</v>
      </c>
      <c r="AK1178" s="60">
        <v>0</v>
      </c>
      <c r="AL1178" s="60">
        <v>0</v>
      </c>
      <c r="AM1178" s="60">
        <v>0</v>
      </c>
      <c r="AN1178" s="60">
        <v>0</v>
      </c>
      <c r="AO1178" s="60">
        <v>179.83</v>
      </c>
      <c r="AP1178" s="60">
        <v>0</v>
      </c>
      <c r="AQ1178" s="60">
        <v>0</v>
      </c>
      <c r="AR1178" s="61">
        <v>179.83</v>
      </c>
    </row>
    <row r="1179" spans="1:44" x14ac:dyDescent="0.35">
      <c r="A1179" s="49" t="str">
        <f>TEXT(1,"00")</f>
        <v>01</v>
      </c>
      <c r="B1179" s="27">
        <v>77180</v>
      </c>
      <c r="C1179" s="25" t="str">
        <f>TEXT(138289,"0000000")</f>
        <v>0138289</v>
      </c>
      <c r="D1179" s="27">
        <v>2015</v>
      </c>
      <c r="E1179" s="25" t="s">
        <v>163</v>
      </c>
      <c r="F1179" s="25" t="s">
        <v>5</v>
      </c>
      <c r="G1179" s="59" t="s">
        <v>164</v>
      </c>
      <c r="H1179" s="60">
        <v>0</v>
      </c>
      <c r="I1179" s="60">
        <v>0</v>
      </c>
      <c r="J1179" s="60">
        <v>0</v>
      </c>
      <c r="K1179" s="60">
        <v>0</v>
      </c>
      <c r="L1179" s="60">
        <v>0</v>
      </c>
      <c r="M1179" s="60">
        <v>0</v>
      </c>
      <c r="N1179" s="60">
        <v>0</v>
      </c>
      <c r="O1179" s="60">
        <v>0</v>
      </c>
      <c r="P1179" s="60">
        <v>0</v>
      </c>
      <c r="Q1179" s="60">
        <v>0</v>
      </c>
      <c r="R1179" s="60">
        <v>0</v>
      </c>
      <c r="S1179" s="60">
        <v>0</v>
      </c>
      <c r="T1179" s="60">
        <v>0</v>
      </c>
      <c r="U1179" s="60">
        <v>0</v>
      </c>
      <c r="V1179" s="60">
        <v>0</v>
      </c>
      <c r="W1179" s="60">
        <v>0</v>
      </c>
      <c r="X1179" s="60">
        <v>0</v>
      </c>
      <c r="Y1179" s="60">
        <v>0</v>
      </c>
      <c r="Z1179" s="60">
        <v>0</v>
      </c>
      <c r="AA1179" s="60">
        <v>0</v>
      </c>
      <c r="AB1179" s="60">
        <v>0</v>
      </c>
      <c r="AC1179" s="60">
        <v>316.77999999999997</v>
      </c>
      <c r="AD1179" s="60">
        <v>256.24</v>
      </c>
      <c r="AE1179" s="60">
        <v>209.62</v>
      </c>
      <c r="AF1179" s="60">
        <v>0</v>
      </c>
      <c r="AG1179" s="60">
        <v>0</v>
      </c>
      <c r="AH1179" s="60">
        <v>0</v>
      </c>
      <c r="AI1179" s="60">
        <v>316.77999999999997</v>
      </c>
      <c r="AJ1179" s="60">
        <v>256.24</v>
      </c>
      <c r="AK1179" s="60">
        <v>209.62</v>
      </c>
      <c r="AL1179" s="60">
        <v>0</v>
      </c>
      <c r="AM1179" s="60">
        <v>0</v>
      </c>
      <c r="AN1179" s="60">
        <v>0</v>
      </c>
      <c r="AO1179" s="60">
        <v>316.77999999999997</v>
      </c>
      <c r="AP1179" s="60">
        <v>256.24</v>
      </c>
      <c r="AQ1179" s="60">
        <v>209.62</v>
      </c>
      <c r="AR1179" s="61">
        <v>316.77999999999997</v>
      </c>
    </row>
    <row r="1180" spans="1:44" x14ac:dyDescent="0.35">
      <c r="A1180" s="49" t="str">
        <f>TEXT(34,"00")</f>
        <v>34</v>
      </c>
      <c r="B1180" s="27">
        <v>10348</v>
      </c>
      <c r="C1180" s="25" t="str">
        <f>TEXT(142091,"0000000")</f>
        <v>0142091</v>
      </c>
      <c r="D1180" s="27">
        <v>2133</v>
      </c>
      <c r="E1180" s="25" t="s">
        <v>3529</v>
      </c>
      <c r="F1180" s="25" t="s">
        <v>5</v>
      </c>
      <c r="G1180" s="59" t="s">
        <v>3530</v>
      </c>
      <c r="H1180" s="60">
        <v>0</v>
      </c>
      <c r="I1180" s="60">
        <v>0</v>
      </c>
      <c r="J1180" s="60">
        <v>0</v>
      </c>
      <c r="K1180" s="60">
        <v>0</v>
      </c>
      <c r="L1180" s="60">
        <v>0</v>
      </c>
      <c r="M1180" s="60">
        <v>0</v>
      </c>
      <c r="N1180" s="60">
        <v>0</v>
      </c>
      <c r="O1180" s="60">
        <v>0</v>
      </c>
      <c r="P1180" s="60">
        <v>0</v>
      </c>
      <c r="Q1180" s="60">
        <v>0</v>
      </c>
      <c r="R1180" s="60">
        <v>0</v>
      </c>
      <c r="S1180" s="60">
        <v>0</v>
      </c>
      <c r="T1180" s="60">
        <v>0</v>
      </c>
      <c r="U1180" s="60">
        <v>0</v>
      </c>
      <c r="V1180" s="60">
        <v>0</v>
      </c>
      <c r="W1180" s="60">
        <v>0</v>
      </c>
      <c r="X1180" s="60">
        <v>0</v>
      </c>
      <c r="Y1180" s="60">
        <v>0</v>
      </c>
      <c r="Z1180" s="60">
        <v>43.94</v>
      </c>
      <c r="AA1180" s="60">
        <v>0</v>
      </c>
      <c r="AB1180" s="60">
        <v>0</v>
      </c>
      <c r="AC1180" s="60">
        <v>0</v>
      </c>
      <c r="AD1180" s="60">
        <v>0</v>
      </c>
      <c r="AE1180" s="60">
        <v>0</v>
      </c>
      <c r="AF1180" s="60">
        <v>0</v>
      </c>
      <c r="AG1180" s="60">
        <v>0</v>
      </c>
      <c r="AH1180" s="60">
        <v>0</v>
      </c>
      <c r="AI1180" s="60">
        <v>43.94</v>
      </c>
      <c r="AJ1180" s="60">
        <v>0</v>
      </c>
      <c r="AK1180" s="60">
        <v>0</v>
      </c>
      <c r="AL1180" s="60">
        <v>0</v>
      </c>
      <c r="AM1180" s="60">
        <v>0</v>
      </c>
      <c r="AN1180" s="60">
        <v>0</v>
      </c>
      <c r="AO1180" s="60">
        <v>43.94</v>
      </c>
      <c r="AP1180" s="60">
        <v>0</v>
      </c>
      <c r="AQ1180" s="60">
        <v>0</v>
      </c>
      <c r="AR1180" s="61">
        <v>43.94</v>
      </c>
    </row>
    <row r="1181" spans="1:44" x14ac:dyDescent="0.35">
      <c r="A1181" s="49" t="str">
        <f>TEXT(34,"00")</f>
        <v>34</v>
      </c>
      <c r="B1181" s="27">
        <v>67330</v>
      </c>
      <c r="C1181" s="25" t="str">
        <f>TEXT(142208,"0000000")</f>
        <v>0142208</v>
      </c>
      <c r="D1181" s="27">
        <v>2137</v>
      </c>
      <c r="E1181" s="25" t="s">
        <v>3531</v>
      </c>
      <c r="F1181" s="25" t="s">
        <v>5</v>
      </c>
      <c r="G1181" s="59" t="s">
        <v>3532</v>
      </c>
      <c r="H1181" s="60">
        <v>0</v>
      </c>
      <c r="I1181" s="60">
        <v>0</v>
      </c>
      <c r="J1181" s="60">
        <v>0</v>
      </c>
      <c r="K1181" s="60">
        <v>0</v>
      </c>
      <c r="L1181" s="60">
        <v>0</v>
      </c>
      <c r="M1181" s="60">
        <v>0</v>
      </c>
      <c r="N1181" s="60">
        <v>0</v>
      </c>
      <c r="O1181" s="60">
        <v>0</v>
      </c>
      <c r="P1181" s="60">
        <v>0</v>
      </c>
      <c r="Q1181" s="60">
        <v>0</v>
      </c>
      <c r="R1181" s="60">
        <v>0</v>
      </c>
      <c r="S1181" s="60">
        <v>0</v>
      </c>
      <c r="T1181" s="60">
        <v>0</v>
      </c>
      <c r="U1181" s="60">
        <v>0</v>
      </c>
      <c r="V1181" s="60">
        <v>0</v>
      </c>
      <c r="W1181" s="60">
        <v>0</v>
      </c>
      <c r="X1181" s="60">
        <v>0</v>
      </c>
      <c r="Y1181" s="60">
        <v>0</v>
      </c>
      <c r="Z1181" s="60">
        <v>0</v>
      </c>
      <c r="AA1181" s="60">
        <v>0</v>
      </c>
      <c r="AB1181" s="60">
        <v>0</v>
      </c>
      <c r="AC1181" s="60">
        <v>92.82</v>
      </c>
      <c r="AD1181" s="60">
        <v>0</v>
      </c>
      <c r="AE1181" s="60">
        <v>0</v>
      </c>
      <c r="AF1181" s="60">
        <v>0</v>
      </c>
      <c r="AG1181" s="60">
        <v>0</v>
      </c>
      <c r="AH1181" s="60">
        <v>0</v>
      </c>
      <c r="AI1181" s="60">
        <v>92.82</v>
      </c>
      <c r="AJ1181" s="60">
        <v>0</v>
      </c>
      <c r="AK1181" s="60">
        <v>0</v>
      </c>
      <c r="AL1181" s="60">
        <v>0</v>
      </c>
      <c r="AM1181" s="60">
        <v>0</v>
      </c>
      <c r="AN1181" s="60">
        <v>0</v>
      </c>
      <c r="AO1181" s="60">
        <v>92.82</v>
      </c>
      <c r="AP1181" s="60">
        <v>0</v>
      </c>
      <c r="AQ1181" s="60">
        <v>0</v>
      </c>
      <c r="AR1181" s="61">
        <v>92.82</v>
      </c>
    </row>
    <row r="1182" spans="1:44" x14ac:dyDescent="0.35">
      <c r="A1182" s="49" t="str">
        <f>TEXT(30,"00")</f>
        <v>30</v>
      </c>
      <c r="B1182" s="27">
        <v>10306</v>
      </c>
      <c r="C1182" s="25" t="str">
        <f>TEXT(142026,"0000000")</f>
        <v>0142026</v>
      </c>
      <c r="D1182" s="27">
        <v>2135</v>
      </c>
      <c r="E1182" s="25" t="s">
        <v>3522</v>
      </c>
      <c r="F1182" s="25" t="s">
        <v>5</v>
      </c>
      <c r="G1182" s="59" t="s">
        <v>3523</v>
      </c>
      <c r="H1182" s="60">
        <v>0</v>
      </c>
      <c r="I1182" s="60">
        <v>0</v>
      </c>
      <c r="J1182" s="60">
        <v>0</v>
      </c>
      <c r="K1182" s="60">
        <v>0</v>
      </c>
      <c r="L1182" s="60">
        <v>0</v>
      </c>
      <c r="M1182" s="60">
        <v>0</v>
      </c>
      <c r="N1182" s="60">
        <v>0</v>
      </c>
      <c r="O1182" s="60">
        <v>0</v>
      </c>
      <c r="P1182" s="60">
        <v>0</v>
      </c>
      <c r="Q1182" s="60">
        <v>0</v>
      </c>
      <c r="R1182" s="60">
        <v>0</v>
      </c>
      <c r="S1182" s="60">
        <v>0</v>
      </c>
      <c r="T1182" s="60">
        <v>0</v>
      </c>
      <c r="U1182" s="60">
        <v>0</v>
      </c>
      <c r="V1182" s="60">
        <v>0</v>
      </c>
      <c r="W1182" s="60">
        <v>0</v>
      </c>
      <c r="X1182" s="60">
        <v>0</v>
      </c>
      <c r="Y1182" s="60">
        <v>0</v>
      </c>
      <c r="Z1182" s="60">
        <v>0</v>
      </c>
      <c r="AA1182" s="60">
        <v>0</v>
      </c>
      <c r="AB1182" s="60">
        <v>0</v>
      </c>
      <c r="AC1182" s="60">
        <v>509.34</v>
      </c>
      <c r="AD1182" s="60">
        <v>0</v>
      </c>
      <c r="AE1182" s="60">
        <v>0</v>
      </c>
      <c r="AF1182" s="60">
        <v>0</v>
      </c>
      <c r="AG1182" s="60">
        <v>0</v>
      </c>
      <c r="AH1182" s="60">
        <v>0</v>
      </c>
      <c r="AI1182" s="60">
        <v>509.34</v>
      </c>
      <c r="AJ1182" s="60">
        <v>0</v>
      </c>
      <c r="AK1182" s="60">
        <v>0</v>
      </c>
      <c r="AL1182" s="60">
        <v>0</v>
      </c>
      <c r="AM1182" s="60">
        <v>0</v>
      </c>
      <c r="AN1182" s="60">
        <v>0</v>
      </c>
      <c r="AO1182" s="60">
        <v>509.34</v>
      </c>
      <c r="AP1182" s="60">
        <v>0</v>
      </c>
      <c r="AQ1182" s="60">
        <v>0</v>
      </c>
      <c r="AR1182" s="61">
        <v>509.34</v>
      </c>
    </row>
    <row r="1183" spans="1:44" x14ac:dyDescent="0.35">
      <c r="A1183" s="49" t="str">
        <f>TEXT(17,"00")</f>
        <v>17</v>
      </c>
      <c r="B1183" s="27">
        <v>64014</v>
      </c>
      <c r="C1183" s="25" t="str">
        <f>TEXT(141382,"0000000")</f>
        <v>0141382</v>
      </c>
      <c r="D1183" s="27">
        <v>2125</v>
      </c>
      <c r="E1183" s="25" t="s">
        <v>3509</v>
      </c>
      <c r="F1183" s="25" t="s">
        <v>5</v>
      </c>
      <c r="G1183" s="59" t="s">
        <v>3510</v>
      </c>
      <c r="H1183" s="60">
        <v>0</v>
      </c>
      <c r="I1183" s="60">
        <v>0</v>
      </c>
      <c r="J1183" s="60">
        <v>0</v>
      </c>
      <c r="K1183" s="60">
        <v>0</v>
      </c>
      <c r="L1183" s="60">
        <v>0</v>
      </c>
      <c r="M1183" s="60">
        <v>0</v>
      </c>
      <c r="N1183" s="60">
        <v>0</v>
      </c>
      <c r="O1183" s="60">
        <v>0</v>
      </c>
      <c r="P1183" s="60">
        <v>0</v>
      </c>
      <c r="Q1183" s="60">
        <v>0</v>
      </c>
      <c r="R1183" s="60">
        <v>0</v>
      </c>
      <c r="S1183" s="60">
        <v>0</v>
      </c>
      <c r="T1183" s="60">
        <v>0</v>
      </c>
      <c r="U1183" s="60">
        <v>0</v>
      </c>
      <c r="V1183" s="60">
        <v>0</v>
      </c>
      <c r="W1183" s="60">
        <v>0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v>30.73</v>
      </c>
      <c r="AD1183" s="60">
        <v>0</v>
      </c>
      <c r="AE1183" s="60">
        <v>0</v>
      </c>
      <c r="AF1183" s="60">
        <v>0</v>
      </c>
      <c r="AG1183" s="60">
        <v>0</v>
      </c>
      <c r="AH1183" s="60">
        <v>0</v>
      </c>
      <c r="AI1183" s="60">
        <v>30.73</v>
      </c>
      <c r="AJ1183" s="60">
        <v>0</v>
      </c>
      <c r="AK1183" s="60">
        <v>0</v>
      </c>
      <c r="AL1183" s="60">
        <v>0</v>
      </c>
      <c r="AM1183" s="60">
        <v>0</v>
      </c>
      <c r="AN1183" s="60">
        <v>0</v>
      </c>
      <c r="AO1183" s="60">
        <v>30.73</v>
      </c>
      <c r="AP1183" s="60">
        <v>0</v>
      </c>
      <c r="AQ1183" s="60">
        <v>0</v>
      </c>
      <c r="AR1183" s="61">
        <v>30.73</v>
      </c>
    </row>
    <row r="1184" spans="1:44" x14ac:dyDescent="0.35">
      <c r="A1184" s="49" t="str">
        <f>TEXT(30,"00")</f>
        <v>30</v>
      </c>
      <c r="B1184" s="27">
        <v>10306</v>
      </c>
      <c r="C1184" s="25" t="str">
        <f>TEXT(141978,"0000000")</f>
        <v>0141978</v>
      </c>
      <c r="D1184" s="27">
        <v>2132</v>
      </c>
      <c r="E1184" s="25" t="s">
        <v>3520</v>
      </c>
      <c r="F1184" s="25" t="s">
        <v>5</v>
      </c>
      <c r="G1184" s="59" t="s">
        <v>3521</v>
      </c>
      <c r="H1184" s="60">
        <v>0</v>
      </c>
      <c r="I1184" s="60">
        <v>0</v>
      </c>
      <c r="J1184" s="60">
        <v>0</v>
      </c>
      <c r="K1184" s="60">
        <v>0</v>
      </c>
      <c r="L1184" s="60">
        <v>0</v>
      </c>
      <c r="M1184" s="60">
        <v>0</v>
      </c>
      <c r="N1184" s="60">
        <v>0</v>
      </c>
      <c r="O1184" s="60">
        <v>0</v>
      </c>
      <c r="P1184" s="60">
        <v>0</v>
      </c>
      <c r="Q1184" s="60">
        <v>0</v>
      </c>
      <c r="R1184" s="60">
        <v>0</v>
      </c>
      <c r="S1184" s="60">
        <v>0</v>
      </c>
      <c r="T1184" s="60">
        <v>0</v>
      </c>
      <c r="U1184" s="60">
        <v>0</v>
      </c>
      <c r="V1184" s="60">
        <v>0</v>
      </c>
      <c r="W1184" s="60">
        <v>0</v>
      </c>
      <c r="X1184" s="60">
        <v>0</v>
      </c>
      <c r="Y1184" s="60">
        <v>0</v>
      </c>
      <c r="Z1184" s="60">
        <v>165.41</v>
      </c>
      <c r="AA1184" s="60">
        <v>0</v>
      </c>
      <c r="AB1184" s="60">
        <v>0</v>
      </c>
      <c r="AC1184" s="60">
        <v>0</v>
      </c>
      <c r="AD1184" s="60">
        <v>0</v>
      </c>
      <c r="AE1184" s="60">
        <v>0</v>
      </c>
      <c r="AF1184" s="60">
        <v>0</v>
      </c>
      <c r="AG1184" s="60">
        <v>0</v>
      </c>
      <c r="AH1184" s="60">
        <v>0</v>
      </c>
      <c r="AI1184" s="60">
        <v>165.41</v>
      </c>
      <c r="AJ1184" s="60">
        <v>0</v>
      </c>
      <c r="AK1184" s="60">
        <v>0</v>
      </c>
      <c r="AL1184" s="60">
        <v>0</v>
      </c>
      <c r="AM1184" s="60">
        <v>0</v>
      </c>
      <c r="AN1184" s="60">
        <v>0</v>
      </c>
      <c r="AO1184" s="60">
        <v>165.41</v>
      </c>
      <c r="AP1184" s="60">
        <v>0</v>
      </c>
      <c r="AQ1184" s="60">
        <v>0</v>
      </c>
      <c r="AR1184" s="61">
        <v>165.41</v>
      </c>
    </row>
    <row r="1185" spans="1:44" x14ac:dyDescent="0.35">
      <c r="A1185" s="49" t="str">
        <f>TEXT(37,"00")</f>
        <v>37</v>
      </c>
      <c r="B1185" s="27">
        <v>68403</v>
      </c>
      <c r="C1185" s="25" t="str">
        <f>TEXT(6120893,"0000000")</f>
        <v>6120893</v>
      </c>
      <c r="D1185" s="26" t="s">
        <v>3542</v>
      </c>
      <c r="E1185" s="25" t="s">
        <v>3540</v>
      </c>
      <c r="F1185" s="25" t="s">
        <v>5</v>
      </c>
      <c r="G1185" s="59" t="s">
        <v>3541</v>
      </c>
      <c r="H1185" s="60">
        <v>0</v>
      </c>
      <c r="I1185" s="60">
        <v>0</v>
      </c>
      <c r="J1185" s="60">
        <v>0</v>
      </c>
      <c r="K1185" s="60">
        <v>0</v>
      </c>
      <c r="L1185" s="60">
        <v>0</v>
      </c>
      <c r="M1185" s="60">
        <v>0</v>
      </c>
      <c r="N1185" s="60">
        <v>0</v>
      </c>
      <c r="O1185" s="60">
        <v>0</v>
      </c>
      <c r="P1185" s="60">
        <v>0</v>
      </c>
      <c r="Q1185" s="60">
        <v>0</v>
      </c>
      <c r="R1185" s="60">
        <v>0</v>
      </c>
      <c r="S1185" s="60">
        <v>0</v>
      </c>
      <c r="T1185" s="60">
        <v>0</v>
      </c>
      <c r="U1185" s="60">
        <v>0</v>
      </c>
      <c r="V1185" s="60">
        <v>0</v>
      </c>
      <c r="W1185" s="60">
        <v>0</v>
      </c>
      <c r="X1185" s="60">
        <v>0</v>
      </c>
      <c r="Y1185" s="60">
        <v>0</v>
      </c>
      <c r="Z1185" s="60">
        <v>0</v>
      </c>
      <c r="AA1185" s="60">
        <v>0</v>
      </c>
      <c r="AB1185" s="60">
        <v>0</v>
      </c>
      <c r="AC1185" s="60">
        <v>3583.73</v>
      </c>
      <c r="AD1185" s="60">
        <v>0</v>
      </c>
      <c r="AE1185" s="60">
        <v>0</v>
      </c>
      <c r="AF1185" s="60">
        <v>0</v>
      </c>
      <c r="AG1185" s="60">
        <v>0</v>
      </c>
      <c r="AH1185" s="60">
        <v>0</v>
      </c>
      <c r="AI1185" s="60">
        <v>3583.73</v>
      </c>
      <c r="AJ1185" s="60">
        <v>0</v>
      </c>
      <c r="AK1185" s="60">
        <v>0</v>
      </c>
      <c r="AL1185" s="60">
        <v>0</v>
      </c>
      <c r="AM1185" s="60">
        <v>3252.26</v>
      </c>
      <c r="AN1185" s="60">
        <v>3479.68</v>
      </c>
      <c r="AO1185" s="60">
        <v>3583.73</v>
      </c>
      <c r="AP1185" s="60">
        <v>3252.26</v>
      </c>
      <c r="AQ1185" s="60">
        <v>3479.68</v>
      </c>
      <c r="AR1185" s="61">
        <v>3583.73</v>
      </c>
    </row>
    <row r="1186" spans="1:44" x14ac:dyDescent="0.35">
      <c r="A1186" s="49" t="str">
        <f>TEXT(51,"00")</f>
        <v>51</v>
      </c>
      <c r="B1186" s="27">
        <v>71415</v>
      </c>
      <c r="C1186" s="25" t="str">
        <f>TEXT(129007,"0000000")</f>
        <v>0129007</v>
      </c>
      <c r="D1186" s="27">
        <v>1606</v>
      </c>
      <c r="E1186" s="25" t="s">
        <v>3548</v>
      </c>
      <c r="F1186" s="25" t="s">
        <v>5</v>
      </c>
      <c r="G1186" s="59" t="s">
        <v>3549</v>
      </c>
      <c r="H1186" s="60">
        <v>0</v>
      </c>
      <c r="I1186" s="60">
        <v>0</v>
      </c>
      <c r="J1186" s="60">
        <v>0</v>
      </c>
      <c r="K1186" s="60">
        <v>0</v>
      </c>
      <c r="L1186" s="60">
        <v>0</v>
      </c>
      <c r="M1186" s="60">
        <v>0</v>
      </c>
      <c r="N1186" s="60">
        <v>0</v>
      </c>
      <c r="O1186" s="60">
        <v>0</v>
      </c>
      <c r="P1186" s="60">
        <v>0</v>
      </c>
      <c r="Q1186" s="60">
        <v>0</v>
      </c>
      <c r="R1186" s="60">
        <v>0</v>
      </c>
      <c r="S1186" s="60">
        <v>0</v>
      </c>
      <c r="T1186" s="60">
        <v>0</v>
      </c>
      <c r="U1186" s="60">
        <v>0</v>
      </c>
      <c r="V1186" s="60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v>1457.24</v>
      </c>
      <c r="AD1186" s="60">
        <v>0</v>
      </c>
      <c r="AE1186" s="60">
        <v>0</v>
      </c>
      <c r="AF1186" s="60">
        <v>0</v>
      </c>
      <c r="AG1186" s="60">
        <v>0</v>
      </c>
      <c r="AH1186" s="60">
        <v>0</v>
      </c>
      <c r="AI1186" s="60">
        <v>1457.24</v>
      </c>
      <c r="AJ1186" s="60">
        <v>0</v>
      </c>
      <c r="AK1186" s="60">
        <v>0</v>
      </c>
      <c r="AL1186" s="60">
        <v>0</v>
      </c>
      <c r="AM1186" s="60">
        <v>1384.47</v>
      </c>
      <c r="AN1186" s="60">
        <v>1444.96</v>
      </c>
      <c r="AO1186" s="60">
        <v>1457.24</v>
      </c>
      <c r="AP1186" s="60">
        <v>1384.47</v>
      </c>
      <c r="AQ1186" s="60">
        <v>1444.96</v>
      </c>
      <c r="AR1186" s="61">
        <v>1457.24</v>
      </c>
    </row>
    <row r="1187" spans="1:44" x14ac:dyDescent="0.35">
      <c r="A1187" s="49" t="str">
        <f>TEXT(36,"00")</f>
        <v>36</v>
      </c>
      <c r="B1187" s="27">
        <v>67736</v>
      </c>
      <c r="C1187" s="25" t="str">
        <f>TEXT(128439,"0000000")</f>
        <v>0128439</v>
      </c>
      <c r="D1187" s="27">
        <v>1592</v>
      </c>
      <c r="E1187" s="25" t="s">
        <v>3535</v>
      </c>
      <c r="F1187" s="25" t="s">
        <v>5</v>
      </c>
      <c r="G1187" s="59" t="s">
        <v>1952</v>
      </c>
      <c r="H1187" s="60">
        <v>0</v>
      </c>
      <c r="I1187" s="60">
        <v>0</v>
      </c>
      <c r="J1187" s="60">
        <v>0</v>
      </c>
      <c r="K1187" s="60">
        <v>0</v>
      </c>
      <c r="L1187" s="60">
        <v>0</v>
      </c>
      <c r="M1187" s="60">
        <v>0</v>
      </c>
      <c r="N1187" s="60">
        <v>0</v>
      </c>
      <c r="O1187" s="60">
        <v>0</v>
      </c>
      <c r="P1187" s="60">
        <v>0</v>
      </c>
      <c r="Q1187" s="60">
        <v>0</v>
      </c>
      <c r="R1187" s="60">
        <v>0</v>
      </c>
      <c r="S1187" s="60">
        <v>0</v>
      </c>
      <c r="T1187" s="60">
        <v>0</v>
      </c>
      <c r="U1187" s="60">
        <v>0</v>
      </c>
      <c r="V1187" s="60">
        <v>0</v>
      </c>
      <c r="W1187" s="60">
        <v>0</v>
      </c>
      <c r="X1187" s="60">
        <v>0</v>
      </c>
      <c r="Y1187" s="60">
        <v>0</v>
      </c>
      <c r="Z1187" s="60">
        <v>0</v>
      </c>
      <c r="AA1187" s="60">
        <v>0</v>
      </c>
      <c r="AB1187" s="60">
        <v>0</v>
      </c>
      <c r="AC1187" s="60">
        <v>1585.32</v>
      </c>
      <c r="AD1187" s="60">
        <v>1487.99</v>
      </c>
      <c r="AE1187" s="60">
        <v>1389.75</v>
      </c>
      <c r="AF1187" s="60">
        <v>0</v>
      </c>
      <c r="AG1187" s="60">
        <v>0</v>
      </c>
      <c r="AH1187" s="60">
        <v>0</v>
      </c>
      <c r="AI1187" s="60">
        <v>1585.32</v>
      </c>
      <c r="AJ1187" s="60">
        <v>1487.99</v>
      </c>
      <c r="AK1187" s="60">
        <v>1389.75</v>
      </c>
      <c r="AL1187" s="60">
        <v>0</v>
      </c>
      <c r="AM1187" s="60">
        <v>0</v>
      </c>
      <c r="AN1187" s="60">
        <v>0</v>
      </c>
      <c r="AO1187" s="60">
        <v>1585.32</v>
      </c>
      <c r="AP1187" s="60">
        <v>1487.99</v>
      </c>
      <c r="AQ1187" s="60">
        <v>1389.75</v>
      </c>
      <c r="AR1187" s="61">
        <v>1585.32</v>
      </c>
    </row>
    <row r="1188" spans="1:44" x14ac:dyDescent="0.35">
      <c r="A1188" s="49" t="str">
        <f>TEXT(19,"00")</f>
        <v>19</v>
      </c>
      <c r="B1188" s="27">
        <v>64634</v>
      </c>
      <c r="C1188" s="25" t="str">
        <f>TEXT(128991,"0000000")</f>
        <v>0128991</v>
      </c>
      <c r="D1188" s="27">
        <v>1612</v>
      </c>
      <c r="E1188" s="25" t="s">
        <v>3514</v>
      </c>
      <c r="F1188" s="25" t="s">
        <v>5</v>
      </c>
      <c r="G1188" s="59" t="s">
        <v>3515</v>
      </c>
      <c r="H1188" s="60">
        <v>0</v>
      </c>
      <c r="I1188" s="60">
        <v>0</v>
      </c>
      <c r="J1188" s="60">
        <v>0</v>
      </c>
      <c r="K1188" s="60">
        <v>0</v>
      </c>
      <c r="L1188" s="60">
        <v>0</v>
      </c>
      <c r="M1188" s="60">
        <v>0</v>
      </c>
      <c r="N1188" s="60">
        <v>0</v>
      </c>
      <c r="O1188" s="60">
        <v>0</v>
      </c>
      <c r="P1188" s="60">
        <v>0</v>
      </c>
      <c r="Q1188" s="60">
        <v>0</v>
      </c>
      <c r="R1188" s="60">
        <v>0</v>
      </c>
      <c r="S1188" s="60">
        <v>0</v>
      </c>
      <c r="T1188" s="60">
        <v>0</v>
      </c>
      <c r="U1188" s="60">
        <v>0</v>
      </c>
      <c r="V1188" s="60">
        <v>0</v>
      </c>
      <c r="W1188" s="60">
        <v>0</v>
      </c>
      <c r="X1188" s="60">
        <v>0</v>
      </c>
      <c r="Y1188" s="60">
        <v>0</v>
      </c>
      <c r="Z1188" s="60">
        <v>0</v>
      </c>
      <c r="AA1188" s="60">
        <v>0</v>
      </c>
      <c r="AB1188" s="60">
        <v>0</v>
      </c>
      <c r="AC1188" s="60">
        <v>70.63</v>
      </c>
      <c r="AD1188" s="60">
        <v>0</v>
      </c>
      <c r="AE1188" s="60">
        <v>0</v>
      </c>
      <c r="AF1188" s="60">
        <v>0</v>
      </c>
      <c r="AG1188" s="60">
        <v>0</v>
      </c>
      <c r="AH1188" s="60">
        <v>0</v>
      </c>
      <c r="AI1188" s="60">
        <v>70.63</v>
      </c>
      <c r="AJ1188" s="60">
        <v>0</v>
      </c>
      <c r="AK1188" s="60">
        <v>0</v>
      </c>
      <c r="AL1188" s="60">
        <v>0</v>
      </c>
      <c r="AM1188" s="60">
        <v>66.34</v>
      </c>
      <c r="AN1188" s="60">
        <v>55.76</v>
      </c>
      <c r="AO1188" s="60">
        <v>70.63</v>
      </c>
      <c r="AP1188" s="60">
        <v>66.34</v>
      </c>
      <c r="AQ1188" s="60">
        <v>55.76</v>
      </c>
      <c r="AR1188" s="61">
        <v>70.63</v>
      </c>
    </row>
    <row r="1189" spans="1:44" x14ac:dyDescent="0.35">
      <c r="A1189" s="49" t="str">
        <f>TEXT(37,"00")</f>
        <v>37</v>
      </c>
      <c r="B1189" s="27">
        <v>68163</v>
      </c>
      <c r="C1189" s="25" t="str">
        <f>TEXT(128421,"0000000")</f>
        <v>0128421</v>
      </c>
      <c r="D1189" s="27">
        <v>1589</v>
      </c>
      <c r="E1189" s="25" t="s">
        <v>3536</v>
      </c>
      <c r="F1189" s="25" t="s">
        <v>5</v>
      </c>
      <c r="G1189" s="59" t="s">
        <v>2137</v>
      </c>
      <c r="H1189" s="60">
        <v>0</v>
      </c>
      <c r="I1189" s="60">
        <v>0</v>
      </c>
      <c r="J1189" s="60">
        <v>0</v>
      </c>
      <c r="K1189" s="60">
        <v>0</v>
      </c>
      <c r="L1189" s="60">
        <v>0</v>
      </c>
      <c r="M1189" s="60">
        <v>0</v>
      </c>
      <c r="N1189" s="60">
        <v>0</v>
      </c>
      <c r="O1189" s="60">
        <v>0</v>
      </c>
      <c r="P1189" s="60">
        <v>0</v>
      </c>
      <c r="Q1189" s="60">
        <v>0</v>
      </c>
      <c r="R1189" s="60">
        <v>0</v>
      </c>
      <c r="S1189" s="60">
        <v>0</v>
      </c>
      <c r="T1189" s="60">
        <v>0</v>
      </c>
      <c r="U1189" s="60">
        <v>0</v>
      </c>
      <c r="V1189" s="60">
        <v>0</v>
      </c>
      <c r="W1189" s="60">
        <v>0</v>
      </c>
      <c r="X1189" s="60">
        <v>0</v>
      </c>
      <c r="Y1189" s="60">
        <v>0</v>
      </c>
      <c r="Z1189" s="60">
        <v>0</v>
      </c>
      <c r="AA1189" s="60">
        <v>0</v>
      </c>
      <c r="AB1189" s="60">
        <v>0</v>
      </c>
      <c r="AC1189" s="60">
        <v>226.84</v>
      </c>
      <c r="AD1189" s="60">
        <v>274.14</v>
      </c>
      <c r="AE1189" s="60">
        <v>257.79000000000002</v>
      </c>
      <c r="AF1189" s="60">
        <v>0</v>
      </c>
      <c r="AG1189" s="60">
        <v>0</v>
      </c>
      <c r="AH1189" s="60">
        <v>0</v>
      </c>
      <c r="AI1189" s="60">
        <v>226.84</v>
      </c>
      <c r="AJ1189" s="60">
        <v>274.14</v>
      </c>
      <c r="AK1189" s="60">
        <v>257.79000000000002</v>
      </c>
      <c r="AL1189" s="60">
        <v>0</v>
      </c>
      <c r="AM1189" s="60">
        <v>0</v>
      </c>
      <c r="AN1189" s="60">
        <v>0</v>
      </c>
      <c r="AO1189" s="60">
        <v>226.84</v>
      </c>
      <c r="AP1189" s="60">
        <v>274.14</v>
      </c>
      <c r="AQ1189" s="60">
        <v>257.79000000000002</v>
      </c>
      <c r="AR1189" s="61">
        <v>274.14</v>
      </c>
    </row>
    <row r="1190" spans="1:44" x14ac:dyDescent="0.35">
      <c r="A1190" s="49" t="str">
        <f>TEXT(4,"00")</f>
        <v>04</v>
      </c>
      <c r="B1190" s="27">
        <v>10041</v>
      </c>
      <c r="C1190" s="25" t="str">
        <f>TEXT(114991,"0000000")</f>
        <v>0114991</v>
      </c>
      <c r="D1190" s="26" t="s">
        <v>179</v>
      </c>
      <c r="E1190" s="25" t="s">
        <v>177</v>
      </c>
      <c r="F1190" s="25" t="s">
        <v>5</v>
      </c>
      <c r="G1190" s="59" t="s">
        <v>178</v>
      </c>
      <c r="H1190" s="60">
        <v>0</v>
      </c>
      <c r="I1190" s="60">
        <v>0</v>
      </c>
      <c r="J1190" s="60">
        <v>0</v>
      </c>
      <c r="K1190" s="60">
        <v>0</v>
      </c>
      <c r="L1190" s="60">
        <v>0</v>
      </c>
      <c r="M1190" s="60">
        <v>0</v>
      </c>
      <c r="N1190" s="60">
        <v>0</v>
      </c>
      <c r="O1190" s="60">
        <v>0</v>
      </c>
      <c r="P1190" s="60">
        <v>0</v>
      </c>
      <c r="Q1190" s="60">
        <v>0</v>
      </c>
      <c r="R1190" s="60">
        <v>0</v>
      </c>
      <c r="S1190" s="60">
        <v>0</v>
      </c>
      <c r="T1190" s="60">
        <v>0</v>
      </c>
      <c r="U1190" s="60">
        <v>0</v>
      </c>
      <c r="V1190" s="60">
        <v>0</v>
      </c>
      <c r="W1190" s="60">
        <v>0</v>
      </c>
      <c r="X1190" s="60">
        <v>0</v>
      </c>
      <c r="Y1190" s="60">
        <v>0</v>
      </c>
      <c r="Z1190" s="60">
        <v>882.31</v>
      </c>
      <c r="AA1190" s="60">
        <v>841.11</v>
      </c>
      <c r="AB1190" s="60">
        <v>844.08</v>
      </c>
      <c r="AC1190" s="60">
        <v>0</v>
      </c>
      <c r="AD1190" s="60">
        <v>0</v>
      </c>
      <c r="AE1190" s="60">
        <v>0</v>
      </c>
      <c r="AF1190" s="60">
        <v>0</v>
      </c>
      <c r="AG1190" s="60">
        <v>0</v>
      </c>
      <c r="AH1190" s="60">
        <v>0</v>
      </c>
      <c r="AI1190" s="60">
        <v>882.31</v>
      </c>
      <c r="AJ1190" s="60">
        <v>841.11</v>
      </c>
      <c r="AK1190" s="60">
        <v>844.08</v>
      </c>
      <c r="AL1190" s="60">
        <v>0</v>
      </c>
      <c r="AM1190" s="60">
        <v>0</v>
      </c>
      <c r="AN1190" s="60">
        <v>0</v>
      </c>
      <c r="AO1190" s="60">
        <v>882.31</v>
      </c>
      <c r="AP1190" s="60">
        <v>841.11</v>
      </c>
      <c r="AQ1190" s="60">
        <v>844.08</v>
      </c>
      <c r="AR1190" s="61">
        <v>882.31</v>
      </c>
    </row>
    <row r="1191" spans="1:44" x14ac:dyDescent="0.35">
      <c r="A1191" s="49" t="str">
        <f>TEXT(31,"00")</f>
        <v>31</v>
      </c>
      <c r="B1191" s="27">
        <v>66951</v>
      </c>
      <c r="C1191" s="25" t="str">
        <f>TEXT(3130168,"0000000")</f>
        <v>3130168</v>
      </c>
      <c r="D1191" s="26" t="s">
        <v>1667</v>
      </c>
      <c r="E1191" s="25" t="s">
        <v>3527</v>
      </c>
      <c r="F1191" s="25" t="s">
        <v>5</v>
      </c>
      <c r="G1191" s="59" t="s">
        <v>1666</v>
      </c>
      <c r="H1191" s="60">
        <v>0</v>
      </c>
      <c r="I1191" s="60">
        <v>0</v>
      </c>
      <c r="J1191" s="60">
        <v>0</v>
      </c>
      <c r="K1191" s="60">
        <v>0</v>
      </c>
      <c r="L1191" s="60">
        <v>0</v>
      </c>
      <c r="M1191" s="60">
        <v>0</v>
      </c>
      <c r="N1191" s="60">
        <v>0</v>
      </c>
      <c r="O1191" s="60">
        <v>0</v>
      </c>
      <c r="P1191" s="60">
        <v>0</v>
      </c>
      <c r="Q1191" s="60">
        <v>0</v>
      </c>
      <c r="R1191" s="60">
        <v>0</v>
      </c>
      <c r="S1191" s="60">
        <v>0</v>
      </c>
      <c r="T1191" s="60">
        <v>0</v>
      </c>
      <c r="U1191" s="60">
        <v>0</v>
      </c>
      <c r="V1191" s="60">
        <v>0</v>
      </c>
      <c r="W1191" s="60">
        <v>0</v>
      </c>
      <c r="X1191" s="60">
        <v>0</v>
      </c>
      <c r="Y1191" s="60">
        <v>0</v>
      </c>
      <c r="Z1191" s="60">
        <v>0</v>
      </c>
      <c r="AA1191" s="60">
        <v>0</v>
      </c>
      <c r="AB1191" s="60">
        <v>0</v>
      </c>
      <c r="AC1191" s="60">
        <v>1571.6</v>
      </c>
      <c r="AD1191" s="60">
        <v>1523.86</v>
      </c>
      <c r="AE1191" s="60">
        <v>0</v>
      </c>
      <c r="AF1191" s="60">
        <v>0</v>
      </c>
      <c r="AG1191" s="60">
        <v>0</v>
      </c>
      <c r="AH1191" s="60">
        <v>0</v>
      </c>
      <c r="AI1191" s="60">
        <v>1571.6</v>
      </c>
      <c r="AJ1191" s="60">
        <v>1523.86</v>
      </c>
      <c r="AK1191" s="60">
        <v>0</v>
      </c>
      <c r="AL1191" s="60">
        <v>0</v>
      </c>
      <c r="AM1191" s="60">
        <v>0</v>
      </c>
      <c r="AN1191" s="60">
        <v>1769.05</v>
      </c>
      <c r="AO1191" s="60">
        <v>1571.6</v>
      </c>
      <c r="AP1191" s="60">
        <v>1523.86</v>
      </c>
      <c r="AQ1191" s="60">
        <v>1769.05</v>
      </c>
      <c r="AR1191" s="61">
        <v>1769.05</v>
      </c>
    </row>
    <row r="1192" spans="1:44" x14ac:dyDescent="0.35">
      <c r="A1192" s="49" t="str">
        <f>TEXT(37,"00")</f>
        <v>37</v>
      </c>
      <c r="B1192" s="27">
        <v>68403</v>
      </c>
      <c r="C1192" s="25" t="str">
        <f>TEXT(125401,"0000000")</f>
        <v>0125401</v>
      </c>
      <c r="D1192" s="27">
        <v>1371</v>
      </c>
      <c r="E1192" s="25" t="s">
        <v>3538</v>
      </c>
      <c r="F1192" s="25" t="s">
        <v>5</v>
      </c>
      <c r="G1192" s="59" t="s">
        <v>3539</v>
      </c>
      <c r="H1192" s="60">
        <v>0</v>
      </c>
      <c r="I1192" s="60">
        <v>0</v>
      </c>
      <c r="J1192" s="60">
        <v>0</v>
      </c>
      <c r="K1192" s="60">
        <v>0</v>
      </c>
      <c r="L1192" s="60">
        <v>0</v>
      </c>
      <c r="M1192" s="60">
        <v>0</v>
      </c>
      <c r="N1192" s="60">
        <v>0</v>
      </c>
      <c r="O1192" s="60">
        <v>0</v>
      </c>
      <c r="P1192" s="60">
        <v>0</v>
      </c>
      <c r="Q1192" s="60">
        <v>0</v>
      </c>
      <c r="R1192" s="60">
        <v>0</v>
      </c>
      <c r="S1192" s="60">
        <v>0</v>
      </c>
      <c r="T1192" s="60">
        <v>0</v>
      </c>
      <c r="U1192" s="60">
        <v>0</v>
      </c>
      <c r="V1192" s="60">
        <v>0</v>
      </c>
      <c r="W1192" s="60">
        <v>0</v>
      </c>
      <c r="X1192" s="60">
        <v>0</v>
      </c>
      <c r="Y1192" s="60">
        <v>0</v>
      </c>
      <c r="Z1192" s="60">
        <v>0</v>
      </c>
      <c r="AA1192" s="60">
        <v>0</v>
      </c>
      <c r="AB1192" s="60">
        <v>0</v>
      </c>
      <c r="AC1192" s="60">
        <v>161.56</v>
      </c>
      <c r="AD1192" s="60">
        <v>0</v>
      </c>
      <c r="AE1192" s="60">
        <v>0</v>
      </c>
      <c r="AF1192" s="60">
        <v>0</v>
      </c>
      <c r="AG1192" s="60">
        <v>0</v>
      </c>
      <c r="AH1192" s="60">
        <v>0</v>
      </c>
      <c r="AI1192" s="60">
        <v>161.56</v>
      </c>
      <c r="AJ1192" s="60">
        <v>0</v>
      </c>
      <c r="AK1192" s="60">
        <v>0</v>
      </c>
      <c r="AL1192" s="60">
        <v>0</v>
      </c>
      <c r="AM1192" s="60">
        <v>135.5</v>
      </c>
      <c r="AN1192" s="60">
        <v>142.05000000000001</v>
      </c>
      <c r="AO1192" s="60">
        <v>161.56</v>
      </c>
      <c r="AP1192" s="60">
        <v>135.5</v>
      </c>
      <c r="AQ1192" s="60">
        <v>142.05000000000001</v>
      </c>
      <c r="AR1192" s="61">
        <v>161.56</v>
      </c>
    </row>
    <row r="1193" spans="1:44" x14ac:dyDescent="0.35">
      <c r="A1193" s="49" t="str">
        <f>TEXT(11,"00")</f>
        <v>11</v>
      </c>
      <c r="B1193" s="27">
        <v>62596</v>
      </c>
      <c r="C1193" s="25" t="str">
        <f>TEXT(139550,"0000000")</f>
        <v>0139550</v>
      </c>
      <c r="D1193" s="27">
        <v>2069</v>
      </c>
      <c r="E1193" s="25" t="s">
        <v>3508</v>
      </c>
      <c r="F1193" s="25" t="s">
        <v>5</v>
      </c>
      <c r="G1193" s="59" t="s">
        <v>507</v>
      </c>
      <c r="H1193" s="60">
        <v>0</v>
      </c>
      <c r="I1193" s="60">
        <v>0</v>
      </c>
      <c r="J1193" s="60">
        <v>0</v>
      </c>
      <c r="K1193" s="60">
        <v>0</v>
      </c>
      <c r="L1193" s="60">
        <v>0</v>
      </c>
      <c r="M1193" s="60">
        <v>0</v>
      </c>
      <c r="N1193" s="60">
        <v>0</v>
      </c>
      <c r="O1193" s="60">
        <v>0</v>
      </c>
      <c r="P1193" s="60">
        <v>0</v>
      </c>
      <c r="Q1193" s="60">
        <v>0</v>
      </c>
      <c r="R1193" s="60">
        <v>0</v>
      </c>
      <c r="S1193" s="60">
        <v>0</v>
      </c>
      <c r="T1193" s="60">
        <v>0</v>
      </c>
      <c r="U1193" s="60">
        <v>0</v>
      </c>
      <c r="V1193" s="60">
        <v>0</v>
      </c>
      <c r="W1193" s="60">
        <v>0</v>
      </c>
      <c r="X1193" s="60">
        <v>0</v>
      </c>
      <c r="Y1193" s="60">
        <v>0</v>
      </c>
      <c r="Z1193" s="60">
        <v>0</v>
      </c>
      <c r="AA1193" s="60">
        <v>0</v>
      </c>
      <c r="AB1193" s="60">
        <v>0</v>
      </c>
      <c r="AC1193" s="60">
        <v>838.36</v>
      </c>
      <c r="AD1193" s="60">
        <v>715.31</v>
      </c>
      <c r="AE1193" s="60">
        <v>617.04999999999995</v>
      </c>
      <c r="AF1193" s="60">
        <v>0</v>
      </c>
      <c r="AG1193" s="60">
        <v>0</v>
      </c>
      <c r="AH1193" s="60">
        <v>0</v>
      </c>
      <c r="AI1193" s="60">
        <v>838.36</v>
      </c>
      <c r="AJ1193" s="60">
        <v>715.31</v>
      </c>
      <c r="AK1193" s="60">
        <v>617.04999999999995</v>
      </c>
      <c r="AL1193" s="60">
        <v>0</v>
      </c>
      <c r="AM1193" s="60">
        <v>0</v>
      </c>
      <c r="AN1193" s="60">
        <v>0</v>
      </c>
      <c r="AO1193" s="60">
        <v>838.36</v>
      </c>
      <c r="AP1193" s="60">
        <v>715.31</v>
      </c>
      <c r="AQ1193" s="60">
        <v>617.04999999999995</v>
      </c>
      <c r="AR1193" s="61">
        <v>838.36</v>
      </c>
    </row>
    <row r="1194" spans="1:44" x14ac:dyDescent="0.35">
      <c r="A1194" s="49" t="str">
        <f>TEXT(33,"00")</f>
        <v>33</v>
      </c>
      <c r="B1194" s="27">
        <v>10330</v>
      </c>
      <c r="C1194" s="25" t="str">
        <f>TEXT(110833,"0000000")</f>
        <v>0110833</v>
      </c>
      <c r="D1194" s="26" t="s">
        <v>1695</v>
      </c>
      <c r="E1194" s="25" t="s">
        <v>3528</v>
      </c>
      <c r="F1194" s="25" t="s">
        <v>5</v>
      </c>
      <c r="G1194" s="59" t="s">
        <v>1694</v>
      </c>
      <c r="H1194" s="60">
        <v>0</v>
      </c>
      <c r="I1194" s="60">
        <v>0</v>
      </c>
      <c r="J1194" s="60">
        <v>0</v>
      </c>
      <c r="K1194" s="60">
        <v>0</v>
      </c>
      <c r="L1194" s="60">
        <v>0</v>
      </c>
      <c r="M1194" s="60">
        <v>0</v>
      </c>
      <c r="N1194" s="60">
        <v>0</v>
      </c>
      <c r="O1194" s="60">
        <v>0</v>
      </c>
      <c r="P1194" s="60">
        <v>0</v>
      </c>
      <c r="Q1194" s="60">
        <v>0</v>
      </c>
      <c r="R1194" s="60">
        <v>0</v>
      </c>
      <c r="S1194" s="60">
        <v>0</v>
      </c>
      <c r="T1194" s="60">
        <v>0</v>
      </c>
      <c r="U1194" s="60">
        <v>0</v>
      </c>
      <c r="V1194" s="60">
        <v>0</v>
      </c>
      <c r="W1194" s="60">
        <v>0</v>
      </c>
      <c r="X1194" s="60">
        <v>0</v>
      </c>
      <c r="Y1194" s="60">
        <v>0</v>
      </c>
      <c r="Z1194" s="60">
        <v>7213.37</v>
      </c>
      <c r="AA1194" s="60">
        <v>6697.13</v>
      </c>
      <c r="AB1194" s="60">
        <v>6328.36</v>
      </c>
      <c r="AC1194" s="60">
        <v>0</v>
      </c>
      <c r="AD1194" s="60">
        <v>0</v>
      </c>
      <c r="AE1194" s="60">
        <v>0</v>
      </c>
      <c r="AF1194" s="60">
        <v>0</v>
      </c>
      <c r="AG1194" s="60">
        <v>0</v>
      </c>
      <c r="AH1194" s="60">
        <v>0</v>
      </c>
      <c r="AI1194" s="60">
        <v>7213.37</v>
      </c>
      <c r="AJ1194" s="60">
        <v>6697.13</v>
      </c>
      <c r="AK1194" s="60">
        <v>6328.36</v>
      </c>
      <c r="AL1194" s="60">
        <v>0</v>
      </c>
      <c r="AM1194" s="60">
        <v>0</v>
      </c>
      <c r="AN1194" s="60">
        <v>0</v>
      </c>
      <c r="AO1194" s="60">
        <v>7213.37</v>
      </c>
      <c r="AP1194" s="60">
        <v>6697.13</v>
      </c>
      <c r="AQ1194" s="60">
        <v>6328.36</v>
      </c>
      <c r="AR1194" s="61">
        <v>7213.37</v>
      </c>
    </row>
    <row r="1195" spans="1:44" x14ac:dyDescent="0.35">
      <c r="A1195" s="49" t="str">
        <f>TEXT(19,"00")</f>
        <v>19</v>
      </c>
      <c r="B1195" s="27">
        <v>64634</v>
      </c>
      <c r="C1195" s="25" t="str">
        <f>TEXT(101667,"0000000")</f>
        <v>0101667</v>
      </c>
      <c r="D1195" s="26" t="s">
        <v>985</v>
      </c>
      <c r="E1195" s="25" t="s">
        <v>3512</v>
      </c>
      <c r="F1195" s="25" t="s">
        <v>5</v>
      </c>
      <c r="G1195" s="59" t="s">
        <v>984</v>
      </c>
      <c r="H1195" s="60">
        <v>0</v>
      </c>
      <c r="I1195" s="60">
        <v>0</v>
      </c>
      <c r="J1195" s="60">
        <v>0</v>
      </c>
      <c r="K1195" s="60">
        <v>0</v>
      </c>
      <c r="L1195" s="60">
        <v>0</v>
      </c>
      <c r="M1195" s="60">
        <v>0</v>
      </c>
      <c r="N1195" s="60">
        <v>0</v>
      </c>
      <c r="O1195" s="60">
        <v>0</v>
      </c>
      <c r="P1195" s="60">
        <v>0</v>
      </c>
      <c r="Q1195" s="60">
        <v>0</v>
      </c>
      <c r="R1195" s="60">
        <v>0</v>
      </c>
      <c r="S1195" s="60">
        <v>0</v>
      </c>
      <c r="T1195" s="60">
        <v>0</v>
      </c>
      <c r="U1195" s="60">
        <v>0</v>
      </c>
      <c r="V1195" s="60">
        <v>0</v>
      </c>
      <c r="W1195" s="60">
        <v>0</v>
      </c>
      <c r="X1195" s="60">
        <v>0</v>
      </c>
      <c r="Y1195" s="60">
        <v>0</v>
      </c>
      <c r="Z1195" s="60">
        <v>0</v>
      </c>
      <c r="AA1195" s="60">
        <v>0</v>
      </c>
      <c r="AB1195" s="60">
        <v>0</v>
      </c>
      <c r="AC1195" s="60">
        <v>397.92</v>
      </c>
      <c r="AD1195" s="60">
        <v>373.16</v>
      </c>
      <c r="AE1195" s="60">
        <v>0</v>
      </c>
      <c r="AF1195" s="60">
        <v>0</v>
      </c>
      <c r="AG1195" s="60">
        <v>0</v>
      </c>
      <c r="AH1195" s="60">
        <v>0</v>
      </c>
      <c r="AI1195" s="60">
        <v>397.92</v>
      </c>
      <c r="AJ1195" s="60">
        <v>373.16</v>
      </c>
      <c r="AK1195" s="60">
        <v>0</v>
      </c>
      <c r="AL1195" s="60">
        <v>0</v>
      </c>
      <c r="AM1195" s="60">
        <v>0</v>
      </c>
      <c r="AN1195" s="60">
        <v>368.45</v>
      </c>
      <c r="AO1195" s="60">
        <v>397.92</v>
      </c>
      <c r="AP1195" s="60">
        <v>373.16</v>
      </c>
      <c r="AQ1195" s="60">
        <v>368.45</v>
      </c>
      <c r="AR1195" s="61">
        <v>397.92</v>
      </c>
    </row>
    <row r="1196" spans="1:44" x14ac:dyDescent="0.35">
      <c r="A1196" s="49" t="str">
        <f>TEXT(19,"00")</f>
        <v>19</v>
      </c>
      <c r="B1196" s="27">
        <v>64634</v>
      </c>
      <c r="C1196" s="25" t="str">
        <f>TEXT(116822,"0000000")</f>
        <v>0116822</v>
      </c>
      <c r="D1196" s="26" t="s">
        <v>988</v>
      </c>
      <c r="E1196" s="25" t="s">
        <v>3513</v>
      </c>
      <c r="F1196" s="25" t="s">
        <v>5</v>
      </c>
      <c r="G1196" s="59" t="s">
        <v>987</v>
      </c>
      <c r="H1196" s="60">
        <v>0</v>
      </c>
      <c r="I1196" s="60">
        <v>0</v>
      </c>
      <c r="J1196" s="60">
        <v>0</v>
      </c>
      <c r="K1196" s="60">
        <v>0</v>
      </c>
      <c r="L1196" s="60">
        <v>0</v>
      </c>
      <c r="M1196" s="60">
        <v>0</v>
      </c>
      <c r="N1196" s="60">
        <v>0</v>
      </c>
      <c r="O1196" s="60">
        <v>0</v>
      </c>
      <c r="P1196" s="60">
        <v>0</v>
      </c>
      <c r="Q1196" s="60">
        <v>0</v>
      </c>
      <c r="R1196" s="60">
        <v>0</v>
      </c>
      <c r="S1196" s="60">
        <v>0</v>
      </c>
      <c r="T1196" s="60">
        <v>0</v>
      </c>
      <c r="U1196" s="60">
        <v>0</v>
      </c>
      <c r="V1196" s="60">
        <v>0</v>
      </c>
      <c r="W1196" s="60">
        <v>0</v>
      </c>
      <c r="X1196" s="60">
        <v>0</v>
      </c>
      <c r="Y1196" s="60">
        <v>0</v>
      </c>
      <c r="Z1196" s="60">
        <v>0</v>
      </c>
      <c r="AA1196" s="60">
        <v>0</v>
      </c>
      <c r="AB1196" s="60">
        <v>0</v>
      </c>
      <c r="AC1196" s="60">
        <v>187.63</v>
      </c>
      <c r="AD1196" s="60">
        <v>184.94</v>
      </c>
      <c r="AE1196" s="60">
        <v>189.64</v>
      </c>
      <c r="AF1196" s="60">
        <v>0</v>
      </c>
      <c r="AG1196" s="60">
        <v>0</v>
      </c>
      <c r="AH1196" s="60">
        <v>0</v>
      </c>
      <c r="AI1196" s="60">
        <v>187.63</v>
      </c>
      <c r="AJ1196" s="60">
        <v>184.94</v>
      </c>
      <c r="AK1196" s="60">
        <v>189.64</v>
      </c>
      <c r="AL1196" s="60">
        <v>0</v>
      </c>
      <c r="AM1196" s="60">
        <v>0</v>
      </c>
      <c r="AN1196" s="60">
        <v>0</v>
      </c>
      <c r="AO1196" s="60">
        <v>187.63</v>
      </c>
      <c r="AP1196" s="60">
        <v>184.94</v>
      </c>
      <c r="AQ1196" s="60">
        <v>189.64</v>
      </c>
      <c r="AR1196" s="61">
        <v>189.64</v>
      </c>
    </row>
    <row r="1197" spans="1:44" x14ac:dyDescent="0.35">
      <c r="A1197" s="49" t="str">
        <f t="shared" ref="A1197:A1207" si="99">TEXT(4,"00")</f>
        <v>04</v>
      </c>
      <c r="B1197" s="27">
        <v>10041</v>
      </c>
      <c r="C1197" s="25" t="str">
        <f>TEXT(136820,"0000000")</f>
        <v>0136820</v>
      </c>
      <c r="D1197" s="27">
        <v>1916</v>
      </c>
      <c r="E1197" s="25" t="s">
        <v>180</v>
      </c>
      <c r="F1197" s="25" t="s">
        <v>5</v>
      </c>
      <c r="G1197" s="59" t="s">
        <v>181</v>
      </c>
      <c r="H1197" s="60">
        <v>0</v>
      </c>
      <c r="I1197" s="60">
        <v>0</v>
      </c>
      <c r="J1197" s="60">
        <v>0</v>
      </c>
      <c r="K1197" s="60">
        <v>0</v>
      </c>
      <c r="L1197" s="60">
        <v>0</v>
      </c>
      <c r="M1197" s="60">
        <v>0</v>
      </c>
      <c r="N1197" s="60">
        <v>0</v>
      </c>
      <c r="O1197" s="60">
        <v>0</v>
      </c>
      <c r="P1197" s="60">
        <v>0</v>
      </c>
      <c r="Q1197" s="60">
        <v>0</v>
      </c>
      <c r="R1197" s="60">
        <v>0</v>
      </c>
      <c r="S1197" s="60">
        <v>0</v>
      </c>
      <c r="T1197" s="60">
        <v>0</v>
      </c>
      <c r="U1197" s="60">
        <v>0</v>
      </c>
      <c r="V1197" s="60">
        <v>0</v>
      </c>
      <c r="W1197" s="60">
        <v>0</v>
      </c>
      <c r="X1197" s="60">
        <v>0</v>
      </c>
      <c r="Y1197" s="60">
        <v>0</v>
      </c>
      <c r="Z1197" s="60">
        <v>0</v>
      </c>
      <c r="AA1197" s="60">
        <v>0</v>
      </c>
      <c r="AB1197" s="60">
        <v>0</v>
      </c>
      <c r="AC1197" s="60">
        <v>0</v>
      </c>
      <c r="AD1197" s="60">
        <v>0</v>
      </c>
      <c r="AE1197" s="60">
        <v>0</v>
      </c>
      <c r="AF1197" s="60">
        <v>0</v>
      </c>
      <c r="AG1197" s="60">
        <v>0</v>
      </c>
      <c r="AH1197" s="60">
        <v>0</v>
      </c>
      <c r="AI1197" s="60">
        <v>0</v>
      </c>
      <c r="AJ1197" s="60">
        <v>0</v>
      </c>
      <c r="AK1197" s="60">
        <v>0</v>
      </c>
      <c r="AL1197" s="60">
        <v>0</v>
      </c>
      <c r="AM1197" s="60">
        <v>0</v>
      </c>
      <c r="AN1197" s="60">
        <v>0</v>
      </c>
      <c r="AO1197" s="60">
        <v>0</v>
      </c>
      <c r="AP1197" s="60">
        <v>0</v>
      </c>
      <c r="AQ1197" s="60">
        <v>0</v>
      </c>
      <c r="AR1197" s="61">
        <v>0</v>
      </c>
    </row>
    <row r="1198" spans="1:44" x14ac:dyDescent="0.35">
      <c r="A1198" s="49" t="str">
        <f t="shared" si="99"/>
        <v>04</v>
      </c>
      <c r="B1198" s="27">
        <v>61424</v>
      </c>
      <c r="C1198" s="25" t="str">
        <f>TEXT(110551,"0000000")</f>
        <v>0110551</v>
      </c>
      <c r="D1198" s="26" t="s">
        <v>190</v>
      </c>
      <c r="E1198" s="25" t="s">
        <v>188</v>
      </c>
      <c r="F1198" s="25" t="s">
        <v>5</v>
      </c>
      <c r="G1198" s="59" t="s">
        <v>189</v>
      </c>
      <c r="H1198" s="60">
        <v>0</v>
      </c>
      <c r="I1198" s="60">
        <v>0</v>
      </c>
      <c r="J1198" s="60">
        <v>0</v>
      </c>
      <c r="K1198" s="60">
        <v>0</v>
      </c>
      <c r="L1198" s="60">
        <v>0</v>
      </c>
      <c r="M1198" s="60">
        <v>0</v>
      </c>
      <c r="N1198" s="60">
        <v>0</v>
      </c>
      <c r="O1198" s="60">
        <v>0</v>
      </c>
      <c r="P1198" s="60">
        <v>0</v>
      </c>
      <c r="Q1198" s="60">
        <v>0</v>
      </c>
      <c r="R1198" s="60">
        <v>0</v>
      </c>
      <c r="S1198" s="60">
        <v>0</v>
      </c>
      <c r="T1198" s="60">
        <v>0</v>
      </c>
      <c r="U1198" s="60">
        <v>0</v>
      </c>
      <c r="V1198" s="60">
        <v>0</v>
      </c>
      <c r="W1198" s="60">
        <v>0</v>
      </c>
      <c r="X1198" s="60">
        <v>0</v>
      </c>
      <c r="Y1198" s="60">
        <v>0</v>
      </c>
      <c r="Z1198" s="60">
        <v>0</v>
      </c>
      <c r="AA1198" s="60">
        <v>0</v>
      </c>
      <c r="AB1198" s="60">
        <v>0</v>
      </c>
      <c r="AC1198" s="60">
        <v>204.87</v>
      </c>
      <c r="AD1198" s="60">
        <v>202.41</v>
      </c>
      <c r="AE1198" s="60">
        <v>188.81</v>
      </c>
      <c r="AF1198" s="60">
        <v>0</v>
      </c>
      <c r="AG1198" s="60">
        <v>0</v>
      </c>
      <c r="AH1198" s="60">
        <v>0</v>
      </c>
      <c r="AI1198" s="60">
        <v>204.87</v>
      </c>
      <c r="AJ1198" s="60">
        <v>202.41</v>
      </c>
      <c r="AK1198" s="60">
        <v>188.81</v>
      </c>
      <c r="AL1198" s="60">
        <v>0</v>
      </c>
      <c r="AM1198" s="60">
        <v>0</v>
      </c>
      <c r="AN1198" s="60">
        <v>0</v>
      </c>
      <c r="AO1198" s="60">
        <v>204.87</v>
      </c>
      <c r="AP1198" s="60">
        <v>202.41</v>
      </c>
      <c r="AQ1198" s="60">
        <v>188.81</v>
      </c>
      <c r="AR1198" s="61">
        <v>204.87</v>
      </c>
    </row>
    <row r="1199" spans="1:44" x14ac:dyDescent="0.35">
      <c r="A1199" s="49" t="str">
        <f t="shared" si="99"/>
        <v>04</v>
      </c>
      <c r="B1199" s="27">
        <v>61424</v>
      </c>
      <c r="C1199" s="25" t="str">
        <f>TEXT(120394,"0000000")</f>
        <v>0120394</v>
      </c>
      <c r="D1199" s="27">
        <v>1114</v>
      </c>
      <c r="E1199" s="25" t="s">
        <v>191</v>
      </c>
      <c r="F1199" s="25" t="s">
        <v>5</v>
      </c>
      <c r="G1199" s="59" t="s">
        <v>192</v>
      </c>
      <c r="H1199" s="60">
        <v>0</v>
      </c>
      <c r="I1199" s="60">
        <v>0</v>
      </c>
      <c r="J1199" s="60">
        <v>0</v>
      </c>
      <c r="K1199" s="60">
        <v>0</v>
      </c>
      <c r="L1199" s="60">
        <v>0</v>
      </c>
      <c r="M1199" s="60">
        <v>0</v>
      </c>
      <c r="N1199" s="60">
        <v>0</v>
      </c>
      <c r="O1199" s="60">
        <v>0</v>
      </c>
      <c r="P1199" s="60">
        <v>0</v>
      </c>
      <c r="Q1199" s="60">
        <v>0</v>
      </c>
      <c r="R1199" s="60">
        <v>0</v>
      </c>
      <c r="S1199" s="60">
        <v>0</v>
      </c>
      <c r="T1199" s="60">
        <v>0</v>
      </c>
      <c r="U1199" s="60">
        <v>0</v>
      </c>
      <c r="V1199" s="60">
        <v>0</v>
      </c>
      <c r="W1199" s="60">
        <v>0</v>
      </c>
      <c r="X1199" s="60">
        <v>0</v>
      </c>
      <c r="Y1199" s="60">
        <v>0</v>
      </c>
      <c r="Z1199" s="60">
        <v>0</v>
      </c>
      <c r="AA1199" s="60">
        <v>0</v>
      </c>
      <c r="AB1199" s="60">
        <v>0</v>
      </c>
      <c r="AC1199" s="60">
        <v>322.81</v>
      </c>
      <c r="AD1199" s="60">
        <v>325.14999999999998</v>
      </c>
      <c r="AE1199" s="60">
        <v>359.3</v>
      </c>
      <c r="AF1199" s="60">
        <v>0</v>
      </c>
      <c r="AG1199" s="60">
        <v>0</v>
      </c>
      <c r="AH1199" s="60">
        <v>0</v>
      </c>
      <c r="AI1199" s="60">
        <v>322.81</v>
      </c>
      <c r="AJ1199" s="60">
        <v>325.14999999999998</v>
      </c>
      <c r="AK1199" s="60">
        <v>359.3</v>
      </c>
      <c r="AL1199" s="60">
        <v>0</v>
      </c>
      <c r="AM1199" s="60">
        <v>0</v>
      </c>
      <c r="AN1199" s="60">
        <v>0</v>
      </c>
      <c r="AO1199" s="60">
        <v>322.81</v>
      </c>
      <c r="AP1199" s="60">
        <v>325.14999999999998</v>
      </c>
      <c r="AQ1199" s="60">
        <v>359.3</v>
      </c>
      <c r="AR1199" s="61">
        <v>359.3</v>
      </c>
    </row>
    <row r="1200" spans="1:44" x14ac:dyDescent="0.35">
      <c r="A1200" s="49" t="str">
        <f t="shared" si="99"/>
        <v>04</v>
      </c>
      <c r="B1200" s="27">
        <v>61424</v>
      </c>
      <c r="C1200" s="25" t="str">
        <f>TEXT(121475,"0000000")</f>
        <v>0121475</v>
      </c>
      <c r="D1200" s="27">
        <v>1166</v>
      </c>
      <c r="E1200" s="25" t="s">
        <v>193</v>
      </c>
      <c r="F1200" s="25" t="s">
        <v>5</v>
      </c>
      <c r="G1200" s="59" t="s">
        <v>194</v>
      </c>
      <c r="H1200" s="60">
        <v>0</v>
      </c>
      <c r="I1200" s="60">
        <v>0</v>
      </c>
      <c r="J1200" s="60">
        <v>0</v>
      </c>
      <c r="K1200" s="60">
        <v>0</v>
      </c>
      <c r="L1200" s="60">
        <v>0</v>
      </c>
      <c r="M1200" s="60">
        <v>0</v>
      </c>
      <c r="N1200" s="60">
        <v>0</v>
      </c>
      <c r="O1200" s="60">
        <v>0</v>
      </c>
      <c r="P1200" s="60">
        <v>0</v>
      </c>
      <c r="Q1200" s="60">
        <v>0</v>
      </c>
      <c r="R1200" s="60">
        <v>0</v>
      </c>
      <c r="S1200" s="60">
        <v>0</v>
      </c>
      <c r="T1200" s="60">
        <v>0</v>
      </c>
      <c r="U1200" s="60">
        <v>0</v>
      </c>
      <c r="V1200" s="60">
        <v>0</v>
      </c>
      <c r="W1200" s="60">
        <v>0</v>
      </c>
      <c r="X1200" s="60">
        <v>0</v>
      </c>
      <c r="Y1200" s="60">
        <v>0</v>
      </c>
      <c r="Z1200" s="60">
        <v>0</v>
      </c>
      <c r="AA1200" s="60">
        <v>0</v>
      </c>
      <c r="AB1200" s="60">
        <v>0</v>
      </c>
      <c r="AC1200" s="60">
        <v>104.26</v>
      </c>
      <c r="AD1200" s="60">
        <v>92.34</v>
      </c>
      <c r="AE1200" s="60">
        <v>101.45</v>
      </c>
      <c r="AF1200" s="60">
        <v>0</v>
      </c>
      <c r="AG1200" s="60">
        <v>0</v>
      </c>
      <c r="AH1200" s="60">
        <v>0</v>
      </c>
      <c r="AI1200" s="60">
        <v>104.26</v>
      </c>
      <c r="AJ1200" s="60">
        <v>92.34</v>
      </c>
      <c r="AK1200" s="60">
        <v>101.45</v>
      </c>
      <c r="AL1200" s="60">
        <v>0</v>
      </c>
      <c r="AM1200" s="60">
        <v>0</v>
      </c>
      <c r="AN1200" s="60">
        <v>0</v>
      </c>
      <c r="AO1200" s="60">
        <v>104.26</v>
      </c>
      <c r="AP1200" s="60">
        <v>92.34</v>
      </c>
      <c r="AQ1200" s="60">
        <v>101.45</v>
      </c>
      <c r="AR1200" s="61">
        <v>104.26</v>
      </c>
    </row>
    <row r="1201" spans="1:44" x14ac:dyDescent="0.35">
      <c r="A1201" s="49" t="str">
        <f t="shared" si="99"/>
        <v>04</v>
      </c>
      <c r="B1201" s="27">
        <v>61424</v>
      </c>
      <c r="C1201" s="25" t="str">
        <f>TEXT(123810,"0000000")</f>
        <v>0123810</v>
      </c>
      <c r="D1201" s="27">
        <v>1280</v>
      </c>
      <c r="E1201" s="25" t="s">
        <v>195</v>
      </c>
      <c r="F1201" s="25" t="s">
        <v>5</v>
      </c>
      <c r="G1201" s="59" t="s">
        <v>196</v>
      </c>
      <c r="H1201" s="60">
        <v>0</v>
      </c>
      <c r="I1201" s="60">
        <v>0</v>
      </c>
      <c r="J1201" s="60">
        <v>0</v>
      </c>
      <c r="K1201" s="60">
        <v>0</v>
      </c>
      <c r="L1201" s="60">
        <v>0</v>
      </c>
      <c r="M1201" s="60">
        <v>0</v>
      </c>
      <c r="N1201" s="60">
        <v>0</v>
      </c>
      <c r="O1201" s="60">
        <v>0</v>
      </c>
      <c r="P1201" s="60">
        <v>0</v>
      </c>
      <c r="Q1201" s="60">
        <v>0</v>
      </c>
      <c r="R1201" s="60">
        <v>0</v>
      </c>
      <c r="S1201" s="60">
        <v>0</v>
      </c>
      <c r="T1201" s="60">
        <v>0</v>
      </c>
      <c r="U1201" s="60">
        <v>0</v>
      </c>
      <c r="V1201" s="60">
        <v>0</v>
      </c>
      <c r="W1201" s="60">
        <v>0</v>
      </c>
      <c r="X1201" s="60">
        <v>0</v>
      </c>
      <c r="Y1201" s="60">
        <v>0</v>
      </c>
      <c r="Z1201" s="60">
        <v>0</v>
      </c>
      <c r="AA1201" s="60">
        <v>0</v>
      </c>
      <c r="AB1201" s="60">
        <v>0</v>
      </c>
      <c r="AC1201" s="60">
        <v>153.01</v>
      </c>
      <c r="AD1201" s="60">
        <v>129.5</v>
      </c>
      <c r="AE1201" s="60">
        <v>125.76</v>
      </c>
      <c r="AF1201" s="60">
        <v>0</v>
      </c>
      <c r="AG1201" s="60">
        <v>0</v>
      </c>
      <c r="AH1201" s="60">
        <v>0</v>
      </c>
      <c r="AI1201" s="60">
        <v>153.01</v>
      </c>
      <c r="AJ1201" s="60">
        <v>129.5</v>
      </c>
      <c r="AK1201" s="60">
        <v>125.76</v>
      </c>
      <c r="AL1201" s="60">
        <v>0</v>
      </c>
      <c r="AM1201" s="60">
        <v>0</v>
      </c>
      <c r="AN1201" s="60">
        <v>0</v>
      </c>
      <c r="AO1201" s="60">
        <v>153.01</v>
      </c>
      <c r="AP1201" s="60">
        <v>129.5</v>
      </c>
      <c r="AQ1201" s="60">
        <v>125.76</v>
      </c>
      <c r="AR1201" s="61">
        <v>153.01</v>
      </c>
    </row>
    <row r="1202" spans="1:44" x14ac:dyDescent="0.35">
      <c r="A1202" s="49" t="str">
        <f t="shared" si="99"/>
        <v>04</v>
      </c>
      <c r="B1202" s="27">
        <v>61424</v>
      </c>
      <c r="C1202" s="25" t="str">
        <f>TEXT(137828,"0000000")</f>
        <v>0137828</v>
      </c>
      <c r="D1202" s="27">
        <v>1982</v>
      </c>
      <c r="E1202" s="25" t="s">
        <v>197</v>
      </c>
      <c r="F1202" s="25" t="s">
        <v>5</v>
      </c>
      <c r="G1202" s="59" t="s">
        <v>198</v>
      </c>
      <c r="H1202" s="60">
        <v>0</v>
      </c>
      <c r="I1202" s="60">
        <v>0</v>
      </c>
      <c r="J1202" s="60">
        <v>0</v>
      </c>
      <c r="K1202" s="60">
        <v>0</v>
      </c>
      <c r="L1202" s="60">
        <v>0</v>
      </c>
      <c r="M1202" s="60">
        <v>0</v>
      </c>
      <c r="N1202" s="60">
        <v>0</v>
      </c>
      <c r="O1202" s="60">
        <v>0</v>
      </c>
      <c r="P1202" s="60">
        <v>0</v>
      </c>
      <c r="Q1202" s="60">
        <v>0</v>
      </c>
      <c r="R1202" s="60">
        <v>0</v>
      </c>
      <c r="S1202" s="60">
        <v>0</v>
      </c>
      <c r="T1202" s="60">
        <v>0</v>
      </c>
      <c r="U1202" s="60">
        <v>0</v>
      </c>
      <c r="V1202" s="60">
        <v>0</v>
      </c>
      <c r="W1202" s="60">
        <v>0</v>
      </c>
      <c r="X1202" s="60">
        <v>0</v>
      </c>
      <c r="Y1202" s="60">
        <v>0</v>
      </c>
      <c r="Z1202" s="60">
        <v>0</v>
      </c>
      <c r="AA1202" s="60">
        <v>0</v>
      </c>
      <c r="AB1202" s="60">
        <v>0</v>
      </c>
      <c r="AC1202" s="60">
        <v>97.14</v>
      </c>
      <c r="AD1202" s="60">
        <v>80.27</v>
      </c>
      <c r="AE1202" s="60">
        <v>87.03</v>
      </c>
      <c r="AF1202" s="60">
        <v>0</v>
      </c>
      <c r="AG1202" s="60">
        <v>0</v>
      </c>
      <c r="AH1202" s="60">
        <v>0</v>
      </c>
      <c r="AI1202" s="60">
        <v>97.14</v>
      </c>
      <c r="AJ1202" s="60">
        <v>80.27</v>
      </c>
      <c r="AK1202" s="60">
        <v>87.03</v>
      </c>
      <c r="AL1202" s="60">
        <v>0</v>
      </c>
      <c r="AM1202" s="60">
        <v>0</v>
      </c>
      <c r="AN1202" s="60">
        <v>0</v>
      </c>
      <c r="AO1202" s="60">
        <v>97.14</v>
      </c>
      <c r="AP1202" s="60">
        <v>80.27</v>
      </c>
      <c r="AQ1202" s="60">
        <v>87.03</v>
      </c>
      <c r="AR1202" s="61">
        <v>97.14</v>
      </c>
    </row>
    <row r="1203" spans="1:44" x14ac:dyDescent="0.35">
      <c r="A1203" s="49" t="str">
        <f t="shared" si="99"/>
        <v>04</v>
      </c>
      <c r="B1203" s="27">
        <v>61424</v>
      </c>
      <c r="C1203" s="25" t="str">
        <f>TEXT(141085,"0000000")</f>
        <v>0141085</v>
      </c>
      <c r="D1203" s="27">
        <v>2120</v>
      </c>
      <c r="E1203" s="25" t="s">
        <v>199</v>
      </c>
      <c r="F1203" s="25" t="s">
        <v>5</v>
      </c>
      <c r="G1203" s="59" t="s">
        <v>200</v>
      </c>
      <c r="H1203" s="60">
        <v>0</v>
      </c>
      <c r="I1203" s="60">
        <v>0</v>
      </c>
      <c r="J1203" s="60">
        <v>0</v>
      </c>
      <c r="K1203" s="60">
        <v>0</v>
      </c>
      <c r="L1203" s="60">
        <v>0</v>
      </c>
      <c r="M1203" s="60">
        <v>0</v>
      </c>
      <c r="N1203" s="60">
        <v>0</v>
      </c>
      <c r="O1203" s="60">
        <v>0</v>
      </c>
      <c r="P1203" s="60">
        <v>0</v>
      </c>
      <c r="Q1203" s="60">
        <v>0</v>
      </c>
      <c r="R1203" s="60">
        <v>0</v>
      </c>
      <c r="S1203" s="60">
        <v>0</v>
      </c>
      <c r="T1203" s="60">
        <v>0</v>
      </c>
      <c r="U1203" s="60">
        <v>0</v>
      </c>
      <c r="V1203" s="60">
        <v>0</v>
      </c>
      <c r="W1203" s="60">
        <v>0</v>
      </c>
      <c r="X1203" s="60">
        <v>0</v>
      </c>
      <c r="Y1203" s="60">
        <v>0</v>
      </c>
      <c r="Z1203" s="60">
        <v>0</v>
      </c>
      <c r="AA1203" s="60">
        <v>0</v>
      </c>
      <c r="AB1203" s="60">
        <v>0</v>
      </c>
      <c r="AC1203" s="60">
        <v>202.09</v>
      </c>
      <c r="AD1203" s="60">
        <v>210.31</v>
      </c>
      <c r="AE1203" s="60">
        <v>182.15</v>
      </c>
      <c r="AF1203" s="60">
        <v>0</v>
      </c>
      <c r="AG1203" s="60">
        <v>0</v>
      </c>
      <c r="AH1203" s="60">
        <v>0</v>
      </c>
      <c r="AI1203" s="60">
        <v>202.09</v>
      </c>
      <c r="AJ1203" s="60">
        <v>210.31</v>
      </c>
      <c r="AK1203" s="60">
        <v>182.15</v>
      </c>
      <c r="AL1203" s="60">
        <v>0</v>
      </c>
      <c r="AM1203" s="60">
        <v>0</v>
      </c>
      <c r="AN1203" s="60">
        <v>0</v>
      </c>
      <c r="AO1203" s="60">
        <v>202.09</v>
      </c>
      <c r="AP1203" s="60">
        <v>210.31</v>
      </c>
      <c r="AQ1203" s="60">
        <v>182.15</v>
      </c>
      <c r="AR1203" s="61">
        <v>210.31</v>
      </c>
    </row>
    <row r="1204" spans="1:44" x14ac:dyDescent="0.35">
      <c r="A1204" s="49" t="str">
        <f t="shared" si="99"/>
        <v>04</v>
      </c>
      <c r="B1204" s="27">
        <v>61424</v>
      </c>
      <c r="C1204" s="25" t="str">
        <f>TEXT(6113773,"0000000")</f>
        <v>6113773</v>
      </c>
      <c r="D1204" s="26" t="s">
        <v>203</v>
      </c>
      <c r="E1204" s="25" t="s">
        <v>201</v>
      </c>
      <c r="F1204" s="25" t="s">
        <v>5</v>
      </c>
      <c r="G1204" s="59" t="s">
        <v>202</v>
      </c>
      <c r="H1204" s="60">
        <v>0</v>
      </c>
      <c r="I1204" s="60">
        <v>0</v>
      </c>
      <c r="J1204" s="60">
        <v>0</v>
      </c>
      <c r="K1204" s="60">
        <v>0</v>
      </c>
      <c r="L1204" s="60">
        <v>0</v>
      </c>
      <c r="M1204" s="60">
        <v>0</v>
      </c>
      <c r="N1204" s="60">
        <v>0</v>
      </c>
      <c r="O1204" s="60">
        <v>0</v>
      </c>
      <c r="P1204" s="60">
        <v>0</v>
      </c>
      <c r="Q1204" s="60">
        <v>0</v>
      </c>
      <c r="R1204" s="60">
        <v>0</v>
      </c>
      <c r="S1204" s="60">
        <v>0</v>
      </c>
      <c r="T1204" s="60">
        <v>0</v>
      </c>
      <c r="U1204" s="60">
        <v>0</v>
      </c>
      <c r="V1204" s="60">
        <v>0</v>
      </c>
      <c r="W1204" s="60">
        <v>0</v>
      </c>
      <c r="X1204" s="60">
        <v>0</v>
      </c>
      <c r="Y1204" s="60">
        <v>0</v>
      </c>
      <c r="Z1204" s="60">
        <v>0</v>
      </c>
      <c r="AA1204" s="60">
        <v>0</v>
      </c>
      <c r="AB1204" s="60">
        <v>0</v>
      </c>
      <c r="AC1204" s="60">
        <v>543.35</v>
      </c>
      <c r="AD1204" s="60">
        <v>535.01</v>
      </c>
      <c r="AE1204" s="60">
        <v>537.42999999999995</v>
      </c>
      <c r="AF1204" s="60">
        <v>0</v>
      </c>
      <c r="AG1204" s="60">
        <v>0</v>
      </c>
      <c r="AH1204" s="60">
        <v>0</v>
      </c>
      <c r="AI1204" s="60">
        <v>543.35</v>
      </c>
      <c r="AJ1204" s="60">
        <v>535.01</v>
      </c>
      <c r="AK1204" s="60">
        <v>537.42999999999995</v>
      </c>
      <c r="AL1204" s="60">
        <v>0</v>
      </c>
      <c r="AM1204" s="60">
        <v>0</v>
      </c>
      <c r="AN1204" s="60">
        <v>0</v>
      </c>
      <c r="AO1204" s="60">
        <v>543.35</v>
      </c>
      <c r="AP1204" s="60">
        <v>535.01</v>
      </c>
      <c r="AQ1204" s="60">
        <v>537.42999999999995</v>
      </c>
      <c r="AR1204" s="61">
        <v>543.35</v>
      </c>
    </row>
    <row r="1205" spans="1:44" x14ac:dyDescent="0.35">
      <c r="A1205" s="49" t="str">
        <f t="shared" si="99"/>
        <v>04</v>
      </c>
      <c r="B1205" s="27">
        <v>61424</v>
      </c>
      <c r="C1205" s="25" t="str">
        <f>TEXT(6119523,"0000000")</f>
        <v>6119523</v>
      </c>
      <c r="D1205" s="26" t="s">
        <v>206</v>
      </c>
      <c r="E1205" s="25" t="s">
        <v>204</v>
      </c>
      <c r="F1205" s="25" t="s">
        <v>5</v>
      </c>
      <c r="G1205" s="59" t="s">
        <v>205</v>
      </c>
      <c r="H1205" s="60">
        <v>0</v>
      </c>
      <c r="I1205" s="60">
        <v>0</v>
      </c>
      <c r="J1205" s="60">
        <v>0</v>
      </c>
      <c r="K1205" s="60">
        <v>0</v>
      </c>
      <c r="L1205" s="60">
        <v>0</v>
      </c>
      <c r="M1205" s="60">
        <v>0</v>
      </c>
      <c r="N1205" s="60">
        <v>0</v>
      </c>
      <c r="O1205" s="60">
        <v>0</v>
      </c>
      <c r="P1205" s="60">
        <v>0</v>
      </c>
      <c r="Q1205" s="60">
        <v>0</v>
      </c>
      <c r="R1205" s="60">
        <v>0</v>
      </c>
      <c r="S1205" s="60">
        <v>0</v>
      </c>
      <c r="T1205" s="60">
        <v>0</v>
      </c>
      <c r="U1205" s="60">
        <v>0</v>
      </c>
      <c r="V1205" s="60">
        <v>0</v>
      </c>
      <c r="W1205" s="60">
        <v>0</v>
      </c>
      <c r="X1205" s="60">
        <v>0</v>
      </c>
      <c r="Y1205" s="60">
        <v>0</v>
      </c>
      <c r="Z1205" s="60">
        <v>0</v>
      </c>
      <c r="AA1205" s="60">
        <v>0</v>
      </c>
      <c r="AB1205" s="60">
        <v>0</v>
      </c>
      <c r="AC1205" s="60">
        <v>214.72</v>
      </c>
      <c r="AD1205" s="60">
        <v>230.17</v>
      </c>
      <c r="AE1205" s="60">
        <v>240.95</v>
      </c>
      <c r="AF1205" s="60">
        <v>0</v>
      </c>
      <c r="AG1205" s="60">
        <v>0</v>
      </c>
      <c r="AH1205" s="60">
        <v>0</v>
      </c>
      <c r="AI1205" s="60">
        <v>214.72</v>
      </c>
      <c r="AJ1205" s="60">
        <v>230.17</v>
      </c>
      <c r="AK1205" s="60">
        <v>240.95</v>
      </c>
      <c r="AL1205" s="60">
        <v>0</v>
      </c>
      <c r="AM1205" s="60">
        <v>0</v>
      </c>
      <c r="AN1205" s="60">
        <v>0</v>
      </c>
      <c r="AO1205" s="60">
        <v>214.72</v>
      </c>
      <c r="AP1205" s="60">
        <v>230.17</v>
      </c>
      <c r="AQ1205" s="60">
        <v>240.95</v>
      </c>
      <c r="AR1205" s="61">
        <v>240.95</v>
      </c>
    </row>
    <row r="1206" spans="1:44" x14ac:dyDescent="0.35">
      <c r="A1206" s="49" t="str">
        <f t="shared" si="99"/>
        <v>04</v>
      </c>
      <c r="B1206" s="27">
        <v>61507</v>
      </c>
      <c r="C1206" s="25" t="str">
        <f>TEXT(129577,"0000000")</f>
        <v>0129577</v>
      </c>
      <c r="D1206" s="27">
        <v>1616</v>
      </c>
      <c r="E1206" s="25" t="s">
        <v>215</v>
      </c>
      <c r="F1206" s="25" t="s">
        <v>5</v>
      </c>
      <c r="G1206" s="59" t="s">
        <v>216</v>
      </c>
      <c r="H1206" s="60">
        <v>0</v>
      </c>
      <c r="I1206" s="60">
        <v>0</v>
      </c>
      <c r="J1206" s="60">
        <v>0</v>
      </c>
      <c r="K1206" s="60">
        <v>0</v>
      </c>
      <c r="L1206" s="60">
        <v>0</v>
      </c>
      <c r="M1206" s="60">
        <v>0</v>
      </c>
      <c r="N1206" s="60">
        <v>0</v>
      </c>
      <c r="O1206" s="60">
        <v>0</v>
      </c>
      <c r="P1206" s="60">
        <v>0</v>
      </c>
      <c r="Q1206" s="60">
        <v>0</v>
      </c>
      <c r="R1206" s="60">
        <v>0</v>
      </c>
      <c r="S1206" s="60">
        <v>0</v>
      </c>
      <c r="T1206" s="60">
        <v>0</v>
      </c>
      <c r="U1206" s="60">
        <v>0</v>
      </c>
      <c r="V1206" s="60">
        <v>0</v>
      </c>
      <c r="W1206" s="60">
        <v>0</v>
      </c>
      <c r="X1206" s="60">
        <v>0</v>
      </c>
      <c r="Y1206" s="60">
        <v>0</v>
      </c>
      <c r="Z1206" s="60">
        <v>0</v>
      </c>
      <c r="AA1206" s="60">
        <v>0</v>
      </c>
      <c r="AB1206" s="60">
        <v>0</v>
      </c>
      <c r="AC1206" s="60">
        <v>454.57</v>
      </c>
      <c r="AD1206" s="60">
        <v>403.45</v>
      </c>
      <c r="AE1206" s="60">
        <v>291.27999999999997</v>
      </c>
      <c r="AF1206" s="60">
        <v>0</v>
      </c>
      <c r="AG1206" s="60">
        <v>0</v>
      </c>
      <c r="AH1206" s="60">
        <v>0</v>
      </c>
      <c r="AI1206" s="60">
        <v>454.57</v>
      </c>
      <c r="AJ1206" s="60">
        <v>403.45</v>
      </c>
      <c r="AK1206" s="60">
        <v>291.27999999999997</v>
      </c>
      <c r="AL1206" s="60">
        <v>0</v>
      </c>
      <c r="AM1206" s="60">
        <v>0</v>
      </c>
      <c r="AN1206" s="60">
        <v>0</v>
      </c>
      <c r="AO1206" s="60">
        <v>454.57</v>
      </c>
      <c r="AP1206" s="60">
        <v>403.45</v>
      </c>
      <c r="AQ1206" s="60">
        <v>291.27999999999997</v>
      </c>
      <c r="AR1206" s="61">
        <v>454.57</v>
      </c>
    </row>
    <row r="1207" spans="1:44" x14ac:dyDescent="0.35">
      <c r="A1207" s="49" t="str">
        <f t="shared" si="99"/>
        <v>04</v>
      </c>
      <c r="B1207" s="27">
        <v>61531</v>
      </c>
      <c r="C1207" s="25" t="str">
        <f>TEXT(110338,"0000000")</f>
        <v>0110338</v>
      </c>
      <c r="D1207" s="26" t="s">
        <v>225</v>
      </c>
      <c r="E1207" s="25" t="s">
        <v>223</v>
      </c>
      <c r="F1207" s="25" t="s">
        <v>5</v>
      </c>
      <c r="G1207" s="59" t="s">
        <v>224</v>
      </c>
      <c r="H1207" s="60">
        <v>0</v>
      </c>
      <c r="I1207" s="60">
        <v>0</v>
      </c>
      <c r="J1207" s="60">
        <v>0</v>
      </c>
      <c r="K1207" s="60">
        <v>0</v>
      </c>
      <c r="L1207" s="60">
        <v>0</v>
      </c>
      <c r="M1207" s="60">
        <v>0</v>
      </c>
      <c r="N1207" s="60">
        <v>0</v>
      </c>
      <c r="O1207" s="60">
        <v>0</v>
      </c>
      <c r="P1207" s="60">
        <v>0</v>
      </c>
      <c r="Q1207" s="60">
        <v>0</v>
      </c>
      <c r="R1207" s="60">
        <v>0</v>
      </c>
      <c r="S1207" s="60">
        <v>0</v>
      </c>
      <c r="T1207" s="60">
        <v>0</v>
      </c>
      <c r="U1207" s="60">
        <v>0</v>
      </c>
      <c r="V1207" s="60">
        <v>0</v>
      </c>
      <c r="W1207" s="60">
        <v>0</v>
      </c>
      <c r="X1207" s="60">
        <v>0</v>
      </c>
      <c r="Y1207" s="60">
        <v>0</v>
      </c>
      <c r="Z1207" s="60">
        <v>0</v>
      </c>
      <c r="AA1207" s="60">
        <v>0</v>
      </c>
      <c r="AB1207" s="60">
        <v>0</v>
      </c>
      <c r="AC1207" s="60">
        <v>132.55000000000001</v>
      </c>
      <c r="AD1207" s="60">
        <v>110.71</v>
      </c>
      <c r="AE1207" s="60">
        <v>93.56</v>
      </c>
      <c r="AF1207" s="60">
        <v>0</v>
      </c>
      <c r="AG1207" s="60">
        <v>0</v>
      </c>
      <c r="AH1207" s="60">
        <v>0</v>
      </c>
      <c r="AI1207" s="60">
        <v>132.55000000000001</v>
      </c>
      <c r="AJ1207" s="60">
        <v>110.71</v>
      </c>
      <c r="AK1207" s="60">
        <v>93.56</v>
      </c>
      <c r="AL1207" s="60">
        <v>0</v>
      </c>
      <c r="AM1207" s="60">
        <v>0</v>
      </c>
      <c r="AN1207" s="60">
        <v>0</v>
      </c>
      <c r="AO1207" s="60">
        <v>132.55000000000001</v>
      </c>
      <c r="AP1207" s="60">
        <v>110.71</v>
      </c>
      <c r="AQ1207" s="60">
        <v>93.56</v>
      </c>
      <c r="AR1207" s="61">
        <v>132.55000000000001</v>
      </c>
    </row>
    <row r="1208" spans="1:44" x14ac:dyDescent="0.35">
      <c r="A1208" s="49" t="str">
        <f t="shared" ref="A1208:A1226" si="100">TEXT(7,"00")</f>
        <v>07</v>
      </c>
      <c r="B1208" s="27">
        <v>10074</v>
      </c>
      <c r="C1208" s="25" t="str">
        <f>TEXT(114470,"0000000")</f>
        <v>0114470</v>
      </c>
      <c r="D1208" s="26" t="s">
        <v>261</v>
      </c>
      <c r="E1208" s="25" t="s">
        <v>259</v>
      </c>
      <c r="F1208" s="25" t="s">
        <v>5</v>
      </c>
      <c r="G1208" s="59" t="s">
        <v>260</v>
      </c>
      <c r="H1208" s="60">
        <v>0</v>
      </c>
      <c r="I1208" s="60">
        <v>0</v>
      </c>
      <c r="J1208" s="60">
        <v>0</v>
      </c>
      <c r="K1208" s="60">
        <v>0</v>
      </c>
      <c r="L1208" s="60">
        <v>0</v>
      </c>
      <c r="M1208" s="60">
        <v>0</v>
      </c>
      <c r="N1208" s="60">
        <v>0</v>
      </c>
      <c r="O1208" s="60">
        <v>0</v>
      </c>
      <c r="P1208" s="60">
        <v>0</v>
      </c>
      <c r="Q1208" s="60">
        <v>0</v>
      </c>
      <c r="R1208" s="60">
        <v>0</v>
      </c>
      <c r="S1208" s="60">
        <v>0</v>
      </c>
      <c r="T1208" s="60">
        <v>0</v>
      </c>
      <c r="U1208" s="60">
        <v>0</v>
      </c>
      <c r="V1208" s="60">
        <v>0</v>
      </c>
      <c r="W1208" s="60">
        <v>0</v>
      </c>
      <c r="X1208" s="60">
        <v>0</v>
      </c>
      <c r="Y1208" s="60">
        <v>0</v>
      </c>
      <c r="Z1208" s="60">
        <v>0</v>
      </c>
      <c r="AA1208" s="60">
        <v>0</v>
      </c>
      <c r="AB1208" s="60">
        <v>0</v>
      </c>
      <c r="AC1208" s="60">
        <v>1028.76</v>
      </c>
      <c r="AD1208" s="60">
        <v>1042.8699999999999</v>
      </c>
      <c r="AE1208" s="60">
        <v>972.1</v>
      </c>
      <c r="AF1208" s="60">
        <v>0</v>
      </c>
      <c r="AG1208" s="60">
        <v>0</v>
      </c>
      <c r="AH1208" s="60">
        <v>0</v>
      </c>
      <c r="AI1208" s="60">
        <v>1028.76</v>
      </c>
      <c r="AJ1208" s="60">
        <v>1042.8699999999999</v>
      </c>
      <c r="AK1208" s="60">
        <v>972.1</v>
      </c>
      <c r="AL1208" s="60">
        <v>0</v>
      </c>
      <c r="AM1208" s="60">
        <v>0</v>
      </c>
      <c r="AN1208" s="60">
        <v>0</v>
      </c>
      <c r="AO1208" s="60">
        <v>1028.76</v>
      </c>
      <c r="AP1208" s="60">
        <v>1042.8699999999999</v>
      </c>
      <c r="AQ1208" s="60">
        <v>972.1</v>
      </c>
      <c r="AR1208" s="61">
        <v>1042.8699999999999</v>
      </c>
    </row>
    <row r="1209" spans="1:44" x14ac:dyDescent="0.35">
      <c r="A1209" s="49" t="str">
        <f t="shared" si="100"/>
        <v>07</v>
      </c>
      <c r="B1209" s="27">
        <v>10074</v>
      </c>
      <c r="C1209" s="25" t="str">
        <f>TEXT(129528,"0000000")</f>
        <v>0129528</v>
      </c>
      <c r="D1209" s="27">
        <v>1622</v>
      </c>
      <c r="E1209" s="25" t="s">
        <v>262</v>
      </c>
      <c r="F1209" s="25" t="s">
        <v>5</v>
      </c>
      <c r="G1209" s="59" t="s">
        <v>263</v>
      </c>
      <c r="H1209" s="60">
        <v>0</v>
      </c>
      <c r="I1209" s="60">
        <v>0</v>
      </c>
      <c r="J1209" s="60">
        <v>0</v>
      </c>
      <c r="K1209" s="60">
        <v>0</v>
      </c>
      <c r="L1209" s="60">
        <v>0</v>
      </c>
      <c r="M1209" s="60">
        <v>0</v>
      </c>
      <c r="N1209" s="60">
        <v>0</v>
      </c>
      <c r="O1209" s="60">
        <v>0</v>
      </c>
      <c r="P1209" s="60">
        <v>0</v>
      </c>
      <c r="Q1209" s="60">
        <v>0</v>
      </c>
      <c r="R1209" s="60">
        <v>0</v>
      </c>
      <c r="S1209" s="60">
        <v>0</v>
      </c>
      <c r="T1209" s="60">
        <v>0</v>
      </c>
      <c r="U1209" s="60">
        <v>0</v>
      </c>
      <c r="V1209" s="60">
        <v>0</v>
      </c>
      <c r="W1209" s="60">
        <v>0</v>
      </c>
      <c r="X1209" s="60">
        <v>0</v>
      </c>
      <c r="Y1209" s="60">
        <v>0</v>
      </c>
      <c r="Z1209" s="60">
        <v>0</v>
      </c>
      <c r="AA1209" s="60">
        <v>0</v>
      </c>
      <c r="AB1209" s="60">
        <v>0</v>
      </c>
      <c r="AC1209" s="60">
        <v>878.12</v>
      </c>
      <c r="AD1209" s="60">
        <v>824.2</v>
      </c>
      <c r="AE1209" s="60">
        <v>779.9</v>
      </c>
      <c r="AF1209" s="60">
        <v>0</v>
      </c>
      <c r="AG1209" s="60">
        <v>0</v>
      </c>
      <c r="AH1209" s="60">
        <v>0</v>
      </c>
      <c r="AI1209" s="60">
        <v>878.12</v>
      </c>
      <c r="AJ1209" s="60">
        <v>824.2</v>
      </c>
      <c r="AK1209" s="60">
        <v>779.9</v>
      </c>
      <c r="AL1209" s="60">
        <v>0</v>
      </c>
      <c r="AM1209" s="60">
        <v>0</v>
      </c>
      <c r="AN1209" s="60">
        <v>0</v>
      </c>
      <c r="AO1209" s="60">
        <v>878.12</v>
      </c>
      <c r="AP1209" s="60">
        <v>824.2</v>
      </c>
      <c r="AQ1209" s="60">
        <v>779.9</v>
      </c>
      <c r="AR1209" s="61">
        <v>878.12</v>
      </c>
    </row>
    <row r="1210" spans="1:44" x14ac:dyDescent="0.35">
      <c r="A1210" s="49" t="str">
        <f t="shared" si="100"/>
        <v>07</v>
      </c>
      <c r="B1210" s="27">
        <v>10074</v>
      </c>
      <c r="C1210" s="25" t="str">
        <f>TEXT(129684,"0000000")</f>
        <v>0129684</v>
      </c>
      <c r="D1210" s="27">
        <v>1650</v>
      </c>
      <c r="E1210" s="25" t="s">
        <v>264</v>
      </c>
      <c r="F1210" s="25" t="s">
        <v>5</v>
      </c>
      <c r="G1210" s="59" t="s">
        <v>265</v>
      </c>
      <c r="H1210" s="60">
        <v>0</v>
      </c>
      <c r="I1210" s="60">
        <v>0</v>
      </c>
      <c r="J1210" s="60">
        <v>0</v>
      </c>
      <c r="K1210" s="60">
        <v>0</v>
      </c>
      <c r="L1210" s="60">
        <v>0</v>
      </c>
      <c r="M1210" s="60">
        <v>0</v>
      </c>
      <c r="N1210" s="60">
        <v>0</v>
      </c>
      <c r="O1210" s="60">
        <v>0</v>
      </c>
      <c r="P1210" s="60">
        <v>0</v>
      </c>
      <c r="Q1210" s="60">
        <v>0</v>
      </c>
      <c r="R1210" s="60">
        <v>0</v>
      </c>
      <c r="S1210" s="60">
        <v>0</v>
      </c>
      <c r="T1210" s="60">
        <v>0</v>
      </c>
      <c r="U1210" s="60">
        <v>0</v>
      </c>
      <c r="V1210" s="60">
        <v>0</v>
      </c>
      <c r="W1210" s="60">
        <v>0</v>
      </c>
      <c r="X1210" s="60">
        <v>0</v>
      </c>
      <c r="Y1210" s="60">
        <v>0</v>
      </c>
      <c r="Z1210" s="60">
        <v>0</v>
      </c>
      <c r="AA1210" s="60">
        <v>0</v>
      </c>
      <c r="AB1210" s="60">
        <v>0</v>
      </c>
      <c r="AC1210" s="60">
        <v>502.75</v>
      </c>
      <c r="AD1210" s="60">
        <v>435.16</v>
      </c>
      <c r="AE1210" s="60">
        <v>441.18</v>
      </c>
      <c r="AF1210" s="60">
        <v>0</v>
      </c>
      <c r="AG1210" s="60">
        <v>0</v>
      </c>
      <c r="AH1210" s="60">
        <v>0</v>
      </c>
      <c r="AI1210" s="60">
        <v>502.75</v>
      </c>
      <c r="AJ1210" s="60">
        <v>435.16</v>
      </c>
      <c r="AK1210" s="60">
        <v>441.18</v>
      </c>
      <c r="AL1210" s="60">
        <v>0</v>
      </c>
      <c r="AM1210" s="60">
        <v>0</v>
      </c>
      <c r="AN1210" s="60">
        <v>0</v>
      </c>
      <c r="AO1210" s="60">
        <v>502.75</v>
      </c>
      <c r="AP1210" s="60">
        <v>435.16</v>
      </c>
      <c r="AQ1210" s="60">
        <v>441.18</v>
      </c>
      <c r="AR1210" s="61">
        <v>502.75</v>
      </c>
    </row>
    <row r="1211" spans="1:44" x14ac:dyDescent="0.35">
      <c r="A1211" s="49" t="str">
        <f t="shared" si="100"/>
        <v>07</v>
      </c>
      <c r="B1211" s="27">
        <v>10074</v>
      </c>
      <c r="C1211" s="25" t="str">
        <f>TEXT(134114,"0000000")</f>
        <v>0134114</v>
      </c>
      <c r="D1211" s="27">
        <v>1773</v>
      </c>
      <c r="E1211" s="25" t="s">
        <v>266</v>
      </c>
      <c r="F1211" s="25" t="s">
        <v>5</v>
      </c>
      <c r="G1211" s="59" t="s">
        <v>267</v>
      </c>
      <c r="H1211" s="60">
        <v>0</v>
      </c>
      <c r="I1211" s="60">
        <v>0</v>
      </c>
      <c r="J1211" s="60">
        <v>0</v>
      </c>
      <c r="K1211" s="60">
        <v>0</v>
      </c>
      <c r="L1211" s="60">
        <v>0</v>
      </c>
      <c r="M1211" s="60">
        <v>0</v>
      </c>
      <c r="N1211" s="60">
        <v>0</v>
      </c>
      <c r="O1211" s="60">
        <v>0</v>
      </c>
      <c r="P1211" s="60">
        <v>0</v>
      </c>
      <c r="Q1211" s="60">
        <v>0</v>
      </c>
      <c r="R1211" s="60">
        <v>0</v>
      </c>
      <c r="S1211" s="60">
        <v>0</v>
      </c>
      <c r="T1211" s="60">
        <v>0</v>
      </c>
      <c r="U1211" s="60">
        <v>0</v>
      </c>
      <c r="V1211" s="60">
        <v>0</v>
      </c>
      <c r="W1211" s="60">
        <v>0</v>
      </c>
      <c r="X1211" s="60">
        <v>0</v>
      </c>
      <c r="Y1211" s="60">
        <v>0</v>
      </c>
      <c r="Z1211" s="60">
        <v>0</v>
      </c>
      <c r="AA1211" s="60">
        <v>0</v>
      </c>
      <c r="AB1211" s="60">
        <v>0</v>
      </c>
      <c r="AC1211" s="60">
        <v>327.55</v>
      </c>
      <c r="AD1211" s="60">
        <v>314.58999999999997</v>
      </c>
      <c r="AE1211" s="60">
        <v>405.95</v>
      </c>
      <c r="AF1211" s="60">
        <v>0</v>
      </c>
      <c r="AG1211" s="60">
        <v>0</v>
      </c>
      <c r="AH1211" s="60">
        <v>0</v>
      </c>
      <c r="AI1211" s="60">
        <v>327.55</v>
      </c>
      <c r="AJ1211" s="60">
        <v>314.58999999999997</v>
      </c>
      <c r="AK1211" s="60">
        <v>405.95</v>
      </c>
      <c r="AL1211" s="60">
        <v>0</v>
      </c>
      <c r="AM1211" s="60">
        <v>0</v>
      </c>
      <c r="AN1211" s="60">
        <v>0</v>
      </c>
      <c r="AO1211" s="60">
        <v>327.55</v>
      </c>
      <c r="AP1211" s="60">
        <v>314.58999999999997</v>
      </c>
      <c r="AQ1211" s="60">
        <v>405.95</v>
      </c>
      <c r="AR1211" s="61">
        <v>405.95</v>
      </c>
    </row>
    <row r="1212" spans="1:44" x14ac:dyDescent="0.35">
      <c r="A1212" s="49" t="str">
        <f t="shared" si="100"/>
        <v>07</v>
      </c>
      <c r="B1212" s="27">
        <v>10074</v>
      </c>
      <c r="C1212" s="25" t="str">
        <f>TEXT(137026,"0000000")</f>
        <v>0137026</v>
      </c>
      <c r="D1212" s="27">
        <v>1933</v>
      </c>
      <c r="E1212" s="25" t="s">
        <v>268</v>
      </c>
      <c r="F1212" s="25" t="s">
        <v>5</v>
      </c>
      <c r="G1212" s="59" t="s">
        <v>269</v>
      </c>
      <c r="H1212" s="60">
        <v>0</v>
      </c>
      <c r="I1212" s="60">
        <v>0</v>
      </c>
      <c r="J1212" s="60">
        <v>0</v>
      </c>
      <c r="K1212" s="60">
        <v>0</v>
      </c>
      <c r="L1212" s="60">
        <v>0</v>
      </c>
      <c r="M1212" s="60">
        <v>0</v>
      </c>
      <c r="N1212" s="60">
        <v>0</v>
      </c>
      <c r="O1212" s="60">
        <v>0</v>
      </c>
      <c r="P1212" s="60">
        <v>0</v>
      </c>
      <c r="Q1212" s="60">
        <v>0</v>
      </c>
      <c r="R1212" s="60">
        <v>0</v>
      </c>
      <c r="S1212" s="60">
        <v>0</v>
      </c>
      <c r="T1212" s="60">
        <v>0</v>
      </c>
      <c r="U1212" s="60">
        <v>0</v>
      </c>
      <c r="V1212" s="60">
        <v>0</v>
      </c>
      <c r="W1212" s="60">
        <v>0</v>
      </c>
      <c r="X1212" s="60">
        <v>0</v>
      </c>
      <c r="Y1212" s="60">
        <v>0</v>
      </c>
      <c r="Z1212" s="60">
        <v>0</v>
      </c>
      <c r="AA1212" s="60">
        <v>0</v>
      </c>
      <c r="AB1212" s="60">
        <v>0</v>
      </c>
      <c r="AC1212" s="60">
        <v>336.53</v>
      </c>
      <c r="AD1212" s="60">
        <v>289.19</v>
      </c>
      <c r="AE1212" s="60">
        <v>213.54</v>
      </c>
      <c r="AF1212" s="60">
        <v>0</v>
      </c>
      <c r="AG1212" s="60">
        <v>0</v>
      </c>
      <c r="AH1212" s="60">
        <v>0</v>
      </c>
      <c r="AI1212" s="60">
        <v>336.53</v>
      </c>
      <c r="AJ1212" s="60">
        <v>289.19</v>
      </c>
      <c r="AK1212" s="60">
        <v>213.54</v>
      </c>
      <c r="AL1212" s="60">
        <v>0</v>
      </c>
      <c r="AM1212" s="60">
        <v>0</v>
      </c>
      <c r="AN1212" s="60">
        <v>0</v>
      </c>
      <c r="AO1212" s="60">
        <v>336.53</v>
      </c>
      <c r="AP1212" s="60">
        <v>289.19</v>
      </c>
      <c r="AQ1212" s="60">
        <v>213.54</v>
      </c>
      <c r="AR1212" s="61">
        <v>336.53</v>
      </c>
    </row>
    <row r="1213" spans="1:44" x14ac:dyDescent="0.35">
      <c r="A1213" s="49" t="str">
        <f t="shared" si="100"/>
        <v>07</v>
      </c>
      <c r="B1213" s="27">
        <v>10074</v>
      </c>
      <c r="C1213" s="25" t="str">
        <f>TEXT(6118368,"0000000")</f>
        <v>6118368</v>
      </c>
      <c r="D1213" s="26" t="s">
        <v>274</v>
      </c>
      <c r="E1213" s="25" t="s">
        <v>272</v>
      </c>
      <c r="F1213" s="25" t="s">
        <v>5</v>
      </c>
      <c r="G1213" s="59" t="s">
        <v>273</v>
      </c>
      <c r="H1213" s="60">
        <v>0</v>
      </c>
      <c r="I1213" s="60">
        <v>0</v>
      </c>
      <c r="J1213" s="60">
        <v>0</v>
      </c>
      <c r="K1213" s="60">
        <v>0</v>
      </c>
      <c r="L1213" s="60">
        <v>0</v>
      </c>
      <c r="M1213" s="60">
        <v>0</v>
      </c>
      <c r="N1213" s="60">
        <v>0</v>
      </c>
      <c r="O1213" s="60">
        <v>0</v>
      </c>
      <c r="P1213" s="60">
        <v>0</v>
      </c>
      <c r="Q1213" s="60">
        <v>0</v>
      </c>
      <c r="R1213" s="60">
        <v>0</v>
      </c>
      <c r="S1213" s="60">
        <v>0</v>
      </c>
      <c r="T1213" s="60">
        <v>0</v>
      </c>
      <c r="U1213" s="60">
        <v>0</v>
      </c>
      <c r="V1213" s="60">
        <v>0</v>
      </c>
      <c r="W1213" s="60">
        <v>0</v>
      </c>
      <c r="X1213" s="60">
        <v>0</v>
      </c>
      <c r="Y1213" s="60">
        <v>0</v>
      </c>
      <c r="Z1213" s="60">
        <v>0</v>
      </c>
      <c r="AA1213" s="60">
        <v>0</v>
      </c>
      <c r="AB1213" s="60">
        <v>0</v>
      </c>
      <c r="AC1213" s="60">
        <v>80.760000000000005</v>
      </c>
      <c r="AD1213" s="60">
        <v>70.08</v>
      </c>
      <c r="AE1213" s="60">
        <v>65.209999999999994</v>
      </c>
      <c r="AF1213" s="60">
        <v>0</v>
      </c>
      <c r="AG1213" s="60">
        <v>0</v>
      </c>
      <c r="AH1213" s="60">
        <v>0</v>
      </c>
      <c r="AI1213" s="60">
        <v>80.760000000000005</v>
      </c>
      <c r="AJ1213" s="60">
        <v>70.08</v>
      </c>
      <c r="AK1213" s="60">
        <v>65.209999999999994</v>
      </c>
      <c r="AL1213" s="60">
        <v>0</v>
      </c>
      <c r="AM1213" s="60">
        <v>0</v>
      </c>
      <c r="AN1213" s="60">
        <v>0</v>
      </c>
      <c r="AO1213" s="60">
        <v>80.760000000000005</v>
      </c>
      <c r="AP1213" s="60">
        <v>70.08</v>
      </c>
      <c r="AQ1213" s="60">
        <v>65.209999999999994</v>
      </c>
      <c r="AR1213" s="61">
        <v>80.760000000000005</v>
      </c>
    </row>
    <row r="1214" spans="1:44" x14ac:dyDescent="0.35">
      <c r="A1214" s="49" t="str">
        <f t="shared" si="100"/>
        <v>07</v>
      </c>
      <c r="B1214" s="27">
        <v>10074</v>
      </c>
      <c r="C1214" s="25" t="str">
        <f>TEXT(731380,"0000000")</f>
        <v>0731380</v>
      </c>
      <c r="D1214" s="27">
        <v>1400</v>
      </c>
      <c r="E1214" s="25" t="s">
        <v>270</v>
      </c>
      <c r="F1214" s="25" t="s">
        <v>5</v>
      </c>
      <c r="G1214" s="59" t="s">
        <v>271</v>
      </c>
      <c r="H1214" s="60">
        <v>0</v>
      </c>
      <c r="I1214" s="60">
        <v>0</v>
      </c>
      <c r="J1214" s="60">
        <v>0</v>
      </c>
      <c r="K1214" s="60">
        <v>0</v>
      </c>
      <c r="L1214" s="60">
        <v>0</v>
      </c>
      <c r="M1214" s="60">
        <v>0</v>
      </c>
      <c r="N1214" s="60">
        <v>0</v>
      </c>
      <c r="O1214" s="60">
        <v>0</v>
      </c>
      <c r="P1214" s="60">
        <v>0</v>
      </c>
      <c r="Q1214" s="60">
        <v>0</v>
      </c>
      <c r="R1214" s="60">
        <v>0</v>
      </c>
      <c r="S1214" s="60">
        <v>0</v>
      </c>
      <c r="T1214" s="60">
        <v>0</v>
      </c>
      <c r="U1214" s="60">
        <v>0</v>
      </c>
      <c r="V1214" s="60">
        <v>0</v>
      </c>
      <c r="W1214" s="60">
        <v>0</v>
      </c>
      <c r="X1214" s="60">
        <v>0</v>
      </c>
      <c r="Y1214" s="60">
        <v>0</v>
      </c>
      <c r="Z1214" s="60">
        <v>0</v>
      </c>
      <c r="AA1214" s="60">
        <v>0</v>
      </c>
      <c r="AB1214" s="60">
        <v>0</v>
      </c>
      <c r="AC1214" s="60">
        <v>2273.21</v>
      </c>
      <c r="AD1214" s="60">
        <v>2222.48</v>
      </c>
      <c r="AE1214" s="60">
        <v>2208.38</v>
      </c>
      <c r="AF1214" s="60">
        <v>0</v>
      </c>
      <c r="AG1214" s="60">
        <v>0</v>
      </c>
      <c r="AH1214" s="60">
        <v>0</v>
      </c>
      <c r="AI1214" s="60">
        <v>2273.21</v>
      </c>
      <c r="AJ1214" s="60">
        <v>2222.48</v>
      </c>
      <c r="AK1214" s="60">
        <v>2208.38</v>
      </c>
      <c r="AL1214" s="60">
        <v>0</v>
      </c>
      <c r="AM1214" s="60">
        <v>0</v>
      </c>
      <c r="AN1214" s="60">
        <v>0</v>
      </c>
      <c r="AO1214" s="60">
        <v>2273.21</v>
      </c>
      <c r="AP1214" s="60">
        <v>2222.48</v>
      </c>
      <c r="AQ1214" s="60">
        <v>2208.38</v>
      </c>
      <c r="AR1214" s="61">
        <v>2273.21</v>
      </c>
    </row>
    <row r="1215" spans="1:44" x14ac:dyDescent="0.35">
      <c r="A1215" s="49" t="str">
        <f t="shared" si="100"/>
        <v>07</v>
      </c>
      <c r="B1215" s="27">
        <v>61648</v>
      </c>
      <c r="C1215" s="25" t="str">
        <f>TEXT(115063,"0000000")</f>
        <v>0115063</v>
      </c>
      <c r="D1215" s="26" t="s">
        <v>281</v>
      </c>
      <c r="E1215" s="25" t="s">
        <v>279</v>
      </c>
      <c r="F1215" s="25" t="s">
        <v>5</v>
      </c>
      <c r="G1215" s="59" t="s">
        <v>280</v>
      </c>
      <c r="H1215" s="60">
        <v>0</v>
      </c>
      <c r="I1215" s="60">
        <v>0</v>
      </c>
      <c r="J1215" s="60">
        <v>0</v>
      </c>
      <c r="K1215" s="60">
        <v>0</v>
      </c>
      <c r="L1215" s="60">
        <v>0</v>
      </c>
      <c r="M1215" s="60">
        <v>0</v>
      </c>
      <c r="N1215" s="60">
        <v>0</v>
      </c>
      <c r="O1215" s="60">
        <v>0</v>
      </c>
      <c r="P1215" s="60">
        <v>0</v>
      </c>
      <c r="Q1215" s="60">
        <v>0</v>
      </c>
      <c r="R1215" s="60">
        <v>0</v>
      </c>
      <c r="S1215" s="60">
        <v>0</v>
      </c>
      <c r="T1215" s="60">
        <v>0</v>
      </c>
      <c r="U1215" s="60">
        <v>0</v>
      </c>
      <c r="V1215" s="60">
        <v>0</v>
      </c>
      <c r="W1215" s="60">
        <v>0</v>
      </c>
      <c r="X1215" s="60">
        <v>0</v>
      </c>
      <c r="Y1215" s="60">
        <v>0</v>
      </c>
      <c r="Z1215" s="60">
        <v>0</v>
      </c>
      <c r="AA1215" s="60">
        <v>0</v>
      </c>
      <c r="AB1215" s="60">
        <v>0</v>
      </c>
      <c r="AC1215" s="60">
        <v>197.2</v>
      </c>
      <c r="AD1215" s="60">
        <v>189.9</v>
      </c>
      <c r="AE1215" s="60">
        <v>190.09</v>
      </c>
      <c r="AF1215" s="60">
        <v>0</v>
      </c>
      <c r="AG1215" s="60">
        <v>0</v>
      </c>
      <c r="AH1215" s="60">
        <v>0</v>
      </c>
      <c r="AI1215" s="60">
        <v>197.2</v>
      </c>
      <c r="AJ1215" s="60">
        <v>189.9</v>
      </c>
      <c r="AK1215" s="60">
        <v>190.09</v>
      </c>
      <c r="AL1215" s="60">
        <v>0</v>
      </c>
      <c r="AM1215" s="60">
        <v>0</v>
      </c>
      <c r="AN1215" s="60">
        <v>0</v>
      </c>
      <c r="AO1215" s="60">
        <v>197.2</v>
      </c>
      <c r="AP1215" s="60">
        <v>189.9</v>
      </c>
      <c r="AQ1215" s="60">
        <v>190.09</v>
      </c>
      <c r="AR1215" s="61">
        <v>197.2</v>
      </c>
    </row>
    <row r="1216" spans="1:44" x14ac:dyDescent="0.35">
      <c r="A1216" s="49" t="str">
        <f t="shared" si="100"/>
        <v>07</v>
      </c>
      <c r="B1216" s="27">
        <v>61648</v>
      </c>
      <c r="C1216" s="25" t="str">
        <f>TEXT(137430,"0000000")</f>
        <v>0137430</v>
      </c>
      <c r="D1216" s="27">
        <v>1965</v>
      </c>
      <c r="E1216" s="25" t="s">
        <v>282</v>
      </c>
      <c r="F1216" s="25" t="s">
        <v>5</v>
      </c>
      <c r="G1216" s="59" t="s">
        <v>283</v>
      </c>
      <c r="H1216" s="60">
        <v>0</v>
      </c>
      <c r="I1216" s="60">
        <v>0</v>
      </c>
      <c r="J1216" s="60">
        <v>0</v>
      </c>
      <c r="K1216" s="60">
        <v>0</v>
      </c>
      <c r="L1216" s="60">
        <v>0</v>
      </c>
      <c r="M1216" s="60">
        <v>0</v>
      </c>
      <c r="N1216" s="60">
        <v>0</v>
      </c>
      <c r="O1216" s="60">
        <v>0</v>
      </c>
      <c r="P1216" s="60">
        <v>0</v>
      </c>
      <c r="Q1216" s="60">
        <v>0</v>
      </c>
      <c r="R1216" s="60">
        <v>0</v>
      </c>
      <c r="S1216" s="60">
        <v>0</v>
      </c>
      <c r="T1216" s="60">
        <v>0</v>
      </c>
      <c r="U1216" s="60">
        <v>0</v>
      </c>
      <c r="V1216" s="60">
        <v>0</v>
      </c>
      <c r="W1216" s="60">
        <v>0</v>
      </c>
      <c r="X1216" s="60">
        <v>0</v>
      </c>
      <c r="Y1216" s="60">
        <v>0</v>
      </c>
      <c r="Z1216" s="60">
        <v>0</v>
      </c>
      <c r="AA1216" s="60">
        <v>0</v>
      </c>
      <c r="AB1216" s="60">
        <v>0</v>
      </c>
      <c r="AC1216" s="60">
        <v>527.20000000000005</v>
      </c>
      <c r="AD1216" s="60">
        <v>503.49</v>
      </c>
      <c r="AE1216" s="60">
        <v>496.01</v>
      </c>
      <c r="AF1216" s="60">
        <v>0</v>
      </c>
      <c r="AG1216" s="60">
        <v>0</v>
      </c>
      <c r="AH1216" s="60">
        <v>0</v>
      </c>
      <c r="AI1216" s="60">
        <v>527.20000000000005</v>
      </c>
      <c r="AJ1216" s="60">
        <v>503.49</v>
      </c>
      <c r="AK1216" s="60">
        <v>496.01</v>
      </c>
      <c r="AL1216" s="60">
        <v>0</v>
      </c>
      <c r="AM1216" s="60">
        <v>0</v>
      </c>
      <c r="AN1216" s="60">
        <v>0</v>
      </c>
      <c r="AO1216" s="60">
        <v>527.20000000000005</v>
      </c>
      <c r="AP1216" s="60">
        <v>503.49</v>
      </c>
      <c r="AQ1216" s="60">
        <v>496.01</v>
      </c>
      <c r="AR1216" s="61">
        <v>527.20000000000005</v>
      </c>
    </row>
    <row r="1217" spans="1:44" x14ac:dyDescent="0.35">
      <c r="A1217" s="49" t="str">
        <f t="shared" si="100"/>
        <v>07</v>
      </c>
      <c r="B1217" s="27">
        <v>61648</v>
      </c>
      <c r="C1217" s="25" t="str">
        <f>TEXT(6115703,"0000000")</f>
        <v>6115703</v>
      </c>
      <c r="D1217" s="26" t="s">
        <v>286</v>
      </c>
      <c r="E1217" s="25" t="s">
        <v>284</v>
      </c>
      <c r="F1217" s="25" t="s">
        <v>5</v>
      </c>
      <c r="G1217" s="59" t="s">
        <v>285</v>
      </c>
      <c r="H1217" s="60">
        <v>0</v>
      </c>
      <c r="I1217" s="60">
        <v>0</v>
      </c>
      <c r="J1217" s="60">
        <v>0</v>
      </c>
      <c r="K1217" s="60">
        <v>0</v>
      </c>
      <c r="L1217" s="60">
        <v>0</v>
      </c>
      <c r="M1217" s="60">
        <v>0</v>
      </c>
      <c r="N1217" s="60">
        <v>0</v>
      </c>
      <c r="O1217" s="60">
        <v>0</v>
      </c>
      <c r="P1217" s="60">
        <v>0</v>
      </c>
      <c r="Q1217" s="60">
        <v>0</v>
      </c>
      <c r="R1217" s="60">
        <v>0</v>
      </c>
      <c r="S1217" s="60">
        <v>0</v>
      </c>
      <c r="T1217" s="60">
        <v>0</v>
      </c>
      <c r="U1217" s="60">
        <v>0</v>
      </c>
      <c r="V1217" s="60">
        <v>0</v>
      </c>
      <c r="W1217" s="60">
        <v>0</v>
      </c>
      <c r="X1217" s="60">
        <v>0</v>
      </c>
      <c r="Y1217" s="60">
        <v>0</v>
      </c>
      <c r="Z1217" s="60">
        <v>0</v>
      </c>
      <c r="AA1217" s="60">
        <v>0</v>
      </c>
      <c r="AB1217" s="60">
        <v>0</v>
      </c>
      <c r="AC1217" s="60">
        <v>201.97</v>
      </c>
      <c r="AD1217" s="60">
        <v>201.12</v>
      </c>
      <c r="AE1217" s="60">
        <v>200.76</v>
      </c>
      <c r="AF1217" s="60">
        <v>0</v>
      </c>
      <c r="AG1217" s="60">
        <v>0</v>
      </c>
      <c r="AH1217" s="60">
        <v>0</v>
      </c>
      <c r="AI1217" s="60">
        <v>201.97</v>
      </c>
      <c r="AJ1217" s="60">
        <v>201.12</v>
      </c>
      <c r="AK1217" s="60">
        <v>200.76</v>
      </c>
      <c r="AL1217" s="60">
        <v>0</v>
      </c>
      <c r="AM1217" s="60">
        <v>0</v>
      </c>
      <c r="AN1217" s="60">
        <v>0</v>
      </c>
      <c r="AO1217" s="60">
        <v>201.97</v>
      </c>
      <c r="AP1217" s="60">
        <v>201.12</v>
      </c>
      <c r="AQ1217" s="60">
        <v>200.76</v>
      </c>
      <c r="AR1217" s="61">
        <v>201.97</v>
      </c>
    </row>
    <row r="1218" spans="1:44" x14ac:dyDescent="0.35">
      <c r="A1218" s="49" t="str">
        <f t="shared" si="100"/>
        <v>07</v>
      </c>
      <c r="B1218" s="27">
        <v>61663</v>
      </c>
      <c r="C1218" s="25" t="str">
        <f>TEXT(130930,"0000000")</f>
        <v>0130930</v>
      </c>
      <c r="D1218" s="27">
        <v>1684</v>
      </c>
      <c r="E1218" s="25" t="s">
        <v>291</v>
      </c>
      <c r="F1218" s="25" t="s">
        <v>5</v>
      </c>
      <c r="G1218" s="59" t="s">
        <v>292</v>
      </c>
      <c r="H1218" s="60">
        <v>0</v>
      </c>
      <c r="I1218" s="60">
        <v>0</v>
      </c>
      <c r="J1218" s="60">
        <v>0</v>
      </c>
      <c r="K1218" s="60">
        <v>0</v>
      </c>
      <c r="L1218" s="60">
        <v>0</v>
      </c>
      <c r="M1218" s="60">
        <v>0</v>
      </c>
      <c r="N1218" s="60">
        <v>0</v>
      </c>
      <c r="O1218" s="60">
        <v>0</v>
      </c>
      <c r="P1218" s="60">
        <v>0</v>
      </c>
      <c r="Q1218" s="60">
        <v>0</v>
      </c>
      <c r="R1218" s="60">
        <v>0</v>
      </c>
      <c r="S1218" s="60">
        <v>0</v>
      </c>
      <c r="T1218" s="60">
        <v>0</v>
      </c>
      <c r="U1218" s="60">
        <v>0</v>
      </c>
      <c r="V1218" s="60">
        <v>0</v>
      </c>
      <c r="W1218" s="60">
        <v>0</v>
      </c>
      <c r="X1218" s="60">
        <v>0</v>
      </c>
      <c r="Y1218" s="60">
        <v>0</v>
      </c>
      <c r="Z1218" s="60">
        <v>0</v>
      </c>
      <c r="AA1218" s="60">
        <v>0</v>
      </c>
      <c r="AB1218" s="60">
        <v>0</v>
      </c>
      <c r="AC1218" s="60">
        <v>942.47</v>
      </c>
      <c r="AD1218" s="60">
        <v>927.5</v>
      </c>
      <c r="AE1218" s="60">
        <v>899.96</v>
      </c>
      <c r="AF1218" s="60">
        <v>0</v>
      </c>
      <c r="AG1218" s="60">
        <v>0</v>
      </c>
      <c r="AH1218" s="60">
        <v>0</v>
      </c>
      <c r="AI1218" s="60">
        <v>942.47</v>
      </c>
      <c r="AJ1218" s="60">
        <v>927.5</v>
      </c>
      <c r="AK1218" s="60">
        <v>899.96</v>
      </c>
      <c r="AL1218" s="60">
        <v>0</v>
      </c>
      <c r="AM1218" s="60">
        <v>0</v>
      </c>
      <c r="AN1218" s="60">
        <v>0</v>
      </c>
      <c r="AO1218" s="60">
        <v>942.47</v>
      </c>
      <c r="AP1218" s="60">
        <v>927.5</v>
      </c>
      <c r="AQ1218" s="60">
        <v>899.96</v>
      </c>
      <c r="AR1218" s="61">
        <v>942.47</v>
      </c>
    </row>
    <row r="1219" spans="1:44" x14ac:dyDescent="0.35">
      <c r="A1219" s="49" t="str">
        <f t="shared" si="100"/>
        <v>07</v>
      </c>
      <c r="B1219" s="27">
        <v>61754</v>
      </c>
      <c r="C1219" s="25" t="str">
        <f>TEXT(134072,"0000000")</f>
        <v>0134072</v>
      </c>
      <c r="D1219" s="27">
        <v>1805</v>
      </c>
      <c r="E1219" s="25" t="s">
        <v>307</v>
      </c>
      <c r="F1219" s="25" t="s">
        <v>5</v>
      </c>
      <c r="G1219" s="59" t="s">
        <v>308</v>
      </c>
      <c r="H1219" s="60">
        <v>0</v>
      </c>
      <c r="I1219" s="60">
        <v>0</v>
      </c>
      <c r="J1219" s="60">
        <v>0</v>
      </c>
      <c r="K1219" s="60">
        <v>0</v>
      </c>
      <c r="L1219" s="60">
        <v>0</v>
      </c>
      <c r="M1219" s="60">
        <v>0</v>
      </c>
      <c r="N1219" s="60">
        <v>0</v>
      </c>
      <c r="O1219" s="60">
        <v>0</v>
      </c>
      <c r="P1219" s="60">
        <v>0</v>
      </c>
      <c r="Q1219" s="60">
        <v>0</v>
      </c>
      <c r="R1219" s="60">
        <v>0</v>
      </c>
      <c r="S1219" s="60">
        <v>0</v>
      </c>
      <c r="T1219" s="60">
        <v>0</v>
      </c>
      <c r="U1219" s="60">
        <v>0</v>
      </c>
      <c r="V1219" s="60">
        <v>0</v>
      </c>
      <c r="W1219" s="60">
        <v>0</v>
      </c>
      <c r="X1219" s="60">
        <v>0</v>
      </c>
      <c r="Y1219" s="60">
        <v>0</v>
      </c>
      <c r="Z1219" s="60">
        <v>0</v>
      </c>
      <c r="AA1219" s="60">
        <v>0</v>
      </c>
      <c r="AB1219" s="60">
        <v>0</v>
      </c>
      <c r="AC1219" s="60">
        <v>601.80999999999995</v>
      </c>
      <c r="AD1219" s="60">
        <v>598.99</v>
      </c>
      <c r="AE1219" s="60">
        <v>583.05999999999995</v>
      </c>
      <c r="AF1219" s="60">
        <v>0</v>
      </c>
      <c r="AG1219" s="60">
        <v>0</v>
      </c>
      <c r="AH1219" s="60">
        <v>0</v>
      </c>
      <c r="AI1219" s="60">
        <v>601.80999999999995</v>
      </c>
      <c r="AJ1219" s="60">
        <v>598.99</v>
      </c>
      <c r="AK1219" s="60">
        <v>583.05999999999995</v>
      </c>
      <c r="AL1219" s="60">
        <v>0</v>
      </c>
      <c r="AM1219" s="60">
        <v>0</v>
      </c>
      <c r="AN1219" s="60">
        <v>0</v>
      </c>
      <c r="AO1219" s="60">
        <v>601.80999999999995</v>
      </c>
      <c r="AP1219" s="60">
        <v>598.99</v>
      </c>
      <c r="AQ1219" s="60">
        <v>583.05999999999995</v>
      </c>
      <c r="AR1219" s="61">
        <v>601.80999999999995</v>
      </c>
    </row>
    <row r="1220" spans="1:44" x14ac:dyDescent="0.35">
      <c r="A1220" s="49" t="str">
        <f t="shared" si="100"/>
        <v>07</v>
      </c>
      <c r="B1220" s="27">
        <v>61796</v>
      </c>
      <c r="C1220" s="25" t="str">
        <f>TEXT(101477,"0000000")</f>
        <v>0101477</v>
      </c>
      <c r="D1220" s="26" t="s">
        <v>319</v>
      </c>
      <c r="E1220" s="25" t="s">
        <v>317</v>
      </c>
      <c r="F1220" s="25" t="s">
        <v>5</v>
      </c>
      <c r="G1220" s="59" t="s">
        <v>318</v>
      </c>
      <c r="H1220" s="60">
        <v>0</v>
      </c>
      <c r="I1220" s="60">
        <v>0</v>
      </c>
      <c r="J1220" s="60">
        <v>0</v>
      </c>
      <c r="K1220" s="60">
        <v>0</v>
      </c>
      <c r="L1220" s="60">
        <v>0</v>
      </c>
      <c r="M1220" s="60">
        <v>0</v>
      </c>
      <c r="N1220" s="60">
        <v>0</v>
      </c>
      <c r="O1220" s="60">
        <v>0</v>
      </c>
      <c r="P1220" s="60">
        <v>0</v>
      </c>
      <c r="Q1220" s="60">
        <v>0</v>
      </c>
      <c r="R1220" s="60">
        <v>0</v>
      </c>
      <c r="S1220" s="60">
        <v>0</v>
      </c>
      <c r="T1220" s="60">
        <v>0</v>
      </c>
      <c r="U1220" s="60">
        <v>0</v>
      </c>
      <c r="V1220" s="60">
        <v>0</v>
      </c>
      <c r="W1220" s="60">
        <v>0</v>
      </c>
      <c r="X1220" s="60">
        <v>0</v>
      </c>
      <c r="Y1220" s="60">
        <v>0</v>
      </c>
      <c r="Z1220" s="60">
        <v>0</v>
      </c>
      <c r="AA1220" s="60">
        <v>0</v>
      </c>
      <c r="AB1220" s="60">
        <v>0</v>
      </c>
      <c r="AC1220" s="60">
        <v>481.18</v>
      </c>
      <c r="AD1220" s="60">
        <v>492.39</v>
      </c>
      <c r="AE1220" s="60">
        <v>508.23</v>
      </c>
      <c r="AF1220" s="60">
        <v>0</v>
      </c>
      <c r="AG1220" s="60">
        <v>0</v>
      </c>
      <c r="AH1220" s="60">
        <v>0</v>
      </c>
      <c r="AI1220" s="60">
        <v>481.18</v>
      </c>
      <c r="AJ1220" s="60">
        <v>492.39</v>
      </c>
      <c r="AK1220" s="60">
        <v>508.23</v>
      </c>
      <c r="AL1220" s="60">
        <v>0</v>
      </c>
      <c r="AM1220" s="60">
        <v>0</v>
      </c>
      <c r="AN1220" s="60">
        <v>0</v>
      </c>
      <c r="AO1220" s="60">
        <v>481.18</v>
      </c>
      <c r="AP1220" s="60">
        <v>492.39</v>
      </c>
      <c r="AQ1220" s="60">
        <v>508.23</v>
      </c>
      <c r="AR1220" s="61">
        <v>508.23</v>
      </c>
    </row>
    <row r="1221" spans="1:44" x14ac:dyDescent="0.35">
      <c r="A1221" s="49" t="str">
        <f t="shared" si="100"/>
        <v>07</v>
      </c>
      <c r="B1221" s="27">
        <v>61796</v>
      </c>
      <c r="C1221" s="25" t="str">
        <f>TEXT(126805,"0000000")</f>
        <v>0126805</v>
      </c>
      <c r="D1221" s="27">
        <v>1441</v>
      </c>
      <c r="E1221" s="25" t="s">
        <v>320</v>
      </c>
      <c r="F1221" s="25" t="s">
        <v>5</v>
      </c>
      <c r="G1221" s="59" t="s">
        <v>321</v>
      </c>
      <c r="H1221" s="60">
        <v>0</v>
      </c>
      <c r="I1221" s="60">
        <v>0</v>
      </c>
      <c r="J1221" s="60">
        <v>0</v>
      </c>
      <c r="K1221" s="60">
        <v>0</v>
      </c>
      <c r="L1221" s="60">
        <v>0</v>
      </c>
      <c r="M1221" s="60">
        <v>0</v>
      </c>
      <c r="N1221" s="60">
        <v>0</v>
      </c>
      <c r="O1221" s="60">
        <v>0</v>
      </c>
      <c r="P1221" s="60">
        <v>0</v>
      </c>
      <c r="Q1221" s="60">
        <v>0</v>
      </c>
      <c r="R1221" s="60">
        <v>0</v>
      </c>
      <c r="S1221" s="60">
        <v>0</v>
      </c>
      <c r="T1221" s="60">
        <v>0</v>
      </c>
      <c r="U1221" s="60">
        <v>0</v>
      </c>
      <c r="V1221" s="60">
        <v>0</v>
      </c>
      <c r="W1221" s="60">
        <v>0</v>
      </c>
      <c r="X1221" s="60">
        <v>0</v>
      </c>
      <c r="Y1221" s="60">
        <v>0</v>
      </c>
      <c r="Z1221" s="60">
        <v>0</v>
      </c>
      <c r="AA1221" s="60">
        <v>0</v>
      </c>
      <c r="AB1221" s="60">
        <v>0</v>
      </c>
      <c r="AC1221" s="60">
        <v>275.47000000000003</v>
      </c>
      <c r="AD1221" s="60">
        <v>297.97000000000003</v>
      </c>
      <c r="AE1221" s="60">
        <v>255.67</v>
      </c>
      <c r="AF1221" s="60">
        <v>0</v>
      </c>
      <c r="AG1221" s="60">
        <v>0</v>
      </c>
      <c r="AH1221" s="60">
        <v>0</v>
      </c>
      <c r="AI1221" s="60">
        <v>275.47000000000003</v>
      </c>
      <c r="AJ1221" s="60">
        <v>297.97000000000003</v>
      </c>
      <c r="AK1221" s="60">
        <v>255.67</v>
      </c>
      <c r="AL1221" s="60">
        <v>0</v>
      </c>
      <c r="AM1221" s="60">
        <v>0</v>
      </c>
      <c r="AN1221" s="60">
        <v>0</v>
      </c>
      <c r="AO1221" s="60">
        <v>275.47000000000003</v>
      </c>
      <c r="AP1221" s="60">
        <v>297.97000000000003</v>
      </c>
      <c r="AQ1221" s="60">
        <v>255.67</v>
      </c>
      <c r="AR1221" s="61">
        <v>297.97000000000003</v>
      </c>
    </row>
    <row r="1222" spans="1:44" x14ac:dyDescent="0.35">
      <c r="A1222" s="49" t="str">
        <f t="shared" si="100"/>
        <v>07</v>
      </c>
      <c r="B1222" s="27">
        <v>61796</v>
      </c>
      <c r="C1222" s="25" t="str">
        <f>TEXT(129643,"0000000")</f>
        <v>0129643</v>
      </c>
      <c r="D1222" s="27">
        <v>1660</v>
      </c>
      <c r="E1222" s="25" t="s">
        <v>322</v>
      </c>
      <c r="F1222" s="25" t="s">
        <v>5</v>
      </c>
      <c r="G1222" s="59" t="s">
        <v>323</v>
      </c>
      <c r="H1222" s="60">
        <v>0</v>
      </c>
      <c r="I1222" s="60">
        <v>0</v>
      </c>
      <c r="J1222" s="60">
        <v>0</v>
      </c>
      <c r="K1222" s="60">
        <v>0</v>
      </c>
      <c r="L1222" s="60">
        <v>0</v>
      </c>
      <c r="M1222" s="60">
        <v>0</v>
      </c>
      <c r="N1222" s="60">
        <v>0</v>
      </c>
      <c r="O1222" s="60">
        <v>0</v>
      </c>
      <c r="P1222" s="60">
        <v>0</v>
      </c>
      <c r="Q1222" s="60">
        <v>0</v>
      </c>
      <c r="R1222" s="60">
        <v>0</v>
      </c>
      <c r="S1222" s="60">
        <v>0</v>
      </c>
      <c r="T1222" s="60">
        <v>0</v>
      </c>
      <c r="U1222" s="60">
        <v>0</v>
      </c>
      <c r="V1222" s="60">
        <v>0</v>
      </c>
      <c r="W1222" s="60">
        <v>0</v>
      </c>
      <c r="X1222" s="60">
        <v>0</v>
      </c>
      <c r="Y1222" s="60">
        <v>0</v>
      </c>
      <c r="Z1222" s="60">
        <v>0</v>
      </c>
      <c r="AA1222" s="60">
        <v>0</v>
      </c>
      <c r="AB1222" s="60">
        <v>0</v>
      </c>
      <c r="AC1222" s="60">
        <v>422.65</v>
      </c>
      <c r="AD1222" s="60">
        <v>435.62</v>
      </c>
      <c r="AE1222" s="60">
        <v>416.94</v>
      </c>
      <c r="AF1222" s="60">
        <v>0</v>
      </c>
      <c r="AG1222" s="60">
        <v>0</v>
      </c>
      <c r="AH1222" s="60">
        <v>0</v>
      </c>
      <c r="AI1222" s="60">
        <v>422.65</v>
      </c>
      <c r="AJ1222" s="60">
        <v>435.62</v>
      </c>
      <c r="AK1222" s="60">
        <v>416.94</v>
      </c>
      <c r="AL1222" s="60">
        <v>0</v>
      </c>
      <c r="AM1222" s="60">
        <v>0</v>
      </c>
      <c r="AN1222" s="60">
        <v>0</v>
      </c>
      <c r="AO1222" s="60">
        <v>422.65</v>
      </c>
      <c r="AP1222" s="60">
        <v>435.62</v>
      </c>
      <c r="AQ1222" s="60">
        <v>416.94</v>
      </c>
      <c r="AR1222" s="61">
        <v>435.62</v>
      </c>
    </row>
    <row r="1223" spans="1:44" ht="31" x14ac:dyDescent="0.35">
      <c r="A1223" s="49" t="str">
        <f t="shared" si="100"/>
        <v>07</v>
      </c>
      <c r="B1223" s="27">
        <v>61796</v>
      </c>
      <c r="C1223" s="25" t="str">
        <f>TEXT(132100,"0000000")</f>
        <v>0132100</v>
      </c>
      <c r="D1223" s="27">
        <v>1739</v>
      </c>
      <c r="E1223" s="25" t="s">
        <v>324</v>
      </c>
      <c r="F1223" s="25" t="s">
        <v>5</v>
      </c>
      <c r="G1223" s="59" t="s">
        <v>325</v>
      </c>
      <c r="H1223" s="60">
        <v>0</v>
      </c>
      <c r="I1223" s="60">
        <v>0</v>
      </c>
      <c r="J1223" s="60">
        <v>0</v>
      </c>
      <c r="K1223" s="60">
        <v>0</v>
      </c>
      <c r="L1223" s="60">
        <v>0</v>
      </c>
      <c r="M1223" s="60">
        <v>0</v>
      </c>
      <c r="N1223" s="60">
        <v>0</v>
      </c>
      <c r="O1223" s="60">
        <v>0</v>
      </c>
      <c r="P1223" s="60">
        <v>0</v>
      </c>
      <c r="Q1223" s="60">
        <v>0</v>
      </c>
      <c r="R1223" s="60">
        <v>0</v>
      </c>
      <c r="S1223" s="60">
        <v>0</v>
      </c>
      <c r="T1223" s="60">
        <v>0</v>
      </c>
      <c r="U1223" s="60">
        <v>0</v>
      </c>
      <c r="V1223" s="60">
        <v>0</v>
      </c>
      <c r="W1223" s="60">
        <v>0</v>
      </c>
      <c r="X1223" s="60">
        <v>0</v>
      </c>
      <c r="Y1223" s="60">
        <v>0</v>
      </c>
      <c r="Z1223" s="60">
        <v>0</v>
      </c>
      <c r="AA1223" s="60">
        <v>0</v>
      </c>
      <c r="AB1223" s="60">
        <v>0</v>
      </c>
      <c r="AC1223" s="60">
        <v>561.73</v>
      </c>
      <c r="AD1223" s="60">
        <v>560.49</v>
      </c>
      <c r="AE1223" s="60">
        <v>546.83000000000004</v>
      </c>
      <c r="AF1223" s="60">
        <v>0</v>
      </c>
      <c r="AG1223" s="60">
        <v>0</v>
      </c>
      <c r="AH1223" s="60">
        <v>0</v>
      </c>
      <c r="AI1223" s="60">
        <v>561.73</v>
      </c>
      <c r="AJ1223" s="60">
        <v>560.49</v>
      </c>
      <c r="AK1223" s="60">
        <v>546.83000000000004</v>
      </c>
      <c r="AL1223" s="60">
        <v>0</v>
      </c>
      <c r="AM1223" s="60">
        <v>0</v>
      </c>
      <c r="AN1223" s="60">
        <v>0</v>
      </c>
      <c r="AO1223" s="60">
        <v>561.73</v>
      </c>
      <c r="AP1223" s="60">
        <v>560.49</v>
      </c>
      <c r="AQ1223" s="60">
        <v>546.83000000000004</v>
      </c>
      <c r="AR1223" s="61">
        <v>561.73</v>
      </c>
    </row>
    <row r="1224" spans="1:44" x14ac:dyDescent="0.35">
      <c r="A1224" s="49" t="str">
        <f t="shared" si="100"/>
        <v>07</v>
      </c>
      <c r="B1224" s="27">
        <v>61796</v>
      </c>
      <c r="C1224" s="25" t="str">
        <f>TEXT(132118,"0000000")</f>
        <v>0132118</v>
      </c>
      <c r="D1224" s="27">
        <v>1740</v>
      </c>
      <c r="E1224" s="25" t="s">
        <v>326</v>
      </c>
      <c r="F1224" s="25" t="s">
        <v>5</v>
      </c>
      <c r="G1224" s="59" t="s">
        <v>327</v>
      </c>
      <c r="H1224" s="60">
        <v>0</v>
      </c>
      <c r="I1224" s="60">
        <v>0</v>
      </c>
      <c r="J1224" s="60">
        <v>0</v>
      </c>
      <c r="K1224" s="60">
        <v>0</v>
      </c>
      <c r="L1224" s="60">
        <v>0</v>
      </c>
      <c r="M1224" s="60">
        <v>0</v>
      </c>
      <c r="N1224" s="60">
        <v>0</v>
      </c>
      <c r="O1224" s="60">
        <v>0</v>
      </c>
      <c r="P1224" s="60">
        <v>0</v>
      </c>
      <c r="Q1224" s="60">
        <v>0</v>
      </c>
      <c r="R1224" s="60">
        <v>0</v>
      </c>
      <c r="S1224" s="60">
        <v>0</v>
      </c>
      <c r="T1224" s="60">
        <v>0</v>
      </c>
      <c r="U1224" s="60">
        <v>0</v>
      </c>
      <c r="V1224" s="60">
        <v>0</v>
      </c>
      <c r="W1224" s="60">
        <v>0</v>
      </c>
      <c r="X1224" s="60">
        <v>0</v>
      </c>
      <c r="Y1224" s="60">
        <v>0</v>
      </c>
      <c r="Z1224" s="60">
        <v>0</v>
      </c>
      <c r="AA1224" s="60">
        <v>0</v>
      </c>
      <c r="AB1224" s="60">
        <v>0</v>
      </c>
      <c r="AC1224" s="60">
        <v>518.44000000000005</v>
      </c>
      <c r="AD1224" s="60">
        <v>493.87</v>
      </c>
      <c r="AE1224" s="60">
        <v>434.8</v>
      </c>
      <c r="AF1224" s="60">
        <v>0</v>
      </c>
      <c r="AG1224" s="60">
        <v>0</v>
      </c>
      <c r="AH1224" s="60">
        <v>0</v>
      </c>
      <c r="AI1224" s="60">
        <v>518.44000000000005</v>
      </c>
      <c r="AJ1224" s="60">
        <v>493.87</v>
      </c>
      <c r="AK1224" s="60">
        <v>434.8</v>
      </c>
      <c r="AL1224" s="60">
        <v>0</v>
      </c>
      <c r="AM1224" s="60">
        <v>0</v>
      </c>
      <c r="AN1224" s="60">
        <v>0</v>
      </c>
      <c r="AO1224" s="60">
        <v>518.44000000000005</v>
      </c>
      <c r="AP1224" s="60">
        <v>493.87</v>
      </c>
      <c r="AQ1224" s="60">
        <v>434.8</v>
      </c>
      <c r="AR1224" s="61">
        <v>518.44000000000005</v>
      </c>
    </row>
    <row r="1225" spans="1:44" x14ac:dyDescent="0.35">
      <c r="A1225" s="49" t="str">
        <f t="shared" si="100"/>
        <v>07</v>
      </c>
      <c r="B1225" s="27">
        <v>61796</v>
      </c>
      <c r="C1225" s="25" t="str">
        <f>TEXT(133637,"0000000")</f>
        <v>0133637</v>
      </c>
      <c r="D1225" s="27">
        <v>1774</v>
      </c>
      <c r="E1225" s="25" t="s">
        <v>328</v>
      </c>
      <c r="F1225" s="25" t="s">
        <v>5</v>
      </c>
      <c r="G1225" s="59" t="s">
        <v>329</v>
      </c>
      <c r="H1225" s="60">
        <v>0</v>
      </c>
      <c r="I1225" s="60">
        <v>0</v>
      </c>
      <c r="J1225" s="60">
        <v>0</v>
      </c>
      <c r="K1225" s="60">
        <v>0</v>
      </c>
      <c r="L1225" s="60">
        <v>0</v>
      </c>
      <c r="M1225" s="60">
        <v>0</v>
      </c>
      <c r="N1225" s="60">
        <v>0</v>
      </c>
      <c r="O1225" s="60">
        <v>0</v>
      </c>
      <c r="P1225" s="60">
        <v>0</v>
      </c>
      <c r="Q1225" s="60">
        <v>0</v>
      </c>
      <c r="R1225" s="60">
        <v>0</v>
      </c>
      <c r="S1225" s="60">
        <v>0</v>
      </c>
      <c r="T1225" s="60">
        <v>0</v>
      </c>
      <c r="U1225" s="60">
        <v>0</v>
      </c>
      <c r="V1225" s="60">
        <v>0</v>
      </c>
      <c r="W1225" s="60">
        <v>0</v>
      </c>
      <c r="X1225" s="60">
        <v>0</v>
      </c>
      <c r="Y1225" s="60">
        <v>0</v>
      </c>
      <c r="Z1225" s="60">
        <v>0</v>
      </c>
      <c r="AA1225" s="60">
        <v>0</v>
      </c>
      <c r="AB1225" s="60">
        <v>0</v>
      </c>
      <c r="AC1225" s="60">
        <v>597.1</v>
      </c>
      <c r="AD1225" s="60">
        <v>561.58000000000004</v>
      </c>
      <c r="AE1225" s="60">
        <v>530.07000000000005</v>
      </c>
      <c r="AF1225" s="60">
        <v>0</v>
      </c>
      <c r="AG1225" s="60">
        <v>0</v>
      </c>
      <c r="AH1225" s="60">
        <v>0</v>
      </c>
      <c r="AI1225" s="60">
        <v>597.1</v>
      </c>
      <c r="AJ1225" s="60">
        <v>561.58000000000004</v>
      </c>
      <c r="AK1225" s="60">
        <v>530.07000000000005</v>
      </c>
      <c r="AL1225" s="60">
        <v>0</v>
      </c>
      <c r="AM1225" s="60">
        <v>0</v>
      </c>
      <c r="AN1225" s="60">
        <v>0</v>
      </c>
      <c r="AO1225" s="60">
        <v>597.1</v>
      </c>
      <c r="AP1225" s="60">
        <v>561.58000000000004</v>
      </c>
      <c r="AQ1225" s="60">
        <v>530.07000000000005</v>
      </c>
      <c r="AR1225" s="61">
        <v>597.1</v>
      </c>
    </row>
    <row r="1226" spans="1:44" x14ac:dyDescent="0.35">
      <c r="A1226" s="49" t="str">
        <f t="shared" si="100"/>
        <v>07</v>
      </c>
      <c r="B1226" s="27">
        <v>77354</v>
      </c>
      <c r="C1226" s="25" t="str">
        <f>TEXT(132233,"0000000")</f>
        <v>0132233</v>
      </c>
      <c r="D1226" s="27">
        <v>1741</v>
      </c>
      <c r="E1226" s="25" t="s">
        <v>336</v>
      </c>
      <c r="F1226" s="25" t="s">
        <v>5</v>
      </c>
      <c r="G1226" s="59" t="s">
        <v>337</v>
      </c>
      <c r="H1226" s="60">
        <v>0</v>
      </c>
      <c r="I1226" s="60">
        <v>0</v>
      </c>
      <c r="J1226" s="60">
        <v>0</v>
      </c>
      <c r="K1226" s="60">
        <v>0</v>
      </c>
      <c r="L1226" s="60">
        <v>0</v>
      </c>
      <c r="M1226" s="60">
        <v>0</v>
      </c>
      <c r="N1226" s="60">
        <v>0</v>
      </c>
      <c r="O1226" s="60">
        <v>0</v>
      </c>
      <c r="P1226" s="60">
        <v>0</v>
      </c>
      <c r="Q1226" s="60">
        <v>0</v>
      </c>
      <c r="R1226" s="60">
        <v>0</v>
      </c>
      <c r="S1226" s="60">
        <v>0</v>
      </c>
      <c r="T1226" s="60">
        <v>0</v>
      </c>
      <c r="U1226" s="60">
        <v>0</v>
      </c>
      <c r="V1226" s="60">
        <v>0</v>
      </c>
      <c r="W1226" s="60">
        <v>0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277.72000000000003</v>
      </c>
      <c r="AD1226" s="60">
        <v>334.26</v>
      </c>
      <c r="AE1226" s="60">
        <v>310.76</v>
      </c>
      <c r="AF1226" s="60">
        <v>0</v>
      </c>
      <c r="AG1226" s="60">
        <v>0</v>
      </c>
      <c r="AH1226" s="60">
        <v>0</v>
      </c>
      <c r="AI1226" s="60">
        <v>277.72000000000003</v>
      </c>
      <c r="AJ1226" s="60">
        <v>334.26</v>
      </c>
      <c r="AK1226" s="60">
        <v>310.76</v>
      </c>
      <c r="AL1226" s="60">
        <v>0</v>
      </c>
      <c r="AM1226" s="60">
        <v>0</v>
      </c>
      <c r="AN1226" s="60">
        <v>0</v>
      </c>
      <c r="AO1226" s="60">
        <v>277.72000000000003</v>
      </c>
      <c r="AP1226" s="60">
        <v>334.26</v>
      </c>
      <c r="AQ1226" s="60">
        <v>310.76</v>
      </c>
      <c r="AR1226" s="61">
        <v>334.26</v>
      </c>
    </row>
    <row r="1227" spans="1:44" x14ac:dyDescent="0.35">
      <c r="A1227" s="49" t="str">
        <f>TEXT(9,"00")</f>
        <v>09</v>
      </c>
      <c r="B1227" s="27">
        <v>10090</v>
      </c>
      <c r="C1227" s="25" t="str">
        <f>TEXT(136036,"0000000")</f>
        <v>0136036</v>
      </c>
      <c r="D1227" s="27">
        <v>1880</v>
      </c>
      <c r="E1227" s="25" t="s">
        <v>346</v>
      </c>
      <c r="F1227" s="25" t="s">
        <v>5</v>
      </c>
      <c r="G1227" s="59" t="s">
        <v>347</v>
      </c>
      <c r="H1227" s="60">
        <v>0</v>
      </c>
      <c r="I1227" s="60">
        <v>0</v>
      </c>
      <c r="J1227" s="60">
        <v>0</v>
      </c>
      <c r="K1227" s="60">
        <v>0</v>
      </c>
      <c r="L1227" s="60">
        <v>0</v>
      </c>
      <c r="M1227" s="60">
        <v>0</v>
      </c>
      <c r="N1227" s="60">
        <v>0</v>
      </c>
      <c r="O1227" s="60">
        <v>0</v>
      </c>
      <c r="P1227" s="60">
        <v>0</v>
      </c>
      <c r="Q1227" s="60">
        <v>0</v>
      </c>
      <c r="R1227" s="60">
        <v>0</v>
      </c>
      <c r="S1227" s="60">
        <v>0</v>
      </c>
      <c r="T1227" s="60">
        <v>0</v>
      </c>
      <c r="U1227" s="60">
        <v>0</v>
      </c>
      <c r="V1227" s="60">
        <v>0</v>
      </c>
      <c r="W1227" s="60">
        <v>0</v>
      </c>
      <c r="X1227" s="60">
        <v>0</v>
      </c>
      <c r="Y1227" s="60">
        <v>0</v>
      </c>
      <c r="Z1227" s="60">
        <v>0</v>
      </c>
      <c r="AA1227" s="60">
        <v>0</v>
      </c>
      <c r="AB1227" s="60">
        <v>0</v>
      </c>
      <c r="AC1227" s="60">
        <v>1409.21</v>
      </c>
      <c r="AD1227" s="60">
        <v>1126.27</v>
      </c>
      <c r="AE1227" s="60">
        <v>931.04</v>
      </c>
      <c r="AF1227" s="60">
        <v>0</v>
      </c>
      <c r="AG1227" s="60">
        <v>0</v>
      </c>
      <c r="AH1227" s="60">
        <v>0</v>
      </c>
      <c r="AI1227" s="60">
        <v>1409.21</v>
      </c>
      <c r="AJ1227" s="60">
        <v>1126.27</v>
      </c>
      <c r="AK1227" s="60">
        <v>931.04</v>
      </c>
      <c r="AL1227" s="60">
        <v>0</v>
      </c>
      <c r="AM1227" s="60">
        <v>0</v>
      </c>
      <c r="AN1227" s="60">
        <v>0</v>
      </c>
      <c r="AO1227" s="60">
        <v>1409.21</v>
      </c>
      <c r="AP1227" s="60">
        <v>1126.27</v>
      </c>
      <c r="AQ1227" s="60">
        <v>931.04</v>
      </c>
      <c r="AR1227" s="61">
        <v>1409.21</v>
      </c>
    </row>
    <row r="1228" spans="1:44" x14ac:dyDescent="0.35">
      <c r="A1228" s="49" t="str">
        <f>TEXT(9,"00")</f>
        <v>09</v>
      </c>
      <c r="B1228" s="27">
        <v>61838</v>
      </c>
      <c r="C1228" s="25" t="str">
        <f>TEXT(129965,"0000000")</f>
        <v>0129965</v>
      </c>
      <c r="D1228" s="27">
        <v>1655</v>
      </c>
      <c r="E1228" s="25" t="s">
        <v>355</v>
      </c>
      <c r="F1228" s="25" t="s">
        <v>5</v>
      </c>
      <c r="G1228" s="59" t="s">
        <v>356</v>
      </c>
      <c r="H1228" s="60">
        <v>0</v>
      </c>
      <c r="I1228" s="60">
        <v>0</v>
      </c>
      <c r="J1228" s="60">
        <v>0</v>
      </c>
      <c r="K1228" s="60">
        <v>0</v>
      </c>
      <c r="L1228" s="60">
        <v>0</v>
      </c>
      <c r="M1228" s="60">
        <v>0</v>
      </c>
      <c r="N1228" s="60">
        <v>0</v>
      </c>
      <c r="O1228" s="60">
        <v>0</v>
      </c>
      <c r="P1228" s="60">
        <v>0</v>
      </c>
      <c r="Q1228" s="60">
        <v>0</v>
      </c>
      <c r="R1228" s="60">
        <v>0</v>
      </c>
      <c r="S1228" s="60">
        <v>0</v>
      </c>
      <c r="T1228" s="60">
        <v>0</v>
      </c>
      <c r="U1228" s="60">
        <v>0</v>
      </c>
      <c r="V1228" s="60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129.99</v>
      </c>
      <c r="AD1228" s="60">
        <v>124.75</v>
      </c>
      <c r="AE1228" s="60">
        <v>124.51</v>
      </c>
      <c r="AF1228" s="60">
        <v>0</v>
      </c>
      <c r="AG1228" s="60">
        <v>0</v>
      </c>
      <c r="AH1228" s="60">
        <v>0</v>
      </c>
      <c r="AI1228" s="60">
        <v>129.99</v>
      </c>
      <c r="AJ1228" s="60">
        <v>124.75</v>
      </c>
      <c r="AK1228" s="60">
        <v>124.51</v>
      </c>
      <c r="AL1228" s="60">
        <v>0</v>
      </c>
      <c r="AM1228" s="60">
        <v>0</v>
      </c>
      <c r="AN1228" s="60">
        <v>0</v>
      </c>
      <c r="AO1228" s="60">
        <v>129.99</v>
      </c>
      <c r="AP1228" s="60">
        <v>124.75</v>
      </c>
      <c r="AQ1228" s="60">
        <v>124.51</v>
      </c>
      <c r="AR1228" s="61">
        <v>129.99</v>
      </c>
    </row>
    <row r="1229" spans="1:44" x14ac:dyDescent="0.35">
      <c r="A1229" s="49" t="str">
        <f>TEXT(9,"00")</f>
        <v>09</v>
      </c>
      <c r="B1229" s="27">
        <v>61838</v>
      </c>
      <c r="C1229" s="25" t="str">
        <f>TEXT(136200,"0000000")</f>
        <v>0136200</v>
      </c>
      <c r="D1229" s="27">
        <v>1891</v>
      </c>
      <c r="E1229" s="25" t="s">
        <v>357</v>
      </c>
      <c r="F1229" s="25" t="s">
        <v>5</v>
      </c>
      <c r="G1229" s="59" t="s">
        <v>358</v>
      </c>
      <c r="H1229" s="60">
        <v>0</v>
      </c>
      <c r="I1229" s="60">
        <v>0</v>
      </c>
      <c r="J1229" s="60">
        <v>0</v>
      </c>
      <c r="K1229" s="60">
        <v>0</v>
      </c>
      <c r="L1229" s="60">
        <v>0</v>
      </c>
      <c r="M1229" s="60">
        <v>0</v>
      </c>
      <c r="N1229" s="60">
        <v>0</v>
      </c>
      <c r="O1229" s="60">
        <v>0</v>
      </c>
      <c r="P1229" s="60">
        <v>0</v>
      </c>
      <c r="Q1229" s="60">
        <v>0</v>
      </c>
      <c r="R1229" s="60">
        <v>0</v>
      </c>
      <c r="S1229" s="60">
        <v>0</v>
      </c>
      <c r="T1229" s="60">
        <v>0</v>
      </c>
      <c r="U1229" s="60">
        <v>0</v>
      </c>
      <c r="V1229" s="60">
        <v>0</v>
      </c>
      <c r="W1229" s="60">
        <v>0</v>
      </c>
      <c r="X1229" s="60">
        <v>0</v>
      </c>
      <c r="Y1229" s="60">
        <v>0</v>
      </c>
      <c r="Z1229" s="60">
        <v>0</v>
      </c>
      <c r="AA1229" s="60">
        <v>0</v>
      </c>
      <c r="AB1229" s="60">
        <v>0</v>
      </c>
      <c r="AC1229" s="60">
        <v>2135.44</v>
      </c>
      <c r="AD1229" s="60">
        <v>1939.89</v>
      </c>
      <c r="AE1229" s="60">
        <v>1552.94</v>
      </c>
      <c r="AF1229" s="60">
        <v>0</v>
      </c>
      <c r="AG1229" s="60">
        <v>0</v>
      </c>
      <c r="AH1229" s="60">
        <v>0</v>
      </c>
      <c r="AI1229" s="60">
        <v>2135.44</v>
      </c>
      <c r="AJ1229" s="60">
        <v>1939.89</v>
      </c>
      <c r="AK1229" s="60">
        <v>1552.94</v>
      </c>
      <c r="AL1229" s="60">
        <v>0</v>
      </c>
      <c r="AM1229" s="60">
        <v>0</v>
      </c>
      <c r="AN1229" s="60">
        <v>0</v>
      </c>
      <c r="AO1229" s="60">
        <v>2135.44</v>
      </c>
      <c r="AP1229" s="60">
        <v>1939.89</v>
      </c>
      <c r="AQ1229" s="60">
        <v>1552.94</v>
      </c>
      <c r="AR1229" s="61">
        <v>2135.44</v>
      </c>
    </row>
    <row r="1230" spans="1:44" x14ac:dyDescent="0.35">
      <c r="A1230" s="49" t="str">
        <f>TEXT(9,"00")</f>
        <v>09</v>
      </c>
      <c r="B1230" s="27">
        <v>61838</v>
      </c>
      <c r="C1230" s="25" t="str">
        <f>TEXT(139006,"0000000")</f>
        <v>0139006</v>
      </c>
      <c r="D1230" s="27">
        <v>1964</v>
      </c>
      <c r="E1230" s="25" t="s">
        <v>359</v>
      </c>
      <c r="F1230" s="25" t="s">
        <v>5</v>
      </c>
      <c r="G1230" s="59" t="s">
        <v>360</v>
      </c>
      <c r="H1230" s="60">
        <v>0</v>
      </c>
      <c r="I1230" s="60">
        <v>0</v>
      </c>
      <c r="J1230" s="60">
        <v>0</v>
      </c>
      <c r="K1230" s="60">
        <v>0</v>
      </c>
      <c r="L1230" s="60">
        <v>0</v>
      </c>
      <c r="M1230" s="60">
        <v>0</v>
      </c>
      <c r="N1230" s="60">
        <v>0</v>
      </c>
      <c r="O1230" s="60">
        <v>0</v>
      </c>
      <c r="P1230" s="60">
        <v>0</v>
      </c>
      <c r="Q1230" s="60">
        <v>0</v>
      </c>
      <c r="R1230" s="60">
        <v>0</v>
      </c>
      <c r="S1230" s="60">
        <v>0</v>
      </c>
      <c r="T1230" s="60">
        <v>0</v>
      </c>
      <c r="U1230" s="60">
        <v>0</v>
      </c>
      <c r="V1230" s="60">
        <v>0</v>
      </c>
      <c r="W1230" s="60">
        <v>0</v>
      </c>
      <c r="X1230" s="60">
        <v>0</v>
      </c>
      <c r="Y1230" s="60">
        <v>0</v>
      </c>
      <c r="Z1230" s="60">
        <v>0</v>
      </c>
      <c r="AA1230" s="60">
        <v>0</v>
      </c>
      <c r="AB1230" s="60">
        <v>0</v>
      </c>
      <c r="AC1230" s="60">
        <v>3092.04</v>
      </c>
      <c r="AD1230" s="60">
        <v>2790.15</v>
      </c>
      <c r="AE1230" s="60">
        <v>2399.1</v>
      </c>
      <c r="AF1230" s="60">
        <v>0</v>
      </c>
      <c r="AG1230" s="60">
        <v>0</v>
      </c>
      <c r="AH1230" s="60">
        <v>0</v>
      </c>
      <c r="AI1230" s="60">
        <v>3092.04</v>
      </c>
      <c r="AJ1230" s="60">
        <v>2790.15</v>
      </c>
      <c r="AK1230" s="60">
        <v>2399.1</v>
      </c>
      <c r="AL1230" s="60">
        <v>0</v>
      </c>
      <c r="AM1230" s="60">
        <v>0</v>
      </c>
      <c r="AN1230" s="60">
        <v>0</v>
      </c>
      <c r="AO1230" s="60">
        <v>3092.04</v>
      </c>
      <c r="AP1230" s="60">
        <v>2790.15</v>
      </c>
      <c r="AQ1230" s="60">
        <v>2399.1</v>
      </c>
      <c r="AR1230" s="61">
        <v>3092.04</v>
      </c>
    </row>
    <row r="1231" spans="1:44" x14ac:dyDescent="0.35">
      <c r="A1231" s="49" t="str">
        <f t="shared" ref="A1231:A1236" si="101">TEXT(10,"00")</f>
        <v>10</v>
      </c>
      <c r="B1231" s="27">
        <v>62166</v>
      </c>
      <c r="C1231" s="25" t="str">
        <f>TEXT(106740,"0000000")</f>
        <v>0106740</v>
      </c>
      <c r="D1231" s="26" t="s">
        <v>425</v>
      </c>
      <c r="E1231" s="25" t="s">
        <v>423</v>
      </c>
      <c r="F1231" s="25" t="s">
        <v>5</v>
      </c>
      <c r="G1231" s="59" t="s">
        <v>424</v>
      </c>
      <c r="H1231" s="60">
        <v>0</v>
      </c>
      <c r="I1231" s="60">
        <v>0</v>
      </c>
      <c r="J1231" s="60">
        <v>0</v>
      </c>
      <c r="K1231" s="60">
        <v>0</v>
      </c>
      <c r="L1231" s="60">
        <v>0</v>
      </c>
      <c r="M1231" s="60">
        <v>0</v>
      </c>
      <c r="N1231" s="60">
        <v>0</v>
      </c>
      <c r="O1231" s="60">
        <v>0</v>
      </c>
      <c r="P1231" s="60">
        <v>0</v>
      </c>
      <c r="Q1231" s="60">
        <v>0</v>
      </c>
      <c r="R1231" s="60">
        <v>0</v>
      </c>
      <c r="S1231" s="60">
        <v>0</v>
      </c>
      <c r="T1231" s="60">
        <v>0</v>
      </c>
      <c r="U1231" s="60">
        <v>0</v>
      </c>
      <c r="V1231" s="60">
        <v>0</v>
      </c>
      <c r="W1231" s="60">
        <v>0</v>
      </c>
      <c r="X1231" s="60">
        <v>0</v>
      </c>
      <c r="Y1231" s="60">
        <v>0</v>
      </c>
      <c r="Z1231" s="60">
        <v>0</v>
      </c>
      <c r="AA1231" s="60">
        <v>0</v>
      </c>
      <c r="AB1231" s="60">
        <v>0</v>
      </c>
      <c r="AC1231" s="60">
        <v>317.45</v>
      </c>
      <c r="AD1231" s="60">
        <v>301.16000000000003</v>
      </c>
      <c r="AE1231" s="60">
        <v>280.36</v>
      </c>
      <c r="AF1231" s="60">
        <v>0</v>
      </c>
      <c r="AG1231" s="60">
        <v>0</v>
      </c>
      <c r="AH1231" s="60">
        <v>0</v>
      </c>
      <c r="AI1231" s="60">
        <v>317.45</v>
      </c>
      <c r="AJ1231" s="60">
        <v>301.16000000000003</v>
      </c>
      <c r="AK1231" s="60">
        <v>280.36</v>
      </c>
      <c r="AL1231" s="60">
        <v>0</v>
      </c>
      <c r="AM1231" s="60">
        <v>0</v>
      </c>
      <c r="AN1231" s="60">
        <v>0</v>
      </c>
      <c r="AO1231" s="60">
        <v>317.45</v>
      </c>
      <c r="AP1231" s="60">
        <v>301.16000000000003</v>
      </c>
      <c r="AQ1231" s="60">
        <v>280.36</v>
      </c>
      <c r="AR1231" s="61">
        <v>317.45</v>
      </c>
    </row>
    <row r="1232" spans="1:44" x14ac:dyDescent="0.35">
      <c r="A1232" s="49" t="str">
        <f t="shared" si="101"/>
        <v>10</v>
      </c>
      <c r="B1232" s="27">
        <v>62166</v>
      </c>
      <c r="C1232" s="25" t="str">
        <f>TEXT(114355,"0000000")</f>
        <v>0114355</v>
      </c>
      <c r="D1232" s="26" t="s">
        <v>428</v>
      </c>
      <c r="E1232" s="25" t="s">
        <v>426</v>
      </c>
      <c r="F1232" s="25" t="s">
        <v>5</v>
      </c>
      <c r="G1232" s="59" t="s">
        <v>427</v>
      </c>
      <c r="H1232" s="60">
        <v>0</v>
      </c>
      <c r="I1232" s="60">
        <v>0</v>
      </c>
      <c r="J1232" s="60">
        <v>0</v>
      </c>
      <c r="K1232" s="60">
        <v>0</v>
      </c>
      <c r="L1232" s="60">
        <v>0</v>
      </c>
      <c r="M1232" s="60">
        <v>0</v>
      </c>
      <c r="N1232" s="60">
        <v>0</v>
      </c>
      <c r="O1232" s="60">
        <v>0</v>
      </c>
      <c r="P1232" s="60">
        <v>0</v>
      </c>
      <c r="Q1232" s="60">
        <v>0</v>
      </c>
      <c r="R1232" s="60">
        <v>0</v>
      </c>
      <c r="S1232" s="60">
        <v>0</v>
      </c>
      <c r="T1232" s="60">
        <v>0</v>
      </c>
      <c r="U1232" s="60">
        <v>0</v>
      </c>
      <c r="V1232" s="60">
        <v>0</v>
      </c>
      <c r="W1232" s="60">
        <v>0</v>
      </c>
      <c r="X1232" s="60">
        <v>0</v>
      </c>
      <c r="Y1232" s="60">
        <v>0</v>
      </c>
      <c r="Z1232" s="60">
        <v>0</v>
      </c>
      <c r="AA1232" s="60">
        <v>0</v>
      </c>
      <c r="AB1232" s="60">
        <v>0</v>
      </c>
      <c r="AC1232" s="60">
        <v>358.33</v>
      </c>
      <c r="AD1232" s="60">
        <v>330.56</v>
      </c>
      <c r="AE1232" s="60">
        <v>333.67</v>
      </c>
      <c r="AF1232" s="60">
        <v>0</v>
      </c>
      <c r="AG1232" s="60">
        <v>0</v>
      </c>
      <c r="AH1232" s="60">
        <v>0</v>
      </c>
      <c r="AI1232" s="60">
        <v>358.33</v>
      </c>
      <c r="AJ1232" s="60">
        <v>330.56</v>
      </c>
      <c r="AK1232" s="60">
        <v>333.67</v>
      </c>
      <c r="AL1232" s="60">
        <v>0</v>
      </c>
      <c r="AM1232" s="60">
        <v>0</v>
      </c>
      <c r="AN1232" s="60">
        <v>0</v>
      </c>
      <c r="AO1232" s="60">
        <v>358.33</v>
      </c>
      <c r="AP1232" s="60">
        <v>330.56</v>
      </c>
      <c r="AQ1232" s="60">
        <v>333.67</v>
      </c>
      <c r="AR1232" s="61">
        <v>358.33</v>
      </c>
    </row>
    <row r="1233" spans="1:44" x14ac:dyDescent="0.35">
      <c r="A1233" s="49" t="str">
        <f t="shared" si="101"/>
        <v>10</v>
      </c>
      <c r="B1233" s="27">
        <v>62166</v>
      </c>
      <c r="C1233" s="25" t="str">
        <f>TEXT(133942,"0000000")</f>
        <v>0133942</v>
      </c>
      <c r="D1233" s="27">
        <v>1792</v>
      </c>
      <c r="E1233" s="25" t="s">
        <v>432</v>
      </c>
      <c r="F1233" s="25" t="s">
        <v>5</v>
      </c>
      <c r="G1233" s="59" t="s">
        <v>433</v>
      </c>
      <c r="H1233" s="60">
        <v>0</v>
      </c>
      <c r="I1233" s="60">
        <v>0</v>
      </c>
      <c r="J1233" s="60">
        <v>0</v>
      </c>
      <c r="K1233" s="60">
        <v>0</v>
      </c>
      <c r="L1233" s="60">
        <v>0</v>
      </c>
      <c r="M1233" s="60">
        <v>0</v>
      </c>
      <c r="N1233" s="60">
        <v>0</v>
      </c>
      <c r="O1233" s="60">
        <v>0</v>
      </c>
      <c r="P1233" s="60">
        <v>0</v>
      </c>
      <c r="Q1233" s="60">
        <v>0</v>
      </c>
      <c r="R1233" s="60">
        <v>0</v>
      </c>
      <c r="S1233" s="60">
        <v>0</v>
      </c>
      <c r="T1233" s="60">
        <v>0</v>
      </c>
      <c r="U1233" s="60">
        <v>0</v>
      </c>
      <c r="V1233" s="60">
        <v>0</v>
      </c>
      <c r="W1233" s="60">
        <v>0</v>
      </c>
      <c r="X1233" s="60">
        <v>0</v>
      </c>
      <c r="Y1233" s="60">
        <v>0</v>
      </c>
      <c r="Z1233" s="60">
        <v>0</v>
      </c>
      <c r="AA1233" s="60">
        <v>0</v>
      </c>
      <c r="AB1233" s="60">
        <v>0</v>
      </c>
      <c r="AC1233" s="60">
        <v>270.5</v>
      </c>
      <c r="AD1233" s="60">
        <v>264.08999999999997</v>
      </c>
      <c r="AE1233" s="60">
        <v>230.74</v>
      </c>
      <c r="AF1233" s="60">
        <v>0</v>
      </c>
      <c r="AG1233" s="60">
        <v>0</v>
      </c>
      <c r="AH1233" s="60">
        <v>0</v>
      </c>
      <c r="AI1233" s="60">
        <v>270.5</v>
      </c>
      <c r="AJ1233" s="60">
        <v>264.08999999999997</v>
      </c>
      <c r="AK1233" s="60">
        <v>230.74</v>
      </c>
      <c r="AL1233" s="60">
        <v>0</v>
      </c>
      <c r="AM1233" s="60">
        <v>0</v>
      </c>
      <c r="AN1233" s="60">
        <v>0</v>
      </c>
      <c r="AO1233" s="60">
        <v>270.5</v>
      </c>
      <c r="AP1233" s="60">
        <v>264.08999999999997</v>
      </c>
      <c r="AQ1233" s="60">
        <v>230.74</v>
      </c>
      <c r="AR1233" s="61">
        <v>270.5</v>
      </c>
    </row>
    <row r="1234" spans="1:44" x14ac:dyDescent="0.35">
      <c r="A1234" s="49" t="str">
        <f t="shared" si="101"/>
        <v>10</v>
      </c>
      <c r="B1234" s="27">
        <v>62166</v>
      </c>
      <c r="C1234" s="25" t="str">
        <f>TEXT(140806,"0000000")</f>
        <v>0140806</v>
      </c>
      <c r="D1234" s="27">
        <v>2115</v>
      </c>
      <c r="E1234" s="25" t="s">
        <v>438</v>
      </c>
      <c r="F1234" s="25" t="s">
        <v>5</v>
      </c>
      <c r="G1234" s="59" t="s">
        <v>439</v>
      </c>
      <c r="H1234" s="60">
        <v>0</v>
      </c>
      <c r="I1234" s="60">
        <v>0</v>
      </c>
      <c r="J1234" s="60">
        <v>0</v>
      </c>
      <c r="K1234" s="60">
        <v>0</v>
      </c>
      <c r="L1234" s="60">
        <v>0</v>
      </c>
      <c r="M1234" s="60">
        <v>0</v>
      </c>
      <c r="N1234" s="60">
        <v>0</v>
      </c>
      <c r="O1234" s="60">
        <v>0</v>
      </c>
      <c r="P1234" s="60">
        <v>0</v>
      </c>
      <c r="Q1234" s="60">
        <v>0</v>
      </c>
      <c r="R1234" s="60">
        <v>0</v>
      </c>
      <c r="S1234" s="60">
        <v>0</v>
      </c>
      <c r="T1234" s="60">
        <v>0</v>
      </c>
      <c r="U1234" s="60">
        <v>0</v>
      </c>
      <c r="V1234" s="60">
        <v>0</v>
      </c>
      <c r="W1234" s="60">
        <v>0</v>
      </c>
      <c r="X1234" s="60">
        <v>0</v>
      </c>
      <c r="Y1234" s="60">
        <v>0</v>
      </c>
      <c r="Z1234" s="60">
        <v>0</v>
      </c>
      <c r="AA1234" s="60">
        <v>0</v>
      </c>
      <c r="AB1234" s="60">
        <v>0</v>
      </c>
      <c r="AC1234" s="60">
        <v>196.4</v>
      </c>
      <c r="AD1234" s="60">
        <v>154.41999999999999</v>
      </c>
      <c r="AE1234" s="60">
        <v>113.11</v>
      </c>
      <c r="AF1234" s="60">
        <v>0</v>
      </c>
      <c r="AG1234" s="60">
        <v>0</v>
      </c>
      <c r="AH1234" s="60">
        <v>0</v>
      </c>
      <c r="AI1234" s="60">
        <v>196.4</v>
      </c>
      <c r="AJ1234" s="60">
        <v>154.41999999999999</v>
      </c>
      <c r="AK1234" s="60">
        <v>113.11</v>
      </c>
      <c r="AL1234" s="60">
        <v>0</v>
      </c>
      <c r="AM1234" s="60">
        <v>0</v>
      </c>
      <c r="AN1234" s="60">
        <v>0</v>
      </c>
      <c r="AO1234" s="60">
        <v>196.4</v>
      </c>
      <c r="AP1234" s="60">
        <v>154.41999999999999</v>
      </c>
      <c r="AQ1234" s="60">
        <v>113.11</v>
      </c>
      <c r="AR1234" s="61">
        <v>196.4</v>
      </c>
    </row>
    <row r="1235" spans="1:44" x14ac:dyDescent="0.35">
      <c r="A1235" s="49" t="str">
        <f t="shared" si="101"/>
        <v>10</v>
      </c>
      <c r="B1235" s="27">
        <v>62331</v>
      </c>
      <c r="C1235" s="25" t="str">
        <f>TEXT(137661,"0000000")</f>
        <v>0137661</v>
      </c>
      <c r="D1235" s="27">
        <v>1492</v>
      </c>
      <c r="E1235" s="25" t="s">
        <v>452</v>
      </c>
      <c r="F1235" s="25" t="s">
        <v>5</v>
      </c>
      <c r="G1235" s="59" t="s">
        <v>453</v>
      </c>
      <c r="H1235" s="60">
        <v>0</v>
      </c>
      <c r="I1235" s="60">
        <v>0</v>
      </c>
      <c r="J1235" s="60">
        <v>0</v>
      </c>
      <c r="K1235" s="60">
        <v>0</v>
      </c>
      <c r="L1235" s="60">
        <v>0</v>
      </c>
      <c r="M1235" s="60">
        <v>0</v>
      </c>
      <c r="N1235" s="60">
        <v>0</v>
      </c>
      <c r="O1235" s="60">
        <v>0</v>
      </c>
      <c r="P1235" s="60">
        <v>0</v>
      </c>
      <c r="Q1235" s="60">
        <v>0</v>
      </c>
      <c r="R1235" s="60">
        <v>0</v>
      </c>
      <c r="S1235" s="60">
        <v>0</v>
      </c>
      <c r="T1235" s="60">
        <v>0</v>
      </c>
      <c r="U1235" s="60">
        <v>0</v>
      </c>
      <c r="V1235" s="60">
        <v>0</v>
      </c>
      <c r="W1235" s="60">
        <v>0</v>
      </c>
      <c r="X1235" s="60">
        <v>0</v>
      </c>
      <c r="Y1235" s="60">
        <v>0</v>
      </c>
      <c r="Z1235" s="60">
        <v>0</v>
      </c>
      <c r="AA1235" s="60">
        <v>0</v>
      </c>
      <c r="AB1235" s="60">
        <v>0</v>
      </c>
      <c r="AC1235" s="60">
        <v>1387.72</v>
      </c>
      <c r="AD1235" s="60">
        <v>1164.72</v>
      </c>
      <c r="AE1235" s="60">
        <v>1173.04</v>
      </c>
      <c r="AF1235" s="60">
        <v>0</v>
      </c>
      <c r="AG1235" s="60">
        <v>0</v>
      </c>
      <c r="AH1235" s="60">
        <v>0</v>
      </c>
      <c r="AI1235" s="60">
        <v>1387.72</v>
      </c>
      <c r="AJ1235" s="60">
        <v>1164.72</v>
      </c>
      <c r="AK1235" s="60">
        <v>1173.04</v>
      </c>
      <c r="AL1235" s="60">
        <v>0</v>
      </c>
      <c r="AM1235" s="60">
        <v>0</v>
      </c>
      <c r="AN1235" s="60">
        <v>0</v>
      </c>
      <c r="AO1235" s="60">
        <v>1387.72</v>
      </c>
      <c r="AP1235" s="60">
        <v>1164.72</v>
      </c>
      <c r="AQ1235" s="60">
        <v>1173.04</v>
      </c>
      <c r="AR1235" s="61">
        <v>1387.72</v>
      </c>
    </row>
    <row r="1236" spans="1:44" x14ac:dyDescent="0.35">
      <c r="A1236" s="49" t="str">
        <f t="shared" si="101"/>
        <v>10</v>
      </c>
      <c r="B1236" s="27">
        <v>62547</v>
      </c>
      <c r="C1236" s="25" t="str">
        <f>TEXT(135103,"0000000")</f>
        <v>0135103</v>
      </c>
      <c r="D1236" s="27">
        <v>1841</v>
      </c>
      <c r="E1236" s="25" t="s">
        <v>474</v>
      </c>
      <c r="F1236" s="25" t="s">
        <v>5</v>
      </c>
      <c r="G1236" s="59" t="s">
        <v>475</v>
      </c>
      <c r="H1236" s="60">
        <v>0</v>
      </c>
      <c r="I1236" s="60">
        <v>0</v>
      </c>
      <c r="J1236" s="60">
        <v>0</v>
      </c>
      <c r="K1236" s="60">
        <v>0</v>
      </c>
      <c r="L1236" s="60">
        <v>0</v>
      </c>
      <c r="M1236" s="60">
        <v>0</v>
      </c>
      <c r="N1236" s="60">
        <v>0</v>
      </c>
      <c r="O1236" s="60">
        <v>0</v>
      </c>
      <c r="P1236" s="60">
        <v>0</v>
      </c>
      <c r="Q1236" s="60">
        <v>0</v>
      </c>
      <c r="R1236" s="60">
        <v>0</v>
      </c>
      <c r="S1236" s="60">
        <v>0</v>
      </c>
      <c r="T1236" s="60">
        <v>0</v>
      </c>
      <c r="U1236" s="60">
        <v>0</v>
      </c>
      <c r="V1236" s="60">
        <v>0</v>
      </c>
      <c r="W1236" s="60">
        <v>0</v>
      </c>
      <c r="X1236" s="60">
        <v>0</v>
      </c>
      <c r="Y1236" s="60">
        <v>0</v>
      </c>
      <c r="Z1236" s="60">
        <v>0</v>
      </c>
      <c r="AA1236" s="60">
        <v>0</v>
      </c>
      <c r="AB1236" s="60">
        <v>0</v>
      </c>
      <c r="AC1236" s="60">
        <v>2646.02</v>
      </c>
      <c r="AD1236" s="60">
        <v>2442.38</v>
      </c>
      <c r="AE1236" s="60">
        <v>2376.88</v>
      </c>
      <c r="AF1236" s="60">
        <v>0</v>
      </c>
      <c r="AG1236" s="60">
        <v>0</v>
      </c>
      <c r="AH1236" s="60">
        <v>0</v>
      </c>
      <c r="AI1236" s="60">
        <v>2646.02</v>
      </c>
      <c r="AJ1236" s="60">
        <v>2442.38</v>
      </c>
      <c r="AK1236" s="60">
        <v>2376.88</v>
      </c>
      <c r="AL1236" s="60">
        <v>0</v>
      </c>
      <c r="AM1236" s="60">
        <v>0</v>
      </c>
      <c r="AN1236" s="60">
        <v>0</v>
      </c>
      <c r="AO1236" s="60">
        <v>2646.02</v>
      </c>
      <c r="AP1236" s="60">
        <v>2442.38</v>
      </c>
      <c r="AQ1236" s="60">
        <v>2376.88</v>
      </c>
      <c r="AR1236" s="61">
        <v>2646.02</v>
      </c>
    </row>
    <row r="1237" spans="1:44" x14ac:dyDescent="0.35">
      <c r="A1237" s="49" t="str">
        <f>TEXT(12,"00")</f>
        <v>12</v>
      </c>
      <c r="B1237" s="27">
        <v>10124</v>
      </c>
      <c r="C1237" s="25" t="str">
        <f>TEXT(6008221,"0000000")</f>
        <v>6008221</v>
      </c>
      <c r="D1237" s="27">
        <v>2103</v>
      </c>
      <c r="E1237" s="25" t="s">
        <v>522</v>
      </c>
      <c r="F1237" s="25" t="s">
        <v>5</v>
      </c>
      <c r="G1237" s="59" t="s">
        <v>523</v>
      </c>
      <c r="H1237" s="60">
        <v>0</v>
      </c>
      <c r="I1237" s="60">
        <v>0</v>
      </c>
      <c r="J1237" s="60">
        <v>0</v>
      </c>
      <c r="K1237" s="60">
        <v>0</v>
      </c>
      <c r="L1237" s="60">
        <v>0</v>
      </c>
      <c r="M1237" s="60">
        <v>0</v>
      </c>
      <c r="N1237" s="60">
        <v>0</v>
      </c>
      <c r="O1237" s="60">
        <v>0</v>
      </c>
      <c r="P1237" s="60">
        <v>0</v>
      </c>
      <c r="Q1237" s="60">
        <v>0</v>
      </c>
      <c r="R1237" s="60">
        <v>0</v>
      </c>
      <c r="S1237" s="60">
        <v>0</v>
      </c>
      <c r="T1237" s="60">
        <v>0</v>
      </c>
      <c r="U1237" s="60">
        <v>0</v>
      </c>
      <c r="V1237" s="60">
        <v>0</v>
      </c>
      <c r="W1237" s="60">
        <v>0</v>
      </c>
      <c r="X1237" s="60">
        <v>0</v>
      </c>
      <c r="Y1237" s="60">
        <v>0</v>
      </c>
      <c r="Z1237" s="60">
        <v>0</v>
      </c>
      <c r="AA1237" s="60">
        <v>0</v>
      </c>
      <c r="AB1237" s="60">
        <v>0</v>
      </c>
      <c r="AC1237" s="60">
        <v>74.78</v>
      </c>
      <c r="AD1237" s="60">
        <v>75.400000000000006</v>
      </c>
      <c r="AE1237" s="60">
        <v>84.75</v>
      </c>
      <c r="AF1237" s="60">
        <v>0</v>
      </c>
      <c r="AG1237" s="60">
        <v>0</v>
      </c>
      <c r="AH1237" s="60">
        <v>0</v>
      </c>
      <c r="AI1237" s="60">
        <v>74.78</v>
      </c>
      <c r="AJ1237" s="60">
        <v>75.400000000000006</v>
      </c>
      <c r="AK1237" s="60">
        <v>84.75</v>
      </c>
      <c r="AL1237" s="60">
        <v>0</v>
      </c>
      <c r="AM1237" s="60">
        <v>0</v>
      </c>
      <c r="AN1237" s="60">
        <v>0</v>
      </c>
      <c r="AO1237" s="60">
        <v>74.78</v>
      </c>
      <c r="AP1237" s="60">
        <v>75.400000000000006</v>
      </c>
      <c r="AQ1237" s="60">
        <v>84.75</v>
      </c>
      <c r="AR1237" s="61">
        <v>84.75</v>
      </c>
    </row>
    <row r="1238" spans="1:44" x14ac:dyDescent="0.35">
      <c r="A1238" s="49" t="str">
        <f>TEXT(15,"00")</f>
        <v>15</v>
      </c>
      <c r="B1238" s="27">
        <v>63628</v>
      </c>
      <c r="C1238" s="25" t="str">
        <f>TEXT(127209,"0000000")</f>
        <v>0127209</v>
      </c>
      <c r="D1238" s="27">
        <v>1491</v>
      </c>
      <c r="E1238" s="25" t="s">
        <v>701</v>
      </c>
      <c r="F1238" s="25" t="s">
        <v>5</v>
      </c>
      <c r="G1238" s="59" t="s">
        <v>702</v>
      </c>
      <c r="H1238" s="60">
        <v>0</v>
      </c>
      <c r="I1238" s="60">
        <v>0</v>
      </c>
      <c r="J1238" s="60">
        <v>0</v>
      </c>
      <c r="K1238" s="60">
        <v>0</v>
      </c>
      <c r="L1238" s="60">
        <v>0</v>
      </c>
      <c r="M1238" s="60">
        <v>0</v>
      </c>
      <c r="N1238" s="60">
        <v>0</v>
      </c>
      <c r="O1238" s="60">
        <v>0</v>
      </c>
      <c r="P1238" s="60">
        <v>0</v>
      </c>
      <c r="Q1238" s="60">
        <v>0</v>
      </c>
      <c r="R1238" s="60">
        <v>0</v>
      </c>
      <c r="S1238" s="60">
        <v>0</v>
      </c>
      <c r="T1238" s="60">
        <v>0</v>
      </c>
      <c r="U1238" s="60">
        <v>0</v>
      </c>
      <c r="V1238" s="60">
        <v>0</v>
      </c>
      <c r="W1238" s="60">
        <v>0</v>
      </c>
      <c r="X1238" s="60">
        <v>0</v>
      </c>
      <c r="Y1238" s="60">
        <v>0</v>
      </c>
      <c r="Z1238" s="60">
        <v>0</v>
      </c>
      <c r="AA1238" s="60">
        <v>0</v>
      </c>
      <c r="AB1238" s="60">
        <v>0</v>
      </c>
      <c r="AC1238" s="60">
        <v>382.64</v>
      </c>
      <c r="AD1238" s="60">
        <v>306.2</v>
      </c>
      <c r="AE1238" s="60">
        <v>289.44</v>
      </c>
      <c r="AF1238" s="60">
        <v>0</v>
      </c>
      <c r="AG1238" s="60">
        <v>0</v>
      </c>
      <c r="AH1238" s="60">
        <v>0</v>
      </c>
      <c r="AI1238" s="60">
        <v>382.64</v>
      </c>
      <c r="AJ1238" s="60">
        <v>306.2</v>
      </c>
      <c r="AK1238" s="60">
        <v>289.44</v>
      </c>
      <c r="AL1238" s="60">
        <v>0</v>
      </c>
      <c r="AM1238" s="60">
        <v>0</v>
      </c>
      <c r="AN1238" s="60">
        <v>0</v>
      </c>
      <c r="AO1238" s="60">
        <v>382.64</v>
      </c>
      <c r="AP1238" s="60">
        <v>306.2</v>
      </c>
      <c r="AQ1238" s="60">
        <v>289.44</v>
      </c>
      <c r="AR1238" s="61">
        <v>382.64</v>
      </c>
    </row>
    <row r="1239" spans="1:44" x14ac:dyDescent="0.35">
      <c r="A1239" s="49" t="str">
        <f>TEXT(15,"00")</f>
        <v>15</v>
      </c>
      <c r="B1239" s="27">
        <v>63628</v>
      </c>
      <c r="C1239" s="25" t="str">
        <f>TEXT(128504,"0000000")</f>
        <v>0128504</v>
      </c>
      <c r="D1239" s="27">
        <v>1575</v>
      </c>
      <c r="E1239" s="25" t="s">
        <v>703</v>
      </c>
      <c r="F1239" s="25" t="s">
        <v>5</v>
      </c>
      <c r="G1239" s="59" t="s">
        <v>704</v>
      </c>
      <c r="H1239" s="60">
        <v>0</v>
      </c>
      <c r="I1239" s="60">
        <v>0</v>
      </c>
      <c r="J1239" s="60">
        <v>0</v>
      </c>
      <c r="K1239" s="60">
        <v>0</v>
      </c>
      <c r="L1239" s="60">
        <v>0</v>
      </c>
      <c r="M1239" s="60">
        <v>0</v>
      </c>
      <c r="N1239" s="60">
        <v>0</v>
      </c>
      <c r="O1239" s="60">
        <v>0</v>
      </c>
      <c r="P1239" s="60">
        <v>0</v>
      </c>
      <c r="Q1239" s="60">
        <v>0</v>
      </c>
      <c r="R1239" s="60">
        <v>0</v>
      </c>
      <c r="S1239" s="60">
        <v>0</v>
      </c>
      <c r="T1239" s="60">
        <v>0</v>
      </c>
      <c r="U1239" s="60">
        <v>0</v>
      </c>
      <c r="V1239" s="60">
        <v>0</v>
      </c>
      <c r="W1239" s="60">
        <v>0</v>
      </c>
      <c r="X1239" s="60">
        <v>0</v>
      </c>
      <c r="Y1239" s="60">
        <v>0</v>
      </c>
      <c r="Z1239" s="60">
        <v>0</v>
      </c>
      <c r="AA1239" s="60">
        <v>0</v>
      </c>
      <c r="AB1239" s="60">
        <v>0</v>
      </c>
      <c r="AC1239" s="60">
        <v>48.58</v>
      </c>
      <c r="AD1239" s="60">
        <v>49.25</v>
      </c>
      <c r="AE1239" s="60">
        <v>46.51</v>
      </c>
      <c r="AF1239" s="60">
        <v>0</v>
      </c>
      <c r="AG1239" s="60">
        <v>0</v>
      </c>
      <c r="AH1239" s="60">
        <v>0</v>
      </c>
      <c r="AI1239" s="60">
        <v>48.58</v>
      </c>
      <c r="AJ1239" s="60">
        <v>49.25</v>
      </c>
      <c r="AK1239" s="60">
        <v>46.51</v>
      </c>
      <c r="AL1239" s="60">
        <v>0</v>
      </c>
      <c r="AM1239" s="60">
        <v>0</v>
      </c>
      <c r="AN1239" s="60">
        <v>0</v>
      </c>
      <c r="AO1239" s="60">
        <v>48.58</v>
      </c>
      <c r="AP1239" s="60">
        <v>49.25</v>
      </c>
      <c r="AQ1239" s="60">
        <v>46.51</v>
      </c>
      <c r="AR1239" s="61">
        <v>49.25</v>
      </c>
    </row>
    <row r="1240" spans="1:44" x14ac:dyDescent="0.35">
      <c r="A1240" s="49" t="str">
        <f>TEXT(15,"00")</f>
        <v>15</v>
      </c>
      <c r="B1240" s="27">
        <v>63628</v>
      </c>
      <c r="C1240" s="25" t="str">
        <f>TEXT(137687,"0000000")</f>
        <v>0137687</v>
      </c>
      <c r="D1240" s="27">
        <v>1490</v>
      </c>
      <c r="E1240" s="25" t="s">
        <v>707</v>
      </c>
      <c r="F1240" s="25" t="s">
        <v>5</v>
      </c>
      <c r="G1240" s="59" t="s">
        <v>708</v>
      </c>
      <c r="H1240" s="60">
        <v>0</v>
      </c>
      <c r="I1240" s="60">
        <v>0</v>
      </c>
      <c r="J1240" s="60">
        <v>0</v>
      </c>
      <c r="K1240" s="60">
        <v>0</v>
      </c>
      <c r="L1240" s="60">
        <v>0</v>
      </c>
      <c r="M1240" s="60">
        <v>0</v>
      </c>
      <c r="N1240" s="60">
        <v>0</v>
      </c>
      <c r="O1240" s="60">
        <v>0</v>
      </c>
      <c r="P1240" s="60">
        <v>0</v>
      </c>
      <c r="Q1240" s="60">
        <v>0</v>
      </c>
      <c r="R1240" s="60">
        <v>0</v>
      </c>
      <c r="S1240" s="60">
        <v>0</v>
      </c>
      <c r="T1240" s="60">
        <v>0</v>
      </c>
      <c r="U1240" s="60">
        <v>0</v>
      </c>
      <c r="V1240" s="60">
        <v>0</v>
      </c>
      <c r="W1240" s="60">
        <v>0</v>
      </c>
      <c r="X1240" s="60">
        <v>0</v>
      </c>
      <c r="Y1240" s="60">
        <v>0</v>
      </c>
      <c r="Z1240" s="60">
        <v>0</v>
      </c>
      <c r="AA1240" s="60">
        <v>0</v>
      </c>
      <c r="AB1240" s="60">
        <v>0</v>
      </c>
      <c r="AC1240" s="60">
        <v>1223.79</v>
      </c>
      <c r="AD1240" s="60">
        <v>1116.0899999999999</v>
      </c>
      <c r="AE1240" s="60">
        <v>949.47</v>
      </c>
      <c r="AF1240" s="60">
        <v>0</v>
      </c>
      <c r="AG1240" s="60">
        <v>0</v>
      </c>
      <c r="AH1240" s="60">
        <v>0</v>
      </c>
      <c r="AI1240" s="60">
        <v>1223.79</v>
      </c>
      <c r="AJ1240" s="60">
        <v>1116.0899999999999</v>
      </c>
      <c r="AK1240" s="60">
        <v>949.47</v>
      </c>
      <c r="AL1240" s="60">
        <v>0</v>
      </c>
      <c r="AM1240" s="60">
        <v>0</v>
      </c>
      <c r="AN1240" s="60">
        <v>0</v>
      </c>
      <c r="AO1240" s="60">
        <v>1223.79</v>
      </c>
      <c r="AP1240" s="60">
        <v>1116.0899999999999</v>
      </c>
      <c r="AQ1240" s="60">
        <v>949.47</v>
      </c>
      <c r="AR1240" s="61">
        <v>1223.79</v>
      </c>
    </row>
    <row r="1241" spans="1:44" x14ac:dyDescent="0.35">
      <c r="A1241" s="49" t="str">
        <f>TEXT(16,"00")</f>
        <v>16</v>
      </c>
      <c r="B1241" s="27">
        <v>63875</v>
      </c>
      <c r="C1241" s="25" t="str">
        <f>TEXT(112698,"0000000")</f>
        <v>0112698</v>
      </c>
      <c r="D1241" s="26" t="s">
        <v>759</v>
      </c>
      <c r="E1241" s="25" t="s">
        <v>757</v>
      </c>
      <c r="F1241" s="25" t="s">
        <v>5</v>
      </c>
      <c r="G1241" s="59" t="s">
        <v>758</v>
      </c>
      <c r="H1241" s="60">
        <v>0</v>
      </c>
      <c r="I1241" s="60">
        <v>0</v>
      </c>
      <c r="J1241" s="60">
        <v>0</v>
      </c>
      <c r="K1241" s="60">
        <v>0</v>
      </c>
      <c r="L1241" s="60">
        <v>0</v>
      </c>
      <c r="M1241" s="60">
        <v>0</v>
      </c>
      <c r="N1241" s="60">
        <v>0</v>
      </c>
      <c r="O1241" s="60">
        <v>0</v>
      </c>
      <c r="P1241" s="60">
        <v>0</v>
      </c>
      <c r="Q1241" s="60">
        <v>0</v>
      </c>
      <c r="R1241" s="60">
        <v>0</v>
      </c>
      <c r="S1241" s="60">
        <v>0</v>
      </c>
      <c r="T1241" s="60">
        <v>0</v>
      </c>
      <c r="U1241" s="60">
        <v>0</v>
      </c>
      <c r="V1241" s="60">
        <v>0</v>
      </c>
      <c r="W1241" s="60">
        <v>0</v>
      </c>
      <c r="X1241" s="60">
        <v>0</v>
      </c>
      <c r="Y1241" s="60">
        <v>0</v>
      </c>
      <c r="Z1241" s="60">
        <v>0</v>
      </c>
      <c r="AA1241" s="60">
        <v>0</v>
      </c>
      <c r="AB1241" s="60">
        <v>0</v>
      </c>
      <c r="AC1241" s="60">
        <v>575.04999999999995</v>
      </c>
      <c r="AD1241" s="60">
        <v>529.45000000000005</v>
      </c>
      <c r="AE1241" s="60">
        <v>549.82000000000005</v>
      </c>
      <c r="AF1241" s="60">
        <v>0</v>
      </c>
      <c r="AG1241" s="60">
        <v>0</v>
      </c>
      <c r="AH1241" s="60">
        <v>0</v>
      </c>
      <c r="AI1241" s="60">
        <v>575.04999999999995</v>
      </c>
      <c r="AJ1241" s="60">
        <v>529.45000000000005</v>
      </c>
      <c r="AK1241" s="60">
        <v>549.82000000000005</v>
      </c>
      <c r="AL1241" s="60">
        <v>0</v>
      </c>
      <c r="AM1241" s="60">
        <v>0</v>
      </c>
      <c r="AN1241" s="60">
        <v>0</v>
      </c>
      <c r="AO1241" s="60">
        <v>575.04999999999995</v>
      </c>
      <c r="AP1241" s="60">
        <v>529.45000000000005</v>
      </c>
      <c r="AQ1241" s="60">
        <v>549.82000000000005</v>
      </c>
      <c r="AR1241" s="61">
        <v>575.04999999999995</v>
      </c>
    </row>
    <row r="1242" spans="1:44" x14ac:dyDescent="0.35">
      <c r="A1242" s="49" t="str">
        <f>TEXT(17,"00")</f>
        <v>17</v>
      </c>
      <c r="B1242" s="27">
        <v>64055</v>
      </c>
      <c r="C1242" s="25" t="str">
        <f>TEXT(129601,"0000000")</f>
        <v>0129601</v>
      </c>
      <c r="D1242" s="27">
        <v>1653</v>
      </c>
      <c r="E1242" s="25" t="s">
        <v>797</v>
      </c>
      <c r="F1242" s="25" t="s">
        <v>5</v>
      </c>
      <c r="G1242" s="59" t="s">
        <v>798</v>
      </c>
      <c r="H1242" s="60">
        <v>0</v>
      </c>
      <c r="I1242" s="60">
        <v>0</v>
      </c>
      <c r="J1242" s="60">
        <v>0</v>
      </c>
      <c r="K1242" s="60">
        <v>0</v>
      </c>
      <c r="L1242" s="60">
        <v>0</v>
      </c>
      <c r="M1242" s="60">
        <v>0</v>
      </c>
      <c r="N1242" s="60">
        <v>0</v>
      </c>
      <c r="O1242" s="60">
        <v>0</v>
      </c>
      <c r="P1242" s="60">
        <v>0</v>
      </c>
      <c r="Q1242" s="60">
        <v>0</v>
      </c>
      <c r="R1242" s="60">
        <v>0</v>
      </c>
      <c r="S1242" s="60">
        <v>0</v>
      </c>
      <c r="T1242" s="60">
        <v>0</v>
      </c>
      <c r="U1242" s="60">
        <v>0</v>
      </c>
      <c r="V1242" s="60">
        <v>0</v>
      </c>
      <c r="W1242" s="60">
        <v>0</v>
      </c>
      <c r="X1242" s="60">
        <v>0</v>
      </c>
      <c r="Y1242" s="60">
        <v>0</v>
      </c>
      <c r="Z1242" s="60">
        <v>0</v>
      </c>
      <c r="AA1242" s="60">
        <v>0</v>
      </c>
      <c r="AB1242" s="60">
        <v>0</v>
      </c>
      <c r="AC1242" s="60">
        <v>163.43</v>
      </c>
      <c r="AD1242" s="60">
        <v>141.25</v>
      </c>
      <c r="AE1242" s="60">
        <v>159.91</v>
      </c>
      <c r="AF1242" s="60">
        <v>0</v>
      </c>
      <c r="AG1242" s="60">
        <v>0</v>
      </c>
      <c r="AH1242" s="60">
        <v>0</v>
      </c>
      <c r="AI1242" s="60">
        <v>163.43</v>
      </c>
      <c r="AJ1242" s="60">
        <v>141.25</v>
      </c>
      <c r="AK1242" s="60">
        <v>159.91</v>
      </c>
      <c r="AL1242" s="60">
        <v>0</v>
      </c>
      <c r="AM1242" s="60">
        <v>0</v>
      </c>
      <c r="AN1242" s="60">
        <v>0</v>
      </c>
      <c r="AO1242" s="60">
        <v>163.43</v>
      </c>
      <c r="AP1242" s="60">
        <v>141.25</v>
      </c>
      <c r="AQ1242" s="60">
        <v>159.91</v>
      </c>
      <c r="AR1242" s="61">
        <v>163.43</v>
      </c>
    </row>
    <row r="1243" spans="1:44" ht="31" x14ac:dyDescent="0.35">
      <c r="A1243" s="49" t="str">
        <f t="shared" ref="A1243:A1249" si="102">TEXT(19,"00")</f>
        <v>19</v>
      </c>
      <c r="B1243" s="27">
        <v>10199</v>
      </c>
      <c r="C1243" s="25" t="str">
        <f>TEXT(100776,"0000000")</f>
        <v>0100776</v>
      </c>
      <c r="D1243" s="26" t="s">
        <v>831</v>
      </c>
      <c r="E1243" s="25" t="s">
        <v>829</v>
      </c>
      <c r="F1243" s="25" t="s">
        <v>5</v>
      </c>
      <c r="G1243" s="59" t="s">
        <v>830</v>
      </c>
      <c r="H1243" s="60">
        <v>0</v>
      </c>
      <c r="I1243" s="60">
        <v>0</v>
      </c>
      <c r="J1243" s="60">
        <v>0</v>
      </c>
      <c r="K1243" s="60">
        <v>0</v>
      </c>
      <c r="L1243" s="60">
        <v>0</v>
      </c>
      <c r="M1243" s="60">
        <v>0</v>
      </c>
      <c r="N1243" s="60">
        <v>0</v>
      </c>
      <c r="O1243" s="60">
        <v>0</v>
      </c>
      <c r="P1243" s="60">
        <v>0</v>
      </c>
      <c r="Q1243" s="60">
        <v>0</v>
      </c>
      <c r="R1243" s="60">
        <v>0</v>
      </c>
      <c r="S1243" s="60">
        <v>0</v>
      </c>
      <c r="T1243" s="60">
        <v>0</v>
      </c>
      <c r="U1243" s="60">
        <v>0</v>
      </c>
      <c r="V1243" s="60">
        <v>0</v>
      </c>
      <c r="W1243" s="60">
        <v>0</v>
      </c>
      <c r="X1243" s="60">
        <v>0</v>
      </c>
      <c r="Y1243" s="60">
        <v>0</v>
      </c>
      <c r="Z1243" s="60">
        <v>0</v>
      </c>
      <c r="AA1243" s="60">
        <v>0</v>
      </c>
      <c r="AB1243" s="60">
        <v>0</v>
      </c>
      <c r="AC1243" s="60">
        <v>0</v>
      </c>
      <c r="AD1243" s="60">
        <v>0</v>
      </c>
      <c r="AE1243" s="60">
        <v>0</v>
      </c>
      <c r="AF1243" s="60">
        <v>0</v>
      </c>
      <c r="AG1243" s="60">
        <v>0</v>
      </c>
      <c r="AH1243" s="60">
        <v>0</v>
      </c>
      <c r="AI1243" s="60">
        <v>0</v>
      </c>
      <c r="AJ1243" s="60">
        <v>0</v>
      </c>
      <c r="AK1243" s="60">
        <v>0</v>
      </c>
      <c r="AL1243" s="60">
        <v>0</v>
      </c>
      <c r="AM1243" s="60">
        <v>0</v>
      </c>
      <c r="AN1243" s="60">
        <v>0</v>
      </c>
      <c r="AO1243" s="60">
        <v>0</v>
      </c>
      <c r="AP1243" s="60">
        <v>0</v>
      </c>
      <c r="AQ1243" s="60">
        <v>0</v>
      </c>
      <c r="AR1243" s="61">
        <v>0</v>
      </c>
    </row>
    <row r="1244" spans="1:44" x14ac:dyDescent="0.35">
      <c r="A1244" s="49" t="str">
        <f t="shared" si="102"/>
        <v>19</v>
      </c>
      <c r="B1244" s="27">
        <v>10199</v>
      </c>
      <c r="C1244" s="25" t="str">
        <f>TEXT(109660,"0000000")</f>
        <v>0109660</v>
      </c>
      <c r="D1244" s="26" t="s">
        <v>837</v>
      </c>
      <c r="E1244" s="25" t="s">
        <v>835</v>
      </c>
      <c r="F1244" s="25" t="s">
        <v>5</v>
      </c>
      <c r="G1244" s="59" t="s">
        <v>836</v>
      </c>
      <c r="H1244" s="60">
        <v>0</v>
      </c>
      <c r="I1244" s="60">
        <v>0</v>
      </c>
      <c r="J1244" s="60">
        <v>0</v>
      </c>
      <c r="K1244" s="60">
        <v>0</v>
      </c>
      <c r="L1244" s="60">
        <v>0</v>
      </c>
      <c r="M1244" s="60">
        <v>0</v>
      </c>
      <c r="N1244" s="60">
        <v>0</v>
      </c>
      <c r="O1244" s="60">
        <v>0</v>
      </c>
      <c r="P1244" s="60">
        <v>0</v>
      </c>
      <c r="Q1244" s="60">
        <v>0</v>
      </c>
      <c r="R1244" s="60">
        <v>0</v>
      </c>
      <c r="S1244" s="60">
        <v>0</v>
      </c>
      <c r="T1244" s="60">
        <v>0</v>
      </c>
      <c r="U1244" s="60">
        <v>0</v>
      </c>
      <c r="V1244" s="60">
        <v>0</v>
      </c>
      <c r="W1244" s="60">
        <v>0</v>
      </c>
      <c r="X1244" s="60">
        <v>0</v>
      </c>
      <c r="Y1244" s="60">
        <v>0</v>
      </c>
      <c r="Z1244" s="60">
        <v>0</v>
      </c>
      <c r="AA1244" s="60">
        <v>0</v>
      </c>
      <c r="AB1244" s="60">
        <v>0</v>
      </c>
      <c r="AC1244" s="60">
        <v>367.58</v>
      </c>
      <c r="AD1244" s="60">
        <v>382.3</v>
      </c>
      <c r="AE1244" s="60">
        <v>366.54</v>
      </c>
      <c r="AF1244" s="60">
        <v>0</v>
      </c>
      <c r="AG1244" s="60">
        <v>0</v>
      </c>
      <c r="AH1244" s="60">
        <v>0</v>
      </c>
      <c r="AI1244" s="60">
        <v>367.58</v>
      </c>
      <c r="AJ1244" s="60">
        <v>382.3</v>
      </c>
      <c r="AK1244" s="60">
        <v>366.54</v>
      </c>
      <c r="AL1244" s="60">
        <v>0</v>
      </c>
      <c r="AM1244" s="60">
        <v>0</v>
      </c>
      <c r="AN1244" s="60">
        <v>0</v>
      </c>
      <c r="AO1244" s="60">
        <v>367.58</v>
      </c>
      <c r="AP1244" s="60">
        <v>382.3</v>
      </c>
      <c r="AQ1244" s="60">
        <v>366.54</v>
      </c>
      <c r="AR1244" s="61">
        <v>382.3</v>
      </c>
    </row>
    <row r="1245" spans="1:44" x14ac:dyDescent="0.35">
      <c r="A1245" s="49" t="str">
        <f t="shared" si="102"/>
        <v>19</v>
      </c>
      <c r="B1245" s="27">
        <v>10199</v>
      </c>
      <c r="C1245" s="25" t="str">
        <f>TEXT(112128,"0000000")</f>
        <v>0112128</v>
      </c>
      <c r="D1245" s="26" t="s">
        <v>840</v>
      </c>
      <c r="E1245" s="25" t="s">
        <v>838</v>
      </c>
      <c r="F1245" s="25" t="s">
        <v>5</v>
      </c>
      <c r="G1245" s="59" t="s">
        <v>839</v>
      </c>
      <c r="H1245" s="60">
        <v>0</v>
      </c>
      <c r="I1245" s="60">
        <v>0</v>
      </c>
      <c r="J1245" s="60">
        <v>0</v>
      </c>
      <c r="K1245" s="60">
        <v>0</v>
      </c>
      <c r="L1245" s="60">
        <v>0</v>
      </c>
      <c r="M1245" s="60">
        <v>0</v>
      </c>
      <c r="N1245" s="60">
        <v>0</v>
      </c>
      <c r="O1245" s="60">
        <v>0</v>
      </c>
      <c r="P1245" s="60">
        <v>0</v>
      </c>
      <c r="Q1245" s="60">
        <v>0</v>
      </c>
      <c r="R1245" s="60">
        <v>0</v>
      </c>
      <c r="S1245" s="60">
        <v>0</v>
      </c>
      <c r="T1245" s="60">
        <v>0</v>
      </c>
      <c r="U1245" s="60">
        <v>0</v>
      </c>
      <c r="V1245" s="60">
        <v>0</v>
      </c>
      <c r="W1245" s="60">
        <v>0</v>
      </c>
      <c r="X1245" s="60">
        <v>0</v>
      </c>
      <c r="Y1245" s="60">
        <v>0</v>
      </c>
      <c r="Z1245" s="60">
        <v>0</v>
      </c>
      <c r="AA1245" s="60">
        <v>0</v>
      </c>
      <c r="AB1245" s="60">
        <v>0</v>
      </c>
      <c r="AC1245" s="60">
        <v>514.97</v>
      </c>
      <c r="AD1245" s="60">
        <v>511.05</v>
      </c>
      <c r="AE1245" s="60">
        <v>510.06</v>
      </c>
      <c r="AF1245" s="60">
        <v>0</v>
      </c>
      <c r="AG1245" s="60">
        <v>0</v>
      </c>
      <c r="AH1245" s="60">
        <v>0</v>
      </c>
      <c r="AI1245" s="60">
        <v>514.97</v>
      </c>
      <c r="AJ1245" s="60">
        <v>511.05</v>
      </c>
      <c r="AK1245" s="60">
        <v>510.06</v>
      </c>
      <c r="AL1245" s="60">
        <v>0</v>
      </c>
      <c r="AM1245" s="60">
        <v>0</v>
      </c>
      <c r="AN1245" s="60">
        <v>0</v>
      </c>
      <c r="AO1245" s="60">
        <v>514.97</v>
      </c>
      <c r="AP1245" s="60">
        <v>511.05</v>
      </c>
      <c r="AQ1245" s="60">
        <v>510.06</v>
      </c>
      <c r="AR1245" s="61">
        <v>514.97</v>
      </c>
    </row>
    <row r="1246" spans="1:44" x14ac:dyDescent="0.35">
      <c r="A1246" s="49" t="str">
        <f t="shared" si="102"/>
        <v>19</v>
      </c>
      <c r="B1246" s="27">
        <v>10199</v>
      </c>
      <c r="C1246" s="25" t="str">
        <f>TEXT(115030,"0000000")</f>
        <v>0115030</v>
      </c>
      <c r="D1246" s="26" t="s">
        <v>843</v>
      </c>
      <c r="E1246" s="25" t="s">
        <v>841</v>
      </c>
      <c r="F1246" s="25" t="s">
        <v>5</v>
      </c>
      <c r="G1246" s="59" t="s">
        <v>842</v>
      </c>
      <c r="H1246" s="60">
        <v>0</v>
      </c>
      <c r="I1246" s="60">
        <v>0</v>
      </c>
      <c r="J1246" s="60">
        <v>0</v>
      </c>
      <c r="K1246" s="60">
        <v>0</v>
      </c>
      <c r="L1246" s="60">
        <v>0</v>
      </c>
      <c r="M1246" s="60">
        <v>0</v>
      </c>
      <c r="N1246" s="60">
        <v>0</v>
      </c>
      <c r="O1246" s="60">
        <v>0</v>
      </c>
      <c r="P1246" s="60">
        <v>0</v>
      </c>
      <c r="Q1246" s="60">
        <v>0</v>
      </c>
      <c r="R1246" s="60">
        <v>0</v>
      </c>
      <c r="S1246" s="60">
        <v>0</v>
      </c>
      <c r="T1246" s="60">
        <v>0</v>
      </c>
      <c r="U1246" s="60">
        <v>0</v>
      </c>
      <c r="V1246" s="60">
        <v>0</v>
      </c>
      <c r="W1246" s="60">
        <v>0</v>
      </c>
      <c r="X1246" s="60">
        <v>0</v>
      </c>
      <c r="Y1246" s="60">
        <v>0</v>
      </c>
      <c r="Z1246" s="60">
        <v>0</v>
      </c>
      <c r="AA1246" s="60">
        <v>0</v>
      </c>
      <c r="AB1246" s="60">
        <v>0</v>
      </c>
      <c r="AC1246" s="60">
        <v>355.08</v>
      </c>
      <c r="AD1246" s="60">
        <v>339.62</v>
      </c>
      <c r="AE1246" s="60">
        <v>354.62</v>
      </c>
      <c r="AF1246" s="60">
        <v>0</v>
      </c>
      <c r="AG1246" s="60">
        <v>0</v>
      </c>
      <c r="AH1246" s="60">
        <v>0</v>
      </c>
      <c r="AI1246" s="60">
        <v>355.08</v>
      </c>
      <c r="AJ1246" s="60">
        <v>339.62</v>
      </c>
      <c r="AK1246" s="60">
        <v>354.62</v>
      </c>
      <c r="AL1246" s="60">
        <v>0</v>
      </c>
      <c r="AM1246" s="60">
        <v>0</v>
      </c>
      <c r="AN1246" s="60">
        <v>0</v>
      </c>
      <c r="AO1246" s="60">
        <v>355.08</v>
      </c>
      <c r="AP1246" s="60">
        <v>339.62</v>
      </c>
      <c r="AQ1246" s="60">
        <v>354.62</v>
      </c>
      <c r="AR1246" s="61">
        <v>355.08</v>
      </c>
    </row>
    <row r="1247" spans="1:44" x14ac:dyDescent="0.35">
      <c r="A1247" s="49" t="str">
        <f t="shared" si="102"/>
        <v>19</v>
      </c>
      <c r="B1247" s="27">
        <v>10199</v>
      </c>
      <c r="C1247" s="25" t="str">
        <f>TEXT(115212,"0000000")</f>
        <v>0115212</v>
      </c>
      <c r="D1247" s="26" t="s">
        <v>846</v>
      </c>
      <c r="E1247" s="25" t="s">
        <v>844</v>
      </c>
      <c r="F1247" s="25" t="s">
        <v>5</v>
      </c>
      <c r="G1247" s="59" t="s">
        <v>845</v>
      </c>
      <c r="H1247" s="60">
        <v>0</v>
      </c>
      <c r="I1247" s="60">
        <v>0</v>
      </c>
      <c r="J1247" s="60">
        <v>0</v>
      </c>
      <c r="K1247" s="60">
        <v>0</v>
      </c>
      <c r="L1247" s="60">
        <v>0</v>
      </c>
      <c r="M1247" s="60">
        <v>0</v>
      </c>
      <c r="N1247" s="60">
        <v>0</v>
      </c>
      <c r="O1247" s="60">
        <v>0</v>
      </c>
      <c r="P1247" s="60">
        <v>0</v>
      </c>
      <c r="Q1247" s="60">
        <v>0</v>
      </c>
      <c r="R1247" s="60">
        <v>0</v>
      </c>
      <c r="S1247" s="60">
        <v>0</v>
      </c>
      <c r="T1247" s="60">
        <v>0</v>
      </c>
      <c r="U1247" s="60">
        <v>0</v>
      </c>
      <c r="V1247" s="60">
        <v>0</v>
      </c>
      <c r="W1247" s="60">
        <v>0</v>
      </c>
      <c r="X1247" s="60">
        <v>0</v>
      </c>
      <c r="Y1247" s="60">
        <v>0</v>
      </c>
      <c r="Z1247" s="60">
        <v>0</v>
      </c>
      <c r="AA1247" s="60">
        <v>0</v>
      </c>
      <c r="AB1247" s="60">
        <v>0</v>
      </c>
      <c r="AC1247" s="60">
        <v>497.08</v>
      </c>
      <c r="AD1247" s="60">
        <v>473.23</v>
      </c>
      <c r="AE1247" s="60">
        <v>462.22</v>
      </c>
      <c r="AF1247" s="60">
        <v>0</v>
      </c>
      <c r="AG1247" s="60">
        <v>0</v>
      </c>
      <c r="AH1247" s="60">
        <v>0</v>
      </c>
      <c r="AI1247" s="60">
        <v>497.08</v>
      </c>
      <c r="AJ1247" s="60">
        <v>473.23</v>
      </c>
      <c r="AK1247" s="60">
        <v>462.22</v>
      </c>
      <c r="AL1247" s="60">
        <v>0</v>
      </c>
      <c r="AM1247" s="60">
        <v>0</v>
      </c>
      <c r="AN1247" s="60">
        <v>0</v>
      </c>
      <c r="AO1247" s="60">
        <v>497.08</v>
      </c>
      <c r="AP1247" s="60">
        <v>473.23</v>
      </c>
      <c r="AQ1247" s="60">
        <v>462.22</v>
      </c>
      <c r="AR1247" s="61">
        <v>497.08</v>
      </c>
    </row>
    <row r="1248" spans="1:44" x14ac:dyDescent="0.35">
      <c r="A1248" s="49" t="str">
        <f t="shared" si="102"/>
        <v>19</v>
      </c>
      <c r="B1248" s="27">
        <v>10199</v>
      </c>
      <c r="C1248" s="25" t="str">
        <f>TEXT(121772,"0000000")</f>
        <v>0121772</v>
      </c>
      <c r="D1248" s="27">
        <v>1204</v>
      </c>
      <c r="E1248" s="25" t="s">
        <v>847</v>
      </c>
      <c r="F1248" s="25" t="s">
        <v>5</v>
      </c>
      <c r="G1248" s="59" t="s">
        <v>848</v>
      </c>
      <c r="H1248" s="60">
        <v>0</v>
      </c>
      <c r="I1248" s="60">
        <v>0</v>
      </c>
      <c r="J1248" s="60">
        <v>0</v>
      </c>
      <c r="K1248" s="60">
        <v>0</v>
      </c>
      <c r="L1248" s="60">
        <v>0</v>
      </c>
      <c r="M1248" s="60">
        <v>0</v>
      </c>
      <c r="N1248" s="60">
        <v>0</v>
      </c>
      <c r="O1248" s="60">
        <v>0</v>
      </c>
      <c r="P1248" s="60">
        <v>0</v>
      </c>
      <c r="Q1248" s="60">
        <v>0</v>
      </c>
      <c r="R1248" s="60">
        <v>0</v>
      </c>
      <c r="S1248" s="60">
        <v>0</v>
      </c>
      <c r="T1248" s="60">
        <v>0</v>
      </c>
      <c r="U1248" s="60">
        <v>0</v>
      </c>
      <c r="V1248" s="60">
        <v>0</v>
      </c>
      <c r="W1248" s="60">
        <v>0</v>
      </c>
      <c r="X1248" s="60">
        <v>0</v>
      </c>
      <c r="Y1248" s="60">
        <v>0</v>
      </c>
      <c r="Z1248" s="60">
        <v>0</v>
      </c>
      <c r="AA1248" s="60">
        <v>0</v>
      </c>
      <c r="AB1248" s="60">
        <v>0</v>
      </c>
      <c r="AC1248" s="60">
        <v>337.3</v>
      </c>
      <c r="AD1248" s="60">
        <v>328.5</v>
      </c>
      <c r="AE1248" s="60">
        <v>318.41000000000003</v>
      </c>
      <c r="AF1248" s="60">
        <v>0</v>
      </c>
      <c r="AG1248" s="60">
        <v>0</v>
      </c>
      <c r="AH1248" s="60">
        <v>0</v>
      </c>
      <c r="AI1248" s="60">
        <v>337.3</v>
      </c>
      <c r="AJ1248" s="60">
        <v>328.5</v>
      </c>
      <c r="AK1248" s="60">
        <v>318.41000000000003</v>
      </c>
      <c r="AL1248" s="60">
        <v>0</v>
      </c>
      <c r="AM1248" s="60">
        <v>0</v>
      </c>
      <c r="AN1248" s="60">
        <v>0</v>
      </c>
      <c r="AO1248" s="60">
        <v>337.3</v>
      </c>
      <c r="AP1248" s="60">
        <v>328.5</v>
      </c>
      <c r="AQ1248" s="60">
        <v>318.41000000000003</v>
      </c>
      <c r="AR1248" s="61">
        <v>337.3</v>
      </c>
    </row>
    <row r="1249" spans="1:44" x14ac:dyDescent="0.35">
      <c r="A1249" s="49" t="str">
        <f t="shared" si="102"/>
        <v>19</v>
      </c>
      <c r="B1249" s="27">
        <v>10199</v>
      </c>
      <c r="C1249" s="25" t="str">
        <f>TEXT(127498,"0000000")</f>
        <v>0127498</v>
      </c>
      <c r="D1249" s="27">
        <v>1501</v>
      </c>
      <c r="E1249" s="25" t="s">
        <v>849</v>
      </c>
      <c r="F1249" s="25" t="s">
        <v>5</v>
      </c>
      <c r="G1249" s="59" t="s">
        <v>850</v>
      </c>
      <c r="H1249" s="60">
        <v>0</v>
      </c>
      <c r="I1249" s="60">
        <v>0</v>
      </c>
      <c r="J1249" s="60">
        <v>0</v>
      </c>
      <c r="K1249" s="60">
        <v>0</v>
      </c>
      <c r="L1249" s="60">
        <v>0</v>
      </c>
      <c r="M1249" s="60">
        <v>0</v>
      </c>
      <c r="N1249" s="60">
        <v>0</v>
      </c>
      <c r="O1249" s="60">
        <v>0</v>
      </c>
      <c r="P1249" s="60">
        <v>0</v>
      </c>
      <c r="Q1249" s="60">
        <v>0</v>
      </c>
      <c r="R1249" s="60">
        <v>0</v>
      </c>
      <c r="S1249" s="60">
        <v>0</v>
      </c>
      <c r="T1249" s="60">
        <v>0</v>
      </c>
      <c r="U1249" s="60">
        <v>0</v>
      </c>
      <c r="V1249" s="60">
        <v>0</v>
      </c>
      <c r="W1249" s="60">
        <v>0</v>
      </c>
      <c r="X1249" s="60">
        <v>0</v>
      </c>
      <c r="Y1249" s="60">
        <v>0</v>
      </c>
      <c r="Z1249" s="60">
        <v>0</v>
      </c>
      <c r="AA1249" s="60">
        <v>0</v>
      </c>
      <c r="AB1249" s="60">
        <v>0</v>
      </c>
      <c r="AC1249" s="60">
        <v>337.18</v>
      </c>
      <c r="AD1249" s="60">
        <v>334.8</v>
      </c>
      <c r="AE1249" s="60">
        <v>324.36</v>
      </c>
      <c r="AF1249" s="60">
        <v>0</v>
      </c>
      <c r="AG1249" s="60">
        <v>0</v>
      </c>
      <c r="AH1249" s="60">
        <v>0</v>
      </c>
      <c r="AI1249" s="60">
        <v>337.18</v>
      </c>
      <c r="AJ1249" s="60">
        <v>334.8</v>
      </c>
      <c r="AK1249" s="60">
        <v>324.36</v>
      </c>
      <c r="AL1249" s="60">
        <v>0</v>
      </c>
      <c r="AM1249" s="60">
        <v>0</v>
      </c>
      <c r="AN1249" s="60">
        <v>0</v>
      </c>
      <c r="AO1249" s="60">
        <v>337.18</v>
      </c>
      <c r="AP1249" s="60">
        <v>334.8</v>
      </c>
      <c r="AQ1249" s="60">
        <v>324.36</v>
      </c>
      <c r="AR1249" s="61">
        <v>337.18</v>
      </c>
    </row>
    <row r="1250" spans="1:44" x14ac:dyDescent="0.35">
      <c r="A1250" s="49" t="str">
        <f>TEXT(33,"00")</f>
        <v>33</v>
      </c>
      <c r="B1250" s="27">
        <v>67033</v>
      </c>
      <c r="C1250" s="25" t="str">
        <f>TEXT(,"0000000")</f>
        <v>0000000</v>
      </c>
      <c r="D1250" s="26" t="s">
        <v>3663</v>
      </c>
      <c r="E1250" s="25" t="s">
        <v>1730</v>
      </c>
      <c r="F1250" s="25" t="s">
        <v>1731</v>
      </c>
      <c r="G1250" s="59" t="s">
        <v>1731</v>
      </c>
      <c r="H1250" s="60">
        <v>47650.48</v>
      </c>
      <c r="I1250" s="60">
        <v>47612.68</v>
      </c>
      <c r="J1250" s="60">
        <v>45976.99</v>
      </c>
      <c r="K1250" s="60">
        <v>0</v>
      </c>
      <c r="L1250" s="60">
        <v>0</v>
      </c>
      <c r="M1250" s="60">
        <v>0</v>
      </c>
      <c r="N1250" s="60">
        <v>0</v>
      </c>
      <c r="O1250" s="60">
        <v>0</v>
      </c>
      <c r="P1250" s="60">
        <v>0</v>
      </c>
      <c r="Q1250" s="60">
        <v>0</v>
      </c>
      <c r="R1250" s="60">
        <v>0</v>
      </c>
      <c r="S1250" s="60">
        <v>0</v>
      </c>
      <c r="T1250" s="60">
        <v>0</v>
      </c>
      <c r="U1250" s="60">
        <v>0</v>
      </c>
      <c r="V1250" s="60">
        <v>0</v>
      </c>
      <c r="W1250" s="60">
        <v>0</v>
      </c>
      <c r="X1250" s="60">
        <v>0</v>
      </c>
      <c r="Y1250" s="60">
        <v>0</v>
      </c>
      <c r="Z1250" s="60">
        <v>0</v>
      </c>
      <c r="AA1250" s="60">
        <v>0</v>
      </c>
      <c r="AB1250" s="60">
        <v>0</v>
      </c>
      <c r="AC1250" s="60">
        <v>0</v>
      </c>
      <c r="AD1250" s="60">
        <v>0</v>
      </c>
      <c r="AE1250" s="60">
        <v>0</v>
      </c>
      <c r="AF1250" s="60">
        <v>0</v>
      </c>
      <c r="AG1250" s="60">
        <v>0</v>
      </c>
      <c r="AH1250" s="60">
        <v>0</v>
      </c>
      <c r="AI1250" s="60">
        <v>47650.48</v>
      </c>
      <c r="AJ1250" s="60">
        <v>47612.68</v>
      </c>
      <c r="AK1250" s="60">
        <v>45976.99</v>
      </c>
      <c r="AL1250" s="60">
        <v>0</v>
      </c>
      <c r="AM1250" s="60">
        <v>0</v>
      </c>
      <c r="AN1250" s="60">
        <v>0</v>
      </c>
      <c r="AO1250" s="60">
        <v>47650.48</v>
      </c>
      <c r="AP1250" s="60">
        <v>47612.68</v>
      </c>
      <c r="AQ1250" s="60">
        <v>45976.99</v>
      </c>
      <c r="AR1250" s="61">
        <v>47650.48</v>
      </c>
    </row>
    <row r="1251" spans="1:44" x14ac:dyDescent="0.35">
      <c r="A1251" s="49" t="str">
        <f>TEXT(36,"00")</f>
        <v>36</v>
      </c>
      <c r="B1251" s="27">
        <v>67710</v>
      </c>
      <c r="C1251" s="25" t="str">
        <f>TEXT(,"0000000")</f>
        <v>0000000</v>
      </c>
      <c r="D1251" s="26" t="s">
        <v>3663</v>
      </c>
      <c r="E1251" s="25" t="s">
        <v>1947</v>
      </c>
      <c r="F1251" s="25" t="s">
        <v>1948</v>
      </c>
      <c r="G1251" s="59" t="s">
        <v>1948</v>
      </c>
      <c r="H1251" s="60">
        <v>31288.87</v>
      </c>
      <c r="I1251" s="60">
        <v>31601.03</v>
      </c>
      <c r="J1251" s="60">
        <v>31490.080000000002</v>
      </c>
      <c r="K1251" s="60">
        <v>0</v>
      </c>
      <c r="L1251" s="60">
        <v>0</v>
      </c>
      <c r="M1251" s="60">
        <v>0</v>
      </c>
      <c r="N1251" s="60">
        <v>0</v>
      </c>
      <c r="O1251" s="60">
        <v>0</v>
      </c>
      <c r="P1251" s="60">
        <v>0</v>
      </c>
      <c r="Q1251" s="60">
        <v>0</v>
      </c>
      <c r="R1251" s="60">
        <v>0</v>
      </c>
      <c r="S1251" s="60">
        <v>0</v>
      </c>
      <c r="T1251" s="60">
        <v>0</v>
      </c>
      <c r="U1251" s="60">
        <v>0</v>
      </c>
      <c r="V1251" s="60">
        <v>0</v>
      </c>
      <c r="W1251" s="60">
        <v>0</v>
      </c>
      <c r="X1251" s="60">
        <v>0</v>
      </c>
      <c r="Y1251" s="60">
        <v>0</v>
      </c>
      <c r="Z1251" s="60">
        <v>0</v>
      </c>
      <c r="AA1251" s="60">
        <v>0</v>
      </c>
      <c r="AB1251" s="60">
        <v>0</v>
      </c>
      <c r="AC1251" s="60">
        <v>0</v>
      </c>
      <c r="AD1251" s="60">
        <v>0</v>
      </c>
      <c r="AE1251" s="60">
        <v>0</v>
      </c>
      <c r="AF1251" s="60">
        <v>0</v>
      </c>
      <c r="AG1251" s="60">
        <v>0</v>
      </c>
      <c r="AH1251" s="60">
        <v>0</v>
      </c>
      <c r="AI1251" s="60">
        <v>31288.87</v>
      </c>
      <c r="AJ1251" s="60">
        <v>31601.03</v>
      </c>
      <c r="AK1251" s="60">
        <v>31490.080000000002</v>
      </c>
      <c r="AL1251" s="60">
        <v>0</v>
      </c>
      <c r="AM1251" s="60">
        <v>0</v>
      </c>
      <c r="AN1251" s="60">
        <v>0</v>
      </c>
      <c r="AO1251" s="60">
        <v>31288.87</v>
      </c>
      <c r="AP1251" s="60">
        <v>31601.03</v>
      </c>
      <c r="AQ1251" s="60">
        <v>31490.080000000002</v>
      </c>
      <c r="AR1251" s="61">
        <v>31601.03</v>
      </c>
    </row>
    <row r="1252" spans="1:44" x14ac:dyDescent="0.35">
      <c r="A1252" s="49" t="str">
        <f>TEXT(10,"00")</f>
        <v>10</v>
      </c>
      <c r="B1252" s="27">
        <v>62117</v>
      </c>
      <c r="C1252" s="25" t="str">
        <f>TEXT(,"0000000")</f>
        <v>0000000</v>
      </c>
      <c r="D1252" s="26" t="s">
        <v>3663</v>
      </c>
      <c r="E1252" s="25" t="s">
        <v>415</v>
      </c>
      <c r="F1252" s="25" t="s">
        <v>416</v>
      </c>
      <c r="G1252" s="59" t="s">
        <v>416</v>
      </c>
      <c r="H1252" s="60">
        <v>40330.080000000002</v>
      </c>
      <c r="I1252" s="60">
        <v>39466.22</v>
      </c>
      <c r="J1252" s="60">
        <v>38644.75</v>
      </c>
      <c r="K1252" s="60">
        <v>0</v>
      </c>
      <c r="L1252" s="60">
        <v>0</v>
      </c>
      <c r="M1252" s="60">
        <v>0</v>
      </c>
      <c r="N1252" s="60">
        <v>0</v>
      </c>
      <c r="O1252" s="60">
        <v>0</v>
      </c>
      <c r="P1252" s="60">
        <v>0</v>
      </c>
      <c r="Q1252" s="60">
        <v>0</v>
      </c>
      <c r="R1252" s="60">
        <v>0</v>
      </c>
      <c r="S1252" s="60">
        <v>0</v>
      </c>
      <c r="T1252" s="60">
        <v>0</v>
      </c>
      <c r="U1252" s="60">
        <v>0</v>
      </c>
      <c r="V1252" s="60">
        <v>0</v>
      </c>
      <c r="W1252" s="60">
        <v>0</v>
      </c>
      <c r="X1252" s="60">
        <v>0</v>
      </c>
      <c r="Y1252" s="60">
        <v>0</v>
      </c>
      <c r="Z1252" s="60">
        <v>0</v>
      </c>
      <c r="AA1252" s="60">
        <v>0</v>
      </c>
      <c r="AB1252" s="60">
        <v>0</v>
      </c>
      <c r="AC1252" s="60">
        <v>788.03</v>
      </c>
      <c r="AD1252" s="60">
        <v>838.12</v>
      </c>
      <c r="AE1252" s="60">
        <v>789.44</v>
      </c>
      <c r="AF1252" s="60">
        <v>0</v>
      </c>
      <c r="AG1252" s="60">
        <v>0</v>
      </c>
      <c r="AH1252" s="60">
        <v>0</v>
      </c>
      <c r="AI1252" s="60">
        <v>41118.11</v>
      </c>
      <c r="AJ1252" s="60">
        <v>40304.339999999997</v>
      </c>
      <c r="AK1252" s="60">
        <v>39434.19</v>
      </c>
      <c r="AL1252" s="60">
        <v>0</v>
      </c>
      <c r="AM1252" s="60">
        <v>0</v>
      </c>
      <c r="AN1252" s="60">
        <v>0</v>
      </c>
      <c r="AO1252" s="60">
        <v>41118.11</v>
      </c>
      <c r="AP1252" s="60">
        <v>40304.339999999997</v>
      </c>
      <c r="AQ1252" s="60">
        <v>39434.19</v>
      </c>
      <c r="AR1252" s="61">
        <v>41118.11</v>
      </c>
    </row>
    <row r="1253" spans="1:44" x14ac:dyDescent="0.35">
      <c r="A1253" s="49" t="str">
        <f>TEXT(34,"00")</f>
        <v>34</v>
      </c>
      <c r="B1253" s="27">
        <v>67330</v>
      </c>
      <c r="C1253" s="25" t="str">
        <f>TEXT(,"0000000")</f>
        <v>0000000</v>
      </c>
      <c r="D1253" s="26" t="s">
        <v>3663</v>
      </c>
      <c r="E1253" s="25" t="s">
        <v>1802</v>
      </c>
      <c r="F1253" s="25" t="s">
        <v>1803</v>
      </c>
      <c r="G1253" s="59" t="s">
        <v>1803</v>
      </c>
      <c r="H1253" s="60">
        <v>19897.34</v>
      </c>
      <c r="I1253" s="60">
        <v>19220.669999999998</v>
      </c>
      <c r="J1253" s="60">
        <v>18850.22</v>
      </c>
      <c r="K1253" s="60">
        <v>0</v>
      </c>
      <c r="L1253" s="60">
        <v>0</v>
      </c>
      <c r="M1253" s="60">
        <v>0</v>
      </c>
      <c r="N1253" s="60">
        <v>0</v>
      </c>
      <c r="O1253" s="60">
        <v>0</v>
      </c>
      <c r="P1253" s="60">
        <v>0</v>
      </c>
      <c r="Q1253" s="60">
        <v>0</v>
      </c>
      <c r="R1253" s="60">
        <v>0</v>
      </c>
      <c r="S1253" s="60">
        <v>0</v>
      </c>
      <c r="T1253" s="60">
        <v>0</v>
      </c>
      <c r="U1253" s="60">
        <v>0</v>
      </c>
      <c r="V1253" s="60">
        <v>0</v>
      </c>
      <c r="W1253" s="60">
        <v>0</v>
      </c>
      <c r="X1253" s="60">
        <v>0</v>
      </c>
      <c r="Y1253" s="60">
        <v>0</v>
      </c>
      <c r="Z1253" s="60">
        <v>0</v>
      </c>
      <c r="AA1253" s="60">
        <v>0</v>
      </c>
      <c r="AB1253" s="60">
        <v>0</v>
      </c>
      <c r="AC1253" s="60">
        <v>153.91999999999999</v>
      </c>
      <c r="AD1253" s="60">
        <v>165.3</v>
      </c>
      <c r="AE1253" s="60">
        <v>243.88</v>
      </c>
      <c r="AF1253" s="60">
        <v>0</v>
      </c>
      <c r="AG1253" s="60">
        <v>0</v>
      </c>
      <c r="AH1253" s="60">
        <v>0</v>
      </c>
      <c r="AI1253" s="60">
        <v>20051.259999999998</v>
      </c>
      <c r="AJ1253" s="60">
        <v>19385.97</v>
      </c>
      <c r="AK1253" s="60">
        <v>19094.099999999999</v>
      </c>
      <c r="AL1253" s="60">
        <v>0</v>
      </c>
      <c r="AM1253" s="60">
        <v>0</v>
      </c>
      <c r="AN1253" s="60">
        <v>0</v>
      </c>
      <c r="AO1253" s="60">
        <v>20051.259999999998</v>
      </c>
      <c r="AP1253" s="60">
        <v>19385.97</v>
      </c>
      <c r="AQ1253" s="60">
        <v>19094.099999999999</v>
      </c>
      <c r="AR1253" s="61">
        <v>20051.259999999998</v>
      </c>
    </row>
    <row r="1254" spans="1:44" x14ac:dyDescent="0.35">
      <c r="A1254" s="49" t="str">
        <f t="shared" ref="A1254:A1266" si="103">TEXT(10,"00")</f>
        <v>10</v>
      </c>
      <c r="B1254" s="27">
        <v>10108</v>
      </c>
      <c r="C1254" s="25" t="str">
        <f>TEXT(,"0000000")</f>
        <v>0000000</v>
      </c>
      <c r="D1254" s="26" t="s">
        <v>3663</v>
      </c>
      <c r="E1254" s="25" t="s">
        <v>388</v>
      </c>
      <c r="F1254" s="25" t="s">
        <v>389</v>
      </c>
      <c r="G1254" s="59" t="s">
        <v>389</v>
      </c>
      <c r="H1254" s="60">
        <v>0</v>
      </c>
      <c r="I1254" s="60">
        <v>0</v>
      </c>
      <c r="J1254" s="60">
        <v>0</v>
      </c>
      <c r="K1254" s="60">
        <v>0</v>
      </c>
      <c r="L1254" s="60">
        <v>0</v>
      </c>
      <c r="M1254" s="60">
        <v>0</v>
      </c>
      <c r="N1254" s="60">
        <v>0</v>
      </c>
      <c r="O1254" s="60">
        <v>0</v>
      </c>
      <c r="P1254" s="60">
        <v>0</v>
      </c>
      <c r="Q1254" s="60">
        <v>0</v>
      </c>
      <c r="R1254" s="60">
        <v>0</v>
      </c>
      <c r="S1254" s="60">
        <v>0</v>
      </c>
      <c r="T1254" s="60">
        <v>0</v>
      </c>
      <c r="U1254" s="60">
        <v>0</v>
      </c>
      <c r="V1254" s="60">
        <v>0</v>
      </c>
      <c r="W1254" s="60">
        <v>0</v>
      </c>
      <c r="X1254" s="60">
        <v>0</v>
      </c>
      <c r="Y1254" s="60">
        <v>0</v>
      </c>
      <c r="Z1254" s="60">
        <v>0</v>
      </c>
      <c r="AA1254" s="60">
        <v>0</v>
      </c>
      <c r="AB1254" s="60">
        <v>0</v>
      </c>
      <c r="AC1254" s="60">
        <v>0</v>
      </c>
      <c r="AD1254" s="60">
        <v>0</v>
      </c>
      <c r="AE1254" s="60">
        <v>0</v>
      </c>
      <c r="AF1254" s="60">
        <v>0</v>
      </c>
      <c r="AG1254" s="60">
        <v>0</v>
      </c>
      <c r="AH1254" s="60">
        <v>0</v>
      </c>
      <c r="AI1254" s="60">
        <v>0</v>
      </c>
      <c r="AJ1254" s="60">
        <v>0</v>
      </c>
      <c r="AK1254" s="60">
        <v>0</v>
      </c>
      <c r="AL1254" s="60">
        <v>0</v>
      </c>
      <c r="AM1254" s="60">
        <v>0</v>
      </c>
      <c r="AN1254" s="60">
        <v>0</v>
      </c>
      <c r="AO1254" s="60">
        <v>0</v>
      </c>
      <c r="AP1254" s="60">
        <v>0</v>
      </c>
      <c r="AQ1254" s="60">
        <v>0</v>
      </c>
      <c r="AR1254" s="61">
        <v>0</v>
      </c>
    </row>
    <row r="1255" spans="1:44" x14ac:dyDescent="0.35">
      <c r="A1255" s="49" t="str">
        <f t="shared" si="103"/>
        <v>10</v>
      </c>
      <c r="B1255" s="27">
        <v>10108</v>
      </c>
      <c r="C1255" s="25" t="str">
        <f>TEXT(109991,"0000000")</f>
        <v>0109991</v>
      </c>
      <c r="D1255" s="26" t="s">
        <v>392</v>
      </c>
      <c r="E1255" s="25" t="s">
        <v>390</v>
      </c>
      <c r="F1255" s="25" t="s">
        <v>389</v>
      </c>
      <c r="G1255" s="59" t="s">
        <v>391</v>
      </c>
      <c r="H1255" s="60">
        <v>0</v>
      </c>
      <c r="I1255" s="60">
        <v>0</v>
      </c>
      <c r="J1255" s="60">
        <v>0</v>
      </c>
      <c r="K1255" s="60">
        <v>0</v>
      </c>
      <c r="L1255" s="60">
        <v>0</v>
      </c>
      <c r="M1255" s="60">
        <v>0</v>
      </c>
      <c r="N1255" s="60">
        <v>0</v>
      </c>
      <c r="O1255" s="60">
        <v>0</v>
      </c>
      <c r="P1255" s="60">
        <v>0</v>
      </c>
      <c r="Q1255" s="60">
        <v>0</v>
      </c>
      <c r="R1255" s="60">
        <v>0</v>
      </c>
      <c r="S1255" s="60">
        <v>0</v>
      </c>
      <c r="T1255" s="60">
        <v>0</v>
      </c>
      <c r="U1255" s="60">
        <v>0</v>
      </c>
      <c r="V1255" s="60">
        <v>0</v>
      </c>
      <c r="W1255" s="60">
        <v>0</v>
      </c>
      <c r="X1255" s="60">
        <v>0</v>
      </c>
      <c r="Y1255" s="60">
        <v>0</v>
      </c>
      <c r="Z1255" s="60">
        <v>0</v>
      </c>
      <c r="AA1255" s="60">
        <v>0</v>
      </c>
      <c r="AB1255" s="60">
        <v>0</v>
      </c>
      <c r="AC1255" s="60">
        <v>1768.78</v>
      </c>
      <c r="AD1255" s="60">
        <v>1764.46</v>
      </c>
      <c r="AE1255" s="60">
        <v>1585.29</v>
      </c>
      <c r="AF1255" s="60">
        <v>0</v>
      </c>
      <c r="AG1255" s="60">
        <v>0</v>
      </c>
      <c r="AH1255" s="60">
        <v>0</v>
      </c>
      <c r="AI1255" s="60">
        <v>1768.78</v>
      </c>
      <c r="AJ1255" s="60">
        <v>1764.46</v>
      </c>
      <c r="AK1255" s="60">
        <v>1585.29</v>
      </c>
      <c r="AL1255" s="60">
        <v>0</v>
      </c>
      <c r="AM1255" s="60">
        <v>0</v>
      </c>
      <c r="AN1255" s="60">
        <v>0</v>
      </c>
      <c r="AO1255" s="60">
        <v>1768.78</v>
      </c>
      <c r="AP1255" s="60">
        <v>1764.46</v>
      </c>
      <c r="AQ1255" s="60">
        <v>1585.29</v>
      </c>
      <c r="AR1255" s="61">
        <v>1768.78</v>
      </c>
    </row>
    <row r="1256" spans="1:44" x14ac:dyDescent="0.35">
      <c r="A1256" s="49" t="str">
        <f t="shared" si="103"/>
        <v>10</v>
      </c>
      <c r="B1256" s="27">
        <v>10108</v>
      </c>
      <c r="C1256" s="25" t="str">
        <f>TEXT(111682,"0000000")</f>
        <v>0111682</v>
      </c>
      <c r="D1256" s="26" t="s">
        <v>395</v>
      </c>
      <c r="E1256" s="25" t="s">
        <v>393</v>
      </c>
      <c r="F1256" s="25" t="s">
        <v>389</v>
      </c>
      <c r="G1256" s="59" t="s">
        <v>394</v>
      </c>
      <c r="H1256" s="60">
        <v>0</v>
      </c>
      <c r="I1256" s="60">
        <v>0</v>
      </c>
      <c r="J1256" s="60">
        <v>0</v>
      </c>
      <c r="K1256" s="60">
        <v>0</v>
      </c>
      <c r="L1256" s="60">
        <v>0</v>
      </c>
      <c r="M1256" s="60">
        <v>0</v>
      </c>
      <c r="N1256" s="60">
        <v>0</v>
      </c>
      <c r="O1256" s="60">
        <v>0</v>
      </c>
      <c r="P1256" s="60">
        <v>0</v>
      </c>
      <c r="Q1256" s="60">
        <v>0</v>
      </c>
      <c r="R1256" s="60">
        <v>0</v>
      </c>
      <c r="S1256" s="60">
        <v>0</v>
      </c>
      <c r="T1256" s="60">
        <v>0</v>
      </c>
      <c r="U1256" s="60">
        <v>0</v>
      </c>
      <c r="V1256" s="60">
        <v>0</v>
      </c>
      <c r="W1256" s="60">
        <v>0</v>
      </c>
      <c r="X1256" s="60">
        <v>0</v>
      </c>
      <c r="Y1256" s="60">
        <v>0</v>
      </c>
      <c r="Z1256" s="60">
        <v>0</v>
      </c>
      <c r="AA1256" s="60">
        <v>0</v>
      </c>
      <c r="AB1256" s="60">
        <v>0</v>
      </c>
      <c r="AC1256" s="60">
        <v>49.76</v>
      </c>
      <c r="AD1256" s="60">
        <v>49.64</v>
      </c>
      <c r="AE1256" s="60">
        <v>59.36</v>
      </c>
      <c r="AF1256" s="60">
        <v>0</v>
      </c>
      <c r="AG1256" s="60">
        <v>0</v>
      </c>
      <c r="AH1256" s="60">
        <v>0</v>
      </c>
      <c r="AI1256" s="60">
        <v>49.76</v>
      </c>
      <c r="AJ1256" s="60">
        <v>49.64</v>
      </c>
      <c r="AK1256" s="60">
        <v>59.36</v>
      </c>
      <c r="AL1256" s="60">
        <v>0</v>
      </c>
      <c r="AM1256" s="60">
        <v>0</v>
      </c>
      <c r="AN1256" s="60">
        <v>0</v>
      </c>
      <c r="AO1256" s="60">
        <v>49.76</v>
      </c>
      <c r="AP1256" s="60">
        <v>49.64</v>
      </c>
      <c r="AQ1256" s="60">
        <v>59.36</v>
      </c>
      <c r="AR1256" s="61">
        <v>59.36</v>
      </c>
    </row>
    <row r="1257" spans="1:44" x14ac:dyDescent="0.35">
      <c r="A1257" s="49" t="str">
        <f t="shared" si="103"/>
        <v>10</v>
      </c>
      <c r="B1257" s="27">
        <v>10108</v>
      </c>
      <c r="C1257" s="25" t="str">
        <f>TEXT(119628,"0000000")</f>
        <v>0119628</v>
      </c>
      <c r="D1257" s="27">
        <v>1085</v>
      </c>
      <c r="E1257" s="25" t="s">
        <v>396</v>
      </c>
      <c r="F1257" s="25" t="s">
        <v>389</v>
      </c>
      <c r="G1257" s="59" t="s">
        <v>397</v>
      </c>
      <c r="H1257" s="60">
        <v>0</v>
      </c>
      <c r="I1257" s="60">
        <v>0</v>
      </c>
      <c r="J1257" s="60">
        <v>0</v>
      </c>
      <c r="K1257" s="60">
        <v>0</v>
      </c>
      <c r="L1257" s="60">
        <v>0</v>
      </c>
      <c r="M1257" s="60">
        <v>0</v>
      </c>
      <c r="N1257" s="60">
        <v>0</v>
      </c>
      <c r="O1257" s="60">
        <v>0</v>
      </c>
      <c r="P1257" s="60">
        <v>0</v>
      </c>
      <c r="Q1257" s="60">
        <v>0</v>
      </c>
      <c r="R1257" s="60">
        <v>0</v>
      </c>
      <c r="S1257" s="60">
        <v>0</v>
      </c>
      <c r="T1257" s="60">
        <v>0</v>
      </c>
      <c r="U1257" s="60">
        <v>0</v>
      </c>
      <c r="V1257" s="60">
        <v>0</v>
      </c>
      <c r="W1257" s="60">
        <v>0</v>
      </c>
      <c r="X1257" s="60">
        <v>0</v>
      </c>
      <c r="Y1257" s="60">
        <v>0</v>
      </c>
      <c r="Z1257" s="60">
        <v>0</v>
      </c>
      <c r="AA1257" s="60">
        <v>0</v>
      </c>
      <c r="AB1257" s="60">
        <v>0</v>
      </c>
      <c r="AC1257" s="60">
        <v>469.12</v>
      </c>
      <c r="AD1257" s="60">
        <v>388.34</v>
      </c>
      <c r="AE1257" s="60">
        <v>486.4</v>
      </c>
      <c r="AF1257" s="60">
        <v>0</v>
      </c>
      <c r="AG1257" s="60">
        <v>0</v>
      </c>
      <c r="AH1257" s="60">
        <v>0</v>
      </c>
      <c r="AI1257" s="60">
        <v>469.12</v>
      </c>
      <c r="AJ1257" s="60">
        <v>388.34</v>
      </c>
      <c r="AK1257" s="60">
        <v>486.4</v>
      </c>
      <c r="AL1257" s="60">
        <v>0</v>
      </c>
      <c r="AM1257" s="60">
        <v>0</v>
      </c>
      <c r="AN1257" s="60">
        <v>0</v>
      </c>
      <c r="AO1257" s="60">
        <v>469.12</v>
      </c>
      <c r="AP1257" s="60">
        <v>388.34</v>
      </c>
      <c r="AQ1257" s="60">
        <v>486.4</v>
      </c>
      <c r="AR1257" s="61">
        <v>486.4</v>
      </c>
    </row>
    <row r="1258" spans="1:44" x14ac:dyDescent="0.35">
      <c r="A1258" s="49" t="str">
        <f t="shared" si="103"/>
        <v>10</v>
      </c>
      <c r="B1258" s="27">
        <v>10108</v>
      </c>
      <c r="C1258" s="25" t="str">
        <f>TEXT(127514,"0000000")</f>
        <v>0127514</v>
      </c>
      <c r="D1258" s="27">
        <v>1503</v>
      </c>
      <c r="E1258" s="25" t="s">
        <v>398</v>
      </c>
      <c r="F1258" s="25" t="s">
        <v>389</v>
      </c>
      <c r="G1258" s="59" t="s">
        <v>399</v>
      </c>
      <c r="H1258" s="60">
        <v>0</v>
      </c>
      <c r="I1258" s="60">
        <v>0</v>
      </c>
      <c r="J1258" s="60">
        <v>0</v>
      </c>
      <c r="K1258" s="60">
        <v>0</v>
      </c>
      <c r="L1258" s="60">
        <v>0</v>
      </c>
      <c r="M1258" s="60">
        <v>0</v>
      </c>
      <c r="N1258" s="60">
        <v>0</v>
      </c>
      <c r="O1258" s="60">
        <v>0</v>
      </c>
      <c r="P1258" s="60">
        <v>0</v>
      </c>
      <c r="Q1258" s="60">
        <v>0</v>
      </c>
      <c r="R1258" s="60">
        <v>0</v>
      </c>
      <c r="S1258" s="60">
        <v>0</v>
      </c>
      <c r="T1258" s="60">
        <v>0</v>
      </c>
      <c r="U1258" s="60">
        <v>0</v>
      </c>
      <c r="V1258" s="60">
        <v>0</v>
      </c>
      <c r="W1258" s="60">
        <v>0</v>
      </c>
      <c r="X1258" s="60">
        <v>0</v>
      </c>
      <c r="Y1258" s="60">
        <v>0</v>
      </c>
      <c r="Z1258" s="60">
        <v>0</v>
      </c>
      <c r="AA1258" s="60">
        <v>0</v>
      </c>
      <c r="AB1258" s="60">
        <v>0</v>
      </c>
      <c r="AC1258" s="60">
        <v>259.83999999999997</v>
      </c>
      <c r="AD1258" s="60">
        <v>322.22000000000003</v>
      </c>
      <c r="AE1258" s="60">
        <v>323.92</v>
      </c>
      <c r="AF1258" s="60">
        <v>0</v>
      </c>
      <c r="AG1258" s="60">
        <v>0</v>
      </c>
      <c r="AH1258" s="60">
        <v>0</v>
      </c>
      <c r="AI1258" s="60">
        <v>259.83999999999997</v>
      </c>
      <c r="AJ1258" s="60">
        <v>322.22000000000003</v>
      </c>
      <c r="AK1258" s="60">
        <v>323.92</v>
      </c>
      <c r="AL1258" s="60">
        <v>0</v>
      </c>
      <c r="AM1258" s="60">
        <v>0</v>
      </c>
      <c r="AN1258" s="60">
        <v>0</v>
      </c>
      <c r="AO1258" s="60">
        <v>259.83999999999997</v>
      </c>
      <c r="AP1258" s="60">
        <v>322.22000000000003</v>
      </c>
      <c r="AQ1258" s="60">
        <v>323.92</v>
      </c>
      <c r="AR1258" s="61">
        <v>323.92</v>
      </c>
    </row>
    <row r="1259" spans="1:44" x14ac:dyDescent="0.35">
      <c r="A1259" s="49" t="str">
        <f t="shared" si="103"/>
        <v>10</v>
      </c>
      <c r="B1259" s="27">
        <v>10108</v>
      </c>
      <c r="C1259" s="25" t="str">
        <f>TEXT(136291,"0000000")</f>
        <v>0136291</v>
      </c>
      <c r="D1259" s="27">
        <v>1850</v>
      </c>
      <c r="E1259" s="25" t="s">
        <v>400</v>
      </c>
      <c r="F1259" s="25" t="s">
        <v>389</v>
      </c>
      <c r="G1259" s="59" t="s">
        <v>401</v>
      </c>
      <c r="H1259" s="60">
        <v>0</v>
      </c>
      <c r="I1259" s="60">
        <v>0</v>
      </c>
      <c r="J1259" s="60">
        <v>0</v>
      </c>
      <c r="K1259" s="60">
        <v>0</v>
      </c>
      <c r="L1259" s="60">
        <v>0</v>
      </c>
      <c r="M1259" s="60">
        <v>0</v>
      </c>
      <c r="N1259" s="60">
        <v>0</v>
      </c>
      <c r="O1259" s="60">
        <v>0</v>
      </c>
      <c r="P1259" s="60">
        <v>0</v>
      </c>
      <c r="Q1259" s="60">
        <v>0</v>
      </c>
      <c r="R1259" s="60">
        <v>0</v>
      </c>
      <c r="S1259" s="60">
        <v>0</v>
      </c>
      <c r="T1259" s="60">
        <v>0</v>
      </c>
      <c r="U1259" s="60">
        <v>0</v>
      </c>
      <c r="V1259" s="60">
        <v>0</v>
      </c>
      <c r="W1259" s="60">
        <v>0</v>
      </c>
      <c r="X1259" s="60">
        <v>0</v>
      </c>
      <c r="Y1259" s="60">
        <v>0</v>
      </c>
      <c r="Z1259" s="60">
        <v>234.48</v>
      </c>
      <c r="AA1259" s="60">
        <v>220.75</v>
      </c>
      <c r="AB1259" s="60">
        <v>227.59</v>
      </c>
      <c r="AC1259" s="60">
        <v>0</v>
      </c>
      <c r="AD1259" s="60">
        <v>0</v>
      </c>
      <c r="AE1259" s="60">
        <v>0</v>
      </c>
      <c r="AF1259" s="60">
        <v>0</v>
      </c>
      <c r="AG1259" s="60">
        <v>0</v>
      </c>
      <c r="AH1259" s="60">
        <v>0</v>
      </c>
      <c r="AI1259" s="60">
        <v>234.48</v>
      </c>
      <c r="AJ1259" s="60">
        <v>220.75</v>
      </c>
      <c r="AK1259" s="60">
        <v>227.59</v>
      </c>
      <c r="AL1259" s="60">
        <v>0</v>
      </c>
      <c r="AM1259" s="60">
        <v>0</v>
      </c>
      <c r="AN1259" s="60">
        <v>0</v>
      </c>
      <c r="AO1259" s="60">
        <v>234.48</v>
      </c>
      <c r="AP1259" s="60">
        <v>220.75</v>
      </c>
      <c r="AQ1259" s="60">
        <v>227.59</v>
      </c>
      <c r="AR1259" s="61">
        <v>234.48</v>
      </c>
    </row>
    <row r="1260" spans="1:44" x14ac:dyDescent="0.35">
      <c r="A1260" s="49" t="str">
        <f t="shared" si="103"/>
        <v>10</v>
      </c>
      <c r="B1260" s="27">
        <v>10108</v>
      </c>
      <c r="C1260" s="25" t="str">
        <f>TEXT(140186,"0000000")</f>
        <v>0140186</v>
      </c>
      <c r="D1260" s="27">
        <v>2101</v>
      </c>
      <c r="E1260" s="25" t="s">
        <v>402</v>
      </c>
      <c r="F1260" s="25" t="s">
        <v>389</v>
      </c>
      <c r="G1260" s="59" t="s">
        <v>403</v>
      </c>
      <c r="H1260" s="60">
        <v>0</v>
      </c>
      <c r="I1260" s="60">
        <v>0</v>
      </c>
      <c r="J1260" s="60">
        <v>0</v>
      </c>
      <c r="K1260" s="60">
        <v>0</v>
      </c>
      <c r="L1260" s="60">
        <v>0</v>
      </c>
      <c r="M1260" s="60">
        <v>0</v>
      </c>
      <c r="N1260" s="60">
        <v>0</v>
      </c>
      <c r="O1260" s="60">
        <v>0</v>
      </c>
      <c r="P1260" s="60">
        <v>0</v>
      </c>
      <c r="Q1260" s="60">
        <v>0</v>
      </c>
      <c r="R1260" s="60">
        <v>0</v>
      </c>
      <c r="S1260" s="60">
        <v>0</v>
      </c>
      <c r="T1260" s="60">
        <v>0</v>
      </c>
      <c r="U1260" s="60">
        <v>0</v>
      </c>
      <c r="V1260" s="60">
        <v>0</v>
      </c>
      <c r="W1260" s="60">
        <v>0</v>
      </c>
      <c r="X1260" s="60">
        <v>0</v>
      </c>
      <c r="Y1260" s="60">
        <v>0</v>
      </c>
      <c r="Z1260" s="60">
        <v>0</v>
      </c>
      <c r="AA1260" s="60">
        <v>0</v>
      </c>
      <c r="AB1260" s="60">
        <v>0</v>
      </c>
      <c r="AC1260" s="60">
        <v>249.01</v>
      </c>
      <c r="AD1260" s="60">
        <v>196.3</v>
      </c>
      <c r="AE1260" s="60">
        <v>129.36000000000001</v>
      </c>
      <c r="AF1260" s="60">
        <v>0</v>
      </c>
      <c r="AG1260" s="60">
        <v>0</v>
      </c>
      <c r="AH1260" s="60">
        <v>0</v>
      </c>
      <c r="AI1260" s="60">
        <v>249.01</v>
      </c>
      <c r="AJ1260" s="60">
        <v>196.3</v>
      </c>
      <c r="AK1260" s="60">
        <v>129.36000000000001</v>
      </c>
      <c r="AL1260" s="60">
        <v>0</v>
      </c>
      <c r="AM1260" s="60">
        <v>0</v>
      </c>
      <c r="AN1260" s="60">
        <v>0</v>
      </c>
      <c r="AO1260" s="60">
        <v>249.01</v>
      </c>
      <c r="AP1260" s="60">
        <v>196.3</v>
      </c>
      <c r="AQ1260" s="60">
        <v>129.36000000000001</v>
      </c>
      <c r="AR1260" s="61">
        <v>249.01</v>
      </c>
    </row>
    <row r="1261" spans="1:44" x14ac:dyDescent="0.35">
      <c r="A1261" s="49" t="str">
        <f t="shared" si="103"/>
        <v>10</v>
      </c>
      <c r="B1261" s="27">
        <v>10108</v>
      </c>
      <c r="C1261" s="25" t="str">
        <f>TEXT(6085112,"0000000")</f>
        <v>6085112</v>
      </c>
      <c r="D1261" s="26" t="s">
        <v>406</v>
      </c>
      <c r="E1261" s="25" t="s">
        <v>404</v>
      </c>
      <c r="F1261" s="25" t="s">
        <v>389</v>
      </c>
      <c r="G1261" s="59" t="s">
        <v>405</v>
      </c>
      <c r="H1261" s="60">
        <v>0</v>
      </c>
      <c r="I1261" s="60">
        <v>0</v>
      </c>
      <c r="J1261" s="60">
        <v>0</v>
      </c>
      <c r="K1261" s="60">
        <v>0</v>
      </c>
      <c r="L1261" s="60">
        <v>0</v>
      </c>
      <c r="M1261" s="60">
        <v>0</v>
      </c>
      <c r="N1261" s="60">
        <v>0</v>
      </c>
      <c r="O1261" s="60">
        <v>0</v>
      </c>
      <c r="P1261" s="60">
        <v>0</v>
      </c>
      <c r="Q1261" s="60">
        <v>0</v>
      </c>
      <c r="R1261" s="60">
        <v>0</v>
      </c>
      <c r="S1261" s="60">
        <v>0</v>
      </c>
      <c r="T1261" s="60">
        <v>0</v>
      </c>
      <c r="U1261" s="60">
        <v>0</v>
      </c>
      <c r="V1261" s="60">
        <v>0</v>
      </c>
      <c r="W1261" s="60">
        <v>0</v>
      </c>
      <c r="X1261" s="60">
        <v>0</v>
      </c>
      <c r="Y1261" s="60">
        <v>0</v>
      </c>
      <c r="Z1261" s="60">
        <v>0</v>
      </c>
      <c r="AA1261" s="60">
        <v>0</v>
      </c>
      <c r="AB1261" s="60">
        <v>0</v>
      </c>
      <c r="AC1261" s="60">
        <v>386.58</v>
      </c>
      <c r="AD1261" s="60">
        <v>390.14</v>
      </c>
      <c r="AE1261" s="60">
        <v>405.61</v>
      </c>
      <c r="AF1261" s="60">
        <v>0</v>
      </c>
      <c r="AG1261" s="60">
        <v>0</v>
      </c>
      <c r="AH1261" s="60">
        <v>0</v>
      </c>
      <c r="AI1261" s="60">
        <v>386.58</v>
      </c>
      <c r="AJ1261" s="60">
        <v>390.14</v>
      </c>
      <c r="AK1261" s="60">
        <v>405.61</v>
      </c>
      <c r="AL1261" s="60">
        <v>0</v>
      </c>
      <c r="AM1261" s="60">
        <v>0</v>
      </c>
      <c r="AN1261" s="60">
        <v>0</v>
      </c>
      <c r="AO1261" s="60">
        <v>386.58</v>
      </c>
      <c r="AP1261" s="60">
        <v>390.14</v>
      </c>
      <c r="AQ1261" s="60">
        <v>405.61</v>
      </c>
      <c r="AR1261" s="61">
        <v>405.61</v>
      </c>
    </row>
    <row r="1262" spans="1:44" x14ac:dyDescent="0.35">
      <c r="A1262" s="49" t="str">
        <f t="shared" si="103"/>
        <v>10</v>
      </c>
      <c r="B1262" s="27">
        <v>62166</v>
      </c>
      <c r="C1262" s="25" t="str">
        <f>TEXT(114553,"0000000")</f>
        <v>0114553</v>
      </c>
      <c r="D1262" s="26" t="s">
        <v>431</v>
      </c>
      <c r="E1262" s="25" t="s">
        <v>429</v>
      </c>
      <c r="F1262" s="25" t="s">
        <v>389</v>
      </c>
      <c r="G1262" s="59" t="s">
        <v>430</v>
      </c>
      <c r="H1262" s="60">
        <v>0</v>
      </c>
      <c r="I1262" s="60">
        <v>0</v>
      </c>
      <c r="J1262" s="60">
        <v>0</v>
      </c>
      <c r="K1262" s="60">
        <v>0</v>
      </c>
      <c r="L1262" s="60">
        <v>0</v>
      </c>
      <c r="M1262" s="60">
        <v>0</v>
      </c>
      <c r="N1262" s="60">
        <v>0</v>
      </c>
      <c r="O1262" s="60">
        <v>0</v>
      </c>
      <c r="P1262" s="60">
        <v>0</v>
      </c>
      <c r="Q1262" s="60">
        <v>0</v>
      </c>
      <c r="R1262" s="60">
        <v>0</v>
      </c>
      <c r="S1262" s="60">
        <v>0</v>
      </c>
      <c r="T1262" s="60">
        <v>0</v>
      </c>
      <c r="U1262" s="60">
        <v>0</v>
      </c>
      <c r="V1262" s="60">
        <v>0</v>
      </c>
      <c r="W1262" s="60">
        <v>0</v>
      </c>
      <c r="X1262" s="60">
        <v>0</v>
      </c>
      <c r="Y1262" s="60">
        <v>0</v>
      </c>
      <c r="Z1262" s="60">
        <v>0</v>
      </c>
      <c r="AA1262" s="60">
        <v>0</v>
      </c>
      <c r="AB1262" s="60">
        <v>0</v>
      </c>
      <c r="AC1262" s="60">
        <v>467.26</v>
      </c>
      <c r="AD1262" s="60">
        <v>470.23</v>
      </c>
      <c r="AE1262" s="60">
        <v>475.39</v>
      </c>
      <c r="AF1262" s="60">
        <v>0</v>
      </c>
      <c r="AG1262" s="60">
        <v>0</v>
      </c>
      <c r="AH1262" s="60">
        <v>0</v>
      </c>
      <c r="AI1262" s="60">
        <v>467.26</v>
      </c>
      <c r="AJ1262" s="60">
        <v>470.23</v>
      </c>
      <c r="AK1262" s="60">
        <v>475.39</v>
      </c>
      <c r="AL1262" s="60">
        <v>0</v>
      </c>
      <c r="AM1262" s="60">
        <v>0</v>
      </c>
      <c r="AN1262" s="60">
        <v>0</v>
      </c>
      <c r="AO1262" s="60">
        <v>467.26</v>
      </c>
      <c r="AP1262" s="60">
        <v>470.23</v>
      </c>
      <c r="AQ1262" s="60">
        <v>475.39</v>
      </c>
      <c r="AR1262" s="61">
        <v>475.39</v>
      </c>
    </row>
    <row r="1263" spans="1:44" x14ac:dyDescent="0.35">
      <c r="A1263" s="49" t="str">
        <f t="shared" si="103"/>
        <v>10</v>
      </c>
      <c r="B1263" s="27">
        <v>62166</v>
      </c>
      <c r="C1263" s="25" t="str">
        <f>TEXT(140038,"0000000")</f>
        <v>0140038</v>
      </c>
      <c r="D1263" s="27">
        <v>2099</v>
      </c>
      <c r="E1263" s="25" t="s">
        <v>434</v>
      </c>
      <c r="F1263" s="25" t="s">
        <v>389</v>
      </c>
      <c r="G1263" s="59" t="s">
        <v>435</v>
      </c>
      <c r="H1263" s="60">
        <v>0</v>
      </c>
      <c r="I1263" s="60">
        <v>0</v>
      </c>
      <c r="J1263" s="60">
        <v>0</v>
      </c>
      <c r="K1263" s="60">
        <v>0</v>
      </c>
      <c r="L1263" s="60">
        <v>0</v>
      </c>
      <c r="M1263" s="60">
        <v>0</v>
      </c>
      <c r="N1263" s="60">
        <v>0</v>
      </c>
      <c r="O1263" s="60">
        <v>0</v>
      </c>
      <c r="P1263" s="60">
        <v>0</v>
      </c>
      <c r="Q1263" s="60">
        <v>0</v>
      </c>
      <c r="R1263" s="60">
        <v>0</v>
      </c>
      <c r="S1263" s="60">
        <v>0</v>
      </c>
      <c r="T1263" s="60">
        <v>0</v>
      </c>
      <c r="U1263" s="60">
        <v>0</v>
      </c>
      <c r="V1263" s="60">
        <v>0</v>
      </c>
      <c r="W1263" s="60">
        <v>0</v>
      </c>
      <c r="X1263" s="60">
        <v>0</v>
      </c>
      <c r="Y1263" s="60">
        <v>0</v>
      </c>
      <c r="Z1263" s="60">
        <v>0</v>
      </c>
      <c r="AA1263" s="60">
        <v>0</v>
      </c>
      <c r="AB1263" s="60">
        <v>0</v>
      </c>
      <c r="AC1263" s="60">
        <v>335.58</v>
      </c>
      <c r="AD1263" s="60">
        <v>325.74</v>
      </c>
      <c r="AE1263" s="60">
        <v>305.95</v>
      </c>
      <c r="AF1263" s="60">
        <v>0</v>
      </c>
      <c r="AG1263" s="60">
        <v>0</v>
      </c>
      <c r="AH1263" s="60">
        <v>0</v>
      </c>
      <c r="AI1263" s="60">
        <v>335.58</v>
      </c>
      <c r="AJ1263" s="60">
        <v>325.74</v>
      </c>
      <c r="AK1263" s="60">
        <v>305.95</v>
      </c>
      <c r="AL1263" s="60">
        <v>0</v>
      </c>
      <c r="AM1263" s="60">
        <v>0</v>
      </c>
      <c r="AN1263" s="60">
        <v>0</v>
      </c>
      <c r="AO1263" s="60">
        <v>335.58</v>
      </c>
      <c r="AP1263" s="60">
        <v>325.74</v>
      </c>
      <c r="AQ1263" s="60">
        <v>305.95</v>
      </c>
      <c r="AR1263" s="61">
        <v>335.58</v>
      </c>
    </row>
    <row r="1264" spans="1:44" x14ac:dyDescent="0.35">
      <c r="A1264" s="49" t="str">
        <f t="shared" si="103"/>
        <v>10</v>
      </c>
      <c r="B1264" s="27">
        <v>62166</v>
      </c>
      <c r="C1264" s="25" t="str">
        <f>TEXT(140764,"0000000")</f>
        <v>0140764</v>
      </c>
      <c r="D1264" s="27">
        <v>2113</v>
      </c>
      <c r="E1264" s="25" t="s">
        <v>436</v>
      </c>
      <c r="F1264" s="25" t="s">
        <v>389</v>
      </c>
      <c r="G1264" s="59" t="s">
        <v>437</v>
      </c>
      <c r="H1264" s="60">
        <v>0</v>
      </c>
      <c r="I1264" s="60">
        <v>0</v>
      </c>
      <c r="J1264" s="60">
        <v>0</v>
      </c>
      <c r="K1264" s="60">
        <v>0</v>
      </c>
      <c r="L1264" s="60">
        <v>0</v>
      </c>
      <c r="M1264" s="60">
        <v>0</v>
      </c>
      <c r="N1264" s="60">
        <v>0</v>
      </c>
      <c r="O1264" s="60">
        <v>0</v>
      </c>
      <c r="P1264" s="60">
        <v>0</v>
      </c>
      <c r="Q1264" s="60">
        <v>0</v>
      </c>
      <c r="R1264" s="60">
        <v>0</v>
      </c>
      <c r="S1264" s="60">
        <v>0</v>
      </c>
      <c r="T1264" s="60">
        <v>0</v>
      </c>
      <c r="U1264" s="60">
        <v>0</v>
      </c>
      <c r="V1264" s="60">
        <v>0</v>
      </c>
      <c r="W1264" s="60">
        <v>0</v>
      </c>
      <c r="X1264" s="60">
        <v>0</v>
      </c>
      <c r="Y1264" s="60">
        <v>0</v>
      </c>
      <c r="Z1264" s="60">
        <v>0</v>
      </c>
      <c r="AA1264" s="60">
        <v>0</v>
      </c>
      <c r="AB1264" s="60">
        <v>0</v>
      </c>
      <c r="AC1264" s="60">
        <v>286.82</v>
      </c>
      <c r="AD1264" s="60">
        <v>231.95</v>
      </c>
      <c r="AE1264" s="60">
        <v>0</v>
      </c>
      <c r="AF1264" s="60">
        <v>0</v>
      </c>
      <c r="AG1264" s="60">
        <v>0</v>
      </c>
      <c r="AH1264" s="60">
        <v>0</v>
      </c>
      <c r="AI1264" s="60">
        <v>286.82</v>
      </c>
      <c r="AJ1264" s="60">
        <v>231.95</v>
      </c>
      <c r="AK1264" s="60">
        <v>0</v>
      </c>
      <c r="AL1264" s="60">
        <v>0</v>
      </c>
      <c r="AM1264" s="60">
        <v>0</v>
      </c>
      <c r="AN1264" s="60">
        <v>170.34</v>
      </c>
      <c r="AO1264" s="60">
        <v>286.82</v>
      </c>
      <c r="AP1264" s="60">
        <v>231.95</v>
      </c>
      <c r="AQ1264" s="60">
        <v>170.34</v>
      </c>
      <c r="AR1264" s="61">
        <v>286.82</v>
      </c>
    </row>
    <row r="1265" spans="1:44" x14ac:dyDescent="0.35">
      <c r="A1265" s="49" t="str">
        <f t="shared" si="103"/>
        <v>10</v>
      </c>
      <c r="B1265" s="27">
        <v>62380</v>
      </c>
      <c r="C1265" s="25" t="str">
        <f>TEXT(136499,"0000000")</f>
        <v>0136499</v>
      </c>
      <c r="D1265" s="27">
        <v>1905</v>
      </c>
      <c r="E1265" s="25" t="s">
        <v>462</v>
      </c>
      <c r="F1265" s="25" t="s">
        <v>389</v>
      </c>
      <c r="G1265" s="59" t="s">
        <v>463</v>
      </c>
      <c r="H1265" s="60">
        <v>0</v>
      </c>
      <c r="I1265" s="60">
        <v>0</v>
      </c>
      <c r="J1265" s="60">
        <v>0</v>
      </c>
      <c r="K1265" s="60">
        <v>0</v>
      </c>
      <c r="L1265" s="60">
        <v>0</v>
      </c>
      <c r="M1265" s="60">
        <v>0</v>
      </c>
      <c r="N1265" s="60">
        <v>0</v>
      </c>
      <c r="O1265" s="60">
        <v>0</v>
      </c>
      <c r="P1265" s="60">
        <v>0</v>
      </c>
      <c r="Q1265" s="60">
        <v>0</v>
      </c>
      <c r="R1265" s="60">
        <v>0</v>
      </c>
      <c r="S1265" s="60">
        <v>0</v>
      </c>
      <c r="T1265" s="60">
        <v>0</v>
      </c>
      <c r="U1265" s="60">
        <v>0</v>
      </c>
      <c r="V1265" s="60">
        <v>0</v>
      </c>
      <c r="W1265" s="60">
        <v>0</v>
      </c>
      <c r="X1265" s="60">
        <v>0</v>
      </c>
      <c r="Y1265" s="60">
        <v>0</v>
      </c>
      <c r="Z1265" s="60">
        <v>0</v>
      </c>
      <c r="AA1265" s="60">
        <v>0</v>
      </c>
      <c r="AB1265" s="60">
        <v>0</v>
      </c>
      <c r="AC1265" s="60">
        <v>362.84</v>
      </c>
      <c r="AD1265" s="60">
        <v>336.45</v>
      </c>
      <c r="AE1265" s="60">
        <v>355.23</v>
      </c>
      <c r="AF1265" s="60">
        <v>0</v>
      </c>
      <c r="AG1265" s="60">
        <v>0</v>
      </c>
      <c r="AH1265" s="60">
        <v>0</v>
      </c>
      <c r="AI1265" s="60">
        <v>362.84</v>
      </c>
      <c r="AJ1265" s="60">
        <v>336.45</v>
      </c>
      <c r="AK1265" s="60">
        <v>355.23</v>
      </c>
      <c r="AL1265" s="60">
        <v>0</v>
      </c>
      <c r="AM1265" s="60">
        <v>0</v>
      </c>
      <c r="AN1265" s="60">
        <v>0</v>
      </c>
      <c r="AO1265" s="60">
        <v>362.84</v>
      </c>
      <c r="AP1265" s="60">
        <v>336.45</v>
      </c>
      <c r="AQ1265" s="60">
        <v>355.23</v>
      </c>
      <c r="AR1265" s="61">
        <v>362.84</v>
      </c>
    </row>
    <row r="1266" spans="1:44" x14ac:dyDescent="0.35">
      <c r="A1266" s="49" t="str">
        <f t="shared" si="103"/>
        <v>10</v>
      </c>
      <c r="B1266" s="27">
        <v>62547</v>
      </c>
      <c r="C1266" s="25" t="str">
        <f>TEXT(136523,"0000000")</f>
        <v>0136523</v>
      </c>
      <c r="D1266" s="27">
        <v>1893</v>
      </c>
      <c r="E1266" s="25" t="s">
        <v>476</v>
      </c>
      <c r="F1266" s="25" t="s">
        <v>389</v>
      </c>
      <c r="G1266" s="59" t="s">
        <v>477</v>
      </c>
      <c r="H1266" s="60">
        <v>0</v>
      </c>
      <c r="I1266" s="60">
        <v>0</v>
      </c>
      <c r="J1266" s="60">
        <v>0</v>
      </c>
      <c r="K1266" s="60">
        <v>0</v>
      </c>
      <c r="L1266" s="60">
        <v>0</v>
      </c>
      <c r="M1266" s="60">
        <v>0</v>
      </c>
      <c r="N1266" s="60">
        <v>0</v>
      </c>
      <c r="O1266" s="60">
        <v>0</v>
      </c>
      <c r="P1266" s="60">
        <v>0</v>
      </c>
      <c r="Q1266" s="60">
        <v>0</v>
      </c>
      <c r="R1266" s="60">
        <v>0</v>
      </c>
      <c r="S1266" s="60">
        <v>0</v>
      </c>
      <c r="T1266" s="60">
        <v>0</v>
      </c>
      <c r="U1266" s="60">
        <v>0</v>
      </c>
      <c r="V1266" s="60">
        <v>0</v>
      </c>
      <c r="W1266" s="60">
        <v>0</v>
      </c>
      <c r="X1266" s="60">
        <v>0</v>
      </c>
      <c r="Y1266" s="60">
        <v>0</v>
      </c>
      <c r="Z1266" s="60">
        <v>0</v>
      </c>
      <c r="AA1266" s="60">
        <v>0</v>
      </c>
      <c r="AB1266" s="60">
        <v>0</v>
      </c>
      <c r="AC1266" s="60">
        <v>1331.88</v>
      </c>
      <c r="AD1266" s="60">
        <v>1348.33</v>
      </c>
      <c r="AE1266" s="60">
        <v>1303.19</v>
      </c>
      <c r="AF1266" s="60">
        <v>0</v>
      </c>
      <c r="AG1266" s="60">
        <v>0</v>
      </c>
      <c r="AH1266" s="60">
        <v>0</v>
      </c>
      <c r="AI1266" s="60">
        <v>1331.88</v>
      </c>
      <c r="AJ1266" s="60">
        <v>1348.33</v>
      </c>
      <c r="AK1266" s="60">
        <v>1303.19</v>
      </c>
      <c r="AL1266" s="60">
        <v>0</v>
      </c>
      <c r="AM1266" s="60">
        <v>0</v>
      </c>
      <c r="AN1266" s="60">
        <v>0</v>
      </c>
      <c r="AO1266" s="60">
        <v>1331.88</v>
      </c>
      <c r="AP1266" s="60">
        <v>1348.33</v>
      </c>
      <c r="AQ1266" s="60">
        <v>1303.19</v>
      </c>
      <c r="AR1266" s="61">
        <v>1348.33</v>
      </c>
    </row>
    <row r="1267" spans="1:44" x14ac:dyDescent="0.35">
      <c r="A1267" s="49" t="str">
        <f>TEXT(16,"00")</f>
        <v>16</v>
      </c>
      <c r="B1267" s="27">
        <v>63958</v>
      </c>
      <c r="C1267" s="25" t="str">
        <f>TEXT(136556,"0000000")</f>
        <v>0136556</v>
      </c>
      <c r="D1267" s="27">
        <v>1896</v>
      </c>
      <c r="E1267" s="25" t="s">
        <v>774</v>
      </c>
      <c r="F1267" s="25" t="s">
        <v>389</v>
      </c>
      <c r="G1267" s="59" t="s">
        <v>775</v>
      </c>
      <c r="H1267" s="60">
        <v>0</v>
      </c>
      <c r="I1267" s="60">
        <v>0</v>
      </c>
      <c r="J1267" s="60">
        <v>0</v>
      </c>
      <c r="K1267" s="60">
        <v>0</v>
      </c>
      <c r="L1267" s="60">
        <v>0</v>
      </c>
      <c r="M1267" s="60">
        <v>0</v>
      </c>
      <c r="N1267" s="60">
        <v>0</v>
      </c>
      <c r="O1267" s="60">
        <v>0</v>
      </c>
      <c r="P1267" s="60">
        <v>0</v>
      </c>
      <c r="Q1267" s="60">
        <v>0</v>
      </c>
      <c r="R1267" s="60">
        <v>0</v>
      </c>
      <c r="S1267" s="60">
        <v>0</v>
      </c>
      <c r="T1267" s="60">
        <v>0</v>
      </c>
      <c r="U1267" s="60">
        <v>0</v>
      </c>
      <c r="V1267" s="60">
        <v>0</v>
      </c>
      <c r="W1267" s="60">
        <v>0</v>
      </c>
      <c r="X1267" s="60">
        <v>0</v>
      </c>
      <c r="Y1267" s="60">
        <v>0</v>
      </c>
      <c r="Z1267" s="60">
        <v>0</v>
      </c>
      <c r="AA1267" s="60">
        <v>0</v>
      </c>
      <c r="AB1267" s="60">
        <v>0</v>
      </c>
      <c r="AC1267" s="60">
        <v>1169.1400000000001</v>
      </c>
      <c r="AD1267" s="60">
        <v>1114.98</v>
      </c>
      <c r="AE1267" s="60">
        <v>1053.8</v>
      </c>
      <c r="AF1267" s="60">
        <v>0</v>
      </c>
      <c r="AG1267" s="60">
        <v>0</v>
      </c>
      <c r="AH1267" s="60">
        <v>0</v>
      </c>
      <c r="AI1267" s="60">
        <v>1169.1400000000001</v>
      </c>
      <c r="AJ1267" s="60">
        <v>1114.98</v>
      </c>
      <c r="AK1267" s="60">
        <v>1053.8</v>
      </c>
      <c r="AL1267" s="60">
        <v>0</v>
      </c>
      <c r="AM1267" s="60">
        <v>0</v>
      </c>
      <c r="AN1267" s="60">
        <v>0</v>
      </c>
      <c r="AO1267" s="60">
        <v>1169.1400000000001</v>
      </c>
      <c r="AP1267" s="60">
        <v>1114.98</v>
      </c>
      <c r="AQ1267" s="60">
        <v>1053.8</v>
      </c>
      <c r="AR1267" s="61">
        <v>1169.1400000000001</v>
      </c>
    </row>
    <row r="1268" spans="1:44" x14ac:dyDescent="0.35">
      <c r="A1268" s="49" t="str">
        <f>TEXT(34,"00")</f>
        <v>34</v>
      </c>
      <c r="B1268" s="27">
        <v>67421</v>
      </c>
      <c r="C1268" s="25" t="str">
        <f>TEXT(132019,"0000000")</f>
        <v>0132019</v>
      </c>
      <c r="D1268" s="27">
        <v>1727</v>
      </c>
      <c r="E1268" s="25" t="s">
        <v>1815</v>
      </c>
      <c r="F1268" s="25" t="s">
        <v>389</v>
      </c>
      <c r="G1268" s="59" t="s">
        <v>1816</v>
      </c>
      <c r="H1268" s="60">
        <v>0</v>
      </c>
      <c r="I1268" s="60">
        <v>0</v>
      </c>
      <c r="J1268" s="60">
        <v>0</v>
      </c>
      <c r="K1268" s="60">
        <v>0</v>
      </c>
      <c r="L1268" s="60">
        <v>0</v>
      </c>
      <c r="M1268" s="60">
        <v>0</v>
      </c>
      <c r="N1268" s="60">
        <v>0</v>
      </c>
      <c r="O1268" s="60">
        <v>0</v>
      </c>
      <c r="P1268" s="60">
        <v>0</v>
      </c>
      <c r="Q1268" s="60">
        <v>0</v>
      </c>
      <c r="R1268" s="60">
        <v>0</v>
      </c>
      <c r="S1268" s="60">
        <v>0</v>
      </c>
      <c r="T1268" s="60">
        <v>0</v>
      </c>
      <c r="U1268" s="60">
        <v>0</v>
      </c>
      <c r="V1268" s="60">
        <v>0</v>
      </c>
      <c r="W1268" s="60">
        <v>0</v>
      </c>
      <c r="X1268" s="60">
        <v>0</v>
      </c>
      <c r="Y1268" s="60">
        <v>0</v>
      </c>
      <c r="Z1268" s="60">
        <v>0</v>
      </c>
      <c r="AA1268" s="60">
        <v>0</v>
      </c>
      <c r="AB1268" s="60">
        <v>0</v>
      </c>
      <c r="AC1268" s="60">
        <v>109.35</v>
      </c>
      <c r="AD1268" s="60">
        <v>73.02</v>
      </c>
      <c r="AE1268" s="60">
        <v>21.83</v>
      </c>
      <c r="AF1268" s="60">
        <v>0</v>
      </c>
      <c r="AG1268" s="60">
        <v>0</v>
      </c>
      <c r="AH1268" s="60">
        <v>0</v>
      </c>
      <c r="AI1268" s="60">
        <v>109.35</v>
      </c>
      <c r="AJ1268" s="60">
        <v>73.02</v>
      </c>
      <c r="AK1268" s="60">
        <v>21.83</v>
      </c>
      <c r="AL1268" s="60">
        <v>0</v>
      </c>
      <c r="AM1268" s="60">
        <v>0</v>
      </c>
      <c r="AN1268" s="60">
        <v>0</v>
      </c>
      <c r="AO1268" s="60">
        <v>109.35</v>
      </c>
      <c r="AP1268" s="60">
        <v>73.02</v>
      </c>
      <c r="AQ1268" s="60">
        <v>21.83</v>
      </c>
      <c r="AR1268" s="61">
        <v>109.35</v>
      </c>
    </row>
    <row r="1269" spans="1:44" x14ac:dyDescent="0.35">
      <c r="A1269" s="49" t="str">
        <f>TEXT(34,"00")</f>
        <v>34</v>
      </c>
      <c r="B1269" s="27">
        <v>67421</v>
      </c>
      <c r="C1269" s="25" t="str">
        <f>TEXT(137950,"0000000")</f>
        <v>0137950</v>
      </c>
      <c r="D1269" s="27">
        <v>1970</v>
      </c>
      <c r="E1269" s="25" t="s">
        <v>1817</v>
      </c>
      <c r="F1269" s="25" t="s">
        <v>389</v>
      </c>
      <c r="G1269" s="59" t="s">
        <v>1818</v>
      </c>
      <c r="H1269" s="60">
        <v>0</v>
      </c>
      <c r="I1269" s="60">
        <v>0</v>
      </c>
      <c r="J1269" s="60">
        <v>0</v>
      </c>
      <c r="K1269" s="60">
        <v>0</v>
      </c>
      <c r="L1269" s="60">
        <v>0</v>
      </c>
      <c r="M1269" s="60">
        <v>0</v>
      </c>
      <c r="N1269" s="60">
        <v>0</v>
      </c>
      <c r="O1269" s="60">
        <v>0</v>
      </c>
      <c r="P1269" s="60">
        <v>0</v>
      </c>
      <c r="Q1269" s="60">
        <v>0</v>
      </c>
      <c r="R1269" s="60">
        <v>0</v>
      </c>
      <c r="S1269" s="60">
        <v>0</v>
      </c>
      <c r="T1269" s="60">
        <v>0</v>
      </c>
      <c r="U1269" s="60">
        <v>0</v>
      </c>
      <c r="V1269" s="60">
        <v>0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449.13</v>
      </c>
      <c r="AD1269" s="60">
        <v>383.25</v>
      </c>
      <c r="AE1269" s="60">
        <v>339.46</v>
      </c>
      <c r="AF1269" s="60">
        <v>0</v>
      </c>
      <c r="AG1269" s="60">
        <v>0</v>
      </c>
      <c r="AH1269" s="60">
        <v>0</v>
      </c>
      <c r="AI1269" s="60">
        <v>449.13</v>
      </c>
      <c r="AJ1269" s="60">
        <v>383.25</v>
      </c>
      <c r="AK1269" s="60">
        <v>339.46</v>
      </c>
      <c r="AL1269" s="60">
        <v>0</v>
      </c>
      <c r="AM1269" s="60">
        <v>0</v>
      </c>
      <c r="AN1269" s="60">
        <v>0</v>
      </c>
      <c r="AO1269" s="60">
        <v>449.13</v>
      </c>
      <c r="AP1269" s="60">
        <v>383.25</v>
      </c>
      <c r="AQ1269" s="60">
        <v>339.46</v>
      </c>
      <c r="AR1269" s="61">
        <v>449.13</v>
      </c>
    </row>
    <row r="1270" spans="1:44" x14ac:dyDescent="0.35">
      <c r="A1270" s="49" t="str">
        <f>TEXT(39,"00")</f>
        <v>39</v>
      </c>
      <c r="B1270" s="27">
        <v>68627</v>
      </c>
      <c r="C1270" s="25" t="str">
        <f>TEXT(126755,"0000000")</f>
        <v>0126755</v>
      </c>
      <c r="D1270" s="27">
        <v>1448</v>
      </c>
      <c r="E1270" s="25" t="s">
        <v>2442</v>
      </c>
      <c r="F1270" s="25" t="s">
        <v>389</v>
      </c>
      <c r="G1270" s="59" t="s">
        <v>3543</v>
      </c>
      <c r="H1270" s="60">
        <v>0</v>
      </c>
      <c r="I1270" s="60">
        <v>0</v>
      </c>
      <c r="J1270" s="60">
        <v>0</v>
      </c>
      <c r="K1270" s="60">
        <v>0</v>
      </c>
      <c r="L1270" s="60">
        <v>0</v>
      </c>
      <c r="M1270" s="60">
        <v>0</v>
      </c>
      <c r="N1270" s="60">
        <v>0</v>
      </c>
      <c r="O1270" s="60">
        <v>0</v>
      </c>
      <c r="P1270" s="60">
        <v>0</v>
      </c>
      <c r="Q1270" s="60">
        <v>0</v>
      </c>
      <c r="R1270" s="60">
        <v>0</v>
      </c>
      <c r="S1270" s="60">
        <v>0</v>
      </c>
      <c r="T1270" s="60">
        <v>0</v>
      </c>
      <c r="U1270" s="60">
        <v>0</v>
      </c>
      <c r="V1270" s="60">
        <v>0</v>
      </c>
      <c r="W1270" s="60">
        <v>0</v>
      </c>
      <c r="X1270" s="60">
        <v>0</v>
      </c>
      <c r="Y1270" s="60">
        <v>0</v>
      </c>
      <c r="Z1270" s="60">
        <v>0</v>
      </c>
      <c r="AA1270" s="60">
        <v>0</v>
      </c>
      <c r="AB1270" s="60">
        <v>0</v>
      </c>
      <c r="AC1270" s="60">
        <v>1096.47</v>
      </c>
      <c r="AD1270" s="60">
        <v>1081.3</v>
      </c>
      <c r="AE1270" s="60">
        <v>922.1</v>
      </c>
      <c r="AF1270" s="60">
        <v>0</v>
      </c>
      <c r="AG1270" s="60">
        <v>0</v>
      </c>
      <c r="AH1270" s="60">
        <v>0</v>
      </c>
      <c r="AI1270" s="60">
        <v>1096.47</v>
      </c>
      <c r="AJ1270" s="60">
        <v>1081.3</v>
      </c>
      <c r="AK1270" s="60">
        <v>922.1</v>
      </c>
      <c r="AL1270" s="60">
        <v>0</v>
      </c>
      <c r="AM1270" s="60">
        <v>0</v>
      </c>
      <c r="AN1270" s="60">
        <v>0</v>
      </c>
      <c r="AO1270" s="60">
        <v>1096.47</v>
      </c>
      <c r="AP1270" s="60">
        <v>1081.3</v>
      </c>
      <c r="AQ1270" s="60">
        <v>922.1</v>
      </c>
      <c r="AR1270" s="61">
        <v>1096.47</v>
      </c>
    </row>
    <row r="1271" spans="1:44" x14ac:dyDescent="0.35">
      <c r="A1271" s="49" t="str">
        <f>TEXT(54,"00")</f>
        <v>54</v>
      </c>
      <c r="B1271" s="27">
        <v>72140</v>
      </c>
      <c r="C1271" s="25" t="str">
        <f>TEXT(136507,"0000000")</f>
        <v>0136507</v>
      </c>
      <c r="D1271" s="27">
        <v>1894</v>
      </c>
      <c r="E1271" s="25" t="s">
        <v>3376</v>
      </c>
      <c r="F1271" s="25" t="s">
        <v>389</v>
      </c>
      <c r="G1271" s="59" t="s">
        <v>3377</v>
      </c>
      <c r="H1271" s="60">
        <v>0</v>
      </c>
      <c r="I1271" s="60">
        <v>0</v>
      </c>
      <c r="J1271" s="60">
        <v>0</v>
      </c>
      <c r="K1271" s="60">
        <v>0</v>
      </c>
      <c r="L1271" s="60">
        <v>0</v>
      </c>
      <c r="M1271" s="60">
        <v>0</v>
      </c>
      <c r="N1271" s="60">
        <v>0</v>
      </c>
      <c r="O1271" s="60">
        <v>0</v>
      </c>
      <c r="P1271" s="60">
        <v>0</v>
      </c>
      <c r="Q1271" s="60">
        <v>0</v>
      </c>
      <c r="R1271" s="60">
        <v>0</v>
      </c>
      <c r="S1271" s="60">
        <v>0</v>
      </c>
      <c r="T1271" s="60">
        <v>0</v>
      </c>
      <c r="U1271" s="60">
        <v>0</v>
      </c>
      <c r="V1271" s="60">
        <v>0</v>
      </c>
      <c r="W1271" s="60">
        <v>0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v>830.18</v>
      </c>
      <c r="AD1271" s="60">
        <v>735.87</v>
      </c>
      <c r="AE1271" s="60">
        <v>623.77</v>
      </c>
      <c r="AF1271" s="60">
        <v>0</v>
      </c>
      <c r="AG1271" s="60">
        <v>0</v>
      </c>
      <c r="AH1271" s="60">
        <v>0</v>
      </c>
      <c r="AI1271" s="60">
        <v>830.18</v>
      </c>
      <c r="AJ1271" s="60">
        <v>735.87</v>
      </c>
      <c r="AK1271" s="60">
        <v>623.77</v>
      </c>
      <c r="AL1271" s="60">
        <v>0</v>
      </c>
      <c r="AM1271" s="60">
        <v>0</v>
      </c>
      <c r="AN1271" s="60">
        <v>0</v>
      </c>
      <c r="AO1271" s="60">
        <v>830.18</v>
      </c>
      <c r="AP1271" s="60">
        <v>735.87</v>
      </c>
      <c r="AQ1271" s="60">
        <v>623.77</v>
      </c>
      <c r="AR1271" s="61">
        <v>830.18</v>
      </c>
    </row>
    <row r="1272" spans="1:44" x14ac:dyDescent="0.35">
      <c r="A1272" s="49" t="str">
        <f>TEXT(19,"00")</f>
        <v>19</v>
      </c>
      <c r="B1272" s="27">
        <v>10199</v>
      </c>
      <c r="C1272" s="25" t="str">
        <f>TEXT(,"0000000")</f>
        <v>0000000</v>
      </c>
      <c r="D1272" s="26" t="s">
        <v>3663</v>
      </c>
      <c r="E1272" s="25" t="s">
        <v>504</v>
      </c>
      <c r="F1272" s="25" t="s">
        <v>505</v>
      </c>
      <c r="G1272" s="59" t="s">
        <v>505</v>
      </c>
      <c r="H1272" s="60">
        <v>0</v>
      </c>
      <c r="I1272" s="60">
        <v>0</v>
      </c>
      <c r="J1272" s="60">
        <v>0</v>
      </c>
      <c r="K1272" s="60">
        <v>0</v>
      </c>
      <c r="L1272" s="60">
        <v>0</v>
      </c>
      <c r="M1272" s="60">
        <v>0</v>
      </c>
      <c r="N1272" s="60">
        <v>0</v>
      </c>
      <c r="O1272" s="60">
        <v>0</v>
      </c>
      <c r="P1272" s="60">
        <v>0</v>
      </c>
      <c r="Q1272" s="60">
        <v>0</v>
      </c>
      <c r="R1272" s="60">
        <v>0</v>
      </c>
      <c r="S1272" s="60">
        <v>0</v>
      </c>
      <c r="T1272" s="60">
        <v>0</v>
      </c>
      <c r="U1272" s="60">
        <v>0</v>
      </c>
      <c r="V1272" s="60">
        <v>0</v>
      </c>
      <c r="W1272" s="60">
        <v>0</v>
      </c>
      <c r="X1272" s="60">
        <v>0</v>
      </c>
      <c r="Y1272" s="60">
        <v>0</v>
      </c>
      <c r="Z1272" s="60">
        <v>0</v>
      </c>
      <c r="AA1272" s="60">
        <v>0</v>
      </c>
      <c r="AB1272" s="60">
        <v>0</v>
      </c>
      <c r="AC1272" s="60">
        <v>0</v>
      </c>
      <c r="AD1272" s="60">
        <v>0</v>
      </c>
      <c r="AE1272" s="60">
        <v>0</v>
      </c>
      <c r="AF1272" s="60">
        <v>0</v>
      </c>
      <c r="AG1272" s="60">
        <v>0</v>
      </c>
      <c r="AH1272" s="60">
        <v>0</v>
      </c>
      <c r="AI1272" s="60">
        <v>0</v>
      </c>
      <c r="AJ1272" s="60">
        <v>0</v>
      </c>
      <c r="AK1272" s="60">
        <v>0</v>
      </c>
      <c r="AL1272" s="60">
        <v>0</v>
      </c>
      <c r="AM1272" s="60">
        <v>0</v>
      </c>
      <c r="AN1272" s="60">
        <v>0</v>
      </c>
      <c r="AO1272" s="60">
        <v>0</v>
      </c>
      <c r="AP1272" s="60">
        <v>0</v>
      </c>
      <c r="AQ1272" s="60">
        <v>0</v>
      </c>
      <c r="AR1272" s="61">
        <v>0</v>
      </c>
    </row>
    <row r="1273" spans="1:44" x14ac:dyDescent="0.35">
      <c r="A1273" s="49" t="str">
        <f>TEXT(15,"00")</f>
        <v>15</v>
      </c>
      <c r="B1273" s="27">
        <v>63628</v>
      </c>
      <c r="C1273" s="25" t="str">
        <f>TEXT(134312,"0000000")</f>
        <v>0134312</v>
      </c>
      <c r="D1273" s="27">
        <v>1816</v>
      </c>
      <c r="E1273" s="25" t="s">
        <v>705</v>
      </c>
      <c r="F1273" s="25" t="s">
        <v>505</v>
      </c>
      <c r="G1273" s="59" t="s">
        <v>706</v>
      </c>
      <c r="H1273" s="60">
        <v>0</v>
      </c>
      <c r="I1273" s="60">
        <v>0</v>
      </c>
      <c r="J1273" s="60">
        <v>0</v>
      </c>
      <c r="K1273" s="60">
        <v>0</v>
      </c>
      <c r="L1273" s="60">
        <v>0</v>
      </c>
      <c r="M1273" s="60">
        <v>0</v>
      </c>
      <c r="N1273" s="60">
        <v>0</v>
      </c>
      <c r="O1273" s="60">
        <v>0</v>
      </c>
      <c r="P1273" s="60">
        <v>0</v>
      </c>
      <c r="Q1273" s="60">
        <v>0</v>
      </c>
      <c r="R1273" s="60">
        <v>0</v>
      </c>
      <c r="S1273" s="60">
        <v>0</v>
      </c>
      <c r="T1273" s="60">
        <v>0</v>
      </c>
      <c r="U1273" s="60">
        <v>0</v>
      </c>
      <c r="V1273" s="60">
        <v>0</v>
      </c>
      <c r="W1273" s="60">
        <v>0</v>
      </c>
      <c r="X1273" s="60">
        <v>0</v>
      </c>
      <c r="Y1273" s="60">
        <v>0</v>
      </c>
      <c r="Z1273" s="60">
        <v>0</v>
      </c>
      <c r="AA1273" s="60">
        <v>0</v>
      </c>
      <c r="AB1273" s="60">
        <v>0</v>
      </c>
      <c r="AC1273" s="60">
        <v>6853.3</v>
      </c>
      <c r="AD1273" s="60">
        <v>6650.93</v>
      </c>
      <c r="AE1273" s="60">
        <v>6475.8</v>
      </c>
      <c r="AF1273" s="60">
        <v>0</v>
      </c>
      <c r="AG1273" s="60">
        <v>0</v>
      </c>
      <c r="AH1273" s="60">
        <v>0</v>
      </c>
      <c r="AI1273" s="60">
        <v>6853.3</v>
      </c>
      <c r="AJ1273" s="60">
        <v>6650.93</v>
      </c>
      <c r="AK1273" s="60">
        <v>6475.8</v>
      </c>
      <c r="AL1273" s="60">
        <v>0</v>
      </c>
      <c r="AM1273" s="60">
        <v>0</v>
      </c>
      <c r="AN1273" s="60">
        <v>0</v>
      </c>
      <c r="AO1273" s="60">
        <v>6853.3</v>
      </c>
      <c r="AP1273" s="60">
        <v>6650.93</v>
      </c>
      <c r="AQ1273" s="60">
        <v>6475.8</v>
      </c>
      <c r="AR1273" s="61">
        <v>6853.3</v>
      </c>
    </row>
    <row r="1274" spans="1:44" x14ac:dyDescent="0.35">
      <c r="A1274" s="49" t="str">
        <f>TEXT(15,"00")</f>
        <v>15</v>
      </c>
      <c r="B1274" s="27">
        <v>63628</v>
      </c>
      <c r="C1274" s="25" t="str">
        <f>TEXT(138131,"0000000")</f>
        <v>0138131</v>
      </c>
      <c r="D1274" s="27">
        <v>1998</v>
      </c>
      <c r="E1274" s="25" t="s">
        <v>709</v>
      </c>
      <c r="F1274" s="25" t="s">
        <v>505</v>
      </c>
      <c r="G1274" s="59" t="s">
        <v>710</v>
      </c>
      <c r="H1274" s="60">
        <v>0</v>
      </c>
      <c r="I1274" s="60">
        <v>0</v>
      </c>
      <c r="J1274" s="60">
        <v>0</v>
      </c>
      <c r="K1274" s="60">
        <v>0</v>
      </c>
      <c r="L1274" s="60">
        <v>0</v>
      </c>
      <c r="M1274" s="60">
        <v>0</v>
      </c>
      <c r="N1274" s="60">
        <v>0</v>
      </c>
      <c r="O1274" s="60">
        <v>0</v>
      </c>
      <c r="P1274" s="60">
        <v>0</v>
      </c>
      <c r="Q1274" s="60">
        <v>0</v>
      </c>
      <c r="R1274" s="60">
        <v>0</v>
      </c>
      <c r="S1274" s="60">
        <v>0</v>
      </c>
      <c r="T1274" s="60">
        <v>0</v>
      </c>
      <c r="U1274" s="60">
        <v>0</v>
      </c>
      <c r="V1274" s="60">
        <v>0</v>
      </c>
      <c r="W1274" s="60">
        <v>0</v>
      </c>
      <c r="X1274" s="60">
        <v>0</v>
      </c>
      <c r="Y1274" s="60">
        <v>0</v>
      </c>
      <c r="Z1274" s="60">
        <v>0</v>
      </c>
      <c r="AA1274" s="60">
        <v>0</v>
      </c>
      <c r="AB1274" s="60">
        <v>0</v>
      </c>
      <c r="AC1274" s="60">
        <v>5531.37</v>
      </c>
      <c r="AD1274" s="60">
        <v>4624.82</v>
      </c>
      <c r="AE1274" s="60">
        <v>4355.13</v>
      </c>
      <c r="AF1274" s="60">
        <v>0</v>
      </c>
      <c r="AG1274" s="60">
        <v>0</v>
      </c>
      <c r="AH1274" s="60">
        <v>0</v>
      </c>
      <c r="AI1274" s="60">
        <v>5531.37</v>
      </c>
      <c r="AJ1274" s="60">
        <v>4624.82</v>
      </c>
      <c r="AK1274" s="60">
        <v>4355.13</v>
      </c>
      <c r="AL1274" s="60">
        <v>0</v>
      </c>
      <c r="AM1274" s="60">
        <v>0</v>
      </c>
      <c r="AN1274" s="60">
        <v>0</v>
      </c>
      <c r="AO1274" s="60">
        <v>5531.37</v>
      </c>
      <c r="AP1274" s="60">
        <v>4624.82</v>
      </c>
      <c r="AQ1274" s="60">
        <v>4355.13</v>
      </c>
      <c r="AR1274" s="61">
        <v>5531.37</v>
      </c>
    </row>
    <row r="1275" spans="1:44" x14ac:dyDescent="0.35">
      <c r="A1275" s="49" t="str">
        <f t="shared" ref="A1275:A1294" si="104">TEXT(19,"00")</f>
        <v>19</v>
      </c>
      <c r="B1275" s="27">
        <v>10199</v>
      </c>
      <c r="C1275" s="25" t="str">
        <f>TEXT(106880,"0000000")</f>
        <v>0106880</v>
      </c>
      <c r="D1275" s="26" t="s">
        <v>834</v>
      </c>
      <c r="E1275" s="25" t="s">
        <v>832</v>
      </c>
      <c r="F1275" s="25" t="s">
        <v>505</v>
      </c>
      <c r="G1275" s="59" t="s">
        <v>833</v>
      </c>
      <c r="H1275" s="60">
        <v>0</v>
      </c>
      <c r="I1275" s="60">
        <v>0</v>
      </c>
      <c r="J1275" s="60">
        <v>0</v>
      </c>
      <c r="K1275" s="60">
        <v>0</v>
      </c>
      <c r="L1275" s="60">
        <v>0</v>
      </c>
      <c r="M1275" s="60">
        <v>0</v>
      </c>
      <c r="N1275" s="60">
        <v>0</v>
      </c>
      <c r="O1275" s="60">
        <v>0</v>
      </c>
      <c r="P1275" s="60">
        <v>0</v>
      </c>
      <c r="Q1275" s="60">
        <v>0</v>
      </c>
      <c r="R1275" s="60">
        <v>0</v>
      </c>
      <c r="S1275" s="60">
        <v>0</v>
      </c>
      <c r="T1275" s="60">
        <v>0</v>
      </c>
      <c r="U1275" s="60">
        <v>0</v>
      </c>
      <c r="V1275" s="60">
        <v>0</v>
      </c>
      <c r="W1275" s="60">
        <v>0</v>
      </c>
      <c r="X1275" s="60">
        <v>0</v>
      </c>
      <c r="Y1275" s="60">
        <v>0</v>
      </c>
      <c r="Z1275" s="60">
        <v>0</v>
      </c>
      <c r="AA1275" s="60">
        <v>0</v>
      </c>
      <c r="AB1275" s="60">
        <v>0</v>
      </c>
      <c r="AC1275" s="60">
        <v>17.09</v>
      </c>
      <c r="AD1275" s="60">
        <v>13.87</v>
      </c>
      <c r="AE1275" s="60">
        <v>15.15</v>
      </c>
      <c r="AF1275" s="60">
        <v>0</v>
      </c>
      <c r="AG1275" s="60">
        <v>0</v>
      </c>
      <c r="AH1275" s="60">
        <v>0</v>
      </c>
      <c r="AI1275" s="60">
        <v>17.09</v>
      </c>
      <c r="AJ1275" s="60">
        <v>13.87</v>
      </c>
      <c r="AK1275" s="60">
        <v>15.15</v>
      </c>
      <c r="AL1275" s="60">
        <v>0</v>
      </c>
      <c r="AM1275" s="60">
        <v>0</v>
      </c>
      <c r="AN1275" s="60">
        <v>0</v>
      </c>
      <c r="AO1275" s="60">
        <v>17.09</v>
      </c>
      <c r="AP1275" s="60">
        <v>13.87</v>
      </c>
      <c r="AQ1275" s="60">
        <v>15.15</v>
      </c>
      <c r="AR1275" s="61">
        <v>17.09</v>
      </c>
    </row>
    <row r="1276" spans="1:44" x14ac:dyDescent="0.35">
      <c r="A1276" s="49" t="str">
        <f t="shared" si="104"/>
        <v>19</v>
      </c>
      <c r="B1276" s="27">
        <v>10199</v>
      </c>
      <c r="C1276" s="25" t="str">
        <f>TEXT(128025,"0000000")</f>
        <v>0128025</v>
      </c>
      <c r="D1276" s="27">
        <v>1560</v>
      </c>
      <c r="E1276" s="25" t="s">
        <v>851</v>
      </c>
      <c r="F1276" s="25" t="s">
        <v>505</v>
      </c>
      <c r="G1276" s="59" t="s">
        <v>852</v>
      </c>
      <c r="H1276" s="60">
        <v>0</v>
      </c>
      <c r="I1276" s="60">
        <v>0</v>
      </c>
      <c r="J1276" s="60">
        <v>0</v>
      </c>
      <c r="K1276" s="60">
        <v>0</v>
      </c>
      <c r="L1276" s="60">
        <v>0</v>
      </c>
      <c r="M1276" s="60">
        <v>0</v>
      </c>
      <c r="N1276" s="60">
        <v>0</v>
      </c>
      <c r="O1276" s="60">
        <v>0</v>
      </c>
      <c r="P1276" s="60">
        <v>0</v>
      </c>
      <c r="Q1276" s="60">
        <v>0</v>
      </c>
      <c r="R1276" s="60">
        <v>0</v>
      </c>
      <c r="S1276" s="60">
        <v>0</v>
      </c>
      <c r="T1276" s="60">
        <v>0</v>
      </c>
      <c r="U1276" s="60">
        <v>0</v>
      </c>
      <c r="V1276" s="60">
        <v>0</v>
      </c>
      <c r="W1276" s="60">
        <v>0</v>
      </c>
      <c r="X1276" s="60">
        <v>0</v>
      </c>
      <c r="Y1276" s="60">
        <v>0</v>
      </c>
      <c r="Z1276" s="60">
        <v>0</v>
      </c>
      <c r="AA1276" s="60">
        <v>0</v>
      </c>
      <c r="AB1276" s="60">
        <v>0</v>
      </c>
      <c r="AC1276" s="60">
        <v>548.58000000000004</v>
      </c>
      <c r="AD1276" s="60">
        <v>505.54</v>
      </c>
      <c r="AE1276" s="60">
        <v>501</v>
      </c>
      <c r="AF1276" s="60">
        <v>0</v>
      </c>
      <c r="AG1276" s="60">
        <v>0</v>
      </c>
      <c r="AH1276" s="60">
        <v>0</v>
      </c>
      <c r="AI1276" s="60">
        <v>548.58000000000004</v>
      </c>
      <c r="AJ1276" s="60">
        <v>505.54</v>
      </c>
      <c r="AK1276" s="60">
        <v>501</v>
      </c>
      <c r="AL1276" s="60">
        <v>0</v>
      </c>
      <c r="AM1276" s="60">
        <v>0</v>
      </c>
      <c r="AN1276" s="60">
        <v>0</v>
      </c>
      <c r="AO1276" s="60">
        <v>548.58000000000004</v>
      </c>
      <c r="AP1276" s="60">
        <v>505.54</v>
      </c>
      <c r="AQ1276" s="60">
        <v>501</v>
      </c>
      <c r="AR1276" s="61">
        <v>548.58000000000004</v>
      </c>
    </row>
    <row r="1277" spans="1:44" x14ac:dyDescent="0.35">
      <c r="A1277" s="49" t="str">
        <f t="shared" si="104"/>
        <v>19</v>
      </c>
      <c r="B1277" s="27">
        <v>10199</v>
      </c>
      <c r="C1277" s="25" t="str">
        <f>TEXT(134346,"0000000")</f>
        <v>0134346</v>
      </c>
      <c r="D1277" s="27">
        <v>1814</v>
      </c>
      <c r="E1277" s="25" t="s">
        <v>855</v>
      </c>
      <c r="F1277" s="25" t="s">
        <v>505</v>
      </c>
      <c r="G1277" s="59" t="s">
        <v>856</v>
      </c>
      <c r="H1277" s="60">
        <v>0</v>
      </c>
      <c r="I1277" s="60">
        <v>0</v>
      </c>
      <c r="J1277" s="60">
        <v>0</v>
      </c>
      <c r="K1277" s="60">
        <v>0</v>
      </c>
      <c r="L1277" s="60">
        <v>0</v>
      </c>
      <c r="M1277" s="60">
        <v>0</v>
      </c>
      <c r="N1277" s="60">
        <v>0</v>
      </c>
      <c r="O1277" s="60">
        <v>0</v>
      </c>
      <c r="P1277" s="60">
        <v>0</v>
      </c>
      <c r="Q1277" s="60">
        <v>0</v>
      </c>
      <c r="R1277" s="60">
        <v>0</v>
      </c>
      <c r="S1277" s="60">
        <v>0</v>
      </c>
      <c r="T1277" s="60">
        <v>0</v>
      </c>
      <c r="U1277" s="60">
        <v>0</v>
      </c>
      <c r="V1277" s="60">
        <v>0</v>
      </c>
      <c r="W1277" s="60">
        <v>0</v>
      </c>
      <c r="X1277" s="60">
        <v>0</v>
      </c>
      <c r="Y1277" s="60">
        <v>0</v>
      </c>
      <c r="Z1277" s="60">
        <v>0</v>
      </c>
      <c r="AA1277" s="60">
        <v>0</v>
      </c>
      <c r="AB1277" s="60">
        <v>0</v>
      </c>
      <c r="AC1277" s="60">
        <v>83.13</v>
      </c>
      <c r="AD1277" s="60">
        <v>84.72</v>
      </c>
      <c r="AE1277" s="60">
        <v>85.66</v>
      </c>
      <c r="AF1277" s="60">
        <v>0</v>
      </c>
      <c r="AG1277" s="60">
        <v>0</v>
      </c>
      <c r="AH1277" s="60">
        <v>0</v>
      </c>
      <c r="AI1277" s="60">
        <v>83.13</v>
      </c>
      <c r="AJ1277" s="60">
        <v>84.72</v>
      </c>
      <c r="AK1277" s="60">
        <v>85.66</v>
      </c>
      <c r="AL1277" s="60">
        <v>0</v>
      </c>
      <c r="AM1277" s="60">
        <v>0</v>
      </c>
      <c r="AN1277" s="60">
        <v>0</v>
      </c>
      <c r="AO1277" s="60">
        <v>83.13</v>
      </c>
      <c r="AP1277" s="60">
        <v>84.72</v>
      </c>
      <c r="AQ1277" s="60">
        <v>85.66</v>
      </c>
      <c r="AR1277" s="61">
        <v>85.66</v>
      </c>
    </row>
    <row r="1278" spans="1:44" x14ac:dyDescent="0.35">
      <c r="A1278" s="49" t="str">
        <f t="shared" si="104"/>
        <v>19</v>
      </c>
      <c r="B1278" s="27">
        <v>10199</v>
      </c>
      <c r="C1278" s="25" t="str">
        <f>TEXT(134361,"0000000")</f>
        <v>0134361</v>
      </c>
      <c r="D1278" s="27">
        <v>1818</v>
      </c>
      <c r="E1278" s="25" t="s">
        <v>857</v>
      </c>
      <c r="F1278" s="25" t="s">
        <v>505</v>
      </c>
      <c r="G1278" s="59" t="s">
        <v>858</v>
      </c>
      <c r="H1278" s="60">
        <v>0</v>
      </c>
      <c r="I1278" s="60">
        <v>0</v>
      </c>
      <c r="J1278" s="60">
        <v>0</v>
      </c>
      <c r="K1278" s="60">
        <v>0</v>
      </c>
      <c r="L1278" s="60">
        <v>0</v>
      </c>
      <c r="M1278" s="60">
        <v>0</v>
      </c>
      <c r="N1278" s="60">
        <v>0</v>
      </c>
      <c r="O1278" s="60">
        <v>0</v>
      </c>
      <c r="P1278" s="60">
        <v>0</v>
      </c>
      <c r="Q1278" s="60">
        <v>0</v>
      </c>
      <c r="R1278" s="60">
        <v>0</v>
      </c>
      <c r="S1278" s="60">
        <v>0</v>
      </c>
      <c r="T1278" s="60">
        <v>0</v>
      </c>
      <c r="U1278" s="60">
        <v>0</v>
      </c>
      <c r="V1278" s="60">
        <v>0</v>
      </c>
      <c r="W1278" s="60">
        <v>0</v>
      </c>
      <c r="X1278" s="60">
        <v>0</v>
      </c>
      <c r="Y1278" s="60">
        <v>0</v>
      </c>
      <c r="Z1278" s="60">
        <v>0</v>
      </c>
      <c r="AA1278" s="60">
        <v>0</v>
      </c>
      <c r="AB1278" s="60">
        <v>0</v>
      </c>
      <c r="AC1278" s="60">
        <v>119.44</v>
      </c>
      <c r="AD1278" s="60">
        <v>120.42</v>
      </c>
      <c r="AE1278" s="60">
        <v>148.04</v>
      </c>
      <c r="AF1278" s="60">
        <v>0</v>
      </c>
      <c r="AG1278" s="60">
        <v>0</v>
      </c>
      <c r="AH1278" s="60">
        <v>0</v>
      </c>
      <c r="AI1278" s="60">
        <v>119.44</v>
      </c>
      <c r="AJ1278" s="60">
        <v>120.42</v>
      </c>
      <c r="AK1278" s="60">
        <v>148.04</v>
      </c>
      <c r="AL1278" s="60">
        <v>0</v>
      </c>
      <c r="AM1278" s="60">
        <v>0</v>
      </c>
      <c r="AN1278" s="60">
        <v>0</v>
      </c>
      <c r="AO1278" s="60">
        <v>119.44</v>
      </c>
      <c r="AP1278" s="60">
        <v>120.42</v>
      </c>
      <c r="AQ1278" s="60">
        <v>148.04</v>
      </c>
      <c r="AR1278" s="61">
        <v>148.04</v>
      </c>
    </row>
    <row r="1279" spans="1:44" x14ac:dyDescent="0.35">
      <c r="A1279" s="49" t="str">
        <f t="shared" si="104"/>
        <v>19</v>
      </c>
      <c r="B1279" s="27">
        <v>10199</v>
      </c>
      <c r="C1279" s="25" t="str">
        <f>TEXT(135582,"0000000")</f>
        <v>0135582</v>
      </c>
      <c r="D1279" s="27">
        <v>1817</v>
      </c>
      <c r="E1279" s="25" t="s">
        <v>861</v>
      </c>
      <c r="F1279" s="25" t="s">
        <v>505</v>
      </c>
      <c r="G1279" s="59" t="s">
        <v>862</v>
      </c>
      <c r="H1279" s="60">
        <v>0</v>
      </c>
      <c r="I1279" s="60">
        <v>0</v>
      </c>
      <c r="J1279" s="60">
        <v>0</v>
      </c>
      <c r="K1279" s="60">
        <v>0</v>
      </c>
      <c r="L1279" s="60">
        <v>0</v>
      </c>
      <c r="M1279" s="60">
        <v>0</v>
      </c>
      <c r="N1279" s="60">
        <v>0</v>
      </c>
      <c r="O1279" s="60">
        <v>0</v>
      </c>
      <c r="P1279" s="60">
        <v>0</v>
      </c>
      <c r="Q1279" s="60">
        <v>0</v>
      </c>
      <c r="R1279" s="60">
        <v>0</v>
      </c>
      <c r="S1279" s="60">
        <v>0</v>
      </c>
      <c r="T1279" s="60">
        <v>0</v>
      </c>
      <c r="U1279" s="60">
        <v>0</v>
      </c>
      <c r="V1279" s="60">
        <v>0</v>
      </c>
      <c r="W1279" s="60">
        <v>0</v>
      </c>
      <c r="X1279" s="60">
        <v>0</v>
      </c>
      <c r="Y1279" s="60">
        <v>0</v>
      </c>
      <c r="Z1279" s="60">
        <v>0</v>
      </c>
      <c r="AA1279" s="60">
        <v>0</v>
      </c>
      <c r="AB1279" s="60">
        <v>0</v>
      </c>
      <c r="AC1279" s="60">
        <v>154.38999999999999</v>
      </c>
      <c r="AD1279" s="60">
        <v>194.1</v>
      </c>
      <c r="AE1279" s="60">
        <v>199.14</v>
      </c>
      <c r="AF1279" s="60">
        <v>0</v>
      </c>
      <c r="AG1279" s="60">
        <v>0</v>
      </c>
      <c r="AH1279" s="60">
        <v>0</v>
      </c>
      <c r="AI1279" s="60">
        <v>154.38999999999999</v>
      </c>
      <c r="AJ1279" s="60">
        <v>194.1</v>
      </c>
      <c r="AK1279" s="60">
        <v>199.14</v>
      </c>
      <c r="AL1279" s="60">
        <v>0</v>
      </c>
      <c r="AM1279" s="60">
        <v>0</v>
      </c>
      <c r="AN1279" s="60">
        <v>0</v>
      </c>
      <c r="AO1279" s="60">
        <v>154.38999999999999</v>
      </c>
      <c r="AP1279" s="60">
        <v>194.1</v>
      </c>
      <c r="AQ1279" s="60">
        <v>199.14</v>
      </c>
      <c r="AR1279" s="61">
        <v>199.14</v>
      </c>
    </row>
    <row r="1280" spans="1:44" x14ac:dyDescent="0.35">
      <c r="A1280" s="49" t="str">
        <f t="shared" si="104"/>
        <v>19</v>
      </c>
      <c r="B1280" s="27">
        <v>10199</v>
      </c>
      <c r="C1280" s="25" t="str">
        <f>TEXT(137166,"0000000")</f>
        <v>0137166</v>
      </c>
      <c r="D1280" s="27">
        <v>1931</v>
      </c>
      <c r="E1280" s="25" t="s">
        <v>865</v>
      </c>
      <c r="F1280" s="25" t="s">
        <v>505</v>
      </c>
      <c r="G1280" s="59" t="s">
        <v>866</v>
      </c>
      <c r="H1280" s="60">
        <v>0</v>
      </c>
      <c r="I1280" s="60">
        <v>0</v>
      </c>
      <c r="J1280" s="60">
        <v>0</v>
      </c>
      <c r="K1280" s="60">
        <v>0</v>
      </c>
      <c r="L1280" s="60">
        <v>0</v>
      </c>
      <c r="M1280" s="60">
        <v>0</v>
      </c>
      <c r="N1280" s="60">
        <v>0</v>
      </c>
      <c r="O1280" s="60">
        <v>0</v>
      </c>
      <c r="P1280" s="60">
        <v>0</v>
      </c>
      <c r="Q1280" s="60">
        <v>0</v>
      </c>
      <c r="R1280" s="60">
        <v>0</v>
      </c>
      <c r="S1280" s="60">
        <v>0</v>
      </c>
      <c r="T1280" s="60">
        <v>0</v>
      </c>
      <c r="U1280" s="60">
        <v>0</v>
      </c>
      <c r="V1280" s="60">
        <v>0</v>
      </c>
      <c r="W1280" s="60">
        <v>0</v>
      </c>
      <c r="X1280" s="60">
        <v>0</v>
      </c>
      <c r="Y1280" s="60">
        <v>0</v>
      </c>
      <c r="Z1280" s="60">
        <v>0</v>
      </c>
      <c r="AA1280" s="60">
        <v>0</v>
      </c>
      <c r="AB1280" s="60">
        <v>0</v>
      </c>
      <c r="AC1280" s="60">
        <v>306.39999999999998</v>
      </c>
      <c r="AD1280" s="60">
        <v>242.5</v>
      </c>
      <c r="AE1280" s="60">
        <v>203.42</v>
      </c>
      <c r="AF1280" s="60">
        <v>0</v>
      </c>
      <c r="AG1280" s="60">
        <v>0</v>
      </c>
      <c r="AH1280" s="60">
        <v>0</v>
      </c>
      <c r="AI1280" s="60">
        <v>306.39999999999998</v>
      </c>
      <c r="AJ1280" s="60">
        <v>242.5</v>
      </c>
      <c r="AK1280" s="60">
        <v>203.42</v>
      </c>
      <c r="AL1280" s="60">
        <v>0</v>
      </c>
      <c r="AM1280" s="60">
        <v>0</v>
      </c>
      <c r="AN1280" s="60">
        <v>0</v>
      </c>
      <c r="AO1280" s="60">
        <v>306.39999999999998</v>
      </c>
      <c r="AP1280" s="60">
        <v>242.5</v>
      </c>
      <c r="AQ1280" s="60">
        <v>203.42</v>
      </c>
      <c r="AR1280" s="61">
        <v>306.39999999999998</v>
      </c>
    </row>
    <row r="1281" spans="1:44" x14ac:dyDescent="0.35">
      <c r="A1281" s="49" t="str">
        <f t="shared" si="104"/>
        <v>19</v>
      </c>
      <c r="B1281" s="27">
        <v>10199</v>
      </c>
      <c r="C1281" s="25" t="str">
        <f>TEXT(138669,"0000000")</f>
        <v>0138669</v>
      </c>
      <c r="D1281" s="27">
        <v>2017</v>
      </c>
      <c r="E1281" s="25" t="s">
        <v>870</v>
      </c>
      <c r="F1281" s="25" t="s">
        <v>505</v>
      </c>
      <c r="G1281" s="59" t="s">
        <v>871</v>
      </c>
      <c r="H1281" s="60">
        <v>0</v>
      </c>
      <c r="I1281" s="60">
        <v>0</v>
      </c>
      <c r="J1281" s="60">
        <v>0</v>
      </c>
      <c r="K1281" s="60">
        <v>0</v>
      </c>
      <c r="L1281" s="60">
        <v>0</v>
      </c>
      <c r="M1281" s="60">
        <v>0</v>
      </c>
      <c r="N1281" s="60">
        <v>0</v>
      </c>
      <c r="O1281" s="60">
        <v>0</v>
      </c>
      <c r="P1281" s="60">
        <v>0</v>
      </c>
      <c r="Q1281" s="60">
        <v>0</v>
      </c>
      <c r="R1281" s="60">
        <v>0</v>
      </c>
      <c r="S1281" s="60">
        <v>0</v>
      </c>
      <c r="T1281" s="60">
        <v>0</v>
      </c>
      <c r="U1281" s="60">
        <v>0</v>
      </c>
      <c r="V1281" s="60">
        <v>0</v>
      </c>
      <c r="W1281" s="60">
        <v>0</v>
      </c>
      <c r="X1281" s="60">
        <v>0</v>
      </c>
      <c r="Y1281" s="60">
        <v>0</v>
      </c>
      <c r="Z1281" s="60">
        <v>94.09</v>
      </c>
      <c r="AA1281" s="60">
        <v>99.58</v>
      </c>
      <c r="AB1281" s="60">
        <v>113.65</v>
      </c>
      <c r="AC1281" s="60">
        <v>0</v>
      </c>
      <c r="AD1281" s="60">
        <v>0</v>
      </c>
      <c r="AE1281" s="60">
        <v>0</v>
      </c>
      <c r="AF1281" s="60">
        <v>0</v>
      </c>
      <c r="AG1281" s="60">
        <v>0</v>
      </c>
      <c r="AH1281" s="60">
        <v>0</v>
      </c>
      <c r="AI1281" s="60">
        <v>94.09</v>
      </c>
      <c r="AJ1281" s="60">
        <v>99.58</v>
      </c>
      <c r="AK1281" s="60">
        <v>113.65</v>
      </c>
      <c r="AL1281" s="60">
        <v>0</v>
      </c>
      <c r="AM1281" s="60">
        <v>0</v>
      </c>
      <c r="AN1281" s="60">
        <v>0</v>
      </c>
      <c r="AO1281" s="60">
        <v>94.09</v>
      </c>
      <c r="AP1281" s="60">
        <v>99.58</v>
      </c>
      <c r="AQ1281" s="60">
        <v>113.65</v>
      </c>
      <c r="AR1281" s="61">
        <v>113.65</v>
      </c>
    </row>
    <row r="1282" spans="1:44" x14ac:dyDescent="0.35">
      <c r="A1282" s="49" t="str">
        <f t="shared" si="104"/>
        <v>19</v>
      </c>
      <c r="B1282" s="27">
        <v>10199</v>
      </c>
      <c r="C1282" s="25" t="str">
        <f>TEXT(139170,"0000000")</f>
        <v>0139170</v>
      </c>
      <c r="D1282" s="27">
        <v>2029</v>
      </c>
      <c r="E1282" s="25" t="s">
        <v>872</v>
      </c>
      <c r="F1282" s="25" t="s">
        <v>505</v>
      </c>
      <c r="G1282" s="59" t="s">
        <v>873</v>
      </c>
      <c r="H1282" s="60">
        <v>0</v>
      </c>
      <c r="I1282" s="60">
        <v>0</v>
      </c>
      <c r="J1282" s="60">
        <v>0</v>
      </c>
      <c r="K1282" s="60">
        <v>0</v>
      </c>
      <c r="L1282" s="60">
        <v>0</v>
      </c>
      <c r="M1282" s="60">
        <v>0</v>
      </c>
      <c r="N1282" s="60">
        <v>0</v>
      </c>
      <c r="O1282" s="60">
        <v>0</v>
      </c>
      <c r="P1282" s="60">
        <v>0</v>
      </c>
      <c r="Q1282" s="60">
        <v>0</v>
      </c>
      <c r="R1282" s="60">
        <v>0</v>
      </c>
      <c r="S1282" s="60">
        <v>0</v>
      </c>
      <c r="T1282" s="60">
        <v>0</v>
      </c>
      <c r="U1282" s="60">
        <v>0</v>
      </c>
      <c r="V1282" s="60">
        <v>0</v>
      </c>
      <c r="W1282" s="60">
        <v>0</v>
      </c>
      <c r="X1282" s="60">
        <v>0</v>
      </c>
      <c r="Y1282" s="60">
        <v>0</v>
      </c>
      <c r="Z1282" s="60">
        <v>0</v>
      </c>
      <c r="AA1282" s="60">
        <v>0</v>
      </c>
      <c r="AB1282" s="60">
        <v>0</v>
      </c>
      <c r="AC1282" s="60">
        <v>98.64</v>
      </c>
      <c r="AD1282" s="60">
        <v>67.94</v>
      </c>
      <c r="AE1282" s="60">
        <v>36.28</v>
      </c>
      <c r="AF1282" s="60">
        <v>0</v>
      </c>
      <c r="AG1282" s="60">
        <v>0</v>
      </c>
      <c r="AH1282" s="60">
        <v>0</v>
      </c>
      <c r="AI1282" s="60">
        <v>98.64</v>
      </c>
      <c r="AJ1282" s="60">
        <v>67.94</v>
      </c>
      <c r="AK1282" s="60">
        <v>36.28</v>
      </c>
      <c r="AL1282" s="60">
        <v>0</v>
      </c>
      <c r="AM1282" s="60">
        <v>0</v>
      </c>
      <c r="AN1282" s="60">
        <v>0</v>
      </c>
      <c r="AO1282" s="60">
        <v>98.64</v>
      </c>
      <c r="AP1282" s="60">
        <v>67.94</v>
      </c>
      <c r="AQ1282" s="60">
        <v>36.28</v>
      </c>
      <c r="AR1282" s="61">
        <v>98.64</v>
      </c>
    </row>
    <row r="1283" spans="1:44" x14ac:dyDescent="0.35">
      <c r="A1283" s="49" t="str">
        <f t="shared" si="104"/>
        <v>19</v>
      </c>
      <c r="B1283" s="27">
        <v>10199</v>
      </c>
      <c r="C1283" s="25" t="str">
        <f>TEXT(139345,"0000000")</f>
        <v>0139345</v>
      </c>
      <c r="D1283" s="27">
        <v>2045</v>
      </c>
      <c r="E1283" s="25" t="s">
        <v>874</v>
      </c>
      <c r="F1283" s="25" t="s">
        <v>505</v>
      </c>
      <c r="G1283" s="59" t="s">
        <v>875</v>
      </c>
      <c r="H1283" s="60">
        <v>0</v>
      </c>
      <c r="I1283" s="60">
        <v>0</v>
      </c>
      <c r="J1283" s="60">
        <v>0</v>
      </c>
      <c r="K1283" s="60">
        <v>0</v>
      </c>
      <c r="L1283" s="60">
        <v>0</v>
      </c>
      <c r="M1283" s="60">
        <v>0</v>
      </c>
      <c r="N1283" s="60">
        <v>0</v>
      </c>
      <c r="O1283" s="60">
        <v>0</v>
      </c>
      <c r="P1283" s="60">
        <v>0</v>
      </c>
      <c r="Q1283" s="60">
        <v>0</v>
      </c>
      <c r="R1283" s="60">
        <v>0</v>
      </c>
      <c r="S1283" s="60">
        <v>0</v>
      </c>
      <c r="T1283" s="60">
        <v>0</v>
      </c>
      <c r="U1283" s="60">
        <v>0</v>
      </c>
      <c r="V1283" s="60">
        <v>0</v>
      </c>
      <c r="W1283" s="60">
        <v>0</v>
      </c>
      <c r="X1283" s="60">
        <v>0</v>
      </c>
      <c r="Y1283" s="60">
        <v>0</v>
      </c>
      <c r="Z1283" s="60">
        <v>0</v>
      </c>
      <c r="AA1283" s="60">
        <v>0</v>
      </c>
      <c r="AB1283" s="60">
        <v>0</v>
      </c>
      <c r="AC1283" s="60">
        <v>36.25</v>
      </c>
      <c r="AD1283" s="60">
        <v>33.33</v>
      </c>
      <c r="AE1283" s="60">
        <v>44.67</v>
      </c>
      <c r="AF1283" s="60">
        <v>0</v>
      </c>
      <c r="AG1283" s="60">
        <v>0</v>
      </c>
      <c r="AH1283" s="60">
        <v>0</v>
      </c>
      <c r="AI1283" s="60">
        <v>36.25</v>
      </c>
      <c r="AJ1283" s="60">
        <v>33.33</v>
      </c>
      <c r="AK1283" s="60">
        <v>44.67</v>
      </c>
      <c r="AL1283" s="60">
        <v>0</v>
      </c>
      <c r="AM1283" s="60">
        <v>0</v>
      </c>
      <c r="AN1283" s="60">
        <v>0</v>
      </c>
      <c r="AO1283" s="60">
        <v>36.25</v>
      </c>
      <c r="AP1283" s="60">
        <v>33.33</v>
      </c>
      <c r="AQ1283" s="60">
        <v>44.67</v>
      </c>
      <c r="AR1283" s="61">
        <v>44.67</v>
      </c>
    </row>
    <row r="1284" spans="1:44" x14ac:dyDescent="0.35">
      <c r="A1284" s="49" t="str">
        <f t="shared" si="104"/>
        <v>19</v>
      </c>
      <c r="B1284" s="27">
        <v>10199</v>
      </c>
      <c r="C1284" s="25" t="str">
        <f>TEXT(140798,"0000000")</f>
        <v>0140798</v>
      </c>
      <c r="D1284" s="27">
        <v>2114</v>
      </c>
      <c r="E1284" s="25" t="s">
        <v>882</v>
      </c>
      <c r="F1284" s="25" t="s">
        <v>505</v>
      </c>
      <c r="G1284" s="59" t="s">
        <v>883</v>
      </c>
      <c r="H1284" s="60">
        <v>0</v>
      </c>
      <c r="I1284" s="60">
        <v>0</v>
      </c>
      <c r="J1284" s="60">
        <v>0</v>
      </c>
      <c r="K1284" s="60">
        <v>0</v>
      </c>
      <c r="L1284" s="60">
        <v>0</v>
      </c>
      <c r="M1284" s="60">
        <v>0</v>
      </c>
      <c r="N1284" s="60">
        <v>0</v>
      </c>
      <c r="O1284" s="60">
        <v>0</v>
      </c>
      <c r="P1284" s="60">
        <v>0</v>
      </c>
      <c r="Q1284" s="60">
        <v>0</v>
      </c>
      <c r="R1284" s="60">
        <v>0</v>
      </c>
      <c r="S1284" s="60">
        <v>0</v>
      </c>
      <c r="T1284" s="60">
        <v>0</v>
      </c>
      <c r="U1284" s="60">
        <v>0</v>
      </c>
      <c r="V1284" s="60">
        <v>0</v>
      </c>
      <c r="W1284" s="60">
        <v>0</v>
      </c>
      <c r="X1284" s="60">
        <v>0</v>
      </c>
      <c r="Y1284" s="60">
        <v>0</v>
      </c>
      <c r="Z1284" s="60">
        <v>0</v>
      </c>
      <c r="AA1284" s="60">
        <v>0</v>
      </c>
      <c r="AB1284" s="60">
        <v>0</v>
      </c>
      <c r="AC1284" s="60">
        <v>126.77</v>
      </c>
      <c r="AD1284" s="60">
        <v>115.85</v>
      </c>
      <c r="AE1284" s="60">
        <v>79.209999999999994</v>
      </c>
      <c r="AF1284" s="60">
        <v>0</v>
      </c>
      <c r="AG1284" s="60">
        <v>0</v>
      </c>
      <c r="AH1284" s="60">
        <v>0</v>
      </c>
      <c r="AI1284" s="60">
        <v>126.77</v>
      </c>
      <c r="AJ1284" s="60">
        <v>115.85</v>
      </c>
      <c r="AK1284" s="60">
        <v>79.209999999999994</v>
      </c>
      <c r="AL1284" s="60">
        <v>0</v>
      </c>
      <c r="AM1284" s="60">
        <v>0</v>
      </c>
      <c r="AN1284" s="60">
        <v>0</v>
      </c>
      <c r="AO1284" s="60">
        <v>126.77</v>
      </c>
      <c r="AP1284" s="60">
        <v>115.85</v>
      </c>
      <c r="AQ1284" s="60">
        <v>79.209999999999994</v>
      </c>
      <c r="AR1284" s="61">
        <v>126.77</v>
      </c>
    </row>
    <row r="1285" spans="1:44" x14ac:dyDescent="0.35">
      <c r="A1285" s="49" t="str">
        <f t="shared" si="104"/>
        <v>19</v>
      </c>
      <c r="B1285" s="27">
        <v>10199</v>
      </c>
      <c r="C1285" s="25" t="str">
        <f>TEXT(140962,"0000000")</f>
        <v>0140962</v>
      </c>
      <c r="D1285" s="27">
        <v>2108</v>
      </c>
      <c r="E1285" s="25" t="s">
        <v>884</v>
      </c>
      <c r="F1285" s="25" t="s">
        <v>505</v>
      </c>
      <c r="G1285" s="59" t="s">
        <v>885</v>
      </c>
      <c r="H1285" s="60">
        <v>0</v>
      </c>
      <c r="I1285" s="60">
        <v>0</v>
      </c>
      <c r="J1285" s="60">
        <v>0</v>
      </c>
      <c r="K1285" s="60">
        <v>0</v>
      </c>
      <c r="L1285" s="60">
        <v>0</v>
      </c>
      <c r="M1285" s="60">
        <v>0</v>
      </c>
      <c r="N1285" s="60">
        <v>0</v>
      </c>
      <c r="O1285" s="60">
        <v>0</v>
      </c>
      <c r="P1285" s="60">
        <v>0</v>
      </c>
      <c r="Q1285" s="60">
        <v>0</v>
      </c>
      <c r="R1285" s="60">
        <v>0</v>
      </c>
      <c r="S1285" s="60">
        <v>0</v>
      </c>
      <c r="T1285" s="60">
        <v>0</v>
      </c>
      <c r="U1285" s="60">
        <v>0</v>
      </c>
      <c r="V1285" s="60">
        <v>0</v>
      </c>
      <c r="W1285" s="60">
        <v>0</v>
      </c>
      <c r="X1285" s="60">
        <v>0</v>
      </c>
      <c r="Y1285" s="60">
        <v>0</v>
      </c>
      <c r="Z1285" s="60">
        <v>153.91</v>
      </c>
      <c r="AA1285" s="60">
        <v>65.569999999999993</v>
      </c>
      <c r="AB1285" s="60">
        <v>0</v>
      </c>
      <c r="AC1285" s="60">
        <v>0</v>
      </c>
      <c r="AD1285" s="60">
        <v>0</v>
      </c>
      <c r="AE1285" s="60">
        <v>0</v>
      </c>
      <c r="AF1285" s="60">
        <v>0</v>
      </c>
      <c r="AG1285" s="60">
        <v>0</v>
      </c>
      <c r="AH1285" s="60">
        <v>0</v>
      </c>
      <c r="AI1285" s="60">
        <v>153.91</v>
      </c>
      <c r="AJ1285" s="60">
        <v>65.569999999999993</v>
      </c>
      <c r="AK1285" s="60">
        <v>0</v>
      </c>
      <c r="AL1285" s="60">
        <v>0</v>
      </c>
      <c r="AM1285" s="60">
        <v>0</v>
      </c>
      <c r="AN1285" s="60">
        <v>0</v>
      </c>
      <c r="AO1285" s="60">
        <v>153.91</v>
      </c>
      <c r="AP1285" s="60">
        <v>65.569999999999993</v>
      </c>
      <c r="AQ1285" s="60">
        <v>0</v>
      </c>
      <c r="AR1285" s="61">
        <v>153.91</v>
      </c>
    </row>
    <row r="1286" spans="1:44" x14ac:dyDescent="0.35">
      <c r="A1286" s="49" t="str">
        <f t="shared" si="104"/>
        <v>19</v>
      </c>
      <c r="B1286" s="27">
        <v>64469</v>
      </c>
      <c r="C1286" s="25" t="str">
        <f>TEXT(128736,"0000000")</f>
        <v>0128736</v>
      </c>
      <c r="D1286" s="27">
        <v>1599</v>
      </c>
      <c r="E1286" s="25" t="s">
        <v>948</v>
      </c>
      <c r="F1286" s="25" t="s">
        <v>505</v>
      </c>
      <c r="G1286" s="59" t="s">
        <v>949</v>
      </c>
      <c r="H1286" s="60">
        <v>0</v>
      </c>
      <c r="I1286" s="60">
        <v>0</v>
      </c>
      <c r="J1286" s="60">
        <v>0</v>
      </c>
      <c r="K1286" s="60">
        <v>0</v>
      </c>
      <c r="L1286" s="60">
        <v>0</v>
      </c>
      <c r="M1286" s="60">
        <v>0</v>
      </c>
      <c r="N1286" s="60">
        <v>0</v>
      </c>
      <c r="O1286" s="60">
        <v>0</v>
      </c>
      <c r="P1286" s="60">
        <v>0</v>
      </c>
      <c r="Q1286" s="60">
        <v>0</v>
      </c>
      <c r="R1286" s="60">
        <v>0</v>
      </c>
      <c r="S1286" s="60">
        <v>0</v>
      </c>
      <c r="T1286" s="60">
        <v>0</v>
      </c>
      <c r="U1286" s="60">
        <v>0</v>
      </c>
      <c r="V1286" s="60">
        <v>0</v>
      </c>
      <c r="W1286" s="60">
        <v>0</v>
      </c>
      <c r="X1286" s="60">
        <v>0</v>
      </c>
      <c r="Y1286" s="60">
        <v>0</v>
      </c>
      <c r="Z1286" s="60">
        <v>0</v>
      </c>
      <c r="AA1286" s="60">
        <v>0</v>
      </c>
      <c r="AB1286" s="60">
        <v>0</v>
      </c>
      <c r="AC1286" s="60">
        <v>336.64</v>
      </c>
      <c r="AD1286" s="60">
        <v>351.4</v>
      </c>
      <c r="AE1286" s="60">
        <v>303.01</v>
      </c>
      <c r="AF1286" s="60">
        <v>0</v>
      </c>
      <c r="AG1286" s="60">
        <v>0</v>
      </c>
      <c r="AH1286" s="60">
        <v>0</v>
      </c>
      <c r="AI1286" s="60">
        <v>336.64</v>
      </c>
      <c r="AJ1286" s="60">
        <v>351.4</v>
      </c>
      <c r="AK1286" s="60">
        <v>303.01</v>
      </c>
      <c r="AL1286" s="60">
        <v>0</v>
      </c>
      <c r="AM1286" s="60">
        <v>0</v>
      </c>
      <c r="AN1286" s="60">
        <v>0</v>
      </c>
      <c r="AO1286" s="60">
        <v>336.64</v>
      </c>
      <c r="AP1286" s="60">
        <v>351.4</v>
      </c>
      <c r="AQ1286" s="60">
        <v>303.01</v>
      </c>
      <c r="AR1286" s="61">
        <v>351.4</v>
      </c>
    </row>
    <row r="1287" spans="1:44" x14ac:dyDescent="0.35">
      <c r="A1287" s="49" t="str">
        <f t="shared" si="104"/>
        <v>19</v>
      </c>
      <c r="B1287" s="27">
        <v>64634</v>
      </c>
      <c r="C1287" s="25" t="str">
        <f>TEXT(120303,"0000000")</f>
        <v>0120303</v>
      </c>
      <c r="D1287" s="27">
        <v>1121</v>
      </c>
      <c r="E1287" s="25" t="s">
        <v>989</v>
      </c>
      <c r="F1287" s="25" t="s">
        <v>505</v>
      </c>
      <c r="G1287" s="59" t="s">
        <v>990</v>
      </c>
      <c r="H1287" s="60">
        <v>0</v>
      </c>
      <c r="I1287" s="60">
        <v>0</v>
      </c>
      <c r="J1287" s="60">
        <v>0</v>
      </c>
      <c r="K1287" s="60">
        <v>0</v>
      </c>
      <c r="L1287" s="60">
        <v>0</v>
      </c>
      <c r="M1287" s="60">
        <v>0</v>
      </c>
      <c r="N1287" s="60">
        <v>0</v>
      </c>
      <c r="O1287" s="60">
        <v>0</v>
      </c>
      <c r="P1287" s="60">
        <v>0</v>
      </c>
      <c r="Q1287" s="60">
        <v>0</v>
      </c>
      <c r="R1287" s="60">
        <v>0</v>
      </c>
      <c r="S1287" s="60">
        <v>0</v>
      </c>
      <c r="T1287" s="60">
        <v>0</v>
      </c>
      <c r="U1287" s="60">
        <v>0</v>
      </c>
      <c r="V1287" s="60">
        <v>0</v>
      </c>
      <c r="W1287" s="60">
        <v>0</v>
      </c>
      <c r="X1287" s="60">
        <v>0</v>
      </c>
      <c r="Y1287" s="60">
        <v>0</v>
      </c>
      <c r="Z1287" s="60">
        <v>0</v>
      </c>
      <c r="AA1287" s="60">
        <v>0</v>
      </c>
      <c r="AB1287" s="60">
        <v>0</v>
      </c>
      <c r="AC1287" s="60">
        <v>364.54</v>
      </c>
      <c r="AD1287" s="60">
        <v>345.66</v>
      </c>
      <c r="AE1287" s="60">
        <v>324.45999999999998</v>
      </c>
      <c r="AF1287" s="60">
        <v>0</v>
      </c>
      <c r="AG1287" s="60">
        <v>0</v>
      </c>
      <c r="AH1287" s="60">
        <v>0</v>
      </c>
      <c r="AI1287" s="60">
        <v>364.54</v>
      </c>
      <c r="AJ1287" s="60">
        <v>345.66</v>
      </c>
      <c r="AK1287" s="60">
        <v>324.45999999999998</v>
      </c>
      <c r="AL1287" s="60">
        <v>0</v>
      </c>
      <c r="AM1287" s="60">
        <v>0</v>
      </c>
      <c r="AN1287" s="60">
        <v>0</v>
      </c>
      <c r="AO1287" s="60">
        <v>364.54</v>
      </c>
      <c r="AP1287" s="60">
        <v>345.66</v>
      </c>
      <c r="AQ1287" s="60">
        <v>324.45999999999998</v>
      </c>
      <c r="AR1287" s="61">
        <v>364.54</v>
      </c>
    </row>
    <row r="1288" spans="1:44" x14ac:dyDescent="0.35">
      <c r="A1288" s="49" t="str">
        <f t="shared" si="104"/>
        <v>19</v>
      </c>
      <c r="B1288" s="27">
        <v>64733</v>
      </c>
      <c r="C1288" s="25" t="str">
        <f>TEXT(120097,"0000000")</f>
        <v>0120097</v>
      </c>
      <c r="D1288" s="27">
        <v>1101</v>
      </c>
      <c r="E1288" s="25" t="s">
        <v>1035</v>
      </c>
      <c r="F1288" s="25" t="s">
        <v>505</v>
      </c>
      <c r="G1288" s="59" t="s">
        <v>1036</v>
      </c>
      <c r="H1288" s="60">
        <v>0</v>
      </c>
      <c r="I1288" s="60">
        <v>0</v>
      </c>
      <c r="J1288" s="60">
        <v>0</v>
      </c>
      <c r="K1288" s="60">
        <v>0</v>
      </c>
      <c r="L1288" s="60">
        <v>0</v>
      </c>
      <c r="M1288" s="60">
        <v>0</v>
      </c>
      <c r="N1288" s="60">
        <v>0</v>
      </c>
      <c r="O1288" s="60">
        <v>0</v>
      </c>
      <c r="P1288" s="60">
        <v>0</v>
      </c>
      <c r="Q1288" s="60">
        <v>0</v>
      </c>
      <c r="R1288" s="60">
        <v>0</v>
      </c>
      <c r="S1288" s="60">
        <v>0</v>
      </c>
      <c r="T1288" s="60">
        <v>0</v>
      </c>
      <c r="U1288" s="60">
        <v>0</v>
      </c>
      <c r="V1288" s="60">
        <v>0</v>
      </c>
      <c r="W1288" s="60">
        <v>0</v>
      </c>
      <c r="X1288" s="60">
        <v>0</v>
      </c>
      <c r="Y1288" s="60">
        <v>0</v>
      </c>
      <c r="Z1288" s="60">
        <v>0</v>
      </c>
      <c r="AA1288" s="60">
        <v>0</v>
      </c>
      <c r="AB1288" s="60">
        <v>0</v>
      </c>
      <c r="AC1288" s="60">
        <v>390.15</v>
      </c>
      <c r="AD1288" s="60">
        <v>393.7</v>
      </c>
      <c r="AE1288" s="60">
        <v>382.89</v>
      </c>
      <c r="AF1288" s="60">
        <v>0</v>
      </c>
      <c r="AG1288" s="60">
        <v>0</v>
      </c>
      <c r="AH1288" s="60">
        <v>0</v>
      </c>
      <c r="AI1288" s="60">
        <v>390.15</v>
      </c>
      <c r="AJ1288" s="60">
        <v>393.7</v>
      </c>
      <c r="AK1288" s="60">
        <v>382.89</v>
      </c>
      <c r="AL1288" s="60">
        <v>0</v>
      </c>
      <c r="AM1288" s="60">
        <v>0</v>
      </c>
      <c r="AN1288" s="60">
        <v>0</v>
      </c>
      <c r="AO1288" s="60">
        <v>390.15</v>
      </c>
      <c r="AP1288" s="60">
        <v>393.7</v>
      </c>
      <c r="AQ1288" s="60">
        <v>382.89</v>
      </c>
      <c r="AR1288" s="61">
        <v>393.7</v>
      </c>
    </row>
    <row r="1289" spans="1:44" x14ac:dyDescent="0.35">
      <c r="A1289" s="49" t="str">
        <f t="shared" si="104"/>
        <v>19</v>
      </c>
      <c r="B1289" s="27">
        <v>64733</v>
      </c>
      <c r="C1289" s="25" t="str">
        <f>TEXT(127936,"0000000")</f>
        <v>0127936</v>
      </c>
      <c r="D1289" s="27">
        <v>1542</v>
      </c>
      <c r="E1289" s="25" t="s">
        <v>1045</v>
      </c>
      <c r="F1289" s="25" t="s">
        <v>505</v>
      </c>
      <c r="G1289" s="59" t="s">
        <v>1046</v>
      </c>
      <c r="H1289" s="60">
        <v>0</v>
      </c>
      <c r="I1289" s="60">
        <v>0</v>
      </c>
      <c r="J1289" s="60">
        <v>0</v>
      </c>
      <c r="K1289" s="60">
        <v>0</v>
      </c>
      <c r="L1289" s="60">
        <v>0</v>
      </c>
      <c r="M1289" s="60">
        <v>0</v>
      </c>
      <c r="N1289" s="60">
        <v>0</v>
      </c>
      <c r="O1289" s="60">
        <v>0</v>
      </c>
      <c r="P1289" s="60">
        <v>0</v>
      </c>
      <c r="Q1289" s="60">
        <v>0</v>
      </c>
      <c r="R1289" s="60">
        <v>0</v>
      </c>
      <c r="S1289" s="60">
        <v>0</v>
      </c>
      <c r="T1289" s="60">
        <v>0</v>
      </c>
      <c r="U1289" s="60">
        <v>0</v>
      </c>
      <c r="V1289" s="60">
        <v>0</v>
      </c>
      <c r="W1289" s="60">
        <v>0</v>
      </c>
      <c r="X1289" s="60">
        <v>0</v>
      </c>
      <c r="Y1289" s="60">
        <v>0</v>
      </c>
      <c r="Z1289" s="60">
        <v>0</v>
      </c>
      <c r="AA1289" s="60">
        <v>0</v>
      </c>
      <c r="AB1289" s="60">
        <v>0</v>
      </c>
      <c r="AC1289" s="60">
        <v>275.42</v>
      </c>
      <c r="AD1289" s="60">
        <v>261.17</v>
      </c>
      <c r="AE1289" s="60">
        <v>244.74</v>
      </c>
      <c r="AF1289" s="60">
        <v>0</v>
      </c>
      <c r="AG1289" s="60">
        <v>0</v>
      </c>
      <c r="AH1289" s="60">
        <v>0</v>
      </c>
      <c r="AI1289" s="60">
        <v>275.42</v>
      </c>
      <c r="AJ1289" s="60">
        <v>261.17</v>
      </c>
      <c r="AK1289" s="60">
        <v>244.74</v>
      </c>
      <c r="AL1289" s="60">
        <v>0</v>
      </c>
      <c r="AM1289" s="60">
        <v>0</v>
      </c>
      <c r="AN1289" s="60">
        <v>0</v>
      </c>
      <c r="AO1289" s="60">
        <v>275.42</v>
      </c>
      <c r="AP1289" s="60">
        <v>261.17</v>
      </c>
      <c r="AQ1289" s="60">
        <v>244.74</v>
      </c>
      <c r="AR1289" s="61">
        <v>275.42</v>
      </c>
    </row>
    <row r="1290" spans="1:44" x14ac:dyDescent="0.35">
      <c r="A1290" s="49" t="str">
        <f t="shared" si="104"/>
        <v>19</v>
      </c>
      <c r="B1290" s="27">
        <v>64733</v>
      </c>
      <c r="C1290" s="25" t="str">
        <f>TEXT(129866,"0000000")</f>
        <v>0129866</v>
      </c>
      <c r="D1290" s="27">
        <v>1639</v>
      </c>
      <c r="E1290" s="25" t="s">
        <v>1047</v>
      </c>
      <c r="F1290" s="25" t="s">
        <v>505</v>
      </c>
      <c r="G1290" s="59" t="s">
        <v>1048</v>
      </c>
      <c r="H1290" s="60">
        <v>0</v>
      </c>
      <c r="I1290" s="60">
        <v>0</v>
      </c>
      <c r="J1290" s="60">
        <v>0</v>
      </c>
      <c r="K1290" s="60">
        <v>0</v>
      </c>
      <c r="L1290" s="60">
        <v>0</v>
      </c>
      <c r="M1290" s="60">
        <v>0</v>
      </c>
      <c r="N1290" s="60">
        <v>0</v>
      </c>
      <c r="O1290" s="60">
        <v>0</v>
      </c>
      <c r="P1290" s="60">
        <v>0</v>
      </c>
      <c r="Q1290" s="60">
        <v>0</v>
      </c>
      <c r="R1290" s="60">
        <v>0</v>
      </c>
      <c r="S1290" s="60">
        <v>0</v>
      </c>
      <c r="T1290" s="60">
        <v>0</v>
      </c>
      <c r="U1290" s="60">
        <v>0</v>
      </c>
      <c r="V1290" s="60">
        <v>0</v>
      </c>
      <c r="W1290" s="60">
        <v>0</v>
      </c>
      <c r="X1290" s="60">
        <v>0</v>
      </c>
      <c r="Y1290" s="60">
        <v>0</v>
      </c>
      <c r="Z1290" s="60">
        <v>0</v>
      </c>
      <c r="AA1290" s="60">
        <v>0</v>
      </c>
      <c r="AB1290" s="60">
        <v>0</v>
      </c>
      <c r="AC1290" s="60">
        <v>284.82</v>
      </c>
      <c r="AD1290" s="60">
        <v>273.83</v>
      </c>
      <c r="AE1290" s="60">
        <v>253.84</v>
      </c>
      <c r="AF1290" s="60">
        <v>0</v>
      </c>
      <c r="AG1290" s="60">
        <v>0</v>
      </c>
      <c r="AH1290" s="60">
        <v>0</v>
      </c>
      <c r="AI1290" s="60">
        <v>284.82</v>
      </c>
      <c r="AJ1290" s="60">
        <v>273.83</v>
      </c>
      <c r="AK1290" s="60">
        <v>253.84</v>
      </c>
      <c r="AL1290" s="60">
        <v>0</v>
      </c>
      <c r="AM1290" s="60">
        <v>0</v>
      </c>
      <c r="AN1290" s="60">
        <v>0</v>
      </c>
      <c r="AO1290" s="60">
        <v>284.82</v>
      </c>
      <c r="AP1290" s="60">
        <v>273.83</v>
      </c>
      <c r="AQ1290" s="60">
        <v>253.84</v>
      </c>
      <c r="AR1290" s="61">
        <v>284.82</v>
      </c>
    </row>
    <row r="1291" spans="1:44" x14ac:dyDescent="0.35">
      <c r="A1291" s="49" t="str">
        <f t="shared" si="104"/>
        <v>19</v>
      </c>
      <c r="B1291" s="27">
        <v>65136</v>
      </c>
      <c r="C1291" s="25" t="str">
        <f>TEXT(1996263,"0000000")</f>
        <v>1996263</v>
      </c>
      <c r="D1291" s="26" t="s">
        <v>1138</v>
      </c>
      <c r="E1291" s="25" t="s">
        <v>1136</v>
      </c>
      <c r="F1291" s="25" t="s">
        <v>505</v>
      </c>
      <c r="G1291" s="59" t="s">
        <v>1137</v>
      </c>
      <c r="H1291" s="60">
        <v>0</v>
      </c>
      <c r="I1291" s="60">
        <v>0</v>
      </c>
      <c r="J1291" s="60">
        <v>0</v>
      </c>
      <c r="K1291" s="60">
        <v>0</v>
      </c>
      <c r="L1291" s="60">
        <v>0</v>
      </c>
      <c r="M1291" s="60">
        <v>0</v>
      </c>
      <c r="N1291" s="60">
        <v>0</v>
      </c>
      <c r="O1291" s="60">
        <v>0</v>
      </c>
      <c r="P1291" s="60">
        <v>0</v>
      </c>
      <c r="Q1291" s="60">
        <v>0</v>
      </c>
      <c r="R1291" s="60">
        <v>0</v>
      </c>
      <c r="S1291" s="60">
        <v>0</v>
      </c>
      <c r="T1291" s="60">
        <v>0</v>
      </c>
      <c r="U1291" s="60">
        <v>0</v>
      </c>
      <c r="V1291" s="60">
        <v>0</v>
      </c>
      <c r="W1291" s="60">
        <v>0</v>
      </c>
      <c r="X1291" s="60">
        <v>0</v>
      </c>
      <c r="Y1291" s="60">
        <v>0</v>
      </c>
      <c r="Z1291" s="60">
        <v>0</v>
      </c>
      <c r="AA1291" s="60">
        <v>0</v>
      </c>
      <c r="AB1291" s="60">
        <v>0</v>
      </c>
      <c r="AC1291" s="60">
        <v>1477.63</v>
      </c>
      <c r="AD1291" s="60">
        <v>1403.38</v>
      </c>
      <c r="AE1291" s="60">
        <v>1468.88</v>
      </c>
      <c r="AF1291" s="60">
        <v>0</v>
      </c>
      <c r="AG1291" s="60">
        <v>0</v>
      </c>
      <c r="AH1291" s="60">
        <v>0</v>
      </c>
      <c r="AI1291" s="60">
        <v>1477.63</v>
      </c>
      <c r="AJ1291" s="60">
        <v>1403.38</v>
      </c>
      <c r="AK1291" s="60">
        <v>1468.88</v>
      </c>
      <c r="AL1291" s="60">
        <v>0</v>
      </c>
      <c r="AM1291" s="60">
        <v>0</v>
      </c>
      <c r="AN1291" s="60">
        <v>0</v>
      </c>
      <c r="AO1291" s="60">
        <v>1477.63</v>
      </c>
      <c r="AP1291" s="60">
        <v>1403.38</v>
      </c>
      <c r="AQ1291" s="60">
        <v>1468.88</v>
      </c>
      <c r="AR1291" s="61">
        <v>1477.63</v>
      </c>
    </row>
    <row r="1292" spans="1:44" x14ac:dyDescent="0.35">
      <c r="A1292" s="49" t="str">
        <f t="shared" si="104"/>
        <v>19</v>
      </c>
      <c r="B1292" s="27">
        <v>73437</v>
      </c>
      <c r="C1292" s="25" t="str">
        <f>TEXT(134338,"0000000")</f>
        <v>0134338</v>
      </c>
      <c r="D1292" s="27">
        <v>1827</v>
      </c>
      <c r="E1292" s="25" t="s">
        <v>1150</v>
      </c>
      <c r="F1292" s="25" t="s">
        <v>505</v>
      </c>
      <c r="G1292" s="59" t="s">
        <v>1151</v>
      </c>
      <c r="H1292" s="60">
        <v>0</v>
      </c>
      <c r="I1292" s="60">
        <v>0</v>
      </c>
      <c r="J1292" s="60">
        <v>0</v>
      </c>
      <c r="K1292" s="60">
        <v>0</v>
      </c>
      <c r="L1292" s="60">
        <v>0</v>
      </c>
      <c r="M1292" s="60">
        <v>0</v>
      </c>
      <c r="N1292" s="60">
        <v>0</v>
      </c>
      <c r="O1292" s="60">
        <v>0</v>
      </c>
      <c r="P1292" s="60">
        <v>0</v>
      </c>
      <c r="Q1292" s="60">
        <v>0</v>
      </c>
      <c r="R1292" s="60">
        <v>0</v>
      </c>
      <c r="S1292" s="60">
        <v>0</v>
      </c>
      <c r="T1292" s="60">
        <v>0</v>
      </c>
      <c r="U1292" s="60">
        <v>0</v>
      </c>
      <c r="V1292" s="60">
        <v>0</v>
      </c>
      <c r="W1292" s="60">
        <v>0</v>
      </c>
      <c r="X1292" s="60">
        <v>0</v>
      </c>
      <c r="Y1292" s="60">
        <v>0</v>
      </c>
      <c r="Z1292" s="60">
        <v>0</v>
      </c>
      <c r="AA1292" s="60">
        <v>0</v>
      </c>
      <c r="AB1292" s="60">
        <v>0</v>
      </c>
      <c r="AC1292" s="60">
        <v>383.14</v>
      </c>
      <c r="AD1292" s="60">
        <v>388.97</v>
      </c>
      <c r="AE1292" s="60">
        <v>428.24</v>
      </c>
      <c r="AF1292" s="60">
        <v>0</v>
      </c>
      <c r="AG1292" s="60">
        <v>0</v>
      </c>
      <c r="AH1292" s="60">
        <v>0</v>
      </c>
      <c r="AI1292" s="60">
        <v>383.14</v>
      </c>
      <c r="AJ1292" s="60">
        <v>388.97</v>
      </c>
      <c r="AK1292" s="60">
        <v>428.24</v>
      </c>
      <c r="AL1292" s="60">
        <v>0</v>
      </c>
      <c r="AM1292" s="60">
        <v>0</v>
      </c>
      <c r="AN1292" s="60">
        <v>0</v>
      </c>
      <c r="AO1292" s="60">
        <v>383.14</v>
      </c>
      <c r="AP1292" s="60">
        <v>388.97</v>
      </c>
      <c r="AQ1292" s="60">
        <v>428.24</v>
      </c>
      <c r="AR1292" s="61">
        <v>428.24</v>
      </c>
    </row>
    <row r="1293" spans="1:44" x14ac:dyDescent="0.35">
      <c r="A1293" s="49" t="str">
        <f t="shared" si="104"/>
        <v>19</v>
      </c>
      <c r="B1293" s="27">
        <v>75309</v>
      </c>
      <c r="C1293" s="25" t="str">
        <f>TEXT(136648,"0000000")</f>
        <v>0136648</v>
      </c>
      <c r="D1293" s="27">
        <v>1911</v>
      </c>
      <c r="E1293" s="25" t="s">
        <v>1182</v>
      </c>
      <c r="F1293" s="25" t="s">
        <v>505</v>
      </c>
      <c r="G1293" s="59" t="s">
        <v>1183</v>
      </c>
      <c r="H1293" s="60">
        <v>0</v>
      </c>
      <c r="I1293" s="60">
        <v>0</v>
      </c>
      <c r="J1293" s="60">
        <v>0</v>
      </c>
      <c r="K1293" s="60">
        <v>0</v>
      </c>
      <c r="L1293" s="60">
        <v>0</v>
      </c>
      <c r="M1293" s="60">
        <v>0</v>
      </c>
      <c r="N1293" s="60">
        <v>0</v>
      </c>
      <c r="O1293" s="60">
        <v>0</v>
      </c>
      <c r="P1293" s="60">
        <v>0</v>
      </c>
      <c r="Q1293" s="60">
        <v>0</v>
      </c>
      <c r="R1293" s="60">
        <v>0</v>
      </c>
      <c r="S1293" s="60">
        <v>0</v>
      </c>
      <c r="T1293" s="60">
        <v>0</v>
      </c>
      <c r="U1293" s="60">
        <v>0</v>
      </c>
      <c r="V1293" s="60">
        <v>0</v>
      </c>
      <c r="W1293" s="60">
        <v>0</v>
      </c>
      <c r="X1293" s="60">
        <v>0</v>
      </c>
      <c r="Y1293" s="60">
        <v>0</v>
      </c>
      <c r="Z1293" s="60">
        <v>0</v>
      </c>
      <c r="AA1293" s="60">
        <v>0</v>
      </c>
      <c r="AB1293" s="60">
        <v>0</v>
      </c>
      <c r="AC1293" s="60">
        <v>2471.46</v>
      </c>
      <c r="AD1293" s="60">
        <v>2072.5500000000002</v>
      </c>
      <c r="AE1293" s="60">
        <v>1842.06</v>
      </c>
      <c r="AF1293" s="60">
        <v>0</v>
      </c>
      <c r="AG1293" s="60">
        <v>0</v>
      </c>
      <c r="AH1293" s="60">
        <v>0</v>
      </c>
      <c r="AI1293" s="60">
        <v>2471.46</v>
      </c>
      <c r="AJ1293" s="60">
        <v>2072.5500000000002</v>
      </c>
      <c r="AK1293" s="60">
        <v>1842.06</v>
      </c>
      <c r="AL1293" s="60">
        <v>0</v>
      </c>
      <c r="AM1293" s="60">
        <v>0</v>
      </c>
      <c r="AN1293" s="60">
        <v>0</v>
      </c>
      <c r="AO1293" s="60">
        <v>2471.46</v>
      </c>
      <c r="AP1293" s="60">
        <v>2072.5500000000002</v>
      </c>
      <c r="AQ1293" s="60">
        <v>1842.06</v>
      </c>
      <c r="AR1293" s="61">
        <v>2471.46</v>
      </c>
    </row>
    <row r="1294" spans="1:44" x14ac:dyDescent="0.35">
      <c r="A1294" s="49" t="str">
        <f t="shared" si="104"/>
        <v>19</v>
      </c>
      <c r="B1294" s="27">
        <v>76968</v>
      </c>
      <c r="C1294" s="25" t="str">
        <f>TEXT(109926,"0000000")</f>
        <v>0109926</v>
      </c>
      <c r="D1294" s="26" t="s">
        <v>1209</v>
      </c>
      <c r="E1294" s="25" t="s">
        <v>1207</v>
      </c>
      <c r="F1294" s="25" t="s">
        <v>505</v>
      </c>
      <c r="G1294" s="59" t="s">
        <v>1208</v>
      </c>
      <c r="H1294" s="60">
        <v>0</v>
      </c>
      <c r="I1294" s="60">
        <v>0</v>
      </c>
      <c r="J1294" s="60">
        <v>0</v>
      </c>
      <c r="K1294" s="60">
        <v>0</v>
      </c>
      <c r="L1294" s="60">
        <v>0</v>
      </c>
      <c r="M1294" s="60">
        <v>0</v>
      </c>
      <c r="N1294" s="60">
        <v>0</v>
      </c>
      <c r="O1294" s="60">
        <v>0</v>
      </c>
      <c r="P1294" s="60">
        <v>0</v>
      </c>
      <c r="Q1294" s="60">
        <v>0</v>
      </c>
      <c r="R1294" s="60">
        <v>0</v>
      </c>
      <c r="S1294" s="60">
        <v>0</v>
      </c>
      <c r="T1294" s="60">
        <v>0</v>
      </c>
      <c r="U1294" s="60">
        <v>0</v>
      </c>
      <c r="V1294" s="60">
        <v>0</v>
      </c>
      <c r="W1294" s="60">
        <v>0</v>
      </c>
      <c r="X1294" s="60">
        <v>0</v>
      </c>
      <c r="Y1294" s="60">
        <v>0</v>
      </c>
      <c r="Z1294" s="60">
        <v>0</v>
      </c>
      <c r="AA1294" s="60">
        <v>0</v>
      </c>
      <c r="AB1294" s="60">
        <v>0</v>
      </c>
      <c r="AC1294" s="60">
        <v>211.43</v>
      </c>
      <c r="AD1294" s="60">
        <v>223.3</v>
      </c>
      <c r="AE1294" s="60">
        <v>232.26</v>
      </c>
      <c r="AF1294" s="60">
        <v>0</v>
      </c>
      <c r="AG1294" s="60">
        <v>0</v>
      </c>
      <c r="AH1294" s="60">
        <v>0</v>
      </c>
      <c r="AI1294" s="60">
        <v>211.43</v>
      </c>
      <c r="AJ1294" s="60">
        <v>223.3</v>
      </c>
      <c r="AK1294" s="60">
        <v>232.26</v>
      </c>
      <c r="AL1294" s="60">
        <v>0</v>
      </c>
      <c r="AM1294" s="60">
        <v>0</v>
      </c>
      <c r="AN1294" s="60">
        <v>0</v>
      </c>
      <c r="AO1294" s="60">
        <v>211.43</v>
      </c>
      <c r="AP1294" s="60">
        <v>223.3</v>
      </c>
      <c r="AQ1294" s="60">
        <v>232.26</v>
      </c>
      <c r="AR1294" s="61">
        <v>232.26</v>
      </c>
    </row>
    <row r="1295" spans="1:44" x14ac:dyDescent="0.35">
      <c r="A1295" s="49" t="str">
        <f>TEXT(30,"00")</f>
        <v>30</v>
      </c>
      <c r="B1295" s="27">
        <v>10306</v>
      </c>
      <c r="C1295" s="25" t="str">
        <f>TEXT(139352,"0000000")</f>
        <v>0139352</v>
      </c>
      <c r="D1295" s="27">
        <v>2047</v>
      </c>
      <c r="E1295" s="25" t="s">
        <v>1520</v>
      </c>
      <c r="F1295" s="25" t="s">
        <v>505</v>
      </c>
      <c r="G1295" s="59" t="s">
        <v>1521</v>
      </c>
      <c r="H1295" s="60">
        <v>0</v>
      </c>
      <c r="I1295" s="60">
        <v>0</v>
      </c>
      <c r="J1295" s="60">
        <v>0</v>
      </c>
      <c r="K1295" s="60">
        <v>0</v>
      </c>
      <c r="L1295" s="60">
        <v>0</v>
      </c>
      <c r="M1295" s="60">
        <v>0</v>
      </c>
      <c r="N1295" s="60">
        <v>0</v>
      </c>
      <c r="O1295" s="60">
        <v>0</v>
      </c>
      <c r="P1295" s="60">
        <v>0</v>
      </c>
      <c r="Q1295" s="60">
        <v>0</v>
      </c>
      <c r="R1295" s="60">
        <v>0</v>
      </c>
      <c r="S1295" s="60">
        <v>0</v>
      </c>
      <c r="T1295" s="60">
        <v>0</v>
      </c>
      <c r="U1295" s="60">
        <v>0</v>
      </c>
      <c r="V1295" s="60">
        <v>0</v>
      </c>
      <c r="W1295" s="60">
        <v>0</v>
      </c>
      <c r="X1295" s="60">
        <v>0</v>
      </c>
      <c r="Y1295" s="60">
        <v>0</v>
      </c>
      <c r="Z1295" s="60">
        <v>0</v>
      </c>
      <c r="AA1295" s="60">
        <v>0</v>
      </c>
      <c r="AB1295" s="60">
        <v>0</v>
      </c>
      <c r="AC1295" s="60">
        <v>154.37</v>
      </c>
      <c r="AD1295" s="60">
        <v>148.77000000000001</v>
      </c>
      <c r="AE1295" s="60">
        <v>131.84</v>
      </c>
      <c r="AF1295" s="60">
        <v>0</v>
      </c>
      <c r="AG1295" s="60">
        <v>0</v>
      </c>
      <c r="AH1295" s="60">
        <v>0</v>
      </c>
      <c r="AI1295" s="60">
        <v>154.37</v>
      </c>
      <c r="AJ1295" s="60">
        <v>148.77000000000001</v>
      </c>
      <c r="AK1295" s="60">
        <v>131.84</v>
      </c>
      <c r="AL1295" s="60">
        <v>0</v>
      </c>
      <c r="AM1295" s="60">
        <v>0</v>
      </c>
      <c r="AN1295" s="60">
        <v>0</v>
      </c>
      <c r="AO1295" s="60">
        <v>154.37</v>
      </c>
      <c r="AP1295" s="60">
        <v>148.77000000000001</v>
      </c>
      <c r="AQ1295" s="60">
        <v>131.84</v>
      </c>
      <c r="AR1295" s="61">
        <v>154.37</v>
      </c>
    </row>
    <row r="1296" spans="1:44" x14ac:dyDescent="0.35">
      <c r="A1296" s="49" t="str">
        <f>TEXT(30,"00")</f>
        <v>30</v>
      </c>
      <c r="B1296" s="27">
        <v>10306</v>
      </c>
      <c r="C1296" s="25" t="str">
        <f>TEXT(139469,"0000000")</f>
        <v>0139469</v>
      </c>
      <c r="D1296" s="27">
        <v>2048</v>
      </c>
      <c r="E1296" s="25" t="s">
        <v>1522</v>
      </c>
      <c r="F1296" s="25" t="s">
        <v>505</v>
      </c>
      <c r="G1296" s="59" t="s">
        <v>1523</v>
      </c>
      <c r="H1296" s="60">
        <v>0</v>
      </c>
      <c r="I1296" s="60">
        <v>0</v>
      </c>
      <c r="J1296" s="60">
        <v>0</v>
      </c>
      <c r="K1296" s="60">
        <v>0</v>
      </c>
      <c r="L1296" s="60">
        <v>0</v>
      </c>
      <c r="M1296" s="60">
        <v>0</v>
      </c>
      <c r="N1296" s="60">
        <v>0</v>
      </c>
      <c r="O1296" s="60">
        <v>0</v>
      </c>
      <c r="P1296" s="60">
        <v>0</v>
      </c>
      <c r="Q1296" s="60">
        <v>0</v>
      </c>
      <c r="R1296" s="60">
        <v>0</v>
      </c>
      <c r="S1296" s="60">
        <v>0</v>
      </c>
      <c r="T1296" s="60">
        <v>0</v>
      </c>
      <c r="U1296" s="60">
        <v>0</v>
      </c>
      <c r="V1296" s="60">
        <v>0</v>
      </c>
      <c r="W1296" s="60">
        <v>0</v>
      </c>
      <c r="X1296" s="60">
        <v>0</v>
      </c>
      <c r="Y1296" s="60">
        <v>0</v>
      </c>
      <c r="Z1296" s="60">
        <v>0</v>
      </c>
      <c r="AA1296" s="60">
        <v>0</v>
      </c>
      <c r="AB1296" s="60">
        <v>0</v>
      </c>
      <c r="AC1296" s="60">
        <v>107.85</v>
      </c>
      <c r="AD1296" s="60">
        <v>125.7</v>
      </c>
      <c r="AE1296" s="60">
        <v>163.94</v>
      </c>
      <c r="AF1296" s="60">
        <v>0</v>
      </c>
      <c r="AG1296" s="60">
        <v>0</v>
      </c>
      <c r="AH1296" s="60">
        <v>0</v>
      </c>
      <c r="AI1296" s="60">
        <v>107.85</v>
      </c>
      <c r="AJ1296" s="60">
        <v>125.7</v>
      </c>
      <c r="AK1296" s="60">
        <v>163.94</v>
      </c>
      <c r="AL1296" s="60">
        <v>0</v>
      </c>
      <c r="AM1296" s="60">
        <v>0</v>
      </c>
      <c r="AN1296" s="60">
        <v>0</v>
      </c>
      <c r="AO1296" s="60">
        <v>107.85</v>
      </c>
      <c r="AP1296" s="60">
        <v>125.7</v>
      </c>
      <c r="AQ1296" s="60">
        <v>163.94</v>
      </c>
      <c r="AR1296" s="61">
        <v>163.94</v>
      </c>
    </row>
    <row r="1297" spans="1:44" x14ac:dyDescent="0.35">
      <c r="A1297" s="49" t="str">
        <f>TEXT(30,"00")</f>
        <v>30</v>
      </c>
      <c r="B1297" s="27">
        <v>10306</v>
      </c>
      <c r="C1297" s="25" t="str">
        <f>TEXT(140822,"0000000")</f>
        <v>0140822</v>
      </c>
      <c r="D1297" s="27">
        <v>2116</v>
      </c>
      <c r="E1297" s="25" t="s">
        <v>1526</v>
      </c>
      <c r="F1297" s="25" t="s">
        <v>505</v>
      </c>
      <c r="G1297" s="59" t="s">
        <v>1527</v>
      </c>
      <c r="H1297" s="60">
        <v>0</v>
      </c>
      <c r="I1297" s="60">
        <v>0</v>
      </c>
      <c r="J1297" s="60">
        <v>0</v>
      </c>
      <c r="K1297" s="60">
        <v>0</v>
      </c>
      <c r="L1297" s="60">
        <v>0</v>
      </c>
      <c r="M1297" s="60">
        <v>0</v>
      </c>
      <c r="N1297" s="60">
        <v>0</v>
      </c>
      <c r="O1297" s="60">
        <v>0</v>
      </c>
      <c r="P1297" s="60">
        <v>0</v>
      </c>
      <c r="Q1297" s="60">
        <v>0</v>
      </c>
      <c r="R1297" s="60">
        <v>0</v>
      </c>
      <c r="S1297" s="60">
        <v>0</v>
      </c>
      <c r="T1297" s="60">
        <v>0</v>
      </c>
      <c r="U1297" s="60">
        <v>0</v>
      </c>
      <c r="V1297" s="60">
        <v>0</v>
      </c>
      <c r="W1297" s="60">
        <v>0</v>
      </c>
      <c r="X1297" s="60">
        <v>0</v>
      </c>
      <c r="Y1297" s="60">
        <v>0</v>
      </c>
      <c r="Z1297" s="60">
        <v>0</v>
      </c>
      <c r="AA1297" s="60">
        <v>0</v>
      </c>
      <c r="AB1297" s="60">
        <v>0</v>
      </c>
      <c r="AC1297" s="60">
        <v>356.05</v>
      </c>
      <c r="AD1297" s="60">
        <v>211.2</v>
      </c>
      <c r="AE1297" s="60">
        <v>305.7</v>
      </c>
      <c r="AF1297" s="60">
        <v>0</v>
      </c>
      <c r="AG1297" s="60">
        <v>0</v>
      </c>
      <c r="AH1297" s="60">
        <v>0</v>
      </c>
      <c r="AI1297" s="60">
        <v>356.05</v>
      </c>
      <c r="AJ1297" s="60">
        <v>211.2</v>
      </c>
      <c r="AK1297" s="60">
        <v>305.7</v>
      </c>
      <c r="AL1297" s="60">
        <v>0</v>
      </c>
      <c r="AM1297" s="60">
        <v>0</v>
      </c>
      <c r="AN1297" s="60">
        <v>0</v>
      </c>
      <c r="AO1297" s="60">
        <v>356.05</v>
      </c>
      <c r="AP1297" s="60">
        <v>211.2</v>
      </c>
      <c r="AQ1297" s="60">
        <v>305.7</v>
      </c>
      <c r="AR1297" s="61">
        <v>356.05</v>
      </c>
    </row>
    <row r="1298" spans="1:44" x14ac:dyDescent="0.35">
      <c r="A1298" s="49" t="str">
        <f>TEXT(30,"00")</f>
        <v>30</v>
      </c>
      <c r="B1298" s="27">
        <v>66670</v>
      </c>
      <c r="C1298" s="25" t="str">
        <f>TEXT(101626,"0000000")</f>
        <v>0101626</v>
      </c>
      <c r="D1298" s="26" t="s">
        <v>1603</v>
      </c>
      <c r="E1298" s="25" t="s">
        <v>1601</v>
      </c>
      <c r="F1298" s="25" t="s">
        <v>505</v>
      </c>
      <c r="G1298" s="59" t="s">
        <v>1602</v>
      </c>
      <c r="H1298" s="60">
        <v>0</v>
      </c>
      <c r="I1298" s="60">
        <v>0</v>
      </c>
      <c r="J1298" s="60">
        <v>0</v>
      </c>
      <c r="K1298" s="60">
        <v>0</v>
      </c>
      <c r="L1298" s="60">
        <v>0</v>
      </c>
      <c r="M1298" s="60">
        <v>0</v>
      </c>
      <c r="N1298" s="60">
        <v>0</v>
      </c>
      <c r="O1298" s="60">
        <v>0</v>
      </c>
      <c r="P1298" s="60">
        <v>0</v>
      </c>
      <c r="Q1298" s="60">
        <v>0</v>
      </c>
      <c r="R1298" s="60">
        <v>0</v>
      </c>
      <c r="S1298" s="60">
        <v>0</v>
      </c>
      <c r="T1298" s="60">
        <v>0</v>
      </c>
      <c r="U1298" s="60">
        <v>0</v>
      </c>
      <c r="V1298" s="60">
        <v>0</v>
      </c>
      <c r="W1298" s="60">
        <v>0</v>
      </c>
      <c r="X1298" s="60">
        <v>0</v>
      </c>
      <c r="Y1298" s="60">
        <v>0</v>
      </c>
      <c r="Z1298" s="60">
        <v>0</v>
      </c>
      <c r="AA1298" s="60">
        <v>0</v>
      </c>
      <c r="AB1298" s="60">
        <v>0</v>
      </c>
      <c r="AC1298" s="60">
        <v>400.2</v>
      </c>
      <c r="AD1298" s="60">
        <v>400.73</v>
      </c>
      <c r="AE1298" s="60">
        <v>372.66</v>
      </c>
      <c r="AF1298" s="60">
        <v>0</v>
      </c>
      <c r="AG1298" s="60">
        <v>0</v>
      </c>
      <c r="AH1298" s="60">
        <v>0</v>
      </c>
      <c r="AI1298" s="60">
        <v>400.2</v>
      </c>
      <c r="AJ1298" s="60">
        <v>400.73</v>
      </c>
      <c r="AK1298" s="60">
        <v>372.66</v>
      </c>
      <c r="AL1298" s="60">
        <v>0</v>
      </c>
      <c r="AM1298" s="60">
        <v>0</v>
      </c>
      <c r="AN1298" s="60">
        <v>0</v>
      </c>
      <c r="AO1298" s="60">
        <v>400.2</v>
      </c>
      <c r="AP1298" s="60">
        <v>400.73</v>
      </c>
      <c r="AQ1298" s="60">
        <v>372.66</v>
      </c>
      <c r="AR1298" s="61">
        <v>400.73</v>
      </c>
    </row>
    <row r="1299" spans="1:44" x14ac:dyDescent="0.35">
      <c r="A1299" s="49" t="str">
        <f>TEXT(36,"00")</f>
        <v>36</v>
      </c>
      <c r="B1299" s="27">
        <v>75051</v>
      </c>
      <c r="C1299" s="25" t="str">
        <f>TEXT(139188,"0000000")</f>
        <v>0139188</v>
      </c>
      <c r="D1299" s="27">
        <v>2033</v>
      </c>
      <c r="E1299" s="25" t="s">
        <v>2037</v>
      </c>
      <c r="F1299" s="25" t="s">
        <v>505</v>
      </c>
      <c r="G1299" s="59" t="s">
        <v>2038</v>
      </c>
      <c r="H1299" s="60">
        <v>0</v>
      </c>
      <c r="I1299" s="60">
        <v>0</v>
      </c>
      <c r="J1299" s="60">
        <v>0</v>
      </c>
      <c r="K1299" s="60">
        <v>0</v>
      </c>
      <c r="L1299" s="60">
        <v>0</v>
      </c>
      <c r="M1299" s="60">
        <v>0</v>
      </c>
      <c r="N1299" s="60">
        <v>0</v>
      </c>
      <c r="O1299" s="60">
        <v>0</v>
      </c>
      <c r="P1299" s="60">
        <v>0</v>
      </c>
      <c r="Q1299" s="60">
        <v>0</v>
      </c>
      <c r="R1299" s="60">
        <v>0</v>
      </c>
      <c r="S1299" s="60">
        <v>0</v>
      </c>
      <c r="T1299" s="60">
        <v>0</v>
      </c>
      <c r="U1299" s="60">
        <v>0</v>
      </c>
      <c r="V1299" s="60">
        <v>0</v>
      </c>
      <c r="W1299" s="60">
        <v>0</v>
      </c>
      <c r="X1299" s="60">
        <v>0</v>
      </c>
      <c r="Y1299" s="60">
        <v>0</v>
      </c>
      <c r="Z1299" s="60">
        <v>0</v>
      </c>
      <c r="AA1299" s="60">
        <v>0</v>
      </c>
      <c r="AB1299" s="60">
        <v>0</v>
      </c>
      <c r="AC1299" s="60">
        <v>3930.04</v>
      </c>
      <c r="AD1299" s="60">
        <v>3485.72</v>
      </c>
      <c r="AE1299" s="60">
        <v>3365.35</v>
      </c>
      <c r="AF1299" s="60">
        <v>0</v>
      </c>
      <c r="AG1299" s="60">
        <v>0</v>
      </c>
      <c r="AH1299" s="60">
        <v>0</v>
      </c>
      <c r="AI1299" s="60">
        <v>3930.04</v>
      </c>
      <c r="AJ1299" s="60">
        <v>3485.72</v>
      </c>
      <c r="AK1299" s="60">
        <v>3365.35</v>
      </c>
      <c r="AL1299" s="60">
        <v>0</v>
      </c>
      <c r="AM1299" s="60">
        <v>0</v>
      </c>
      <c r="AN1299" s="60">
        <v>0</v>
      </c>
      <c r="AO1299" s="60">
        <v>3930.04</v>
      </c>
      <c r="AP1299" s="60">
        <v>3485.72</v>
      </c>
      <c r="AQ1299" s="60">
        <v>3365.35</v>
      </c>
      <c r="AR1299" s="61">
        <v>3930.04</v>
      </c>
    </row>
    <row r="1300" spans="1:44" x14ac:dyDescent="0.35">
      <c r="A1300" s="49" t="str">
        <f>TEXT(28,"00")</f>
        <v>28</v>
      </c>
      <c r="B1300" s="27">
        <v>10280</v>
      </c>
      <c r="C1300" s="25" t="str">
        <f>TEXT(142034,"0000000")</f>
        <v>0142034</v>
      </c>
      <c r="D1300" s="27">
        <v>2134</v>
      </c>
      <c r="E1300" s="25" t="s">
        <v>3517</v>
      </c>
      <c r="F1300" s="25" t="s">
        <v>505</v>
      </c>
      <c r="G1300" s="59" t="s">
        <v>3518</v>
      </c>
      <c r="H1300" s="60">
        <v>0</v>
      </c>
      <c r="I1300" s="60">
        <v>0</v>
      </c>
      <c r="J1300" s="60">
        <v>0</v>
      </c>
      <c r="K1300" s="60">
        <v>0</v>
      </c>
      <c r="L1300" s="60">
        <v>0</v>
      </c>
      <c r="M1300" s="60">
        <v>0</v>
      </c>
      <c r="N1300" s="60">
        <v>0</v>
      </c>
      <c r="O1300" s="60">
        <v>0</v>
      </c>
      <c r="P1300" s="60">
        <v>0</v>
      </c>
      <c r="Q1300" s="60">
        <v>0</v>
      </c>
      <c r="R1300" s="60">
        <v>0</v>
      </c>
      <c r="S1300" s="60">
        <v>0</v>
      </c>
      <c r="T1300" s="60">
        <v>0</v>
      </c>
      <c r="U1300" s="60">
        <v>0</v>
      </c>
      <c r="V1300" s="60">
        <v>0</v>
      </c>
      <c r="W1300" s="60">
        <v>0</v>
      </c>
      <c r="X1300" s="60">
        <v>0</v>
      </c>
      <c r="Y1300" s="60">
        <v>0</v>
      </c>
      <c r="Z1300" s="60">
        <v>0</v>
      </c>
      <c r="AA1300" s="60">
        <v>0</v>
      </c>
      <c r="AB1300" s="60">
        <v>0</v>
      </c>
      <c r="AC1300" s="60">
        <v>66.69</v>
      </c>
      <c r="AD1300" s="60">
        <v>0</v>
      </c>
      <c r="AE1300" s="60">
        <v>0</v>
      </c>
      <c r="AF1300" s="60">
        <v>0</v>
      </c>
      <c r="AG1300" s="60">
        <v>0</v>
      </c>
      <c r="AH1300" s="60">
        <v>0</v>
      </c>
      <c r="AI1300" s="60">
        <v>66.69</v>
      </c>
      <c r="AJ1300" s="60">
        <v>0</v>
      </c>
      <c r="AK1300" s="60">
        <v>0</v>
      </c>
      <c r="AL1300" s="60">
        <v>0</v>
      </c>
      <c r="AM1300" s="60">
        <v>0</v>
      </c>
      <c r="AN1300" s="60">
        <v>0</v>
      </c>
      <c r="AO1300" s="60">
        <v>66.69</v>
      </c>
      <c r="AP1300" s="60">
        <v>0</v>
      </c>
      <c r="AQ1300" s="60">
        <v>0</v>
      </c>
      <c r="AR1300" s="61">
        <v>66.69</v>
      </c>
    </row>
    <row r="1301" spans="1:44" x14ac:dyDescent="0.35">
      <c r="A1301" s="49" t="str">
        <f>TEXT(19,"00")</f>
        <v>19</v>
      </c>
      <c r="B1301" s="27">
        <v>77289</v>
      </c>
      <c r="C1301" s="25" t="str">
        <f>TEXT(109942,"0000000")</f>
        <v>0109942</v>
      </c>
      <c r="D1301" s="26" t="s">
        <v>1212</v>
      </c>
      <c r="E1301" s="25" t="s">
        <v>3516</v>
      </c>
      <c r="F1301" s="25" t="s">
        <v>505</v>
      </c>
      <c r="G1301" s="59" t="s">
        <v>1211</v>
      </c>
      <c r="H1301" s="60">
        <v>0</v>
      </c>
      <c r="I1301" s="60">
        <v>0</v>
      </c>
      <c r="J1301" s="60">
        <v>0</v>
      </c>
      <c r="K1301" s="60">
        <v>0</v>
      </c>
      <c r="L1301" s="60">
        <v>0</v>
      </c>
      <c r="M1301" s="60">
        <v>0</v>
      </c>
      <c r="N1301" s="60">
        <v>0</v>
      </c>
      <c r="O1301" s="60">
        <v>0</v>
      </c>
      <c r="P1301" s="60">
        <v>0</v>
      </c>
      <c r="Q1301" s="60">
        <v>0</v>
      </c>
      <c r="R1301" s="60">
        <v>0</v>
      </c>
      <c r="S1301" s="60">
        <v>0</v>
      </c>
      <c r="T1301" s="60">
        <v>0</v>
      </c>
      <c r="U1301" s="60">
        <v>0</v>
      </c>
      <c r="V1301" s="60">
        <v>0</v>
      </c>
      <c r="W1301" s="60">
        <v>0</v>
      </c>
      <c r="X1301" s="60">
        <v>0</v>
      </c>
      <c r="Y1301" s="60">
        <v>0</v>
      </c>
      <c r="Z1301" s="60">
        <v>0</v>
      </c>
      <c r="AA1301" s="60">
        <v>0</v>
      </c>
      <c r="AB1301" s="60">
        <v>0</v>
      </c>
      <c r="AC1301" s="60">
        <v>35.68</v>
      </c>
      <c r="AD1301" s="60">
        <v>34.840000000000003</v>
      </c>
      <c r="AE1301" s="60">
        <v>41.42</v>
      </c>
      <c r="AF1301" s="60">
        <v>0</v>
      </c>
      <c r="AG1301" s="60">
        <v>0</v>
      </c>
      <c r="AH1301" s="60">
        <v>0</v>
      </c>
      <c r="AI1301" s="60">
        <v>35.68</v>
      </c>
      <c r="AJ1301" s="60">
        <v>34.840000000000003</v>
      </c>
      <c r="AK1301" s="60">
        <v>41.42</v>
      </c>
      <c r="AL1301" s="60">
        <v>0</v>
      </c>
      <c r="AM1301" s="60">
        <v>0</v>
      </c>
      <c r="AN1301" s="60">
        <v>0</v>
      </c>
      <c r="AO1301" s="60">
        <v>35.68</v>
      </c>
      <c r="AP1301" s="60">
        <v>34.840000000000003</v>
      </c>
      <c r="AQ1301" s="60">
        <v>41.42</v>
      </c>
      <c r="AR1301" s="61">
        <v>41.42</v>
      </c>
    </row>
    <row r="1302" spans="1:44" x14ac:dyDescent="0.35">
      <c r="A1302" s="49" t="str">
        <f>TEXT(19,"00")</f>
        <v>19</v>
      </c>
      <c r="B1302" s="27">
        <v>73437</v>
      </c>
      <c r="C1302" s="25" t="str">
        <f t="shared" ref="C1302:C1333" si="105">TEXT(,"0000000")</f>
        <v>0000000</v>
      </c>
      <c r="D1302" s="26" t="s">
        <v>3663</v>
      </c>
      <c r="E1302" s="25" t="s">
        <v>1141</v>
      </c>
      <c r="F1302" s="25" t="s">
        <v>1142</v>
      </c>
      <c r="G1302" s="59" t="s">
        <v>1142</v>
      </c>
      <c r="H1302" s="60">
        <v>15641.92</v>
      </c>
      <c r="I1302" s="60">
        <v>15906.59</v>
      </c>
      <c r="J1302" s="60">
        <v>16342.18</v>
      </c>
      <c r="K1302" s="60">
        <v>0</v>
      </c>
      <c r="L1302" s="60">
        <v>0</v>
      </c>
      <c r="M1302" s="60">
        <v>0</v>
      </c>
      <c r="N1302" s="60">
        <v>0</v>
      </c>
      <c r="O1302" s="60">
        <v>0</v>
      </c>
      <c r="P1302" s="60">
        <v>0</v>
      </c>
      <c r="Q1302" s="60">
        <v>0</v>
      </c>
      <c r="R1302" s="60">
        <v>0</v>
      </c>
      <c r="S1302" s="60">
        <v>0</v>
      </c>
      <c r="T1302" s="60">
        <v>7.62</v>
      </c>
      <c r="U1302" s="60">
        <v>7.14</v>
      </c>
      <c r="V1302" s="60">
        <v>6.58</v>
      </c>
      <c r="W1302" s="60">
        <v>7.09</v>
      </c>
      <c r="X1302" s="60">
        <v>8.19</v>
      </c>
      <c r="Y1302" s="60">
        <v>5.75</v>
      </c>
      <c r="Z1302" s="60">
        <v>0</v>
      </c>
      <c r="AA1302" s="60">
        <v>0</v>
      </c>
      <c r="AB1302" s="60">
        <v>0</v>
      </c>
      <c r="AC1302" s="60">
        <v>0</v>
      </c>
      <c r="AD1302" s="60">
        <v>0</v>
      </c>
      <c r="AE1302" s="60">
        <v>0</v>
      </c>
      <c r="AF1302" s="60">
        <v>0</v>
      </c>
      <c r="AG1302" s="60">
        <v>0</v>
      </c>
      <c r="AH1302" s="60">
        <v>0</v>
      </c>
      <c r="AI1302" s="60">
        <v>15656.63</v>
      </c>
      <c r="AJ1302" s="60">
        <v>15921.92</v>
      </c>
      <c r="AK1302" s="60">
        <v>16354.51</v>
      </c>
      <c r="AL1302" s="60">
        <v>0</v>
      </c>
      <c r="AM1302" s="60">
        <v>0</v>
      </c>
      <c r="AN1302" s="60">
        <v>0</v>
      </c>
      <c r="AO1302" s="60">
        <v>15656.63</v>
      </c>
      <c r="AP1302" s="60">
        <v>15921.92</v>
      </c>
      <c r="AQ1302" s="60">
        <v>16354.51</v>
      </c>
      <c r="AR1302" s="61">
        <v>16354.51</v>
      </c>
    </row>
    <row r="1303" spans="1:44" x14ac:dyDescent="0.35">
      <c r="A1303" s="49" t="str">
        <f t="shared" ref="A1303:A1311" si="106">TEXT(30,"00")</f>
        <v>30</v>
      </c>
      <c r="B1303" s="27">
        <v>66431</v>
      </c>
      <c r="C1303" s="25" t="str">
        <f t="shared" si="105"/>
        <v>0000000</v>
      </c>
      <c r="D1303" s="26" t="s">
        <v>3663</v>
      </c>
      <c r="E1303" s="25" t="s">
        <v>1539</v>
      </c>
      <c r="F1303" s="25" t="s">
        <v>1540</v>
      </c>
      <c r="G1303" s="59" t="s">
        <v>1540</v>
      </c>
      <c r="H1303" s="60">
        <v>25079.61</v>
      </c>
      <c r="I1303" s="60">
        <v>25309.01</v>
      </c>
      <c r="J1303" s="60">
        <v>26099.97</v>
      </c>
      <c r="K1303" s="60">
        <v>0</v>
      </c>
      <c r="L1303" s="60">
        <v>0</v>
      </c>
      <c r="M1303" s="60">
        <v>0</v>
      </c>
      <c r="N1303" s="60">
        <v>0</v>
      </c>
      <c r="O1303" s="60">
        <v>0</v>
      </c>
      <c r="P1303" s="60">
        <v>0</v>
      </c>
      <c r="Q1303" s="60">
        <v>0</v>
      </c>
      <c r="R1303" s="60">
        <v>0</v>
      </c>
      <c r="S1303" s="60">
        <v>0</v>
      </c>
      <c r="T1303" s="60">
        <v>0</v>
      </c>
      <c r="U1303" s="60">
        <v>0</v>
      </c>
      <c r="V1303" s="60">
        <v>0</v>
      </c>
      <c r="W1303" s="60">
        <v>0</v>
      </c>
      <c r="X1303" s="60">
        <v>0</v>
      </c>
      <c r="Y1303" s="60">
        <v>0</v>
      </c>
      <c r="Z1303" s="60">
        <v>0</v>
      </c>
      <c r="AA1303" s="60">
        <v>0</v>
      </c>
      <c r="AB1303" s="60">
        <v>0</v>
      </c>
      <c r="AC1303" s="60">
        <v>0</v>
      </c>
      <c r="AD1303" s="60">
        <v>0</v>
      </c>
      <c r="AE1303" s="60">
        <v>0</v>
      </c>
      <c r="AF1303" s="60">
        <v>0</v>
      </c>
      <c r="AG1303" s="60">
        <v>0</v>
      </c>
      <c r="AH1303" s="60">
        <v>0</v>
      </c>
      <c r="AI1303" s="60">
        <v>25079.61</v>
      </c>
      <c r="AJ1303" s="60">
        <v>25309.01</v>
      </c>
      <c r="AK1303" s="60">
        <v>26099.97</v>
      </c>
      <c r="AL1303" s="60">
        <v>0</v>
      </c>
      <c r="AM1303" s="60">
        <v>0</v>
      </c>
      <c r="AN1303" s="60">
        <v>0</v>
      </c>
      <c r="AO1303" s="60">
        <v>25079.61</v>
      </c>
      <c r="AP1303" s="60">
        <v>25309.01</v>
      </c>
      <c r="AQ1303" s="60">
        <v>26099.97</v>
      </c>
      <c r="AR1303" s="61">
        <v>26099.97</v>
      </c>
    </row>
    <row r="1304" spans="1:44" x14ac:dyDescent="0.35">
      <c r="A1304" s="49" t="str">
        <f t="shared" si="106"/>
        <v>30</v>
      </c>
      <c r="B1304" s="27">
        <v>66472</v>
      </c>
      <c r="C1304" s="25" t="str">
        <f t="shared" si="105"/>
        <v>0000000</v>
      </c>
      <c r="D1304" s="26" t="s">
        <v>3663</v>
      </c>
      <c r="E1304" s="25" t="s">
        <v>1561</v>
      </c>
      <c r="F1304" s="25" t="s">
        <v>1540</v>
      </c>
      <c r="G1304" s="59" t="s">
        <v>1562</v>
      </c>
      <c r="H1304" s="60">
        <v>3819.72</v>
      </c>
      <c r="I1304" s="60">
        <v>3765.58</v>
      </c>
      <c r="J1304" s="60">
        <v>3750.13</v>
      </c>
      <c r="K1304" s="60">
        <v>0</v>
      </c>
      <c r="L1304" s="60">
        <v>0</v>
      </c>
      <c r="M1304" s="60">
        <v>0</v>
      </c>
      <c r="N1304" s="60">
        <v>0</v>
      </c>
      <c r="O1304" s="60">
        <v>0</v>
      </c>
      <c r="P1304" s="60">
        <v>0</v>
      </c>
      <c r="Q1304" s="60">
        <v>0</v>
      </c>
      <c r="R1304" s="60">
        <v>0</v>
      </c>
      <c r="S1304" s="60">
        <v>0</v>
      </c>
      <c r="T1304" s="60">
        <v>0</v>
      </c>
      <c r="U1304" s="60">
        <v>0</v>
      </c>
      <c r="V1304" s="60">
        <v>0</v>
      </c>
      <c r="W1304" s="60">
        <v>0</v>
      </c>
      <c r="X1304" s="60">
        <v>0</v>
      </c>
      <c r="Y1304" s="60">
        <v>0</v>
      </c>
      <c r="Z1304" s="60">
        <v>0</v>
      </c>
      <c r="AA1304" s="60">
        <v>0</v>
      </c>
      <c r="AB1304" s="60">
        <v>0</v>
      </c>
      <c r="AC1304" s="60">
        <v>0</v>
      </c>
      <c r="AD1304" s="60">
        <v>0</v>
      </c>
      <c r="AE1304" s="60">
        <v>0</v>
      </c>
      <c r="AF1304" s="60">
        <v>0</v>
      </c>
      <c r="AG1304" s="60">
        <v>0</v>
      </c>
      <c r="AH1304" s="60">
        <v>0</v>
      </c>
      <c r="AI1304" s="60">
        <v>3819.72</v>
      </c>
      <c r="AJ1304" s="60">
        <v>3765.58</v>
      </c>
      <c r="AK1304" s="60">
        <v>3750.13</v>
      </c>
      <c r="AL1304" s="60">
        <v>0</v>
      </c>
      <c r="AM1304" s="60">
        <v>0</v>
      </c>
      <c r="AN1304" s="60">
        <v>0</v>
      </c>
      <c r="AO1304" s="60">
        <v>3819.72</v>
      </c>
      <c r="AP1304" s="60">
        <v>3765.58</v>
      </c>
      <c r="AQ1304" s="60">
        <v>3750.13</v>
      </c>
      <c r="AR1304" s="61">
        <v>3819.72</v>
      </c>
    </row>
    <row r="1305" spans="1:44" x14ac:dyDescent="0.35">
      <c r="A1305" s="49" t="str">
        <f t="shared" si="106"/>
        <v>30</v>
      </c>
      <c r="B1305" s="27">
        <v>66480</v>
      </c>
      <c r="C1305" s="25" t="str">
        <f t="shared" si="105"/>
        <v>0000000</v>
      </c>
      <c r="D1305" s="26" t="s">
        <v>3663</v>
      </c>
      <c r="E1305" s="25" t="s">
        <v>1563</v>
      </c>
      <c r="F1305" s="25" t="s">
        <v>1540</v>
      </c>
      <c r="G1305" s="59" t="s">
        <v>1564</v>
      </c>
      <c r="H1305" s="60">
        <v>3196.37</v>
      </c>
      <c r="I1305" s="60">
        <v>3218.76</v>
      </c>
      <c r="J1305" s="60">
        <v>3228.38</v>
      </c>
      <c r="K1305" s="60">
        <v>0</v>
      </c>
      <c r="L1305" s="60">
        <v>0</v>
      </c>
      <c r="M1305" s="60">
        <v>0</v>
      </c>
      <c r="N1305" s="60">
        <v>0</v>
      </c>
      <c r="O1305" s="60">
        <v>0</v>
      </c>
      <c r="P1305" s="60">
        <v>0</v>
      </c>
      <c r="Q1305" s="60">
        <v>0</v>
      </c>
      <c r="R1305" s="60">
        <v>0</v>
      </c>
      <c r="S1305" s="60">
        <v>0</v>
      </c>
      <c r="T1305" s="60">
        <v>0</v>
      </c>
      <c r="U1305" s="60">
        <v>0</v>
      </c>
      <c r="V1305" s="60">
        <v>0</v>
      </c>
      <c r="W1305" s="60">
        <v>0</v>
      </c>
      <c r="X1305" s="60">
        <v>0</v>
      </c>
      <c r="Y1305" s="60">
        <v>0</v>
      </c>
      <c r="Z1305" s="60">
        <v>0</v>
      </c>
      <c r="AA1305" s="60">
        <v>0</v>
      </c>
      <c r="AB1305" s="60">
        <v>0</v>
      </c>
      <c r="AC1305" s="60">
        <v>0</v>
      </c>
      <c r="AD1305" s="60">
        <v>0</v>
      </c>
      <c r="AE1305" s="60">
        <v>0</v>
      </c>
      <c r="AF1305" s="60">
        <v>0</v>
      </c>
      <c r="AG1305" s="60">
        <v>0</v>
      </c>
      <c r="AH1305" s="60">
        <v>0</v>
      </c>
      <c r="AI1305" s="60">
        <v>3196.37</v>
      </c>
      <c r="AJ1305" s="60">
        <v>3218.76</v>
      </c>
      <c r="AK1305" s="60">
        <v>3228.38</v>
      </c>
      <c r="AL1305" s="60">
        <v>0</v>
      </c>
      <c r="AM1305" s="60">
        <v>0</v>
      </c>
      <c r="AN1305" s="60">
        <v>0</v>
      </c>
      <c r="AO1305" s="60">
        <v>3196.37</v>
      </c>
      <c r="AP1305" s="60">
        <v>3218.76</v>
      </c>
      <c r="AQ1305" s="60">
        <v>3228.38</v>
      </c>
      <c r="AR1305" s="61">
        <v>3228.38</v>
      </c>
    </row>
    <row r="1306" spans="1:44" x14ac:dyDescent="0.35">
      <c r="A1306" s="49" t="str">
        <f t="shared" si="106"/>
        <v>30</v>
      </c>
      <c r="B1306" s="27">
        <v>66589</v>
      </c>
      <c r="C1306" s="25" t="str">
        <f t="shared" si="105"/>
        <v>0000000</v>
      </c>
      <c r="D1306" s="26" t="s">
        <v>3663</v>
      </c>
      <c r="E1306" s="25" t="s">
        <v>1585</v>
      </c>
      <c r="F1306" s="25" t="s">
        <v>1540</v>
      </c>
      <c r="G1306" s="59" t="s">
        <v>1586</v>
      </c>
      <c r="H1306" s="60">
        <v>4579.0600000000004</v>
      </c>
      <c r="I1306" s="60">
        <v>4636.43</v>
      </c>
      <c r="J1306" s="60">
        <v>4702.2</v>
      </c>
      <c r="K1306" s="60">
        <v>0</v>
      </c>
      <c r="L1306" s="60">
        <v>0</v>
      </c>
      <c r="M1306" s="60">
        <v>0</v>
      </c>
      <c r="N1306" s="60">
        <v>0</v>
      </c>
      <c r="O1306" s="60">
        <v>0</v>
      </c>
      <c r="P1306" s="60">
        <v>0</v>
      </c>
      <c r="Q1306" s="60">
        <v>0</v>
      </c>
      <c r="R1306" s="60">
        <v>0</v>
      </c>
      <c r="S1306" s="60">
        <v>0</v>
      </c>
      <c r="T1306" s="60">
        <v>0</v>
      </c>
      <c r="U1306" s="60">
        <v>0</v>
      </c>
      <c r="V1306" s="60">
        <v>0</v>
      </c>
      <c r="W1306" s="60">
        <v>0</v>
      </c>
      <c r="X1306" s="60">
        <v>0</v>
      </c>
      <c r="Y1306" s="60">
        <v>0</v>
      </c>
      <c r="Z1306" s="60">
        <v>0</v>
      </c>
      <c r="AA1306" s="60">
        <v>0</v>
      </c>
      <c r="AB1306" s="60">
        <v>0</v>
      </c>
      <c r="AC1306" s="60">
        <v>0</v>
      </c>
      <c r="AD1306" s="60">
        <v>0</v>
      </c>
      <c r="AE1306" s="60">
        <v>0</v>
      </c>
      <c r="AF1306" s="60">
        <v>0</v>
      </c>
      <c r="AG1306" s="60">
        <v>0</v>
      </c>
      <c r="AH1306" s="60">
        <v>0</v>
      </c>
      <c r="AI1306" s="60">
        <v>4579.0600000000004</v>
      </c>
      <c r="AJ1306" s="60">
        <v>4636.43</v>
      </c>
      <c r="AK1306" s="60">
        <v>4702.2</v>
      </c>
      <c r="AL1306" s="60">
        <v>0</v>
      </c>
      <c r="AM1306" s="60">
        <v>0</v>
      </c>
      <c r="AN1306" s="60">
        <v>0</v>
      </c>
      <c r="AO1306" s="60">
        <v>4579.0600000000004</v>
      </c>
      <c r="AP1306" s="60">
        <v>4636.43</v>
      </c>
      <c r="AQ1306" s="60">
        <v>4702.2</v>
      </c>
      <c r="AR1306" s="61">
        <v>4702.2</v>
      </c>
    </row>
    <row r="1307" spans="1:44" x14ac:dyDescent="0.35">
      <c r="A1307" s="49" t="str">
        <f t="shared" si="106"/>
        <v>30</v>
      </c>
      <c r="B1307" s="27">
        <v>66696</v>
      </c>
      <c r="C1307" s="25" t="str">
        <f t="shared" si="105"/>
        <v>0000000</v>
      </c>
      <c r="D1307" s="26" t="s">
        <v>3663</v>
      </c>
      <c r="E1307" s="25" t="s">
        <v>1613</v>
      </c>
      <c r="F1307" s="25" t="s">
        <v>1540</v>
      </c>
      <c r="G1307" s="59" t="s">
        <v>1614</v>
      </c>
      <c r="H1307" s="60">
        <v>1632.39</v>
      </c>
      <c r="I1307" s="60">
        <v>1682.39</v>
      </c>
      <c r="J1307" s="60">
        <v>1671.43</v>
      </c>
      <c r="K1307" s="60">
        <v>0</v>
      </c>
      <c r="L1307" s="60">
        <v>0</v>
      </c>
      <c r="M1307" s="60">
        <v>0</v>
      </c>
      <c r="N1307" s="60">
        <v>0</v>
      </c>
      <c r="O1307" s="60">
        <v>0</v>
      </c>
      <c r="P1307" s="60">
        <v>0</v>
      </c>
      <c r="Q1307" s="60">
        <v>0</v>
      </c>
      <c r="R1307" s="60">
        <v>0</v>
      </c>
      <c r="S1307" s="60">
        <v>0</v>
      </c>
      <c r="T1307" s="60">
        <v>0</v>
      </c>
      <c r="U1307" s="60">
        <v>0</v>
      </c>
      <c r="V1307" s="60">
        <v>0</v>
      </c>
      <c r="W1307" s="60">
        <v>0</v>
      </c>
      <c r="X1307" s="60">
        <v>0</v>
      </c>
      <c r="Y1307" s="60">
        <v>0</v>
      </c>
      <c r="Z1307" s="60">
        <v>0</v>
      </c>
      <c r="AA1307" s="60">
        <v>0</v>
      </c>
      <c r="AB1307" s="60">
        <v>0</v>
      </c>
      <c r="AC1307" s="60">
        <v>0</v>
      </c>
      <c r="AD1307" s="60">
        <v>0</v>
      </c>
      <c r="AE1307" s="60">
        <v>0</v>
      </c>
      <c r="AF1307" s="60">
        <v>0</v>
      </c>
      <c r="AG1307" s="60">
        <v>0</v>
      </c>
      <c r="AH1307" s="60">
        <v>0</v>
      </c>
      <c r="AI1307" s="60">
        <v>1632.39</v>
      </c>
      <c r="AJ1307" s="60">
        <v>1682.39</v>
      </c>
      <c r="AK1307" s="60">
        <v>1671.43</v>
      </c>
      <c r="AL1307" s="60">
        <v>0</v>
      </c>
      <c r="AM1307" s="60">
        <v>0</v>
      </c>
      <c r="AN1307" s="60">
        <v>0</v>
      </c>
      <c r="AO1307" s="60">
        <v>1632.39</v>
      </c>
      <c r="AP1307" s="60">
        <v>1682.39</v>
      </c>
      <c r="AQ1307" s="60">
        <v>1671.43</v>
      </c>
      <c r="AR1307" s="61">
        <v>1682.39</v>
      </c>
    </row>
    <row r="1308" spans="1:44" x14ac:dyDescent="0.35">
      <c r="A1308" s="49" t="str">
        <f t="shared" si="106"/>
        <v>30</v>
      </c>
      <c r="B1308" s="27">
        <v>73924</v>
      </c>
      <c r="C1308" s="25" t="str">
        <f t="shared" si="105"/>
        <v>0000000</v>
      </c>
      <c r="D1308" s="26" t="s">
        <v>3663</v>
      </c>
      <c r="E1308" s="25" t="s">
        <v>1621</v>
      </c>
      <c r="F1308" s="25" t="s">
        <v>1540</v>
      </c>
      <c r="G1308" s="59" t="s">
        <v>1622</v>
      </c>
      <c r="H1308" s="60">
        <v>8565.16</v>
      </c>
      <c r="I1308" s="60">
        <v>8496.76</v>
      </c>
      <c r="J1308" s="60">
        <v>8701.2800000000007</v>
      </c>
      <c r="K1308" s="60">
        <v>0</v>
      </c>
      <c r="L1308" s="60">
        <v>0</v>
      </c>
      <c r="M1308" s="60">
        <v>0</v>
      </c>
      <c r="N1308" s="60">
        <v>0</v>
      </c>
      <c r="O1308" s="60">
        <v>0</v>
      </c>
      <c r="P1308" s="60">
        <v>0</v>
      </c>
      <c r="Q1308" s="60">
        <v>0</v>
      </c>
      <c r="R1308" s="60">
        <v>0</v>
      </c>
      <c r="S1308" s="60">
        <v>0</v>
      </c>
      <c r="T1308" s="60">
        <v>0</v>
      </c>
      <c r="U1308" s="60">
        <v>0</v>
      </c>
      <c r="V1308" s="60">
        <v>0</v>
      </c>
      <c r="W1308" s="60">
        <v>0</v>
      </c>
      <c r="X1308" s="60">
        <v>0</v>
      </c>
      <c r="Y1308" s="60">
        <v>0</v>
      </c>
      <c r="Z1308" s="60">
        <v>0</v>
      </c>
      <c r="AA1308" s="60">
        <v>0</v>
      </c>
      <c r="AB1308" s="60">
        <v>0</v>
      </c>
      <c r="AC1308" s="60">
        <v>0</v>
      </c>
      <c r="AD1308" s="60">
        <v>0</v>
      </c>
      <c r="AE1308" s="60">
        <v>0</v>
      </c>
      <c r="AF1308" s="60">
        <v>0</v>
      </c>
      <c r="AG1308" s="60">
        <v>0</v>
      </c>
      <c r="AH1308" s="60">
        <v>0</v>
      </c>
      <c r="AI1308" s="60">
        <v>8565.16</v>
      </c>
      <c r="AJ1308" s="60">
        <v>8496.76</v>
      </c>
      <c r="AK1308" s="60">
        <v>8701.2800000000007</v>
      </c>
      <c r="AL1308" s="60">
        <v>0</v>
      </c>
      <c r="AM1308" s="60">
        <v>0</v>
      </c>
      <c r="AN1308" s="60">
        <v>0</v>
      </c>
      <c r="AO1308" s="60">
        <v>8565.16</v>
      </c>
      <c r="AP1308" s="60">
        <v>8496.76</v>
      </c>
      <c r="AQ1308" s="60">
        <v>8701.2800000000007</v>
      </c>
      <c r="AR1308" s="61">
        <v>8701.2800000000007</v>
      </c>
    </row>
    <row r="1309" spans="1:44" x14ac:dyDescent="0.35">
      <c r="A1309" s="49" t="str">
        <f t="shared" si="106"/>
        <v>30</v>
      </c>
      <c r="B1309" s="27">
        <v>73635</v>
      </c>
      <c r="C1309" s="25" t="str">
        <f t="shared" si="105"/>
        <v>0000000</v>
      </c>
      <c r="D1309" s="26" t="s">
        <v>3663</v>
      </c>
      <c r="E1309" s="25" t="s">
        <v>1579</v>
      </c>
      <c r="F1309" s="25" t="s">
        <v>1580</v>
      </c>
      <c r="G1309" s="59" t="s">
        <v>1580</v>
      </c>
      <c r="H1309" s="60">
        <v>21968.07</v>
      </c>
      <c r="I1309" s="60">
        <v>22226.65</v>
      </c>
      <c r="J1309" s="60">
        <v>22706.69</v>
      </c>
      <c r="K1309" s="60">
        <v>0</v>
      </c>
      <c r="L1309" s="60">
        <v>0</v>
      </c>
      <c r="M1309" s="60">
        <v>0</v>
      </c>
      <c r="N1309" s="60">
        <v>0</v>
      </c>
      <c r="O1309" s="60">
        <v>0</v>
      </c>
      <c r="P1309" s="60">
        <v>0</v>
      </c>
      <c r="Q1309" s="60">
        <v>0</v>
      </c>
      <c r="R1309" s="60">
        <v>0</v>
      </c>
      <c r="S1309" s="60">
        <v>0</v>
      </c>
      <c r="T1309" s="60">
        <v>0</v>
      </c>
      <c r="U1309" s="60">
        <v>0</v>
      </c>
      <c r="V1309" s="60">
        <v>0</v>
      </c>
      <c r="W1309" s="60">
        <v>0</v>
      </c>
      <c r="X1309" s="60">
        <v>0</v>
      </c>
      <c r="Y1309" s="60">
        <v>0</v>
      </c>
      <c r="Z1309" s="60">
        <v>0</v>
      </c>
      <c r="AA1309" s="60">
        <v>0</v>
      </c>
      <c r="AB1309" s="60">
        <v>0</v>
      </c>
      <c r="AC1309" s="60">
        <v>0</v>
      </c>
      <c r="AD1309" s="60">
        <v>0</v>
      </c>
      <c r="AE1309" s="60">
        <v>0</v>
      </c>
      <c r="AF1309" s="60">
        <v>0</v>
      </c>
      <c r="AG1309" s="60">
        <v>0</v>
      </c>
      <c r="AH1309" s="60">
        <v>0</v>
      </c>
      <c r="AI1309" s="60">
        <v>21968.07</v>
      </c>
      <c r="AJ1309" s="60">
        <v>22226.65</v>
      </c>
      <c r="AK1309" s="60">
        <v>22706.69</v>
      </c>
      <c r="AL1309" s="60">
        <v>0</v>
      </c>
      <c r="AM1309" s="60">
        <v>0</v>
      </c>
      <c r="AN1309" s="60">
        <v>0</v>
      </c>
      <c r="AO1309" s="60">
        <v>21968.07</v>
      </c>
      <c r="AP1309" s="60">
        <v>22226.65</v>
      </c>
      <c r="AQ1309" s="60">
        <v>22706.69</v>
      </c>
      <c r="AR1309" s="61">
        <v>22706.69</v>
      </c>
    </row>
    <row r="1310" spans="1:44" x14ac:dyDescent="0.35">
      <c r="A1310" s="49" t="str">
        <f t="shared" si="106"/>
        <v>30</v>
      </c>
      <c r="B1310" s="27">
        <v>66555</v>
      </c>
      <c r="C1310" s="25" t="str">
        <f t="shared" si="105"/>
        <v>0000000</v>
      </c>
      <c r="D1310" s="26" t="s">
        <v>3663</v>
      </c>
      <c r="E1310" s="25" t="s">
        <v>1581</v>
      </c>
      <c r="F1310" s="25" t="s">
        <v>1580</v>
      </c>
      <c r="G1310" s="59" t="s">
        <v>1582</v>
      </c>
      <c r="H1310" s="60">
        <v>2258.48</v>
      </c>
      <c r="I1310" s="60">
        <v>2296.6799999999998</v>
      </c>
      <c r="J1310" s="60">
        <v>2394.44</v>
      </c>
      <c r="K1310" s="60">
        <v>0</v>
      </c>
      <c r="L1310" s="60">
        <v>0</v>
      </c>
      <c r="M1310" s="60">
        <v>0</v>
      </c>
      <c r="N1310" s="60">
        <v>0</v>
      </c>
      <c r="O1310" s="60">
        <v>0</v>
      </c>
      <c r="P1310" s="60">
        <v>0</v>
      </c>
      <c r="Q1310" s="60">
        <v>0</v>
      </c>
      <c r="R1310" s="60">
        <v>0</v>
      </c>
      <c r="S1310" s="60">
        <v>0</v>
      </c>
      <c r="T1310" s="60">
        <v>0</v>
      </c>
      <c r="U1310" s="60">
        <v>0</v>
      </c>
      <c r="V1310" s="60">
        <v>0</v>
      </c>
      <c r="W1310" s="60">
        <v>0</v>
      </c>
      <c r="X1310" s="60">
        <v>0</v>
      </c>
      <c r="Y1310" s="60">
        <v>0</v>
      </c>
      <c r="Z1310" s="60">
        <v>0</v>
      </c>
      <c r="AA1310" s="60">
        <v>0</v>
      </c>
      <c r="AB1310" s="60">
        <v>0</v>
      </c>
      <c r="AC1310" s="60">
        <v>0</v>
      </c>
      <c r="AD1310" s="60">
        <v>0</v>
      </c>
      <c r="AE1310" s="60">
        <v>0</v>
      </c>
      <c r="AF1310" s="60">
        <v>0</v>
      </c>
      <c r="AG1310" s="60">
        <v>0</v>
      </c>
      <c r="AH1310" s="60">
        <v>0</v>
      </c>
      <c r="AI1310" s="60">
        <v>2258.48</v>
      </c>
      <c r="AJ1310" s="60">
        <v>2296.6799999999998</v>
      </c>
      <c r="AK1310" s="60">
        <v>2394.44</v>
      </c>
      <c r="AL1310" s="60">
        <v>0</v>
      </c>
      <c r="AM1310" s="60">
        <v>0</v>
      </c>
      <c r="AN1310" s="60">
        <v>0</v>
      </c>
      <c r="AO1310" s="60">
        <v>2258.48</v>
      </c>
      <c r="AP1310" s="60">
        <v>2296.6799999999998</v>
      </c>
      <c r="AQ1310" s="60">
        <v>2394.44</v>
      </c>
      <c r="AR1310" s="61">
        <v>2394.44</v>
      </c>
    </row>
    <row r="1311" spans="1:44" x14ac:dyDescent="0.35">
      <c r="A1311" s="49" t="str">
        <f t="shared" si="106"/>
        <v>30</v>
      </c>
      <c r="B1311" s="27">
        <v>66423</v>
      </c>
      <c r="C1311" s="25" t="str">
        <f t="shared" si="105"/>
        <v>0000000</v>
      </c>
      <c r="D1311" s="26" t="s">
        <v>3663</v>
      </c>
      <c r="E1311" s="25" t="s">
        <v>1533</v>
      </c>
      <c r="F1311" s="25" t="s">
        <v>1534</v>
      </c>
      <c r="G1311" s="59" t="s">
        <v>1534</v>
      </c>
      <c r="H1311" s="60">
        <v>13087.62</v>
      </c>
      <c r="I1311" s="60">
        <v>13090.74</v>
      </c>
      <c r="J1311" s="60">
        <v>13218.13</v>
      </c>
      <c r="K1311" s="60">
        <v>0</v>
      </c>
      <c r="L1311" s="60">
        <v>0</v>
      </c>
      <c r="M1311" s="60">
        <v>0</v>
      </c>
      <c r="N1311" s="60">
        <v>0</v>
      </c>
      <c r="O1311" s="60">
        <v>0</v>
      </c>
      <c r="P1311" s="60">
        <v>0</v>
      </c>
      <c r="Q1311" s="60">
        <v>0</v>
      </c>
      <c r="R1311" s="60">
        <v>0</v>
      </c>
      <c r="S1311" s="60">
        <v>0</v>
      </c>
      <c r="T1311" s="60">
        <v>0</v>
      </c>
      <c r="U1311" s="60">
        <v>0</v>
      </c>
      <c r="V1311" s="60">
        <v>0</v>
      </c>
      <c r="W1311" s="60">
        <v>0</v>
      </c>
      <c r="X1311" s="60">
        <v>0</v>
      </c>
      <c r="Y1311" s="60">
        <v>0</v>
      </c>
      <c r="Z1311" s="60">
        <v>0</v>
      </c>
      <c r="AA1311" s="60">
        <v>0</v>
      </c>
      <c r="AB1311" s="60">
        <v>0</v>
      </c>
      <c r="AC1311" s="60">
        <v>0</v>
      </c>
      <c r="AD1311" s="60">
        <v>0</v>
      </c>
      <c r="AE1311" s="60">
        <v>0</v>
      </c>
      <c r="AF1311" s="60">
        <v>0</v>
      </c>
      <c r="AG1311" s="60">
        <v>0</v>
      </c>
      <c r="AH1311" s="60">
        <v>0</v>
      </c>
      <c r="AI1311" s="60">
        <v>13087.62</v>
      </c>
      <c r="AJ1311" s="60">
        <v>13090.74</v>
      </c>
      <c r="AK1311" s="60">
        <v>13218.13</v>
      </c>
      <c r="AL1311" s="60">
        <v>0</v>
      </c>
      <c r="AM1311" s="60">
        <v>0</v>
      </c>
      <c r="AN1311" s="60">
        <v>0</v>
      </c>
      <c r="AO1311" s="60">
        <v>13087.62</v>
      </c>
      <c r="AP1311" s="60">
        <v>13090.74</v>
      </c>
      <c r="AQ1311" s="60">
        <v>13218.13</v>
      </c>
      <c r="AR1311" s="61">
        <v>13218.13</v>
      </c>
    </row>
    <row r="1312" spans="1:44" x14ac:dyDescent="0.35">
      <c r="A1312" s="49" t="str">
        <f>TEXT(3,"00")</f>
        <v>03</v>
      </c>
      <c r="B1312" s="27">
        <v>10033</v>
      </c>
      <c r="C1312" s="25" t="str">
        <f t="shared" si="105"/>
        <v>0000000</v>
      </c>
      <c r="D1312" s="26" t="s">
        <v>3663</v>
      </c>
      <c r="E1312" s="25" t="s">
        <v>171</v>
      </c>
      <c r="F1312" s="25" t="s">
        <v>172</v>
      </c>
      <c r="G1312" s="59" t="s">
        <v>172</v>
      </c>
      <c r="H1312" s="60">
        <v>0</v>
      </c>
      <c r="I1312" s="60">
        <v>0</v>
      </c>
      <c r="J1312" s="60">
        <v>0</v>
      </c>
      <c r="K1312" s="60">
        <v>0</v>
      </c>
      <c r="L1312" s="60">
        <v>0</v>
      </c>
      <c r="M1312" s="60">
        <v>0</v>
      </c>
      <c r="N1312" s="60">
        <v>0</v>
      </c>
      <c r="O1312" s="60">
        <v>0</v>
      </c>
      <c r="P1312" s="60">
        <v>0</v>
      </c>
      <c r="Q1312" s="60">
        <v>0</v>
      </c>
      <c r="R1312" s="60">
        <v>0</v>
      </c>
      <c r="S1312" s="60">
        <v>0</v>
      </c>
      <c r="T1312" s="60">
        <v>2.41</v>
      </c>
      <c r="U1312" s="60">
        <v>3.28</v>
      </c>
      <c r="V1312" s="60">
        <v>1.82</v>
      </c>
      <c r="W1312" s="60">
        <v>30.17</v>
      </c>
      <c r="X1312" s="60">
        <v>72.599999999999994</v>
      </c>
      <c r="Y1312" s="60">
        <v>31.05</v>
      </c>
      <c r="Z1312" s="60">
        <v>0</v>
      </c>
      <c r="AA1312" s="60">
        <v>0</v>
      </c>
      <c r="AB1312" s="60">
        <v>0</v>
      </c>
      <c r="AC1312" s="60">
        <v>0</v>
      </c>
      <c r="AD1312" s="60">
        <v>0</v>
      </c>
      <c r="AE1312" s="60">
        <v>0</v>
      </c>
      <c r="AF1312" s="60">
        <v>0</v>
      </c>
      <c r="AG1312" s="60">
        <v>0</v>
      </c>
      <c r="AH1312" s="60">
        <v>0</v>
      </c>
      <c r="AI1312" s="60">
        <v>32.58</v>
      </c>
      <c r="AJ1312" s="60">
        <v>75.88</v>
      </c>
      <c r="AK1312" s="60">
        <v>32.869999999999997</v>
      </c>
      <c r="AL1312" s="60">
        <v>0</v>
      </c>
      <c r="AM1312" s="60">
        <v>0</v>
      </c>
      <c r="AN1312" s="60">
        <v>0</v>
      </c>
      <c r="AO1312" s="60">
        <v>32.58</v>
      </c>
      <c r="AP1312" s="60">
        <v>75.88</v>
      </c>
      <c r="AQ1312" s="60">
        <v>32.869999999999997</v>
      </c>
      <c r="AR1312" s="61">
        <v>75.88</v>
      </c>
    </row>
    <row r="1313" spans="1:44" x14ac:dyDescent="0.35">
      <c r="A1313" s="49" t="str">
        <f>TEXT(3,"00")</f>
        <v>03</v>
      </c>
      <c r="B1313" s="27">
        <v>73981</v>
      </c>
      <c r="C1313" s="25" t="str">
        <f t="shared" si="105"/>
        <v>0000000</v>
      </c>
      <c r="D1313" s="26" t="s">
        <v>3663</v>
      </c>
      <c r="E1313" s="25" t="s">
        <v>173</v>
      </c>
      <c r="F1313" s="25" t="s">
        <v>172</v>
      </c>
      <c r="G1313" s="59" t="s">
        <v>174</v>
      </c>
      <c r="H1313" s="60">
        <v>3863.06</v>
      </c>
      <c r="I1313" s="60">
        <v>3797.19</v>
      </c>
      <c r="J1313" s="60">
        <v>3720.07</v>
      </c>
      <c r="K1313" s="60">
        <v>0</v>
      </c>
      <c r="L1313" s="60">
        <v>0</v>
      </c>
      <c r="M1313" s="60">
        <v>0</v>
      </c>
      <c r="N1313" s="60">
        <v>0</v>
      </c>
      <c r="O1313" s="60">
        <v>0</v>
      </c>
      <c r="P1313" s="60">
        <v>0</v>
      </c>
      <c r="Q1313" s="60">
        <v>0</v>
      </c>
      <c r="R1313" s="60">
        <v>0</v>
      </c>
      <c r="S1313" s="60">
        <v>0</v>
      </c>
      <c r="T1313" s="60">
        <v>0</v>
      </c>
      <c r="U1313" s="60">
        <v>0</v>
      </c>
      <c r="V1313" s="60">
        <v>0</v>
      </c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0">
        <v>0</v>
      </c>
      <c r="AE1313" s="60">
        <v>0</v>
      </c>
      <c r="AF1313" s="60">
        <v>0</v>
      </c>
      <c r="AG1313" s="60">
        <v>0</v>
      </c>
      <c r="AH1313" s="60">
        <v>0</v>
      </c>
      <c r="AI1313" s="60">
        <v>3863.06</v>
      </c>
      <c r="AJ1313" s="60">
        <v>3797.19</v>
      </c>
      <c r="AK1313" s="60">
        <v>3720.07</v>
      </c>
      <c r="AL1313" s="60">
        <v>0</v>
      </c>
      <c r="AM1313" s="60">
        <v>0</v>
      </c>
      <c r="AN1313" s="60">
        <v>0</v>
      </c>
      <c r="AO1313" s="60">
        <v>3863.06</v>
      </c>
      <c r="AP1313" s="60">
        <v>3797.19</v>
      </c>
      <c r="AQ1313" s="60">
        <v>3720.07</v>
      </c>
      <c r="AR1313" s="61">
        <v>3863.06</v>
      </c>
    </row>
    <row r="1314" spans="1:44" x14ac:dyDescent="0.35">
      <c r="A1314" s="49" t="str">
        <f t="shared" ref="A1314:A1319" si="107">TEXT(30,"00")</f>
        <v>30</v>
      </c>
      <c r="B1314" s="27">
        <v>10306</v>
      </c>
      <c r="C1314" s="25" t="str">
        <f t="shared" si="105"/>
        <v>0000000</v>
      </c>
      <c r="D1314" s="26" t="s">
        <v>3663</v>
      </c>
      <c r="E1314" s="25" t="s">
        <v>1492</v>
      </c>
      <c r="F1314" s="25" t="s">
        <v>1493</v>
      </c>
      <c r="G1314" s="59" t="s">
        <v>1493</v>
      </c>
      <c r="H1314" s="60">
        <v>0</v>
      </c>
      <c r="I1314" s="60">
        <v>0</v>
      </c>
      <c r="J1314" s="60">
        <v>0</v>
      </c>
      <c r="K1314" s="60">
        <v>0</v>
      </c>
      <c r="L1314" s="60">
        <v>0</v>
      </c>
      <c r="M1314" s="60">
        <v>0</v>
      </c>
      <c r="N1314" s="60">
        <v>0</v>
      </c>
      <c r="O1314" s="60">
        <v>0</v>
      </c>
      <c r="P1314" s="60">
        <v>0</v>
      </c>
      <c r="Q1314" s="60">
        <v>0</v>
      </c>
      <c r="R1314" s="60">
        <v>0</v>
      </c>
      <c r="S1314" s="60">
        <v>0</v>
      </c>
      <c r="T1314" s="60">
        <v>1330.45</v>
      </c>
      <c r="U1314" s="60">
        <v>1282.67</v>
      </c>
      <c r="V1314" s="60">
        <v>867.08</v>
      </c>
      <c r="W1314" s="60">
        <v>3268.02</v>
      </c>
      <c r="X1314" s="60">
        <v>3194.69</v>
      </c>
      <c r="Y1314" s="60">
        <v>3434.31</v>
      </c>
      <c r="Z1314" s="60">
        <v>0</v>
      </c>
      <c r="AA1314" s="60">
        <v>0</v>
      </c>
      <c r="AB1314" s="60">
        <v>0</v>
      </c>
      <c r="AC1314" s="60">
        <v>0</v>
      </c>
      <c r="AD1314" s="60">
        <v>0</v>
      </c>
      <c r="AE1314" s="60">
        <v>0</v>
      </c>
      <c r="AF1314" s="60">
        <v>0</v>
      </c>
      <c r="AG1314" s="60">
        <v>0</v>
      </c>
      <c r="AH1314" s="60">
        <v>0</v>
      </c>
      <c r="AI1314" s="60">
        <v>4598.47</v>
      </c>
      <c r="AJ1314" s="60">
        <v>4477.3599999999997</v>
      </c>
      <c r="AK1314" s="60">
        <v>4301.3900000000003</v>
      </c>
      <c r="AL1314" s="60">
        <v>0</v>
      </c>
      <c r="AM1314" s="60">
        <v>0</v>
      </c>
      <c r="AN1314" s="60">
        <v>0</v>
      </c>
      <c r="AO1314" s="60">
        <v>4598.47</v>
      </c>
      <c r="AP1314" s="60">
        <v>4477.3599999999997</v>
      </c>
      <c r="AQ1314" s="60">
        <v>4301.3900000000003</v>
      </c>
      <c r="AR1314" s="61">
        <v>4598.47</v>
      </c>
    </row>
    <row r="1315" spans="1:44" x14ac:dyDescent="0.35">
      <c r="A1315" s="49" t="str">
        <f t="shared" si="107"/>
        <v>30</v>
      </c>
      <c r="B1315" s="27">
        <v>66456</v>
      </c>
      <c r="C1315" s="25" t="str">
        <f t="shared" si="105"/>
        <v>0000000</v>
      </c>
      <c r="D1315" s="26" t="s">
        <v>3663</v>
      </c>
      <c r="E1315" s="25" t="s">
        <v>1545</v>
      </c>
      <c r="F1315" s="25" t="s">
        <v>1493</v>
      </c>
      <c r="G1315" s="59" t="s">
        <v>1546</v>
      </c>
      <c r="H1315" s="60">
        <v>3520.14</v>
      </c>
      <c r="I1315" s="60">
        <v>3611.73</v>
      </c>
      <c r="J1315" s="60">
        <v>3695.86</v>
      </c>
      <c r="K1315" s="60">
        <v>0</v>
      </c>
      <c r="L1315" s="60">
        <v>0</v>
      </c>
      <c r="M1315" s="60">
        <v>0</v>
      </c>
      <c r="N1315" s="60">
        <v>0</v>
      </c>
      <c r="O1315" s="60">
        <v>0</v>
      </c>
      <c r="P1315" s="60">
        <v>0</v>
      </c>
      <c r="Q1315" s="60">
        <v>0</v>
      </c>
      <c r="R1315" s="60">
        <v>0</v>
      </c>
      <c r="S1315" s="60">
        <v>0</v>
      </c>
      <c r="T1315" s="60">
        <v>0</v>
      </c>
      <c r="U1315" s="60">
        <v>0</v>
      </c>
      <c r="V1315" s="60">
        <v>0</v>
      </c>
      <c r="W1315" s="60">
        <v>0</v>
      </c>
      <c r="X1315" s="60">
        <v>0</v>
      </c>
      <c r="Y1315" s="60">
        <v>0</v>
      </c>
      <c r="Z1315" s="60">
        <v>0</v>
      </c>
      <c r="AA1315" s="60">
        <v>0</v>
      </c>
      <c r="AB1315" s="60">
        <v>0</v>
      </c>
      <c r="AC1315" s="60">
        <v>0</v>
      </c>
      <c r="AD1315" s="60">
        <v>0</v>
      </c>
      <c r="AE1315" s="60">
        <v>0</v>
      </c>
      <c r="AF1315" s="60">
        <v>0</v>
      </c>
      <c r="AG1315" s="60">
        <v>0</v>
      </c>
      <c r="AH1315" s="60">
        <v>0</v>
      </c>
      <c r="AI1315" s="60">
        <v>3520.14</v>
      </c>
      <c r="AJ1315" s="60">
        <v>3611.73</v>
      </c>
      <c r="AK1315" s="60">
        <v>3695.86</v>
      </c>
      <c r="AL1315" s="60">
        <v>0</v>
      </c>
      <c r="AM1315" s="60">
        <v>0</v>
      </c>
      <c r="AN1315" s="60">
        <v>0</v>
      </c>
      <c r="AO1315" s="60">
        <v>3520.14</v>
      </c>
      <c r="AP1315" s="60">
        <v>3611.73</v>
      </c>
      <c r="AQ1315" s="60">
        <v>3695.86</v>
      </c>
      <c r="AR1315" s="61">
        <v>3695.86</v>
      </c>
    </row>
    <row r="1316" spans="1:44" x14ac:dyDescent="0.35">
      <c r="A1316" s="49" t="str">
        <f t="shared" si="107"/>
        <v>30</v>
      </c>
      <c r="B1316" s="27">
        <v>66506</v>
      </c>
      <c r="C1316" s="25" t="str">
        <f t="shared" si="105"/>
        <v>0000000</v>
      </c>
      <c r="D1316" s="26" t="s">
        <v>3663</v>
      </c>
      <c r="E1316" s="25" t="s">
        <v>1569</v>
      </c>
      <c r="F1316" s="25" t="s">
        <v>1493</v>
      </c>
      <c r="G1316" s="59" t="s">
        <v>1570</v>
      </c>
      <c r="H1316" s="60">
        <v>10944.27</v>
      </c>
      <c r="I1316" s="60">
        <v>11042.21</v>
      </c>
      <c r="J1316" s="60">
        <v>11135.59</v>
      </c>
      <c r="K1316" s="60">
        <v>0</v>
      </c>
      <c r="L1316" s="60">
        <v>0</v>
      </c>
      <c r="M1316" s="60">
        <v>0</v>
      </c>
      <c r="N1316" s="60">
        <v>0</v>
      </c>
      <c r="O1316" s="60">
        <v>0</v>
      </c>
      <c r="P1316" s="60">
        <v>0</v>
      </c>
      <c r="Q1316" s="60">
        <v>0</v>
      </c>
      <c r="R1316" s="60">
        <v>0</v>
      </c>
      <c r="S1316" s="60">
        <v>0</v>
      </c>
      <c r="T1316" s="60">
        <v>0</v>
      </c>
      <c r="U1316" s="60">
        <v>0</v>
      </c>
      <c r="V1316" s="60">
        <v>0</v>
      </c>
      <c r="W1316" s="60">
        <v>0</v>
      </c>
      <c r="X1316" s="60">
        <v>0</v>
      </c>
      <c r="Y1316" s="60">
        <v>0</v>
      </c>
      <c r="Z1316" s="60">
        <v>0</v>
      </c>
      <c r="AA1316" s="60">
        <v>0</v>
      </c>
      <c r="AB1316" s="60">
        <v>0</v>
      </c>
      <c r="AC1316" s="60">
        <v>0</v>
      </c>
      <c r="AD1316" s="60">
        <v>0</v>
      </c>
      <c r="AE1316" s="60">
        <v>0</v>
      </c>
      <c r="AF1316" s="60">
        <v>0</v>
      </c>
      <c r="AG1316" s="60">
        <v>0</v>
      </c>
      <c r="AH1316" s="60">
        <v>0</v>
      </c>
      <c r="AI1316" s="60">
        <v>10944.27</v>
      </c>
      <c r="AJ1316" s="60">
        <v>11042.21</v>
      </c>
      <c r="AK1316" s="60">
        <v>11135.59</v>
      </c>
      <c r="AL1316" s="60">
        <v>0</v>
      </c>
      <c r="AM1316" s="60">
        <v>0</v>
      </c>
      <c r="AN1316" s="60">
        <v>0</v>
      </c>
      <c r="AO1316" s="60">
        <v>10944.27</v>
      </c>
      <c r="AP1316" s="60">
        <v>11042.21</v>
      </c>
      <c r="AQ1316" s="60">
        <v>11135.59</v>
      </c>
      <c r="AR1316" s="61">
        <v>11135.59</v>
      </c>
    </row>
    <row r="1317" spans="1:44" x14ac:dyDescent="0.35">
      <c r="A1317" s="49" t="str">
        <f t="shared" si="107"/>
        <v>30</v>
      </c>
      <c r="B1317" s="27">
        <v>66563</v>
      </c>
      <c r="C1317" s="25" t="str">
        <f t="shared" si="105"/>
        <v>0000000</v>
      </c>
      <c r="D1317" s="26" t="s">
        <v>3663</v>
      </c>
      <c r="E1317" s="25" t="s">
        <v>1583</v>
      </c>
      <c r="F1317" s="25" t="s">
        <v>1493</v>
      </c>
      <c r="G1317" s="59" t="s">
        <v>1584</v>
      </c>
      <c r="H1317" s="60">
        <v>3989.88</v>
      </c>
      <c r="I1317" s="60">
        <v>3985.1</v>
      </c>
      <c r="J1317" s="60">
        <v>4027.93</v>
      </c>
      <c r="K1317" s="60">
        <v>0</v>
      </c>
      <c r="L1317" s="60">
        <v>0</v>
      </c>
      <c r="M1317" s="60">
        <v>0</v>
      </c>
      <c r="N1317" s="60">
        <v>0</v>
      </c>
      <c r="O1317" s="60">
        <v>0</v>
      </c>
      <c r="P1317" s="60">
        <v>0</v>
      </c>
      <c r="Q1317" s="60">
        <v>0</v>
      </c>
      <c r="R1317" s="60">
        <v>0</v>
      </c>
      <c r="S1317" s="60">
        <v>0</v>
      </c>
      <c r="T1317" s="60">
        <v>0</v>
      </c>
      <c r="U1317" s="60">
        <v>0</v>
      </c>
      <c r="V1317" s="60">
        <v>0</v>
      </c>
      <c r="W1317" s="60">
        <v>0</v>
      </c>
      <c r="X1317" s="60">
        <v>0</v>
      </c>
      <c r="Y1317" s="60">
        <v>0</v>
      </c>
      <c r="Z1317" s="60">
        <v>0</v>
      </c>
      <c r="AA1317" s="60">
        <v>0</v>
      </c>
      <c r="AB1317" s="60">
        <v>0</v>
      </c>
      <c r="AC1317" s="60">
        <v>0</v>
      </c>
      <c r="AD1317" s="60">
        <v>0</v>
      </c>
      <c r="AE1317" s="60">
        <v>0</v>
      </c>
      <c r="AF1317" s="60">
        <v>0</v>
      </c>
      <c r="AG1317" s="60">
        <v>0</v>
      </c>
      <c r="AH1317" s="60">
        <v>0</v>
      </c>
      <c r="AI1317" s="60">
        <v>3989.88</v>
      </c>
      <c r="AJ1317" s="60">
        <v>3985.1</v>
      </c>
      <c r="AK1317" s="60">
        <v>4027.93</v>
      </c>
      <c r="AL1317" s="60">
        <v>0</v>
      </c>
      <c r="AM1317" s="60">
        <v>0</v>
      </c>
      <c r="AN1317" s="60">
        <v>0</v>
      </c>
      <c r="AO1317" s="60">
        <v>3989.88</v>
      </c>
      <c r="AP1317" s="60">
        <v>3985.1</v>
      </c>
      <c r="AQ1317" s="60">
        <v>4027.93</v>
      </c>
      <c r="AR1317" s="61">
        <v>4027.93</v>
      </c>
    </row>
    <row r="1318" spans="1:44" x14ac:dyDescent="0.35">
      <c r="A1318" s="49" t="str">
        <f t="shared" si="107"/>
        <v>30</v>
      </c>
      <c r="B1318" s="27">
        <v>66514</v>
      </c>
      <c r="C1318" s="25" t="str">
        <f t="shared" si="105"/>
        <v>0000000</v>
      </c>
      <c r="D1318" s="26" t="s">
        <v>3663</v>
      </c>
      <c r="E1318" s="25" t="s">
        <v>1571</v>
      </c>
      <c r="F1318" s="25" t="s">
        <v>1493</v>
      </c>
      <c r="G1318" s="59" t="s">
        <v>1572</v>
      </c>
      <c r="H1318" s="60">
        <v>12124.49</v>
      </c>
      <c r="I1318" s="60">
        <v>12353.85</v>
      </c>
      <c r="J1318" s="60">
        <v>12502.56</v>
      </c>
      <c r="K1318" s="60">
        <v>0</v>
      </c>
      <c r="L1318" s="60">
        <v>0</v>
      </c>
      <c r="M1318" s="60">
        <v>0</v>
      </c>
      <c r="N1318" s="60">
        <v>0</v>
      </c>
      <c r="O1318" s="60">
        <v>0</v>
      </c>
      <c r="P1318" s="60">
        <v>0</v>
      </c>
      <c r="Q1318" s="60">
        <v>0</v>
      </c>
      <c r="R1318" s="60">
        <v>0</v>
      </c>
      <c r="S1318" s="60">
        <v>0</v>
      </c>
      <c r="T1318" s="60">
        <v>0</v>
      </c>
      <c r="U1318" s="60">
        <v>0</v>
      </c>
      <c r="V1318" s="60">
        <v>0</v>
      </c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v>0</v>
      </c>
      <c r="AD1318" s="60">
        <v>0</v>
      </c>
      <c r="AE1318" s="60">
        <v>0</v>
      </c>
      <c r="AF1318" s="60">
        <v>0</v>
      </c>
      <c r="AG1318" s="60">
        <v>0</v>
      </c>
      <c r="AH1318" s="60">
        <v>0</v>
      </c>
      <c r="AI1318" s="60">
        <v>12124.49</v>
      </c>
      <c r="AJ1318" s="60">
        <v>12353.85</v>
      </c>
      <c r="AK1318" s="60">
        <v>12502.56</v>
      </c>
      <c r="AL1318" s="60">
        <v>0</v>
      </c>
      <c r="AM1318" s="60">
        <v>0</v>
      </c>
      <c r="AN1318" s="60">
        <v>0</v>
      </c>
      <c r="AO1318" s="60">
        <v>12124.49</v>
      </c>
      <c r="AP1318" s="60">
        <v>12353.85</v>
      </c>
      <c r="AQ1318" s="60">
        <v>12502.56</v>
      </c>
      <c r="AR1318" s="61">
        <v>12502.56</v>
      </c>
    </row>
    <row r="1319" spans="1:44" x14ac:dyDescent="0.35">
      <c r="A1319" s="49" t="str">
        <f t="shared" si="107"/>
        <v>30</v>
      </c>
      <c r="B1319" s="27">
        <v>64766</v>
      </c>
      <c r="C1319" s="25" t="str">
        <f t="shared" si="105"/>
        <v>0000000</v>
      </c>
      <c r="D1319" s="26" t="s">
        <v>3663</v>
      </c>
      <c r="E1319" s="25" t="s">
        <v>1531</v>
      </c>
      <c r="F1319" s="25" t="s">
        <v>1493</v>
      </c>
      <c r="G1319" s="59" t="s">
        <v>1532</v>
      </c>
      <c r="H1319" s="60">
        <v>2874.57</v>
      </c>
      <c r="I1319" s="60">
        <v>2829.47</v>
      </c>
      <c r="J1319" s="60">
        <v>2873.7</v>
      </c>
      <c r="K1319" s="60">
        <v>0</v>
      </c>
      <c r="L1319" s="60">
        <v>0</v>
      </c>
      <c r="M1319" s="60">
        <v>0</v>
      </c>
      <c r="N1319" s="60">
        <v>0</v>
      </c>
      <c r="O1319" s="60">
        <v>0</v>
      </c>
      <c r="P1319" s="60">
        <v>0</v>
      </c>
      <c r="Q1319" s="60">
        <v>0</v>
      </c>
      <c r="R1319" s="60">
        <v>0</v>
      </c>
      <c r="S1319" s="60">
        <v>0</v>
      </c>
      <c r="T1319" s="60">
        <v>0</v>
      </c>
      <c r="U1319" s="60">
        <v>0</v>
      </c>
      <c r="V1319" s="60">
        <v>0</v>
      </c>
      <c r="W1319" s="60">
        <v>0</v>
      </c>
      <c r="X1319" s="60">
        <v>0</v>
      </c>
      <c r="Y1319" s="60">
        <v>0</v>
      </c>
      <c r="Z1319" s="60">
        <v>0</v>
      </c>
      <c r="AA1319" s="60">
        <v>0</v>
      </c>
      <c r="AB1319" s="60">
        <v>0</v>
      </c>
      <c r="AC1319" s="60">
        <v>0</v>
      </c>
      <c r="AD1319" s="60">
        <v>0</v>
      </c>
      <c r="AE1319" s="60">
        <v>0</v>
      </c>
      <c r="AF1319" s="60">
        <v>0</v>
      </c>
      <c r="AG1319" s="60">
        <v>0</v>
      </c>
      <c r="AH1319" s="60">
        <v>0</v>
      </c>
      <c r="AI1319" s="60">
        <v>2874.57</v>
      </c>
      <c r="AJ1319" s="60">
        <v>2829.47</v>
      </c>
      <c r="AK1319" s="60">
        <v>2873.7</v>
      </c>
      <c r="AL1319" s="60">
        <v>0</v>
      </c>
      <c r="AM1319" s="60">
        <v>0</v>
      </c>
      <c r="AN1319" s="60">
        <v>0</v>
      </c>
      <c r="AO1319" s="60">
        <v>2874.57</v>
      </c>
      <c r="AP1319" s="60">
        <v>2829.47</v>
      </c>
      <c r="AQ1319" s="60">
        <v>2873.7</v>
      </c>
      <c r="AR1319" s="61">
        <v>2874.57</v>
      </c>
    </row>
    <row r="1320" spans="1:44" x14ac:dyDescent="0.35">
      <c r="A1320" s="49" t="str">
        <f>TEXT(33,"00")</f>
        <v>33</v>
      </c>
      <c r="B1320" s="27">
        <v>67124</v>
      </c>
      <c r="C1320" s="25" t="str">
        <f t="shared" si="105"/>
        <v>0000000</v>
      </c>
      <c r="D1320" s="26" t="s">
        <v>3663</v>
      </c>
      <c r="E1320" s="25" t="s">
        <v>1745</v>
      </c>
      <c r="F1320" s="25" t="s">
        <v>1746</v>
      </c>
      <c r="G1320" s="59" t="s">
        <v>1746</v>
      </c>
      <c r="H1320" s="60">
        <v>28845.57</v>
      </c>
      <c r="I1320" s="60">
        <v>28691.22</v>
      </c>
      <c r="J1320" s="60">
        <v>28539.29</v>
      </c>
      <c r="K1320" s="60">
        <v>0</v>
      </c>
      <c r="L1320" s="60">
        <v>0</v>
      </c>
      <c r="M1320" s="60">
        <v>0</v>
      </c>
      <c r="N1320" s="60">
        <v>0</v>
      </c>
      <c r="O1320" s="60">
        <v>0</v>
      </c>
      <c r="P1320" s="60">
        <v>0</v>
      </c>
      <c r="Q1320" s="60">
        <v>0</v>
      </c>
      <c r="R1320" s="60">
        <v>0</v>
      </c>
      <c r="S1320" s="60">
        <v>0</v>
      </c>
      <c r="T1320" s="60">
        <v>0</v>
      </c>
      <c r="U1320" s="60">
        <v>0</v>
      </c>
      <c r="V1320" s="60">
        <v>0</v>
      </c>
      <c r="W1320" s="60">
        <v>0</v>
      </c>
      <c r="X1320" s="60">
        <v>0</v>
      </c>
      <c r="Y1320" s="60">
        <v>0</v>
      </c>
      <c r="Z1320" s="60">
        <v>0</v>
      </c>
      <c r="AA1320" s="60">
        <v>0</v>
      </c>
      <c r="AB1320" s="60">
        <v>0</v>
      </c>
      <c r="AC1320" s="60">
        <v>0</v>
      </c>
      <c r="AD1320" s="60">
        <v>0</v>
      </c>
      <c r="AE1320" s="60">
        <v>0</v>
      </c>
      <c r="AF1320" s="60">
        <v>0</v>
      </c>
      <c r="AG1320" s="60">
        <v>0</v>
      </c>
      <c r="AH1320" s="60">
        <v>0</v>
      </c>
      <c r="AI1320" s="60">
        <v>28845.57</v>
      </c>
      <c r="AJ1320" s="60">
        <v>28691.22</v>
      </c>
      <c r="AK1320" s="60">
        <v>28539.29</v>
      </c>
      <c r="AL1320" s="60">
        <v>0</v>
      </c>
      <c r="AM1320" s="60">
        <v>0</v>
      </c>
      <c r="AN1320" s="60">
        <v>0</v>
      </c>
      <c r="AO1320" s="60">
        <v>28845.57</v>
      </c>
      <c r="AP1320" s="60">
        <v>28691.22</v>
      </c>
      <c r="AQ1320" s="60">
        <v>28539.29</v>
      </c>
      <c r="AR1320" s="61">
        <v>28845.57</v>
      </c>
    </row>
    <row r="1321" spans="1:44" x14ac:dyDescent="0.35">
      <c r="A1321" s="49" t="str">
        <f t="shared" ref="A1321:A1353" si="108">TEXT(43,"00")</f>
        <v>43</v>
      </c>
      <c r="B1321" s="27">
        <v>10439</v>
      </c>
      <c r="C1321" s="25" t="str">
        <f t="shared" si="105"/>
        <v>0000000</v>
      </c>
      <c r="D1321" s="26" t="s">
        <v>3663</v>
      </c>
      <c r="E1321" s="25" t="s">
        <v>2685</v>
      </c>
      <c r="F1321" s="25" t="s">
        <v>2686</v>
      </c>
      <c r="G1321" s="59" t="s">
        <v>2686</v>
      </c>
      <c r="H1321" s="60">
        <v>0</v>
      </c>
      <c r="I1321" s="60">
        <v>0</v>
      </c>
      <c r="J1321" s="60">
        <v>0</v>
      </c>
      <c r="K1321" s="60">
        <v>0</v>
      </c>
      <c r="L1321" s="60">
        <v>0</v>
      </c>
      <c r="M1321" s="60">
        <v>0</v>
      </c>
      <c r="N1321" s="60">
        <v>0</v>
      </c>
      <c r="O1321" s="60">
        <v>0</v>
      </c>
      <c r="P1321" s="60">
        <v>0</v>
      </c>
      <c r="Q1321" s="60">
        <v>0</v>
      </c>
      <c r="R1321" s="60">
        <v>0</v>
      </c>
      <c r="S1321" s="60">
        <v>0</v>
      </c>
      <c r="T1321" s="60">
        <v>16</v>
      </c>
      <c r="U1321" s="60">
        <v>14.34</v>
      </c>
      <c r="V1321" s="60">
        <v>10.59</v>
      </c>
      <c r="W1321" s="60">
        <v>131.88</v>
      </c>
      <c r="X1321" s="60">
        <v>147.51</v>
      </c>
      <c r="Y1321" s="60">
        <v>122.78</v>
      </c>
      <c r="Z1321" s="60">
        <v>0</v>
      </c>
      <c r="AA1321" s="60">
        <v>0</v>
      </c>
      <c r="AB1321" s="60">
        <v>0</v>
      </c>
      <c r="AC1321" s="60">
        <v>531.14</v>
      </c>
      <c r="AD1321" s="60">
        <v>505.97</v>
      </c>
      <c r="AE1321" s="60">
        <v>511.96</v>
      </c>
      <c r="AF1321" s="60">
        <v>0</v>
      </c>
      <c r="AG1321" s="60">
        <v>0</v>
      </c>
      <c r="AH1321" s="60">
        <v>0</v>
      </c>
      <c r="AI1321" s="60">
        <v>679.02</v>
      </c>
      <c r="AJ1321" s="60">
        <v>667.82</v>
      </c>
      <c r="AK1321" s="60">
        <v>645.33000000000004</v>
      </c>
      <c r="AL1321" s="60">
        <v>0</v>
      </c>
      <c r="AM1321" s="60">
        <v>0</v>
      </c>
      <c r="AN1321" s="60">
        <v>0</v>
      </c>
      <c r="AO1321" s="60">
        <v>679.02</v>
      </c>
      <c r="AP1321" s="60">
        <v>667.82</v>
      </c>
      <c r="AQ1321" s="60">
        <v>645.33000000000004</v>
      </c>
      <c r="AR1321" s="61">
        <v>679.02</v>
      </c>
    </row>
    <row r="1322" spans="1:44" x14ac:dyDescent="0.35">
      <c r="A1322" s="49" t="str">
        <f t="shared" si="108"/>
        <v>43</v>
      </c>
      <c r="B1322" s="27">
        <v>69385</v>
      </c>
      <c r="C1322" s="25" t="str">
        <f t="shared" si="105"/>
        <v>0000000</v>
      </c>
      <c r="D1322" s="26" t="s">
        <v>3663</v>
      </c>
      <c r="E1322" s="25" t="s">
        <v>2744</v>
      </c>
      <c r="F1322" s="25" t="s">
        <v>2686</v>
      </c>
      <c r="G1322" s="59" t="s">
        <v>2745</v>
      </c>
      <c r="H1322" s="60">
        <v>963.12</v>
      </c>
      <c r="I1322" s="60">
        <v>935.85</v>
      </c>
      <c r="J1322" s="60">
        <v>907.21</v>
      </c>
      <c r="K1322" s="60">
        <v>0</v>
      </c>
      <c r="L1322" s="60">
        <v>0</v>
      </c>
      <c r="M1322" s="60">
        <v>0</v>
      </c>
      <c r="N1322" s="60">
        <v>0</v>
      </c>
      <c r="O1322" s="60">
        <v>0</v>
      </c>
      <c r="P1322" s="60">
        <v>0</v>
      </c>
      <c r="Q1322" s="60">
        <v>0</v>
      </c>
      <c r="R1322" s="60">
        <v>0</v>
      </c>
      <c r="S1322" s="60">
        <v>0</v>
      </c>
      <c r="T1322" s="60">
        <v>0</v>
      </c>
      <c r="U1322" s="60">
        <v>0</v>
      </c>
      <c r="V1322" s="60">
        <v>0</v>
      </c>
      <c r="W1322" s="60">
        <v>0</v>
      </c>
      <c r="X1322" s="60">
        <v>0</v>
      </c>
      <c r="Y1322" s="60">
        <v>0</v>
      </c>
      <c r="Z1322" s="60">
        <v>0</v>
      </c>
      <c r="AA1322" s="60">
        <v>0</v>
      </c>
      <c r="AB1322" s="60">
        <v>0</v>
      </c>
      <c r="AC1322" s="60">
        <v>1923.4</v>
      </c>
      <c r="AD1322" s="60">
        <v>1838.95</v>
      </c>
      <c r="AE1322" s="60">
        <v>1930.56</v>
      </c>
      <c r="AF1322" s="60">
        <v>0</v>
      </c>
      <c r="AG1322" s="60">
        <v>0</v>
      </c>
      <c r="AH1322" s="60">
        <v>0</v>
      </c>
      <c r="AI1322" s="60">
        <v>2886.52</v>
      </c>
      <c r="AJ1322" s="60">
        <v>2774.8</v>
      </c>
      <c r="AK1322" s="60">
        <v>2837.77</v>
      </c>
      <c r="AL1322" s="60">
        <v>0</v>
      </c>
      <c r="AM1322" s="60">
        <v>0</v>
      </c>
      <c r="AN1322" s="60">
        <v>0</v>
      </c>
      <c r="AO1322" s="60">
        <v>2886.52</v>
      </c>
      <c r="AP1322" s="60">
        <v>2774.8</v>
      </c>
      <c r="AQ1322" s="60">
        <v>2837.77</v>
      </c>
      <c r="AR1322" s="61">
        <v>2886.52</v>
      </c>
    </row>
    <row r="1323" spans="1:44" x14ac:dyDescent="0.35">
      <c r="A1323" s="49" t="str">
        <f t="shared" si="108"/>
        <v>43</v>
      </c>
      <c r="B1323" s="27">
        <v>69393</v>
      </c>
      <c r="C1323" s="25" t="str">
        <f t="shared" si="105"/>
        <v>0000000</v>
      </c>
      <c r="D1323" s="26" t="s">
        <v>3663</v>
      </c>
      <c r="E1323" s="25" t="s">
        <v>2746</v>
      </c>
      <c r="F1323" s="25" t="s">
        <v>2686</v>
      </c>
      <c r="G1323" s="59" t="s">
        <v>2747</v>
      </c>
      <c r="H1323" s="60">
        <v>377.68</v>
      </c>
      <c r="I1323" s="60">
        <v>347.73</v>
      </c>
      <c r="J1323" s="60">
        <v>366.44</v>
      </c>
      <c r="K1323" s="60">
        <v>0</v>
      </c>
      <c r="L1323" s="60">
        <v>0</v>
      </c>
      <c r="M1323" s="60">
        <v>0</v>
      </c>
      <c r="N1323" s="60">
        <v>0</v>
      </c>
      <c r="O1323" s="60">
        <v>0</v>
      </c>
      <c r="P1323" s="60">
        <v>0</v>
      </c>
      <c r="Q1323" s="60">
        <v>0</v>
      </c>
      <c r="R1323" s="60">
        <v>0</v>
      </c>
      <c r="S1323" s="60">
        <v>0</v>
      </c>
      <c r="T1323" s="60">
        <v>0</v>
      </c>
      <c r="U1323" s="60">
        <v>0</v>
      </c>
      <c r="V1323" s="60">
        <v>0</v>
      </c>
      <c r="W1323" s="60">
        <v>0</v>
      </c>
      <c r="X1323" s="60">
        <v>0</v>
      </c>
      <c r="Y1323" s="60">
        <v>0</v>
      </c>
      <c r="Z1323" s="60">
        <v>0</v>
      </c>
      <c r="AA1323" s="60">
        <v>0</v>
      </c>
      <c r="AB1323" s="60">
        <v>0</v>
      </c>
      <c r="AC1323" s="60">
        <v>5493.49</v>
      </c>
      <c r="AD1323" s="60">
        <v>5516.75</v>
      </c>
      <c r="AE1323" s="60">
        <v>5477.45</v>
      </c>
      <c r="AF1323" s="60">
        <v>0</v>
      </c>
      <c r="AG1323" s="60">
        <v>0</v>
      </c>
      <c r="AH1323" s="60">
        <v>0</v>
      </c>
      <c r="AI1323" s="60">
        <v>5871.17</v>
      </c>
      <c r="AJ1323" s="60">
        <v>5864.48</v>
      </c>
      <c r="AK1323" s="60">
        <v>5843.89</v>
      </c>
      <c r="AL1323" s="60">
        <v>0</v>
      </c>
      <c r="AM1323" s="60">
        <v>0</v>
      </c>
      <c r="AN1323" s="60">
        <v>0</v>
      </c>
      <c r="AO1323" s="60">
        <v>5871.17</v>
      </c>
      <c r="AP1323" s="60">
        <v>5864.48</v>
      </c>
      <c r="AQ1323" s="60">
        <v>5843.89</v>
      </c>
      <c r="AR1323" s="61">
        <v>5871.17</v>
      </c>
    </row>
    <row r="1324" spans="1:44" x14ac:dyDescent="0.35">
      <c r="A1324" s="49" t="str">
        <f t="shared" si="108"/>
        <v>43</v>
      </c>
      <c r="B1324" s="27">
        <v>69401</v>
      </c>
      <c r="C1324" s="25" t="str">
        <f t="shared" si="105"/>
        <v>0000000</v>
      </c>
      <c r="D1324" s="26" t="s">
        <v>3663</v>
      </c>
      <c r="E1324" s="25" t="s">
        <v>2748</v>
      </c>
      <c r="F1324" s="25" t="s">
        <v>2686</v>
      </c>
      <c r="G1324" s="59" t="s">
        <v>2749</v>
      </c>
      <c r="H1324" s="60">
        <v>8010.87</v>
      </c>
      <c r="I1324" s="60">
        <v>8014.13</v>
      </c>
      <c r="J1324" s="60">
        <v>7961.35</v>
      </c>
      <c r="K1324" s="60">
        <v>0</v>
      </c>
      <c r="L1324" s="60">
        <v>0</v>
      </c>
      <c r="M1324" s="60">
        <v>0</v>
      </c>
      <c r="N1324" s="60">
        <v>0</v>
      </c>
      <c r="O1324" s="60">
        <v>0</v>
      </c>
      <c r="P1324" s="60">
        <v>0</v>
      </c>
      <c r="Q1324" s="60">
        <v>0</v>
      </c>
      <c r="R1324" s="60">
        <v>0</v>
      </c>
      <c r="S1324" s="60">
        <v>0</v>
      </c>
      <c r="T1324" s="60">
        <v>0</v>
      </c>
      <c r="U1324" s="60">
        <v>0</v>
      </c>
      <c r="V1324" s="60">
        <v>0</v>
      </c>
      <c r="W1324" s="60">
        <v>0</v>
      </c>
      <c r="X1324" s="60">
        <v>0</v>
      </c>
      <c r="Y1324" s="60">
        <v>0</v>
      </c>
      <c r="Z1324" s="60">
        <v>0</v>
      </c>
      <c r="AA1324" s="60">
        <v>0</v>
      </c>
      <c r="AB1324" s="60">
        <v>0</v>
      </c>
      <c r="AC1324" s="60">
        <v>0</v>
      </c>
      <c r="AD1324" s="60">
        <v>0</v>
      </c>
      <c r="AE1324" s="60">
        <v>0</v>
      </c>
      <c r="AF1324" s="60">
        <v>0</v>
      </c>
      <c r="AG1324" s="60">
        <v>0</v>
      </c>
      <c r="AH1324" s="60">
        <v>0</v>
      </c>
      <c r="AI1324" s="60">
        <v>8010.87</v>
      </c>
      <c r="AJ1324" s="60">
        <v>8014.13</v>
      </c>
      <c r="AK1324" s="60">
        <v>7961.35</v>
      </c>
      <c r="AL1324" s="60">
        <v>0</v>
      </c>
      <c r="AM1324" s="60">
        <v>0</v>
      </c>
      <c r="AN1324" s="60">
        <v>0</v>
      </c>
      <c r="AO1324" s="60">
        <v>8010.87</v>
      </c>
      <c r="AP1324" s="60">
        <v>8014.13</v>
      </c>
      <c r="AQ1324" s="60">
        <v>7961.35</v>
      </c>
      <c r="AR1324" s="61">
        <v>8014.13</v>
      </c>
    </row>
    <row r="1325" spans="1:44" x14ac:dyDescent="0.35">
      <c r="A1325" s="49" t="str">
        <f t="shared" si="108"/>
        <v>43</v>
      </c>
      <c r="B1325" s="27">
        <v>69500</v>
      </c>
      <c r="C1325" s="25" t="str">
        <f t="shared" si="105"/>
        <v>0000000</v>
      </c>
      <c r="D1325" s="26" t="s">
        <v>3663</v>
      </c>
      <c r="E1325" s="25" t="s">
        <v>2800</v>
      </c>
      <c r="F1325" s="25" t="s">
        <v>2686</v>
      </c>
      <c r="G1325" s="59" t="s">
        <v>2801</v>
      </c>
      <c r="H1325" s="60">
        <v>401.65</v>
      </c>
      <c r="I1325" s="60">
        <v>402.63</v>
      </c>
      <c r="J1325" s="60">
        <v>402.29</v>
      </c>
      <c r="K1325" s="60">
        <v>0</v>
      </c>
      <c r="L1325" s="60">
        <v>0</v>
      </c>
      <c r="M1325" s="60">
        <v>0</v>
      </c>
      <c r="N1325" s="60">
        <v>0</v>
      </c>
      <c r="O1325" s="60">
        <v>0</v>
      </c>
      <c r="P1325" s="60">
        <v>0</v>
      </c>
      <c r="Q1325" s="60">
        <v>0</v>
      </c>
      <c r="R1325" s="60">
        <v>0</v>
      </c>
      <c r="S1325" s="60">
        <v>0</v>
      </c>
      <c r="T1325" s="60">
        <v>0</v>
      </c>
      <c r="U1325" s="60">
        <v>0</v>
      </c>
      <c r="V1325" s="60">
        <v>0</v>
      </c>
      <c r="W1325" s="60">
        <v>0</v>
      </c>
      <c r="X1325" s="60">
        <v>0</v>
      </c>
      <c r="Y1325" s="60">
        <v>0</v>
      </c>
      <c r="Z1325" s="60">
        <v>0</v>
      </c>
      <c r="AA1325" s="60">
        <v>0</v>
      </c>
      <c r="AB1325" s="60">
        <v>0</v>
      </c>
      <c r="AC1325" s="60">
        <v>0</v>
      </c>
      <c r="AD1325" s="60">
        <v>0</v>
      </c>
      <c r="AE1325" s="60">
        <v>0</v>
      </c>
      <c r="AF1325" s="60">
        <v>0</v>
      </c>
      <c r="AG1325" s="60">
        <v>0</v>
      </c>
      <c r="AH1325" s="60">
        <v>0</v>
      </c>
      <c r="AI1325" s="60">
        <v>401.65</v>
      </c>
      <c r="AJ1325" s="60">
        <v>402.63</v>
      </c>
      <c r="AK1325" s="60">
        <v>402.29</v>
      </c>
      <c r="AL1325" s="60">
        <v>0</v>
      </c>
      <c r="AM1325" s="60">
        <v>0</v>
      </c>
      <c r="AN1325" s="60">
        <v>0</v>
      </c>
      <c r="AO1325" s="60">
        <v>401.65</v>
      </c>
      <c r="AP1325" s="60">
        <v>402.63</v>
      </c>
      <c r="AQ1325" s="60">
        <v>402.29</v>
      </c>
      <c r="AR1325" s="61">
        <v>402.63</v>
      </c>
    </row>
    <row r="1326" spans="1:44" x14ac:dyDescent="0.35">
      <c r="A1326" s="49" t="str">
        <f t="shared" si="108"/>
        <v>43</v>
      </c>
      <c r="B1326" s="27">
        <v>69534</v>
      </c>
      <c r="C1326" s="25" t="str">
        <f t="shared" si="105"/>
        <v>0000000</v>
      </c>
      <c r="D1326" s="26" t="s">
        <v>3663</v>
      </c>
      <c r="E1326" s="25" t="s">
        <v>2806</v>
      </c>
      <c r="F1326" s="25" t="s">
        <v>2686</v>
      </c>
      <c r="G1326" s="59" t="s">
        <v>2807</v>
      </c>
      <c r="H1326" s="60">
        <v>3013.79</v>
      </c>
      <c r="I1326" s="60">
        <v>3068.1</v>
      </c>
      <c r="J1326" s="60">
        <v>3175.55</v>
      </c>
      <c r="K1326" s="60">
        <v>0</v>
      </c>
      <c r="L1326" s="60">
        <v>0</v>
      </c>
      <c r="M1326" s="60">
        <v>0</v>
      </c>
      <c r="N1326" s="60">
        <v>0</v>
      </c>
      <c r="O1326" s="60">
        <v>0</v>
      </c>
      <c r="P1326" s="60">
        <v>0</v>
      </c>
      <c r="Q1326" s="60">
        <v>0</v>
      </c>
      <c r="R1326" s="60">
        <v>0</v>
      </c>
      <c r="S1326" s="60">
        <v>0</v>
      </c>
      <c r="T1326" s="60">
        <v>0</v>
      </c>
      <c r="U1326" s="60">
        <v>0</v>
      </c>
      <c r="V1326" s="60">
        <v>0</v>
      </c>
      <c r="W1326" s="60">
        <v>0</v>
      </c>
      <c r="X1326" s="60">
        <v>0</v>
      </c>
      <c r="Y1326" s="60">
        <v>0</v>
      </c>
      <c r="Z1326" s="60">
        <v>0</v>
      </c>
      <c r="AA1326" s="60">
        <v>0</v>
      </c>
      <c r="AB1326" s="60">
        <v>0</v>
      </c>
      <c r="AC1326" s="60">
        <v>0</v>
      </c>
      <c r="AD1326" s="60">
        <v>0</v>
      </c>
      <c r="AE1326" s="60">
        <v>0</v>
      </c>
      <c r="AF1326" s="60">
        <v>0</v>
      </c>
      <c r="AG1326" s="60">
        <v>0</v>
      </c>
      <c r="AH1326" s="60">
        <v>0</v>
      </c>
      <c r="AI1326" s="60">
        <v>3013.79</v>
      </c>
      <c r="AJ1326" s="60">
        <v>3068.1</v>
      </c>
      <c r="AK1326" s="60">
        <v>3175.55</v>
      </c>
      <c r="AL1326" s="60">
        <v>0</v>
      </c>
      <c r="AM1326" s="60">
        <v>0</v>
      </c>
      <c r="AN1326" s="60">
        <v>0</v>
      </c>
      <c r="AO1326" s="60">
        <v>3013.79</v>
      </c>
      <c r="AP1326" s="60">
        <v>3068.1</v>
      </c>
      <c r="AQ1326" s="60">
        <v>3175.55</v>
      </c>
      <c r="AR1326" s="61">
        <v>3175.55</v>
      </c>
    </row>
    <row r="1327" spans="1:44" x14ac:dyDescent="0.35">
      <c r="A1327" s="49" t="str">
        <f t="shared" si="108"/>
        <v>43</v>
      </c>
      <c r="B1327" s="27">
        <v>69526</v>
      </c>
      <c r="C1327" s="25" t="str">
        <f t="shared" si="105"/>
        <v>0000000</v>
      </c>
      <c r="D1327" s="26" t="s">
        <v>3663</v>
      </c>
      <c r="E1327" s="25" t="s">
        <v>2804</v>
      </c>
      <c r="F1327" s="25" t="s">
        <v>2686</v>
      </c>
      <c r="G1327" s="59" t="s">
        <v>2805</v>
      </c>
      <c r="H1327" s="60">
        <v>2594.61</v>
      </c>
      <c r="I1327" s="60">
        <v>2505.65</v>
      </c>
      <c r="J1327" s="60">
        <v>2496.7399999999998</v>
      </c>
      <c r="K1327" s="60">
        <v>0</v>
      </c>
      <c r="L1327" s="60">
        <v>0</v>
      </c>
      <c r="M1327" s="60">
        <v>0</v>
      </c>
      <c r="N1327" s="60">
        <v>0</v>
      </c>
      <c r="O1327" s="60">
        <v>0</v>
      </c>
      <c r="P1327" s="60">
        <v>0</v>
      </c>
      <c r="Q1327" s="60">
        <v>0</v>
      </c>
      <c r="R1327" s="60">
        <v>0</v>
      </c>
      <c r="S1327" s="60">
        <v>0</v>
      </c>
      <c r="T1327" s="60">
        <v>0</v>
      </c>
      <c r="U1327" s="60">
        <v>0</v>
      </c>
      <c r="V1327" s="60">
        <v>0</v>
      </c>
      <c r="W1327" s="60">
        <v>0</v>
      </c>
      <c r="X1327" s="60">
        <v>0</v>
      </c>
      <c r="Y1327" s="60">
        <v>0</v>
      </c>
      <c r="Z1327" s="60">
        <v>0</v>
      </c>
      <c r="AA1327" s="60">
        <v>0</v>
      </c>
      <c r="AB1327" s="60">
        <v>0</v>
      </c>
      <c r="AC1327" s="60">
        <v>0</v>
      </c>
      <c r="AD1327" s="60">
        <v>0</v>
      </c>
      <c r="AE1327" s="60">
        <v>0</v>
      </c>
      <c r="AF1327" s="60">
        <v>0</v>
      </c>
      <c r="AG1327" s="60">
        <v>0</v>
      </c>
      <c r="AH1327" s="60">
        <v>0</v>
      </c>
      <c r="AI1327" s="60">
        <v>2594.61</v>
      </c>
      <c r="AJ1327" s="60">
        <v>2505.65</v>
      </c>
      <c r="AK1327" s="60">
        <v>2496.7399999999998</v>
      </c>
      <c r="AL1327" s="60">
        <v>0</v>
      </c>
      <c r="AM1327" s="60">
        <v>0</v>
      </c>
      <c r="AN1327" s="60">
        <v>0</v>
      </c>
      <c r="AO1327" s="60">
        <v>2594.61</v>
      </c>
      <c r="AP1327" s="60">
        <v>2505.65</v>
      </c>
      <c r="AQ1327" s="60">
        <v>2496.7399999999998</v>
      </c>
      <c r="AR1327" s="61">
        <v>2594.61</v>
      </c>
    </row>
    <row r="1328" spans="1:44" x14ac:dyDescent="0.35">
      <c r="A1328" s="49" t="str">
        <f t="shared" si="108"/>
        <v>43</v>
      </c>
      <c r="B1328" s="27">
        <v>69542</v>
      </c>
      <c r="C1328" s="25" t="str">
        <f t="shared" si="105"/>
        <v>0000000</v>
      </c>
      <c r="D1328" s="26" t="s">
        <v>3663</v>
      </c>
      <c r="E1328" s="25" t="s">
        <v>2808</v>
      </c>
      <c r="F1328" s="25" t="s">
        <v>2686</v>
      </c>
      <c r="G1328" s="59" t="s">
        <v>2809</v>
      </c>
      <c r="H1328" s="60">
        <v>400.45</v>
      </c>
      <c r="I1328" s="60">
        <v>383.14</v>
      </c>
      <c r="J1328" s="60">
        <v>395.87</v>
      </c>
      <c r="K1328" s="60">
        <v>0</v>
      </c>
      <c r="L1328" s="60">
        <v>0</v>
      </c>
      <c r="M1328" s="60">
        <v>0</v>
      </c>
      <c r="N1328" s="60">
        <v>0</v>
      </c>
      <c r="O1328" s="60">
        <v>0</v>
      </c>
      <c r="P1328" s="60">
        <v>0</v>
      </c>
      <c r="Q1328" s="60">
        <v>0</v>
      </c>
      <c r="R1328" s="60">
        <v>0</v>
      </c>
      <c r="S1328" s="60">
        <v>0</v>
      </c>
      <c r="T1328" s="60">
        <v>0</v>
      </c>
      <c r="U1328" s="60">
        <v>0</v>
      </c>
      <c r="V1328" s="60">
        <v>0</v>
      </c>
      <c r="W1328" s="60">
        <v>0</v>
      </c>
      <c r="X1328" s="60">
        <v>0</v>
      </c>
      <c r="Y1328" s="60">
        <v>0</v>
      </c>
      <c r="Z1328" s="60">
        <v>0</v>
      </c>
      <c r="AA1328" s="60">
        <v>0</v>
      </c>
      <c r="AB1328" s="60">
        <v>0</v>
      </c>
      <c r="AC1328" s="60">
        <v>0</v>
      </c>
      <c r="AD1328" s="60">
        <v>0</v>
      </c>
      <c r="AE1328" s="60">
        <v>0</v>
      </c>
      <c r="AF1328" s="60">
        <v>0</v>
      </c>
      <c r="AG1328" s="60">
        <v>0</v>
      </c>
      <c r="AH1328" s="60">
        <v>0</v>
      </c>
      <c r="AI1328" s="60">
        <v>400.45</v>
      </c>
      <c r="AJ1328" s="60">
        <v>383.14</v>
      </c>
      <c r="AK1328" s="60">
        <v>395.87</v>
      </c>
      <c r="AL1328" s="60">
        <v>0</v>
      </c>
      <c r="AM1328" s="60">
        <v>0</v>
      </c>
      <c r="AN1328" s="60">
        <v>0</v>
      </c>
      <c r="AO1328" s="60">
        <v>400.45</v>
      </c>
      <c r="AP1328" s="60">
        <v>383.14</v>
      </c>
      <c r="AQ1328" s="60">
        <v>395.87</v>
      </c>
      <c r="AR1328" s="61">
        <v>400.45</v>
      </c>
    </row>
    <row r="1329" spans="1:44" x14ac:dyDescent="0.35">
      <c r="A1329" s="49" t="str">
        <f t="shared" si="108"/>
        <v>43</v>
      </c>
      <c r="B1329" s="27">
        <v>69575</v>
      </c>
      <c r="C1329" s="25" t="str">
        <f t="shared" si="105"/>
        <v>0000000</v>
      </c>
      <c r="D1329" s="26" t="s">
        <v>3663</v>
      </c>
      <c r="E1329" s="25" t="s">
        <v>2810</v>
      </c>
      <c r="F1329" s="25" t="s">
        <v>2686</v>
      </c>
      <c r="G1329" s="59" t="s">
        <v>2811</v>
      </c>
      <c r="H1329" s="60">
        <v>3689.64</v>
      </c>
      <c r="I1329" s="60">
        <v>3710.28</v>
      </c>
      <c r="J1329" s="60">
        <v>3810.19</v>
      </c>
      <c r="K1329" s="60">
        <v>0</v>
      </c>
      <c r="L1329" s="60">
        <v>0</v>
      </c>
      <c r="M1329" s="60">
        <v>0</v>
      </c>
      <c r="N1329" s="60">
        <v>0</v>
      </c>
      <c r="O1329" s="60">
        <v>0</v>
      </c>
      <c r="P1329" s="60">
        <v>0</v>
      </c>
      <c r="Q1329" s="60">
        <v>0</v>
      </c>
      <c r="R1329" s="60">
        <v>0</v>
      </c>
      <c r="S1329" s="60">
        <v>0</v>
      </c>
      <c r="T1329" s="60">
        <v>0</v>
      </c>
      <c r="U1329" s="60">
        <v>0</v>
      </c>
      <c r="V1329" s="60">
        <v>0</v>
      </c>
      <c r="W1329" s="60">
        <v>0</v>
      </c>
      <c r="X1329" s="60">
        <v>0</v>
      </c>
      <c r="Y1329" s="60">
        <v>0</v>
      </c>
      <c r="Z1329" s="60">
        <v>0</v>
      </c>
      <c r="AA1329" s="60">
        <v>0</v>
      </c>
      <c r="AB1329" s="60">
        <v>0</v>
      </c>
      <c r="AC1329" s="60">
        <v>0</v>
      </c>
      <c r="AD1329" s="60">
        <v>0</v>
      </c>
      <c r="AE1329" s="60">
        <v>0</v>
      </c>
      <c r="AF1329" s="60">
        <v>0</v>
      </c>
      <c r="AG1329" s="60">
        <v>0</v>
      </c>
      <c r="AH1329" s="60">
        <v>0</v>
      </c>
      <c r="AI1329" s="60">
        <v>3689.64</v>
      </c>
      <c r="AJ1329" s="60">
        <v>3710.28</v>
      </c>
      <c r="AK1329" s="60">
        <v>3810.19</v>
      </c>
      <c r="AL1329" s="60">
        <v>0</v>
      </c>
      <c r="AM1329" s="60">
        <v>0</v>
      </c>
      <c r="AN1329" s="60">
        <v>0</v>
      </c>
      <c r="AO1329" s="60">
        <v>3689.64</v>
      </c>
      <c r="AP1329" s="60">
        <v>3710.28</v>
      </c>
      <c r="AQ1329" s="60">
        <v>3810.19</v>
      </c>
      <c r="AR1329" s="61">
        <v>3810.19</v>
      </c>
    </row>
    <row r="1330" spans="1:44" x14ac:dyDescent="0.35">
      <c r="A1330" s="49" t="str">
        <f t="shared" si="108"/>
        <v>43</v>
      </c>
      <c r="B1330" s="27">
        <v>69682</v>
      </c>
      <c r="C1330" s="25" t="str">
        <f t="shared" si="105"/>
        <v>0000000</v>
      </c>
      <c r="D1330" s="26" t="s">
        <v>3663</v>
      </c>
      <c r="E1330" s="25" t="s">
        <v>2838</v>
      </c>
      <c r="F1330" s="25" t="s">
        <v>2686</v>
      </c>
      <c r="G1330" s="59" t="s">
        <v>2839</v>
      </c>
      <c r="H1330" s="60">
        <v>1550.05</v>
      </c>
      <c r="I1330" s="60">
        <v>1571.81</v>
      </c>
      <c r="J1330" s="60">
        <v>1568.93</v>
      </c>
      <c r="K1330" s="60">
        <v>0</v>
      </c>
      <c r="L1330" s="60">
        <v>0</v>
      </c>
      <c r="M1330" s="60">
        <v>0</v>
      </c>
      <c r="N1330" s="60">
        <v>0</v>
      </c>
      <c r="O1330" s="60">
        <v>0</v>
      </c>
      <c r="P1330" s="60">
        <v>0</v>
      </c>
      <c r="Q1330" s="60">
        <v>0</v>
      </c>
      <c r="R1330" s="60">
        <v>0</v>
      </c>
      <c r="S1330" s="60">
        <v>0</v>
      </c>
      <c r="T1330" s="60">
        <v>0</v>
      </c>
      <c r="U1330" s="60">
        <v>0</v>
      </c>
      <c r="V1330" s="60">
        <v>0</v>
      </c>
      <c r="W1330" s="60">
        <v>0</v>
      </c>
      <c r="X1330" s="60">
        <v>0</v>
      </c>
      <c r="Y1330" s="60">
        <v>0</v>
      </c>
      <c r="Z1330" s="60">
        <v>0</v>
      </c>
      <c r="AA1330" s="60">
        <v>0</v>
      </c>
      <c r="AB1330" s="60">
        <v>0</v>
      </c>
      <c r="AC1330" s="60">
        <v>0</v>
      </c>
      <c r="AD1330" s="60">
        <v>0</v>
      </c>
      <c r="AE1330" s="60">
        <v>0</v>
      </c>
      <c r="AF1330" s="60">
        <v>0</v>
      </c>
      <c r="AG1330" s="60">
        <v>0</v>
      </c>
      <c r="AH1330" s="60">
        <v>0</v>
      </c>
      <c r="AI1330" s="60">
        <v>1550.05</v>
      </c>
      <c r="AJ1330" s="60">
        <v>1571.81</v>
      </c>
      <c r="AK1330" s="60">
        <v>1568.93</v>
      </c>
      <c r="AL1330" s="60">
        <v>0</v>
      </c>
      <c r="AM1330" s="60">
        <v>0</v>
      </c>
      <c r="AN1330" s="60">
        <v>0</v>
      </c>
      <c r="AO1330" s="60">
        <v>1550.05</v>
      </c>
      <c r="AP1330" s="60">
        <v>1571.81</v>
      </c>
      <c r="AQ1330" s="60">
        <v>1568.93</v>
      </c>
      <c r="AR1330" s="61">
        <v>1571.81</v>
      </c>
    </row>
    <row r="1331" spans="1:44" x14ac:dyDescent="0.35">
      <c r="A1331" s="49" t="str">
        <f t="shared" si="108"/>
        <v>43</v>
      </c>
      <c r="B1331" s="27">
        <v>69708</v>
      </c>
      <c r="C1331" s="25" t="str">
        <f t="shared" si="105"/>
        <v>0000000</v>
      </c>
      <c r="D1331" s="26" t="s">
        <v>3663</v>
      </c>
      <c r="E1331" s="25" t="s">
        <v>2842</v>
      </c>
      <c r="F1331" s="25" t="s">
        <v>2686</v>
      </c>
      <c r="G1331" s="59" t="s">
        <v>2843</v>
      </c>
      <c r="H1331" s="60">
        <v>5178</v>
      </c>
      <c r="I1331" s="60">
        <v>5129.33</v>
      </c>
      <c r="J1331" s="60">
        <v>5244.33</v>
      </c>
      <c r="K1331" s="60">
        <v>0</v>
      </c>
      <c r="L1331" s="60">
        <v>0</v>
      </c>
      <c r="M1331" s="60">
        <v>0</v>
      </c>
      <c r="N1331" s="60">
        <v>0</v>
      </c>
      <c r="O1331" s="60">
        <v>0</v>
      </c>
      <c r="P1331" s="60">
        <v>0</v>
      </c>
      <c r="Q1331" s="60">
        <v>0</v>
      </c>
      <c r="R1331" s="60">
        <v>0</v>
      </c>
      <c r="S1331" s="60">
        <v>0</v>
      </c>
      <c r="T1331" s="60">
        <v>0</v>
      </c>
      <c r="U1331" s="60">
        <v>0</v>
      </c>
      <c r="V1331" s="60">
        <v>0</v>
      </c>
      <c r="W1331" s="60">
        <v>0</v>
      </c>
      <c r="X1331" s="60">
        <v>0</v>
      </c>
      <c r="Y1331" s="60">
        <v>0</v>
      </c>
      <c r="Z1331" s="60">
        <v>0</v>
      </c>
      <c r="AA1331" s="60">
        <v>0</v>
      </c>
      <c r="AB1331" s="60">
        <v>0</v>
      </c>
      <c r="AC1331" s="60">
        <v>0</v>
      </c>
      <c r="AD1331" s="60">
        <v>0</v>
      </c>
      <c r="AE1331" s="60">
        <v>0</v>
      </c>
      <c r="AF1331" s="60">
        <v>0</v>
      </c>
      <c r="AG1331" s="60">
        <v>0</v>
      </c>
      <c r="AH1331" s="60">
        <v>0</v>
      </c>
      <c r="AI1331" s="60">
        <v>5178</v>
      </c>
      <c r="AJ1331" s="60">
        <v>5129.33</v>
      </c>
      <c r="AK1331" s="60">
        <v>5244.33</v>
      </c>
      <c r="AL1331" s="60">
        <v>0</v>
      </c>
      <c r="AM1331" s="60">
        <v>0</v>
      </c>
      <c r="AN1331" s="60">
        <v>0</v>
      </c>
      <c r="AO1331" s="60">
        <v>5178</v>
      </c>
      <c r="AP1331" s="60">
        <v>5129.33</v>
      </c>
      <c r="AQ1331" s="60">
        <v>5244.33</v>
      </c>
      <c r="AR1331" s="61">
        <v>5244.33</v>
      </c>
    </row>
    <row r="1332" spans="1:44" x14ac:dyDescent="0.35">
      <c r="A1332" s="49" t="str">
        <f t="shared" si="108"/>
        <v>43</v>
      </c>
      <c r="B1332" s="27">
        <v>69492</v>
      </c>
      <c r="C1332" s="25" t="str">
        <f t="shared" si="105"/>
        <v>0000000</v>
      </c>
      <c r="D1332" s="26" t="s">
        <v>3663</v>
      </c>
      <c r="E1332" s="25" t="s">
        <v>2798</v>
      </c>
      <c r="F1332" s="25" t="s">
        <v>2686</v>
      </c>
      <c r="G1332" s="59" t="s">
        <v>2799</v>
      </c>
      <c r="H1332" s="60">
        <v>72.72</v>
      </c>
      <c r="I1332" s="60">
        <v>69.27</v>
      </c>
      <c r="J1332" s="60">
        <v>63.88</v>
      </c>
      <c r="K1332" s="60">
        <v>0</v>
      </c>
      <c r="L1332" s="60">
        <v>0</v>
      </c>
      <c r="M1332" s="60">
        <v>0</v>
      </c>
      <c r="N1332" s="60">
        <v>0</v>
      </c>
      <c r="O1332" s="60">
        <v>0</v>
      </c>
      <c r="P1332" s="60">
        <v>0</v>
      </c>
      <c r="Q1332" s="60">
        <v>0</v>
      </c>
      <c r="R1332" s="60">
        <v>0</v>
      </c>
      <c r="S1332" s="60">
        <v>0</v>
      </c>
      <c r="T1332" s="60">
        <v>0</v>
      </c>
      <c r="U1332" s="60">
        <v>0</v>
      </c>
      <c r="V1332" s="60">
        <v>0</v>
      </c>
      <c r="W1332" s="60">
        <v>0</v>
      </c>
      <c r="X1332" s="60">
        <v>0</v>
      </c>
      <c r="Y1332" s="60">
        <v>0</v>
      </c>
      <c r="Z1332" s="60">
        <v>0</v>
      </c>
      <c r="AA1332" s="60">
        <v>0</v>
      </c>
      <c r="AB1332" s="60">
        <v>0</v>
      </c>
      <c r="AC1332" s="60">
        <v>0</v>
      </c>
      <c r="AD1332" s="60">
        <v>0</v>
      </c>
      <c r="AE1332" s="60">
        <v>0</v>
      </c>
      <c r="AF1332" s="60">
        <v>0</v>
      </c>
      <c r="AG1332" s="60">
        <v>0</v>
      </c>
      <c r="AH1332" s="60">
        <v>0</v>
      </c>
      <c r="AI1332" s="60">
        <v>72.72</v>
      </c>
      <c r="AJ1332" s="60">
        <v>69.27</v>
      </c>
      <c r="AK1332" s="60">
        <v>63.88</v>
      </c>
      <c r="AL1332" s="60">
        <v>0</v>
      </c>
      <c r="AM1332" s="60">
        <v>0</v>
      </c>
      <c r="AN1332" s="60">
        <v>0</v>
      </c>
      <c r="AO1332" s="60">
        <v>72.72</v>
      </c>
      <c r="AP1332" s="60">
        <v>69.27</v>
      </c>
      <c r="AQ1332" s="60">
        <v>63.88</v>
      </c>
      <c r="AR1332" s="61">
        <v>72.72</v>
      </c>
    </row>
    <row r="1333" spans="1:44" x14ac:dyDescent="0.35">
      <c r="A1333" s="49" t="str">
        <f t="shared" si="108"/>
        <v>43</v>
      </c>
      <c r="B1333" s="27">
        <v>10439</v>
      </c>
      <c r="C1333" s="25" t="str">
        <f t="shared" si="105"/>
        <v>0000000</v>
      </c>
      <c r="D1333" s="26" t="s">
        <v>3663</v>
      </c>
      <c r="E1333" s="25" t="s">
        <v>2687</v>
      </c>
      <c r="F1333" s="25" t="s">
        <v>2688</v>
      </c>
      <c r="G1333" s="59" t="s">
        <v>2688</v>
      </c>
      <c r="H1333" s="60">
        <v>0</v>
      </c>
      <c r="I1333" s="60">
        <v>0</v>
      </c>
      <c r="J1333" s="60">
        <v>0</v>
      </c>
      <c r="K1333" s="60">
        <v>0</v>
      </c>
      <c r="L1333" s="60">
        <v>0</v>
      </c>
      <c r="M1333" s="60">
        <v>0</v>
      </c>
      <c r="N1333" s="60">
        <v>0</v>
      </c>
      <c r="O1333" s="60">
        <v>0</v>
      </c>
      <c r="P1333" s="60">
        <v>0</v>
      </c>
      <c r="Q1333" s="60">
        <v>0</v>
      </c>
      <c r="R1333" s="60">
        <v>0</v>
      </c>
      <c r="S1333" s="60">
        <v>0</v>
      </c>
      <c r="T1333" s="60">
        <v>23.11</v>
      </c>
      <c r="U1333" s="60">
        <v>20.71</v>
      </c>
      <c r="V1333" s="60">
        <v>15.3</v>
      </c>
      <c r="W1333" s="60">
        <v>111.16</v>
      </c>
      <c r="X1333" s="60">
        <v>128.72999999999999</v>
      </c>
      <c r="Y1333" s="60">
        <v>123.14</v>
      </c>
      <c r="Z1333" s="60">
        <v>688.31</v>
      </c>
      <c r="AA1333" s="60">
        <v>696.1</v>
      </c>
      <c r="AB1333" s="60">
        <v>699.56</v>
      </c>
      <c r="AC1333" s="60">
        <v>488.16</v>
      </c>
      <c r="AD1333" s="60">
        <v>445.72</v>
      </c>
      <c r="AE1333" s="60">
        <v>487.71</v>
      </c>
      <c r="AF1333" s="60">
        <v>0</v>
      </c>
      <c r="AG1333" s="60">
        <v>0</v>
      </c>
      <c r="AH1333" s="60">
        <v>0</v>
      </c>
      <c r="AI1333" s="60">
        <v>1310.74</v>
      </c>
      <c r="AJ1333" s="60">
        <v>1291.26</v>
      </c>
      <c r="AK1333" s="60">
        <v>1325.71</v>
      </c>
      <c r="AL1333" s="60">
        <v>0</v>
      </c>
      <c r="AM1333" s="60">
        <v>0</v>
      </c>
      <c r="AN1333" s="60">
        <v>0</v>
      </c>
      <c r="AO1333" s="60">
        <v>1310.74</v>
      </c>
      <c r="AP1333" s="60">
        <v>1291.26</v>
      </c>
      <c r="AQ1333" s="60">
        <v>1325.71</v>
      </c>
      <c r="AR1333" s="61">
        <v>1325.71</v>
      </c>
    </row>
    <row r="1334" spans="1:44" x14ac:dyDescent="0.35">
      <c r="A1334" s="49" t="str">
        <f t="shared" si="108"/>
        <v>43</v>
      </c>
      <c r="B1334" s="27">
        <v>69666</v>
      </c>
      <c r="C1334" s="25" t="str">
        <f t="shared" ref="C1334:C1362" si="109">TEXT(,"0000000")</f>
        <v>0000000</v>
      </c>
      <c r="D1334" s="26" t="s">
        <v>3663</v>
      </c>
      <c r="E1334" s="25" t="s">
        <v>2827</v>
      </c>
      <c r="F1334" s="25" t="s">
        <v>2688</v>
      </c>
      <c r="G1334" s="59" t="s">
        <v>2828</v>
      </c>
      <c r="H1334" s="60">
        <v>22846.59</v>
      </c>
      <c r="I1334" s="60">
        <v>23138.27</v>
      </c>
      <c r="J1334" s="60">
        <v>23558.49</v>
      </c>
      <c r="K1334" s="60">
        <v>0</v>
      </c>
      <c r="L1334" s="60">
        <v>0</v>
      </c>
      <c r="M1334" s="60">
        <v>0</v>
      </c>
      <c r="N1334" s="60">
        <v>0</v>
      </c>
      <c r="O1334" s="60">
        <v>0</v>
      </c>
      <c r="P1334" s="60">
        <v>0</v>
      </c>
      <c r="Q1334" s="60">
        <v>0</v>
      </c>
      <c r="R1334" s="60">
        <v>0</v>
      </c>
      <c r="S1334" s="60">
        <v>0</v>
      </c>
      <c r="T1334" s="60">
        <v>0</v>
      </c>
      <c r="U1334" s="60">
        <v>0</v>
      </c>
      <c r="V1334" s="60">
        <v>0</v>
      </c>
      <c r="W1334" s="60">
        <v>0</v>
      </c>
      <c r="X1334" s="60">
        <v>0</v>
      </c>
      <c r="Y1334" s="60">
        <v>0</v>
      </c>
      <c r="Z1334" s="60">
        <v>0</v>
      </c>
      <c r="AA1334" s="60">
        <v>0</v>
      </c>
      <c r="AB1334" s="60">
        <v>0</v>
      </c>
      <c r="AC1334" s="60">
        <v>0</v>
      </c>
      <c r="AD1334" s="60">
        <v>0</v>
      </c>
      <c r="AE1334" s="60">
        <v>0</v>
      </c>
      <c r="AF1334" s="60">
        <v>0</v>
      </c>
      <c r="AG1334" s="60">
        <v>0</v>
      </c>
      <c r="AH1334" s="60">
        <v>0</v>
      </c>
      <c r="AI1334" s="60">
        <v>22846.59</v>
      </c>
      <c r="AJ1334" s="60">
        <v>23138.27</v>
      </c>
      <c r="AK1334" s="60">
        <v>23558.49</v>
      </c>
      <c r="AL1334" s="60">
        <v>0</v>
      </c>
      <c r="AM1334" s="60">
        <v>0</v>
      </c>
      <c r="AN1334" s="60">
        <v>0</v>
      </c>
      <c r="AO1334" s="60">
        <v>22846.59</v>
      </c>
      <c r="AP1334" s="60">
        <v>23138.27</v>
      </c>
      <c r="AQ1334" s="60">
        <v>23558.49</v>
      </c>
      <c r="AR1334" s="61">
        <v>23558.49</v>
      </c>
    </row>
    <row r="1335" spans="1:44" x14ac:dyDescent="0.35">
      <c r="A1335" s="49" t="str">
        <f t="shared" si="108"/>
        <v>43</v>
      </c>
      <c r="B1335" s="27">
        <v>69617</v>
      </c>
      <c r="C1335" s="25" t="str">
        <f t="shared" si="109"/>
        <v>0000000</v>
      </c>
      <c r="D1335" s="26" t="s">
        <v>3663</v>
      </c>
      <c r="E1335" s="25" t="s">
        <v>2689</v>
      </c>
      <c r="F1335" s="25" t="s">
        <v>2690</v>
      </c>
      <c r="G1335" s="59" t="s">
        <v>2690</v>
      </c>
      <c r="H1335" s="60">
        <v>1069.08</v>
      </c>
      <c r="I1335" s="60">
        <v>1129.93</v>
      </c>
      <c r="J1335" s="60">
        <v>1192.92</v>
      </c>
      <c r="K1335" s="60">
        <v>0</v>
      </c>
      <c r="L1335" s="60">
        <v>0</v>
      </c>
      <c r="M1335" s="60">
        <v>0</v>
      </c>
      <c r="N1335" s="60">
        <v>0</v>
      </c>
      <c r="O1335" s="60">
        <v>0</v>
      </c>
      <c r="P1335" s="60">
        <v>0</v>
      </c>
      <c r="Q1335" s="60">
        <v>0</v>
      </c>
      <c r="R1335" s="60">
        <v>0</v>
      </c>
      <c r="S1335" s="60">
        <v>0</v>
      </c>
      <c r="T1335" s="60">
        <v>0</v>
      </c>
      <c r="U1335" s="60">
        <v>0</v>
      </c>
      <c r="V1335" s="60">
        <v>0</v>
      </c>
      <c r="W1335" s="60">
        <v>0</v>
      </c>
      <c r="X1335" s="60">
        <v>0</v>
      </c>
      <c r="Y1335" s="60">
        <v>0</v>
      </c>
      <c r="Z1335" s="60">
        <v>0</v>
      </c>
      <c r="AA1335" s="60">
        <v>0</v>
      </c>
      <c r="AB1335" s="60">
        <v>0</v>
      </c>
      <c r="AC1335" s="60">
        <v>374.79</v>
      </c>
      <c r="AD1335" s="60">
        <v>381.63</v>
      </c>
      <c r="AE1335" s="60">
        <v>396.11</v>
      </c>
      <c r="AF1335" s="60">
        <v>0</v>
      </c>
      <c r="AG1335" s="60">
        <v>0</v>
      </c>
      <c r="AH1335" s="60">
        <v>0</v>
      </c>
      <c r="AI1335" s="60">
        <v>1443.87</v>
      </c>
      <c r="AJ1335" s="60">
        <v>1511.56</v>
      </c>
      <c r="AK1335" s="60">
        <v>1589.03</v>
      </c>
      <c r="AL1335" s="60">
        <v>0</v>
      </c>
      <c r="AM1335" s="60">
        <v>0</v>
      </c>
      <c r="AN1335" s="60">
        <v>0</v>
      </c>
      <c r="AO1335" s="60">
        <v>1443.87</v>
      </c>
      <c r="AP1335" s="60">
        <v>1511.56</v>
      </c>
      <c r="AQ1335" s="60">
        <v>1589.03</v>
      </c>
      <c r="AR1335" s="61">
        <v>1589.03</v>
      </c>
    </row>
    <row r="1336" spans="1:44" x14ac:dyDescent="0.35">
      <c r="A1336" s="49" t="str">
        <f t="shared" si="108"/>
        <v>43</v>
      </c>
      <c r="B1336" s="27">
        <v>69369</v>
      </c>
      <c r="C1336" s="25" t="str">
        <f t="shared" si="109"/>
        <v>0000000</v>
      </c>
      <c r="D1336" s="26" t="s">
        <v>3663</v>
      </c>
      <c r="E1336" s="25" t="s">
        <v>2733</v>
      </c>
      <c r="F1336" s="25" t="s">
        <v>2690</v>
      </c>
      <c r="G1336" s="59" t="s">
        <v>2734</v>
      </c>
      <c r="H1336" s="60">
        <v>7046.42</v>
      </c>
      <c r="I1336" s="60">
        <v>6534.84</v>
      </c>
      <c r="J1336" s="60">
        <v>7257.81</v>
      </c>
      <c r="K1336" s="60">
        <v>0</v>
      </c>
      <c r="L1336" s="60">
        <v>0</v>
      </c>
      <c r="M1336" s="60">
        <v>0</v>
      </c>
      <c r="N1336" s="60">
        <v>0</v>
      </c>
      <c r="O1336" s="60">
        <v>0</v>
      </c>
      <c r="P1336" s="60">
        <v>0</v>
      </c>
      <c r="Q1336" s="60">
        <v>0</v>
      </c>
      <c r="R1336" s="60">
        <v>0</v>
      </c>
      <c r="S1336" s="60">
        <v>0</v>
      </c>
      <c r="T1336" s="60">
        <v>0</v>
      </c>
      <c r="U1336" s="60">
        <v>0</v>
      </c>
      <c r="V1336" s="60">
        <v>0</v>
      </c>
      <c r="W1336" s="60">
        <v>0</v>
      </c>
      <c r="X1336" s="60">
        <v>0</v>
      </c>
      <c r="Y1336" s="60">
        <v>0</v>
      </c>
      <c r="Z1336" s="60">
        <v>0</v>
      </c>
      <c r="AA1336" s="60">
        <v>0</v>
      </c>
      <c r="AB1336" s="60">
        <v>0</v>
      </c>
      <c r="AC1336" s="60">
        <v>0</v>
      </c>
      <c r="AD1336" s="60">
        <v>385.28</v>
      </c>
      <c r="AE1336" s="60">
        <v>385.12</v>
      </c>
      <c r="AF1336" s="60">
        <v>0</v>
      </c>
      <c r="AG1336" s="60">
        <v>0</v>
      </c>
      <c r="AH1336" s="60">
        <v>0</v>
      </c>
      <c r="AI1336" s="60">
        <v>7046.42</v>
      </c>
      <c r="AJ1336" s="60">
        <v>6920.12</v>
      </c>
      <c r="AK1336" s="60">
        <v>7642.93</v>
      </c>
      <c r="AL1336" s="60">
        <v>0</v>
      </c>
      <c r="AM1336" s="60">
        <v>0</v>
      </c>
      <c r="AN1336" s="60">
        <v>0</v>
      </c>
      <c r="AO1336" s="60">
        <v>7046.42</v>
      </c>
      <c r="AP1336" s="60">
        <v>6920.12</v>
      </c>
      <c r="AQ1336" s="60">
        <v>7642.93</v>
      </c>
      <c r="AR1336" s="61">
        <v>7642.93</v>
      </c>
    </row>
    <row r="1337" spans="1:44" x14ac:dyDescent="0.35">
      <c r="A1337" s="49" t="str">
        <f t="shared" si="108"/>
        <v>43</v>
      </c>
      <c r="B1337" s="27">
        <v>69377</v>
      </c>
      <c r="C1337" s="25" t="str">
        <f t="shared" si="109"/>
        <v>0000000</v>
      </c>
      <c r="D1337" s="26" t="s">
        <v>3663</v>
      </c>
      <c r="E1337" s="25" t="s">
        <v>2742</v>
      </c>
      <c r="F1337" s="25" t="s">
        <v>2690</v>
      </c>
      <c r="G1337" s="59" t="s">
        <v>2743</v>
      </c>
      <c r="H1337" s="60">
        <v>5722.15</v>
      </c>
      <c r="I1337" s="60">
        <v>5629.25</v>
      </c>
      <c r="J1337" s="60">
        <v>5663</v>
      </c>
      <c r="K1337" s="60">
        <v>0</v>
      </c>
      <c r="L1337" s="60">
        <v>0</v>
      </c>
      <c r="M1337" s="60">
        <v>0</v>
      </c>
      <c r="N1337" s="60">
        <v>0</v>
      </c>
      <c r="O1337" s="60">
        <v>0</v>
      </c>
      <c r="P1337" s="60">
        <v>0</v>
      </c>
      <c r="Q1337" s="60">
        <v>0</v>
      </c>
      <c r="R1337" s="60">
        <v>0</v>
      </c>
      <c r="S1337" s="60">
        <v>0</v>
      </c>
      <c r="T1337" s="60">
        <v>0</v>
      </c>
      <c r="U1337" s="60">
        <v>0</v>
      </c>
      <c r="V1337" s="60">
        <v>0</v>
      </c>
      <c r="W1337" s="60">
        <v>0</v>
      </c>
      <c r="X1337" s="60">
        <v>0</v>
      </c>
      <c r="Y1337" s="60">
        <v>0</v>
      </c>
      <c r="Z1337" s="60">
        <v>0</v>
      </c>
      <c r="AA1337" s="60">
        <v>0</v>
      </c>
      <c r="AB1337" s="60">
        <v>0</v>
      </c>
      <c r="AC1337" s="60">
        <v>0</v>
      </c>
      <c r="AD1337" s="60">
        <v>0</v>
      </c>
      <c r="AE1337" s="60">
        <v>0</v>
      </c>
      <c r="AF1337" s="60">
        <v>0</v>
      </c>
      <c r="AG1337" s="60">
        <v>0</v>
      </c>
      <c r="AH1337" s="60">
        <v>0</v>
      </c>
      <c r="AI1337" s="60">
        <v>5722.15</v>
      </c>
      <c r="AJ1337" s="60">
        <v>5629.25</v>
      </c>
      <c r="AK1337" s="60">
        <v>5663</v>
      </c>
      <c r="AL1337" s="60">
        <v>0</v>
      </c>
      <c r="AM1337" s="60">
        <v>0</v>
      </c>
      <c r="AN1337" s="60">
        <v>0</v>
      </c>
      <c r="AO1337" s="60">
        <v>5722.15</v>
      </c>
      <c r="AP1337" s="60">
        <v>5629.25</v>
      </c>
      <c r="AQ1337" s="60">
        <v>5663</v>
      </c>
      <c r="AR1337" s="61">
        <v>5722.15</v>
      </c>
    </row>
    <row r="1338" spans="1:44" x14ac:dyDescent="0.35">
      <c r="A1338" s="49" t="str">
        <f t="shared" si="108"/>
        <v>43</v>
      </c>
      <c r="B1338" s="27">
        <v>69427</v>
      </c>
      <c r="C1338" s="25" t="str">
        <f t="shared" si="109"/>
        <v>0000000</v>
      </c>
      <c r="D1338" s="26" t="s">
        <v>3663</v>
      </c>
      <c r="E1338" s="25" t="s">
        <v>2752</v>
      </c>
      <c r="F1338" s="25" t="s">
        <v>2690</v>
      </c>
      <c r="G1338" s="59" t="s">
        <v>2753</v>
      </c>
      <c r="H1338" s="60">
        <v>18903.88</v>
      </c>
      <c r="I1338" s="60">
        <v>19307.45</v>
      </c>
      <c r="J1338" s="60">
        <v>19939.04</v>
      </c>
      <c r="K1338" s="60">
        <v>0</v>
      </c>
      <c r="L1338" s="60">
        <v>0</v>
      </c>
      <c r="M1338" s="60">
        <v>0</v>
      </c>
      <c r="N1338" s="60">
        <v>0</v>
      </c>
      <c r="O1338" s="60">
        <v>0</v>
      </c>
      <c r="P1338" s="60">
        <v>0</v>
      </c>
      <c r="Q1338" s="60">
        <v>0</v>
      </c>
      <c r="R1338" s="60">
        <v>0</v>
      </c>
      <c r="S1338" s="60">
        <v>0</v>
      </c>
      <c r="T1338" s="60">
        <v>0</v>
      </c>
      <c r="U1338" s="60">
        <v>0</v>
      </c>
      <c r="V1338" s="60">
        <v>0</v>
      </c>
      <c r="W1338" s="60">
        <v>0</v>
      </c>
      <c r="X1338" s="60">
        <v>0</v>
      </c>
      <c r="Y1338" s="60">
        <v>0</v>
      </c>
      <c r="Z1338" s="60">
        <v>0</v>
      </c>
      <c r="AA1338" s="60">
        <v>0</v>
      </c>
      <c r="AB1338" s="60">
        <v>0</v>
      </c>
      <c r="AC1338" s="60">
        <v>0</v>
      </c>
      <c r="AD1338" s="60">
        <v>0</v>
      </c>
      <c r="AE1338" s="60">
        <v>0</v>
      </c>
      <c r="AF1338" s="60">
        <v>0</v>
      </c>
      <c r="AG1338" s="60">
        <v>0</v>
      </c>
      <c r="AH1338" s="60">
        <v>0</v>
      </c>
      <c r="AI1338" s="60">
        <v>18903.88</v>
      </c>
      <c r="AJ1338" s="60">
        <v>19307.45</v>
      </c>
      <c r="AK1338" s="60">
        <v>19939.04</v>
      </c>
      <c r="AL1338" s="60">
        <v>0</v>
      </c>
      <c r="AM1338" s="60">
        <v>0</v>
      </c>
      <c r="AN1338" s="60">
        <v>0</v>
      </c>
      <c r="AO1338" s="60">
        <v>18903.88</v>
      </c>
      <c r="AP1338" s="60">
        <v>19307.45</v>
      </c>
      <c r="AQ1338" s="60">
        <v>19939.04</v>
      </c>
      <c r="AR1338" s="61">
        <v>19939.04</v>
      </c>
    </row>
    <row r="1339" spans="1:44" x14ac:dyDescent="0.35">
      <c r="A1339" s="49" t="str">
        <f t="shared" si="108"/>
        <v>43</v>
      </c>
      <c r="B1339" s="27">
        <v>69435</v>
      </c>
      <c r="C1339" s="25" t="str">
        <f t="shared" si="109"/>
        <v>0000000</v>
      </c>
      <c r="D1339" s="26" t="s">
        <v>3663</v>
      </c>
      <c r="E1339" s="25" t="s">
        <v>2777</v>
      </c>
      <c r="F1339" s="25" t="s">
        <v>2690</v>
      </c>
      <c r="G1339" s="59" t="s">
        <v>2778</v>
      </c>
      <c r="H1339" s="60">
        <v>8376.9</v>
      </c>
      <c r="I1339" s="60">
        <v>8402.42</v>
      </c>
      <c r="J1339" s="60">
        <v>8781.31</v>
      </c>
      <c r="K1339" s="60">
        <v>0</v>
      </c>
      <c r="L1339" s="60">
        <v>0</v>
      </c>
      <c r="M1339" s="60">
        <v>0</v>
      </c>
      <c r="N1339" s="60">
        <v>0</v>
      </c>
      <c r="O1339" s="60">
        <v>0</v>
      </c>
      <c r="P1339" s="60">
        <v>0</v>
      </c>
      <c r="Q1339" s="60">
        <v>0</v>
      </c>
      <c r="R1339" s="60">
        <v>0</v>
      </c>
      <c r="S1339" s="60">
        <v>0</v>
      </c>
      <c r="T1339" s="60">
        <v>0</v>
      </c>
      <c r="U1339" s="60">
        <v>0</v>
      </c>
      <c r="V1339" s="60">
        <v>0</v>
      </c>
      <c r="W1339" s="60">
        <v>0</v>
      </c>
      <c r="X1339" s="60">
        <v>0</v>
      </c>
      <c r="Y1339" s="60">
        <v>0</v>
      </c>
      <c r="Z1339" s="60">
        <v>0</v>
      </c>
      <c r="AA1339" s="60">
        <v>0</v>
      </c>
      <c r="AB1339" s="60">
        <v>0</v>
      </c>
      <c r="AC1339" s="60">
        <v>0</v>
      </c>
      <c r="AD1339" s="60">
        <v>0</v>
      </c>
      <c r="AE1339" s="60">
        <v>0</v>
      </c>
      <c r="AF1339" s="60">
        <v>0</v>
      </c>
      <c r="AG1339" s="60">
        <v>0</v>
      </c>
      <c r="AH1339" s="60">
        <v>0</v>
      </c>
      <c r="AI1339" s="60">
        <v>8376.9</v>
      </c>
      <c r="AJ1339" s="60">
        <v>8402.42</v>
      </c>
      <c r="AK1339" s="60">
        <v>8781.31</v>
      </c>
      <c r="AL1339" s="60">
        <v>0</v>
      </c>
      <c r="AM1339" s="60">
        <v>0</v>
      </c>
      <c r="AN1339" s="60">
        <v>0</v>
      </c>
      <c r="AO1339" s="60">
        <v>8376.9</v>
      </c>
      <c r="AP1339" s="60">
        <v>8402.42</v>
      </c>
      <c r="AQ1339" s="60">
        <v>8781.31</v>
      </c>
      <c r="AR1339" s="61">
        <v>8781.31</v>
      </c>
    </row>
    <row r="1340" spans="1:44" x14ac:dyDescent="0.35">
      <c r="A1340" s="49" t="str">
        <f t="shared" si="108"/>
        <v>43</v>
      </c>
      <c r="B1340" s="27">
        <v>69450</v>
      </c>
      <c r="C1340" s="25" t="str">
        <f t="shared" si="109"/>
        <v>0000000</v>
      </c>
      <c r="D1340" s="26" t="s">
        <v>3663</v>
      </c>
      <c r="E1340" s="25" t="s">
        <v>2779</v>
      </c>
      <c r="F1340" s="25" t="s">
        <v>2690</v>
      </c>
      <c r="G1340" s="59" t="s">
        <v>2780</v>
      </c>
      <c r="H1340" s="60">
        <v>5421.98</v>
      </c>
      <c r="I1340" s="60">
        <v>5487.25</v>
      </c>
      <c r="J1340" s="60">
        <v>5569.31</v>
      </c>
      <c r="K1340" s="60">
        <v>0</v>
      </c>
      <c r="L1340" s="60">
        <v>0</v>
      </c>
      <c r="M1340" s="60">
        <v>0</v>
      </c>
      <c r="N1340" s="60">
        <v>0</v>
      </c>
      <c r="O1340" s="60">
        <v>0</v>
      </c>
      <c r="P1340" s="60">
        <v>0</v>
      </c>
      <c r="Q1340" s="60">
        <v>0</v>
      </c>
      <c r="R1340" s="60">
        <v>0</v>
      </c>
      <c r="S1340" s="60">
        <v>0</v>
      </c>
      <c r="T1340" s="60">
        <v>0</v>
      </c>
      <c r="U1340" s="60">
        <v>0</v>
      </c>
      <c r="V1340" s="60">
        <v>0</v>
      </c>
      <c r="W1340" s="60">
        <v>0</v>
      </c>
      <c r="X1340" s="60">
        <v>0</v>
      </c>
      <c r="Y1340" s="60">
        <v>0</v>
      </c>
      <c r="Z1340" s="60">
        <v>0</v>
      </c>
      <c r="AA1340" s="60">
        <v>0</v>
      </c>
      <c r="AB1340" s="60">
        <v>0</v>
      </c>
      <c r="AC1340" s="60">
        <v>0</v>
      </c>
      <c r="AD1340" s="60">
        <v>0</v>
      </c>
      <c r="AE1340" s="60">
        <v>0</v>
      </c>
      <c r="AF1340" s="60">
        <v>0</v>
      </c>
      <c r="AG1340" s="60">
        <v>0</v>
      </c>
      <c r="AH1340" s="60">
        <v>0</v>
      </c>
      <c r="AI1340" s="60">
        <v>5421.98</v>
      </c>
      <c r="AJ1340" s="60">
        <v>5487.25</v>
      </c>
      <c r="AK1340" s="60">
        <v>5569.31</v>
      </c>
      <c r="AL1340" s="60">
        <v>0</v>
      </c>
      <c r="AM1340" s="60">
        <v>0</v>
      </c>
      <c r="AN1340" s="60">
        <v>0</v>
      </c>
      <c r="AO1340" s="60">
        <v>5421.98</v>
      </c>
      <c r="AP1340" s="60">
        <v>5487.25</v>
      </c>
      <c r="AQ1340" s="60">
        <v>5569.31</v>
      </c>
      <c r="AR1340" s="61">
        <v>5569.31</v>
      </c>
    </row>
    <row r="1341" spans="1:44" x14ac:dyDescent="0.35">
      <c r="A1341" s="49" t="str">
        <f t="shared" si="108"/>
        <v>43</v>
      </c>
      <c r="B1341" s="27">
        <v>73387</v>
      </c>
      <c r="C1341" s="25" t="str">
        <f t="shared" si="109"/>
        <v>0000000</v>
      </c>
      <c r="D1341" s="26" t="s">
        <v>3663</v>
      </c>
      <c r="E1341" s="25" t="s">
        <v>2844</v>
      </c>
      <c r="F1341" s="25" t="s">
        <v>2690</v>
      </c>
      <c r="G1341" s="59" t="s">
        <v>2845</v>
      </c>
      <c r="H1341" s="60">
        <v>9757.49</v>
      </c>
      <c r="I1341" s="60">
        <v>9513.4699999999993</v>
      </c>
      <c r="J1341" s="60">
        <v>9608.51</v>
      </c>
      <c r="K1341" s="60">
        <v>0</v>
      </c>
      <c r="L1341" s="60">
        <v>0</v>
      </c>
      <c r="M1341" s="60">
        <v>0</v>
      </c>
      <c r="N1341" s="60">
        <v>0</v>
      </c>
      <c r="O1341" s="60">
        <v>0</v>
      </c>
      <c r="P1341" s="60">
        <v>0</v>
      </c>
      <c r="Q1341" s="60">
        <v>0</v>
      </c>
      <c r="R1341" s="60">
        <v>0</v>
      </c>
      <c r="S1341" s="60">
        <v>0</v>
      </c>
      <c r="T1341" s="60">
        <v>0</v>
      </c>
      <c r="U1341" s="60">
        <v>0</v>
      </c>
      <c r="V1341" s="60">
        <v>0</v>
      </c>
      <c r="W1341" s="60">
        <v>0</v>
      </c>
      <c r="X1341" s="60">
        <v>0</v>
      </c>
      <c r="Y1341" s="60">
        <v>0</v>
      </c>
      <c r="Z1341" s="60">
        <v>0</v>
      </c>
      <c r="AA1341" s="60">
        <v>0</v>
      </c>
      <c r="AB1341" s="60">
        <v>0</v>
      </c>
      <c r="AC1341" s="60">
        <v>0</v>
      </c>
      <c r="AD1341" s="60">
        <v>0</v>
      </c>
      <c r="AE1341" s="60">
        <v>0</v>
      </c>
      <c r="AF1341" s="60">
        <v>0</v>
      </c>
      <c r="AG1341" s="60">
        <v>0</v>
      </c>
      <c r="AH1341" s="60">
        <v>0</v>
      </c>
      <c r="AI1341" s="60">
        <v>9757.49</v>
      </c>
      <c r="AJ1341" s="60">
        <v>9513.4699999999993</v>
      </c>
      <c r="AK1341" s="60">
        <v>9608.51</v>
      </c>
      <c r="AL1341" s="60">
        <v>0</v>
      </c>
      <c r="AM1341" s="60">
        <v>0</v>
      </c>
      <c r="AN1341" s="60">
        <v>0</v>
      </c>
      <c r="AO1341" s="60">
        <v>9757.49</v>
      </c>
      <c r="AP1341" s="60">
        <v>9513.4699999999993</v>
      </c>
      <c r="AQ1341" s="60">
        <v>9608.51</v>
      </c>
      <c r="AR1341" s="61">
        <v>9757.49</v>
      </c>
    </row>
    <row r="1342" spans="1:44" x14ac:dyDescent="0.35">
      <c r="A1342" s="49" t="str">
        <f t="shared" si="108"/>
        <v>43</v>
      </c>
      <c r="B1342" s="27">
        <v>69625</v>
      </c>
      <c r="C1342" s="25" t="str">
        <f t="shared" si="109"/>
        <v>0000000</v>
      </c>
      <c r="D1342" s="26" t="s">
        <v>3663</v>
      </c>
      <c r="E1342" s="25" t="s">
        <v>2821</v>
      </c>
      <c r="F1342" s="25" t="s">
        <v>2690</v>
      </c>
      <c r="G1342" s="59" t="s">
        <v>2822</v>
      </c>
      <c r="H1342" s="60">
        <v>8178.11</v>
      </c>
      <c r="I1342" s="60">
        <v>8066.4</v>
      </c>
      <c r="J1342" s="60">
        <v>8121</v>
      </c>
      <c r="K1342" s="60">
        <v>0</v>
      </c>
      <c r="L1342" s="60">
        <v>0</v>
      </c>
      <c r="M1342" s="60">
        <v>0</v>
      </c>
      <c r="N1342" s="60">
        <v>0</v>
      </c>
      <c r="O1342" s="60">
        <v>0</v>
      </c>
      <c r="P1342" s="60">
        <v>0</v>
      </c>
      <c r="Q1342" s="60">
        <v>0</v>
      </c>
      <c r="R1342" s="60">
        <v>0</v>
      </c>
      <c r="S1342" s="60">
        <v>0</v>
      </c>
      <c r="T1342" s="60">
        <v>0</v>
      </c>
      <c r="U1342" s="60">
        <v>0</v>
      </c>
      <c r="V1342" s="60">
        <v>0</v>
      </c>
      <c r="W1342" s="60">
        <v>0</v>
      </c>
      <c r="X1342" s="60">
        <v>0</v>
      </c>
      <c r="Y1342" s="60">
        <v>0</v>
      </c>
      <c r="Z1342" s="60">
        <v>0</v>
      </c>
      <c r="AA1342" s="60">
        <v>0</v>
      </c>
      <c r="AB1342" s="60">
        <v>0</v>
      </c>
      <c r="AC1342" s="60">
        <v>0</v>
      </c>
      <c r="AD1342" s="60">
        <v>0</v>
      </c>
      <c r="AE1342" s="60">
        <v>0</v>
      </c>
      <c r="AF1342" s="60">
        <v>0</v>
      </c>
      <c r="AG1342" s="60">
        <v>0</v>
      </c>
      <c r="AH1342" s="60">
        <v>0</v>
      </c>
      <c r="AI1342" s="60">
        <v>8178.11</v>
      </c>
      <c r="AJ1342" s="60">
        <v>8066.4</v>
      </c>
      <c r="AK1342" s="60">
        <v>8121</v>
      </c>
      <c r="AL1342" s="60">
        <v>0</v>
      </c>
      <c r="AM1342" s="60">
        <v>0</v>
      </c>
      <c r="AN1342" s="60">
        <v>0</v>
      </c>
      <c r="AO1342" s="60">
        <v>8178.11</v>
      </c>
      <c r="AP1342" s="60">
        <v>8066.4</v>
      </c>
      <c r="AQ1342" s="60">
        <v>8121</v>
      </c>
      <c r="AR1342" s="61">
        <v>8178.11</v>
      </c>
    </row>
    <row r="1343" spans="1:44" x14ac:dyDescent="0.35">
      <c r="A1343" s="49" t="str">
        <f t="shared" si="108"/>
        <v>43</v>
      </c>
      <c r="B1343" s="27">
        <v>69633</v>
      </c>
      <c r="C1343" s="25" t="str">
        <f t="shared" si="109"/>
        <v>0000000</v>
      </c>
      <c r="D1343" s="26" t="s">
        <v>3663</v>
      </c>
      <c r="E1343" s="25" t="s">
        <v>2823</v>
      </c>
      <c r="F1343" s="25" t="s">
        <v>2690</v>
      </c>
      <c r="G1343" s="59" t="s">
        <v>2824</v>
      </c>
      <c r="H1343" s="60">
        <v>722.36</v>
      </c>
      <c r="I1343" s="60">
        <v>714.72</v>
      </c>
      <c r="J1343" s="60">
        <v>695.56</v>
      </c>
      <c r="K1343" s="60">
        <v>0</v>
      </c>
      <c r="L1343" s="60">
        <v>0</v>
      </c>
      <c r="M1343" s="60">
        <v>0</v>
      </c>
      <c r="N1343" s="60">
        <v>0</v>
      </c>
      <c r="O1343" s="60">
        <v>0</v>
      </c>
      <c r="P1343" s="60">
        <v>0</v>
      </c>
      <c r="Q1343" s="60">
        <v>0</v>
      </c>
      <c r="R1343" s="60">
        <v>0</v>
      </c>
      <c r="S1343" s="60">
        <v>0</v>
      </c>
      <c r="T1343" s="60">
        <v>0</v>
      </c>
      <c r="U1343" s="60">
        <v>0</v>
      </c>
      <c r="V1343" s="60">
        <v>0</v>
      </c>
      <c r="W1343" s="60">
        <v>0</v>
      </c>
      <c r="X1343" s="60">
        <v>0</v>
      </c>
      <c r="Y1343" s="60">
        <v>0</v>
      </c>
      <c r="Z1343" s="60">
        <v>0</v>
      </c>
      <c r="AA1343" s="60">
        <v>0</v>
      </c>
      <c r="AB1343" s="60">
        <v>0</v>
      </c>
      <c r="AC1343" s="60">
        <v>0</v>
      </c>
      <c r="AD1343" s="60">
        <v>0</v>
      </c>
      <c r="AE1343" s="60">
        <v>0</v>
      </c>
      <c r="AF1343" s="60">
        <v>0</v>
      </c>
      <c r="AG1343" s="60">
        <v>0</v>
      </c>
      <c r="AH1343" s="60">
        <v>0</v>
      </c>
      <c r="AI1343" s="60">
        <v>722.36</v>
      </c>
      <c r="AJ1343" s="60">
        <v>714.72</v>
      </c>
      <c r="AK1343" s="60">
        <v>695.56</v>
      </c>
      <c r="AL1343" s="60">
        <v>0</v>
      </c>
      <c r="AM1343" s="60">
        <v>0</v>
      </c>
      <c r="AN1343" s="60">
        <v>0</v>
      </c>
      <c r="AO1343" s="60">
        <v>722.36</v>
      </c>
      <c r="AP1343" s="60">
        <v>714.72</v>
      </c>
      <c r="AQ1343" s="60">
        <v>695.56</v>
      </c>
      <c r="AR1343" s="61">
        <v>722.36</v>
      </c>
    </row>
    <row r="1344" spans="1:44" x14ac:dyDescent="0.35">
      <c r="A1344" s="49" t="str">
        <f t="shared" si="108"/>
        <v>43</v>
      </c>
      <c r="B1344" s="27">
        <v>10439</v>
      </c>
      <c r="C1344" s="25" t="str">
        <f t="shared" si="109"/>
        <v>0000000</v>
      </c>
      <c r="D1344" s="26" t="s">
        <v>3663</v>
      </c>
      <c r="E1344" s="25" t="s">
        <v>2691</v>
      </c>
      <c r="F1344" s="25" t="s">
        <v>2690</v>
      </c>
      <c r="G1344" s="59" t="s">
        <v>2692</v>
      </c>
      <c r="H1344" s="60">
        <v>0</v>
      </c>
      <c r="I1344" s="60">
        <v>0</v>
      </c>
      <c r="J1344" s="60">
        <v>0</v>
      </c>
      <c r="K1344" s="60">
        <v>0</v>
      </c>
      <c r="L1344" s="60">
        <v>0</v>
      </c>
      <c r="M1344" s="60">
        <v>0</v>
      </c>
      <c r="N1344" s="60">
        <v>0</v>
      </c>
      <c r="O1344" s="60">
        <v>0</v>
      </c>
      <c r="P1344" s="60">
        <v>0</v>
      </c>
      <c r="Q1344" s="60">
        <v>0</v>
      </c>
      <c r="R1344" s="60">
        <v>0</v>
      </c>
      <c r="S1344" s="60">
        <v>0</v>
      </c>
      <c r="T1344" s="60">
        <v>161.88999999999999</v>
      </c>
      <c r="U1344" s="60">
        <v>153.44</v>
      </c>
      <c r="V1344" s="60">
        <v>117.8</v>
      </c>
      <c r="W1344" s="60">
        <v>704.14</v>
      </c>
      <c r="X1344" s="60">
        <v>709.39</v>
      </c>
      <c r="Y1344" s="60">
        <v>633.13</v>
      </c>
      <c r="Z1344" s="60">
        <v>0</v>
      </c>
      <c r="AA1344" s="60">
        <v>0</v>
      </c>
      <c r="AB1344" s="60">
        <v>0</v>
      </c>
      <c r="AC1344" s="60">
        <v>417.97</v>
      </c>
      <c r="AD1344" s="60">
        <v>471.73</v>
      </c>
      <c r="AE1344" s="60">
        <v>491.03</v>
      </c>
      <c r="AF1344" s="60">
        <v>0</v>
      </c>
      <c r="AG1344" s="60">
        <v>0</v>
      </c>
      <c r="AH1344" s="60">
        <v>0</v>
      </c>
      <c r="AI1344" s="60">
        <v>1284</v>
      </c>
      <c r="AJ1344" s="60">
        <v>1334.56</v>
      </c>
      <c r="AK1344" s="60">
        <v>1241.96</v>
      </c>
      <c r="AL1344" s="60">
        <v>0</v>
      </c>
      <c r="AM1344" s="60">
        <v>0</v>
      </c>
      <c r="AN1344" s="60">
        <v>0</v>
      </c>
      <c r="AO1344" s="60">
        <v>1284</v>
      </c>
      <c r="AP1344" s="60">
        <v>1334.56</v>
      </c>
      <c r="AQ1344" s="60">
        <v>1241.96</v>
      </c>
      <c r="AR1344" s="61">
        <v>1334.56</v>
      </c>
    </row>
    <row r="1345" spans="1:44" x14ac:dyDescent="0.35">
      <c r="A1345" s="49" t="str">
        <f t="shared" si="108"/>
        <v>43</v>
      </c>
      <c r="B1345" s="27">
        <v>69484</v>
      </c>
      <c r="C1345" s="25" t="str">
        <f t="shared" si="109"/>
        <v>0000000</v>
      </c>
      <c r="D1345" s="26" t="s">
        <v>3663</v>
      </c>
      <c r="E1345" s="25" t="s">
        <v>2794</v>
      </c>
      <c r="F1345" s="25" t="s">
        <v>2690</v>
      </c>
      <c r="G1345" s="59" t="s">
        <v>2795</v>
      </c>
      <c r="H1345" s="60">
        <v>9522.7900000000009</v>
      </c>
      <c r="I1345" s="60">
        <v>9492.4699999999993</v>
      </c>
      <c r="J1345" s="60">
        <v>9622.0300000000007</v>
      </c>
      <c r="K1345" s="60">
        <v>0</v>
      </c>
      <c r="L1345" s="60">
        <v>0</v>
      </c>
      <c r="M1345" s="60">
        <v>0</v>
      </c>
      <c r="N1345" s="60">
        <v>0</v>
      </c>
      <c r="O1345" s="60">
        <v>0</v>
      </c>
      <c r="P1345" s="60">
        <v>0</v>
      </c>
      <c r="Q1345" s="60">
        <v>0</v>
      </c>
      <c r="R1345" s="60">
        <v>0</v>
      </c>
      <c r="S1345" s="60">
        <v>0</v>
      </c>
      <c r="T1345" s="60">
        <v>0</v>
      </c>
      <c r="U1345" s="60">
        <v>0</v>
      </c>
      <c r="V1345" s="60">
        <v>0</v>
      </c>
      <c r="W1345" s="60">
        <v>0</v>
      </c>
      <c r="X1345" s="60">
        <v>0</v>
      </c>
      <c r="Y1345" s="60">
        <v>0</v>
      </c>
      <c r="Z1345" s="60">
        <v>0</v>
      </c>
      <c r="AA1345" s="60">
        <v>0</v>
      </c>
      <c r="AB1345" s="60">
        <v>0</v>
      </c>
      <c r="AC1345" s="60">
        <v>0</v>
      </c>
      <c r="AD1345" s="60">
        <v>0</v>
      </c>
      <c r="AE1345" s="60">
        <v>0</v>
      </c>
      <c r="AF1345" s="60">
        <v>0</v>
      </c>
      <c r="AG1345" s="60">
        <v>0</v>
      </c>
      <c r="AH1345" s="60">
        <v>0</v>
      </c>
      <c r="AI1345" s="60">
        <v>9522.7900000000009</v>
      </c>
      <c r="AJ1345" s="60">
        <v>9492.4699999999993</v>
      </c>
      <c r="AK1345" s="60">
        <v>9622.0300000000007</v>
      </c>
      <c r="AL1345" s="60">
        <v>0</v>
      </c>
      <c r="AM1345" s="60">
        <v>0</v>
      </c>
      <c r="AN1345" s="60">
        <v>0</v>
      </c>
      <c r="AO1345" s="60">
        <v>9522.7900000000009</v>
      </c>
      <c r="AP1345" s="60">
        <v>9492.4699999999993</v>
      </c>
      <c r="AQ1345" s="60">
        <v>9622.0300000000007</v>
      </c>
      <c r="AR1345" s="61">
        <v>9622.0300000000007</v>
      </c>
    </row>
    <row r="1346" spans="1:44" x14ac:dyDescent="0.35">
      <c r="A1346" s="49" t="str">
        <f t="shared" si="108"/>
        <v>43</v>
      </c>
      <c r="B1346" s="27">
        <v>69583</v>
      </c>
      <c r="C1346" s="25" t="str">
        <f t="shared" si="109"/>
        <v>0000000</v>
      </c>
      <c r="D1346" s="26" t="s">
        <v>3663</v>
      </c>
      <c r="E1346" s="25" t="s">
        <v>2812</v>
      </c>
      <c r="F1346" s="25" t="s">
        <v>2690</v>
      </c>
      <c r="G1346" s="59" t="s">
        <v>2813</v>
      </c>
      <c r="H1346" s="60">
        <v>7365.03</v>
      </c>
      <c r="I1346" s="60">
        <v>7467.14</v>
      </c>
      <c r="J1346" s="60">
        <v>7337.83</v>
      </c>
      <c r="K1346" s="60">
        <v>0</v>
      </c>
      <c r="L1346" s="60">
        <v>0</v>
      </c>
      <c r="M1346" s="60">
        <v>0</v>
      </c>
      <c r="N1346" s="60">
        <v>0</v>
      </c>
      <c r="O1346" s="60">
        <v>0</v>
      </c>
      <c r="P1346" s="60">
        <v>0</v>
      </c>
      <c r="Q1346" s="60">
        <v>0</v>
      </c>
      <c r="R1346" s="60">
        <v>0</v>
      </c>
      <c r="S1346" s="60">
        <v>0</v>
      </c>
      <c r="T1346" s="60">
        <v>0</v>
      </c>
      <c r="U1346" s="60">
        <v>0</v>
      </c>
      <c r="V1346" s="60">
        <v>0</v>
      </c>
      <c r="W1346" s="60">
        <v>0</v>
      </c>
      <c r="X1346" s="60">
        <v>0</v>
      </c>
      <c r="Y1346" s="60">
        <v>0</v>
      </c>
      <c r="Z1346" s="60">
        <v>0</v>
      </c>
      <c r="AA1346" s="60">
        <v>0</v>
      </c>
      <c r="AB1346" s="60">
        <v>0</v>
      </c>
      <c r="AC1346" s="60">
        <v>0</v>
      </c>
      <c r="AD1346" s="60">
        <v>0</v>
      </c>
      <c r="AE1346" s="60">
        <v>0</v>
      </c>
      <c r="AF1346" s="60">
        <v>0</v>
      </c>
      <c r="AG1346" s="60">
        <v>0</v>
      </c>
      <c r="AH1346" s="60">
        <v>0</v>
      </c>
      <c r="AI1346" s="60">
        <v>7365.03</v>
      </c>
      <c r="AJ1346" s="60">
        <v>7467.14</v>
      </c>
      <c r="AK1346" s="60">
        <v>7337.83</v>
      </c>
      <c r="AL1346" s="60">
        <v>0</v>
      </c>
      <c r="AM1346" s="60">
        <v>0</v>
      </c>
      <c r="AN1346" s="60">
        <v>0</v>
      </c>
      <c r="AO1346" s="60">
        <v>7365.03</v>
      </c>
      <c r="AP1346" s="60">
        <v>7467.14</v>
      </c>
      <c r="AQ1346" s="60">
        <v>7337.83</v>
      </c>
      <c r="AR1346" s="61">
        <v>7467.14</v>
      </c>
    </row>
    <row r="1347" spans="1:44" x14ac:dyDescent="0.35">
      <c r="A1347" s="49" t="str">
        <f t="shared" si="108"/>
        <v>43</v>
      </c>
      <c r="B1347" s="27">
        <v>10439</v>
      </c>
      <c r="C1347" s="25" t="str">
        <f t="shared" si="109"/>
        <v>0000000</v>
      </c>
      <c r="D1347" s="26" t="s">
        <v>3663</v>
      </c>
      <c r="E1347" s="25" t="s">
        <v>2693</v>
      </c>
      <c r="F1347" s="25" t="s">
        <v>2694</v>
      </c>
      <c r="G1347" s="59" t="s">
        <v>2694</v>
      </c>
      <c r="H1347" s="60">
        <v>0</v>
      </c>
      <c r="I1347" s="60">
        <v>0</v>
      </c>
      <c r="J1347" s="60">
        <v>0</v>
      </c>
      <c r="K1347" s="60">
        <v>0</v>
      </c>
      <c r="L1347" s="60">
        <v>0</v>
      </c>
      <c r="M1347" s="60">
        <v>0</v>
      </c>
      <c r="N1347" s="60">
        <v>0</v>
      </c>
      <c r="O1347" s="60">
        <v>0</v>
      </c>
      <c r="P1347" s="60">
        <v>0</v>
      </c>
      <c r="Q1347" s="60">
        <v>0</v>
      </c>
      <c r="R1347" s="60">
        <v>0</v>
      </c>
      <c r="S1347" s="60">
        <v>0</v>
      </c>
      <c r="T1347" s="60">
        <v>3.56</v>
      </c>
      <c r="U1347" s="60">
        <v>3.19</v>
      </c>
      <c r="V1347" s="60">
        <v>2.35</v>
      </c>
      <c r="W1347" s="60">
        <v>27.86</v>
      </c>
      <c r="X1347" s="60">
        <v>27.47</v>
      </c>
      <c r="Y1347" s="60">
        <v>28</v>
      </c>
      <c r="Z1347" s="60">
        <v>0</v>
      </c>
      <c r="AA1347" s="60">
        <v>0</v>
      </c>
      <c r="AB1347" s="60">
        <v>0</v>
      </c>
      <c r="AC1347" s="60">
        <v>0</v>
      </c>
      <c r="AD1347" s="60">
        <v>0</v>
      </c>
      <c r="AE1347" s="60">
        <v>0</v>
      </c>
      <c r="AF1347" s="60">
        <v>0</v>
      </c>
      <c r="AG1347" s="60">
        <v>0</v>
      </c>
      <c r="AH1347" s="60">
        <v>0</v>
      </c>
      <c r="AI1347" s="60">
        <v>31.42</v>
      </c>
      <c r="AJ1347" s="60">
        <v>30.66</v>
      </c>
      <c r="AK1347" s="60">
        <v>30.35</v>
      </c>
      <c r="AL1347" s="60">
        <v>0</v>
      </c>
      <c r="AM1347" s="60">
        <v>0</v>
      </c>
      <c r="AN1347" s="60">
        <v>0</v>
      </c>
      <c r="AO1347" s="60">
        <v>31.42</v>
      </c>
      <c r="AP1347" s="60">
        <v>30.66</v>
      </c>
      <c r="AQ1347" s="60">
        <v>30.35</v>
      </c>
      <c r="AR1347" s="61">
        <v>31.42</v>
      </c>
    </row>
    <row r="1348" spans="1:44" x14ac:dyDescent="0.35">
      <c r="A1348" s="49" t="str">
        <f t="shared" si="108"/>
        <v>43</v>
      </c>
      <c r="B1348" s="27">
        <v>69674</v>
      </c>
      <c r="C1348" s="25" t="str">
        <f t="shared" si="109"/>
        <v>0000000</v>
      </c>
      <c r="D1348" s="26" t="s">
        <v>3663</v>
      </c>
      <c r="E1348" s="25" t="s">
        <v>2836</v>
      </c>
      <c r="F1348" s="25" t="s">
        <v>2694</v>
      </c>
      <c r="G1348" s="59" t="s">
        <v>2837</v>
      </c>
      <c r="H1348" s="60">
        <v>13456.14</v>
      </c>
      <c r="I1348" s="60">
        <v>13036.48</v>
      </c>
      <c r="J1348" s="60">
        <v>13041.87</v>
      </c>
      <c r="K1348" s="60">
        <v>0</v>
      </c>
      <c r="L1348" s="60">
        <v>0</v>
      </c>
      <c r="M1348" s="60">
        <v>0</v>
      </c>
      <c r="N1348" s="60">
        <v>0</v>
      </c>
      <c r="O1348" s="60">
        <v>0</v>
      </c>
      <c r="P1348" s="60">
        <v>0</v>
      </c>
      <c r="Q1348" s="60">
        <v>0</v>
      </c>
      <c r="R1348" s="60">
        <v>0</v>
      </c>
      <c r="S1348" s="60">
        <v>0</v>
      </c>
      <c r="T1348" s="60">
        <v>0</v>
      </c>
      <c r="U1348" s="60">
        <v>0</v>
      </c>
      <c r="V1348" s="60">
        <v>0</v>
      </c>
      <c r="W1348" s="60">
        <v>0</v>
      </c>
      <c r="X1348" s="60">
        <v>0</v>
      </c>
      <c r="Y1348" s="60">
        <v>0</v>
      </c>
      <c r="Z1348" s="60">
        <v>0</v>
      </c>
      <c r="AA1348" s="60">
        <v>0</v>
      </c>
      <c r="AB1348" s="60">
        <v>0</v>
      </c>
      <c r="AC1348" s="60">
        <v>0</v>
      </c>
      <c r="AD1348" s="60">
        <v>0</v>
      </c>
      <c r="AE1348" s="60">
        <v>0</v>
      </c>
      <c r="AF1348" s="60">
        <v>0</v>
      </c>
      <c r="AG1348" s="60">
        <v>0</v>
      </c>
      <c r="AH1348" s="60">
        <v>0</v>
      </c>
      <c r="AI1348" s="60">
        <v>13456.14</v>
      </c>
      <c r="AJ1348" s="60">
        <v>13036.48</v>
      </c>
      <c r="AK1348" s="60">
        <v>13041.87</v>
      </c>
      <c r="AL1348" s="60">
        <v>0</v>
      </c>
      <c r="AM1348" s="60">
        <v>0</v>
      </c>
      <c r="AN1348" s="60">
        <v>0</v>
      </c>
      <c r="AO1348" s="60">
        <v>13456.14</v>
      </c>
      <c r="AP1348" s="60">
        <v>13036.48</v>
      </c>
      <c r="AQ1348" s="60">
        <v>13041.87</v>
      </c>
      <c r="AR1348" s="61">
        <v>13456.14</v>
      </c>
    </row>
    <row r="1349" spans="1:44" x14ac:dyDescent="0.35">
      <c r="A1349" s="49" t="str">
        <f t="shared" si="108"/>
        <v>43</v>
      </c>
      <c r="B1349" s="27">
        <v>10439</v>
      </c>
      <c r="C1349" s="25" t="str">
        <f t="shared" si="109"/>
        <v>0000000</v>
      </c>
      <c r="D1349" s="26" t="s">
        <v>3663</v>
      </c>
      <c r="E1349" s="25" t="s">
        <v>2695</v>
      </c>
      <c r="F1349" s="25" t="s">
        <v>2696</v>
      </c>
      <c r="G1349" s="59" t="s">
        <v>2696</v>
      </c>
      <c r="H1349" s="60">
        <v>0</v>
      </c>
      <c r="I1349" s="60">
        <v>0</v>
      </c>
      <c r="J1349" s="60">
        <v>0</v>
      </c>
      <c r="K1349" s="60">
        <v>0</v>
      </c>
      <c r="L1349" s="60">
        <v>0</v>
      </c>
      <c r="M1349" s="60">
        <v>0</v>
      </c>
      <c r="N1349" s="60">
        <v>0</v>
      </c>
      <c r="O1349" s="60">
        <v>0</v>
      </c>
      <c r="P1349" s="60">
        <v>0</v>
      </c>
      <c r="Q1349" s="60">
        <v>0</v>
      </c>
      <c r="R1349" s="60">
        <v>0</v>
      </c>
      <c r="S1349" s="60">
        <v>0</v>
      </c>
      <c r="T1349" s="60">
        <v>12.44</v>
      </c>
      <c r="U1349" s="60">
        <v>11.15</v>
      </c>
      <c r="V1349" s="60">
        <v>8.24</v>
      </c>
      <c r="W1349" s="60">
        <v>0.2</v>
      </c>
      <c r="X1349" s="60">
        <v>1.89</v>
      </c>
      <c r="Y1349" s="60">
        <v>3.57</v>
      </c>
      <c r="Z1349" s="60">
        <v>0</v>
      </c>
      <c r="AA1349" s="60">
        <v>0</v>
      </c>
      <c r="AB1349" s="60">
        <v>0</v>
      </c>
      <c r="AC1349" s="60">
        <v>986.03</v>
      </c>
      <c r="AD1349" s="60">
        <v>1017.23</v>
      </c>
      <c r="AE1349" s="60">
        <v>1030.04</v>
      </c>
      <c r="AF1349" s="60">
        <v>0</v>
      </c>
      <c r="AG1349" s="60">
        <v>0</v>
      </c>
      <c r="AH1349" s="60">
        <v>0</v>
      </c>
      <c r="AI1349" s="60">
        <v>998.67</v>
      </c>
      <c r="AJ1349" s="60">
        <v>1030.27</v>
      </c>
      <c r="AK1349" s="60">
        <v>1041.8499999999999</v>
      </c>
      <c r="AL1349" s="60">
        <v>0</v>
      </c>
      <c r="AM1349" s="60">
        <v>0</v>
      </c>
      <c r="AN1349" s="60">
        <v>0</v>
      </c>
      <c r="AO1349" s="60">
        <v>998.67</v>
      </c>
      <c r="AP1349" s="60">
        <v>1030.27</v>
      </c>
      <c r="AQ1349" s="60">
        <v>1041.8499999999999</v>
      </c>
      <c r="AR1349" s="61">
        <v>1041.8499999999999</v>
      </c>
    </row>
    <row r="1350" spans="1:44" x14ac:dyDescent="0.35">
      <c r="A1350" s="49" t="str">
        <f t="shared" si="108"/>
        <v>43</v>
      </c>
      <c r="B1350" s="27">
        <v>69518</v>
      </c>
      <c r="C1350" s="25" t="str">
        <f t="shared" si="109"/>
        <v>0000000</v>
      </c>
      <c r="D1350" s="26" t="s">
        <v>3663</v>
      </c>
      <c r="E1350" s="25" t="s">
        <v>2802</v>
      </c>
      <c r="F1350" s="25" t="s">
        <v>2696</v>
      </c>
      <c r="G1350" s="59" t="s">
        <v>2803</v>
      </c>
      <c r="H1350" s="60">
        <v>3221.2</v>
      </c>
      <c r="I1350" s="60">
        <v>3201.1</v>
      </c>
      <c r="J1350" s="60">
        <v>3278.89</v>
      </c>
      <c r="K1350" s="60">
        <v>0</v>
      </c>
      <c r="L1350" s="60">
        <v>0</v>
      </c>
      <c r="M1350" s="60">
        <v>0</v>
      </c>
      <c r="N1350" s="60">
        <v>0</v>
      </c>
      <c r="O1350" s="60">
        <v>0</v>
      </c>
      <c r="P1350" s="60">
        <v>0</v>
      </c>
      <c r="Q1350" s="60">
        <v>0</v>
      </c>
      <c r="R1350" s="60">
        <v>0</v>
      </c>
      <c r="S1350" s="60">
        <v>0</v>
      </c>
      <c r="T1350" s="60">
        <v>0</v>
      </c>
      <c r="U1350" s="60">
        <v>0</v>
      </c>
      <c r="V1350" s="60">
        <v>0</v>
      </c>
      <c r="W1350" s="60">
        <v>0</v>
      </c>
      <c r="X1350" s="60">
        <v>0</v>
      </c>
      <c r="Y1350" s="60">
        <v>0</v>
      </c>
      <c r="Z1350" s="60">
        <v>0</v>
      </c>
      <c r="AA1350" s="60">
        <v>0</v>
      </c>
      <c r="AB1350" s="60">
        <v>0</v>
      </c>
      <c r="AC1350" s="60">
        <v>0</v>
      </c>
      <c r="AD1350" s="60">
        <v>0</v>
      </c>
      <c r="AE1350" s="60">
        <v>0</v>
      </c>
      <c r="AF1350" s="60">
        <v>0</v>
      </c>
      <c r="AG1350" s="60">
        <v>0</v>
      </c>
      <c r="AH1350" s="60">
        <v>0</v>
      </c>
      <c r="AI1350" s="60">
        <v>3221.2</v>
      </c>
      <c r="AJ1350" s="60">
        <v>3201.1</v>
      </c>
      <c r="AK1350" s="60">
        <v>3278.89</v>
      </c>
      <c r="AL1350" s="60">
        <v>0</v>
      </c>
      <c r="AM1350" s="60">
        <v>0</v>
      </c>
      <c r="AN1350" s="60">
        <v>0</v>
      </c>
      <c r="AO1350" s="60">
        <v>3221.2</v>
      </c>
      <c r="AP1350" s="60">
        <v>3201.1</v>
      </c>
      <c r="AQ1350" s="60">
        <v>3278.89</v>
      </c>
      <c r="AR1350" s="61">
        <v>3278.89</v>
      </c>
    </row>
    <row r="1351" spans="1:44" x14ac:dyDescent="0.35">
      <c r="A1351" s="49" t="str">
        <f t="shared" si="108"/>
        <v>43</v>
      </c>
      <c r="B1351" s="27">
        <v>69641</v>
      </c>
      <c r="C1351" s="25" t="str">
        <f t="shared" si="109"/>
        <v>0000000</v>
      </c>
      <c r="D1351" s="26" t="s">
        <v>3663</v>
      </c>
      <c r="E1351" s="25" t="s">
        <v>2825</v>
      </c>
      <c r="F1351" s="25" t="s">
        <v>2696</v>
      </c>
      <c r="G1351" s="59" t="s">
        <v>2826</v>
      </c>
      <c r="H1351" s="60">
        <v>9276.8700000000008</v>
      </c>
      <c r="I1351" s="60">
        <v>9285.52</v>
      </c>
      <c r="J1351" s="60">
        <v>9411.06</v>
      </c>
      <c r="K1351" s="60">
        <v>0</v>
      </c>
      <c r="L1351" s="60">
        <v>0</v>
      </c>
      <c r="M1351" s="60">
        <v>0</v>
      </c>
      <c r="N1351" s="60">
        <v>498.29</v>
      </c>
      <c r="O1351" s="60">
        <v>456.63</v>
      </c>
      <c r="P1351" s="60">
        <v>424.78</v>
      </c>
      <c r="Q1351" s="60">
        <v>0</v>
      </c>
      <c r="R1351" s="60">
        <v>0</v>
      </c>
      <c r="S1351" s="60">
        <v>0</v>
      </c>
      <c r="T1351" s="60">
        <v>0</v>
      </c>
      <c r="U1351" s="60">
        <v>0</v>
      </c>
      <c r="V1351" s="60">
        <v>0</v>
      </c>
      <c r="W1351" s="60">
        <v>0</v>
      </c>
      <c r="X1351" s="60">
        <v>0</v>
      </c>
      <c r="Y1351" s="60">
        <v>0</v>
      </c>
      <c r="Z1351" s="60">
        <v>0</v>
      </c>
      <c r="AA1351" s="60">
        <v>0</v>
      </c>
      <c r="AB1351" s="60">
        <v>0</v>
      </c>
      <c r="AC1351" s="60">
        <v>0</v>
      </c>
      <c r="AD1351" s="60">
        <v>0</v>
      </c>
      <c r="AE1351" s="60">
        <v>0</v>
      </c>
      <c r="AF1351" s="60">
        <v>0</v>
      </c>
      <c r="AG1351" s="60">
        <v>0</v>
      </c>
      <c r="AH1351" s="60">
        <v>0</v>
      </c>
      <c r="AI1351" s="60">
        <v>9775.16</v>
      </c>
      <c r="AJ1351" s="60">
        <v>9742.15</v>
      </c>
      <c r="AK1351" s="60">
        <v>9835.84</v>
      </c>
      <c r="AL1351" s="60">
        <v>0</v>
      </c>
      <c r="AM1351" s="60">
        <v>0</v>
      </c>
      <c r="AN1351" s="60">
        <v>0</v>
      </c>
      <c r="AO1351" s="60">
        <v>9775.16</v>
      </c>
      <c r="AP1351" s="60">
        <v>9742.15</v>
      </c>
      <c r="AQ1351" s="60">
        <v>9835.84</v>
      </c>
      <c r="AR1351" s="61">
        <v>9835.84</v>
      </c>
    </row>
    <row r="1352" spans="1:44" x14ac:dyDescent="0.35">
      <c r="A1352" s="49" t="str">
        <f t="shared" si="108"/>
        <v>43</v>
      </c>
      <c r="B1352" s="27">
        <v>69609</v>
      </c>
      <c r="C1352" s="25" t="str">
        <f t="shared" si="109"/>
        <v>0000000</v>
      </c>
      <c r="D1352" s="26" t="s">
        <v>3663</v>
      </c>
      <c r="E1352" s="25" t="s">
        <v>2819</v>
      </c>
      <c r="F1352" s="25" t="s">
        <v>2696</v>
      </c>
      <c r="G1352" s="59" t="s">
        <v>2820</v>
      </c>
      <c r="H1352" s="60">
        <v>4047.81</v>
      </c>
      <c r="I1352" s="60">
        <v>4066.63</v>
      </c>
      <c r="J1352" s="60">
        <v>4154.26</v>
      </c>
      <c r="K1352" s="60">
        <v>0</v>
      </c>
      <c r="L1352" s="60">
        <v>0</v>
      </c>
      <c r="M1352" s="60">
        <v>0</v>
      </c>
      <c r="N1352" s="60">
        <v>0</v>
      </c>
      <c r="O1352" s="60">
        <v>0</v>
      </c>
      <c r="P1352" s="60">
        <v>0</v>
      </c>
      <c r="Q1352" s="60">
        <v>0</v>
      </c>
      <c r="R1352" s="60">
        <v>0</v>
      </c>
      <c r="S1352" s="60">
        <v>0</v>
      </c>
      <c r="T1352" s="60">
        <v>0</v>
      </c>
      <c r="U1352" s="60">
        <v>0</v>
      </c>
      <c r="V1352" s="60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0</v>
      </c>
      <c r="AD1352" s="60">
        <v>0</v>
      </c>
      <c r="AE1352" s="60">
        <v>0</v>
      </c>
      <c r="AF1352" s="60">
        <v>0</v>
      </c>
      <c r="AG1352" s="60">
        <v>0</v>
      </c>
      <c r="AH1352" s="60">
        <v>0</v>
      </c>
      <c r="AI1352" s="60">
        <v>4047.81</v>
      </c>
      <c r="AJ1352" s="60">
        <v>4066.63</v>
      </c>
      <c r="AK1352" s="60">
        <v>4154.26</v>
      </c>
      <c r="AL1352" s="60">
        <v>0</v>
      </c>
      <c r="AM1352" s="60">
        <v>0</v>
      </c>
      <c r="AN1352" s="60">
        <v>0</v>
      </c>
      <c r="AO1352" s="60">
        <v>4047.81</v>
      </c>
      <c r="AP1352" s="60">
        <v>4066.63</v>
      </c>
      <c r="AQ1352" s="60">
        <v>4154.26</v>
      </c>
      <c r="AR1352" s="61">
        <v>4154.26</v>
      </c>
    </row>
    <row r="1353" spans="1:44" x14ac:dyDescent="0.35">
      <c r="A1353" s="49" t="str">
        <f t="shared" si="108"/>
        <v>43</v>
      </c>
      <c r="B1353" s="27">
        <v>69591</v>
      </c>
      <c r="C1353" s="25" t="str">
        <f t="shared" si="109"/>
        <v>0000000</v>
      </c>
      <c r="D1353" s="26" t="s">
        <v>3663</v>
      </c>
      <c r="E1353" s="25" t="s">
        <v>2817</v>
      </c>
      <c r="F1353" s="25" t="s">
        <v>2696</v>
      </c>
      <c r="G1353" s="59" t="s">
        <v>2818</v>
      </c>
      <c r="H1353" s="60">
        <v>4361.57</v>
      </c>
      <c r="I1353" s="60">
        <v>4264.67</v>
      </c>
      <c r="J1353" s="60">
        <v>4251.83</v>
      </c>
      <c r="K1353" s="60">
        <v>0</v>
      </c>
      <c r="L1353" s="60">
        <v>0</v>
      </c>
      <c r="M1353" s="60">
        <v>0</v>
      </c>
      <c r="N1353" s="60">
        <v>0</v>
      </c>
      <c r="O1353" s="60">
        <v>0</v>
      </c>
      <c r="P1353" s="60">
        <v>0</v>
      </c>
      <c r="Q1353" s="60">
        <v>0</v>
      </c>
      <c r="R1353" s="60">
        <v>0</v>
      </c>
      <c r="S1353" s="60">
        <v>0</v>
      </c>
      <c r="T1353" s="60">
        <v>0</v>
      </c>
      <c r="U1353" s="60">
        <v>0</v>
      </c>
      <c r="V1353" s="60">
        <v>0</v>
      </c>
      <c r="W1353" s="60">
        <v>0</v>
      </c>
      <c r="X1353" s="60">
        <v>0</v>
      </c>
      <c r="Y1353" s="60">
        <v>0</v>
      </c>
      <c r="Z1353" s="60">
        <v>0</v>
      </c>
      <c r="AA1353" s="60">
        <v>0</v>
      </c>
      <c r="AB1353" s="60">
        <v>0</v>
      </c>
      <c r="AC1353" s="60">
        <v>0</v>
      </c>
      <c r="AD1353" s="60">
        <v>0</v>
      </c>
      <c r="AE1353" s="60">
        <v>0</v>
      </c>
      <c r="AF1353" s="60">
        <v>0</v>
      </c>
      <c r="AG1353" s="60">
        <v>0</v>
      </c>
      <c r="AH1353" s="60">
        <v>0</v>
      </c>
      <c r="AI1353" s="60">
        <v>4361.57</v>
      </c>
      <c r="AJ1353" s="60">
        <v>4264.67</v>
      </c>
      <c r="AK1353" s="60">
        <v>4251.83</v>
      </c>
      <c r="AL1353" s="60">
        <v>0</v>
      </c>
      <c r="AM1353" s="60">
        <v>0</v>
      </c>
      <c r="AN1353" s="60">
        <v>0</v>
      </c>
      <c r="AO1353" s="60">
        <v>4361.57</v>
      </c>
      <c r="AP1353" s="60">
        <v>4264.67</v>
      </c>
      <c r="AQ1353" s="60">
        <v>4251.83</v>
      </c>
      <c r="AR1353" s="61">
        <v>4361.57</v>
      </c>
    </row>
    <row r="1354" spans="1:44" x14ac:dyDescent="0.35">
      <c r="A1354" s="49" t="str">
        <f t="shared" ref="A1354:A1368" si="110">TEXT(29,"00")</f>
        <v>29</v>
      </c>
      <c r="B1354" s="27">
        <v>10298</v>
      </c>
      <c r="C1354" s="25" t="str">
        <f t="shared" si="109"/>
        <v>0000000</v>
      </c>
      <c r="D1354" s="26" t="s">
        <v>3663</v>
      </c>
      <c r="E1354" s="25" t="s">
        <v>1457</v>
      </c>
      <c r="F1354" s="25" t="s">
        <v>1458</v>
      </c>
      <c r="G1354" s="59" t="s">
        <v>1458</v>
      </c>
      <c r="H1354" s="60">
        <v>0</v>
      </c>
      <c r="I1354" s="60">
        <v>0</v>
      </c>
      <c r="J1354" s="60">
        <v>0</v>
      </c>
      <c r="K1354" s="60">
        <v>0</v>
      </c>
      <c r="L1354" s="60">
        <v>0</v>
      </c>
      <c r="M1354" s="60">
        <v>0</v>
      </c>
      <c r="N1354" s="60">
        <v>0</v>
      </c>
      <c r="O1354" s="60">
        <v>0</v>
      </c>
      <c r="P1354" s="60">
        <v>0</v>
      </c>
      <c r="Q1354" s="60">
        <v>0</v>
      </c>
      <c r="R1354" s="60">
        <v>0</v>
      </c>
      <c r="S1354" s="60">
        <v>0</v>
      </c>
      <c r="T1354" s="60">
        <v>5.79</v>
      </c>
      <c r="U1354" s="60">
        <v>7.38</v>
      </c>
      <c r="V1354" s="60">
        <v>5.36</v>
      </c>
      <c r="W1354" s="60">
        <v>60.23</v>
      </c>
      <c r="X1354" s="60">
        <v>55.41</v>
      </c>
      <c r="Y1354" s="60">
        <v>44.14</v>
      </c>
      <c r="Z1354" s="60">
        <v>455.24</v>
      </c>
      <c r="AA1354" s="60">
        <v>328.16</v>
      </c>
      <c r="AB1354" s="60">
        <v>337.83</v>
      </c>
      <c r="AC1354" s="60">
        <v>0</v>
      </c>
      <c r="AD1354" s="60">
        <v>0</v>
      </c>
      <c r="AE1354" s="60">
        <v>0</v>
      </c>
      <c r="AF1354" s="60">
        <v>0</v>
      </c>
      <c r="AG1354" s="60">
        <v>0</v>
      </c>
      <c r="AH1354" s="60">
        <v>0</v>
      </c>
      <c r="AI1354" s="60">
        <v>521.26</v>
      </c>
      <c r="AJ1354" s="60">
        <v>390.95</v>
      </c>
      <c r="AK1354" s="60">
        <v>387.33</v>
      </c>
      <c r="AL1354" s="60">
        <v>0</v>
      </c>
      <c r="AM1354" s="60">
        <v>0</v>
      </c>
      <c r="AN1354" s="60">
        <v>0</v>
      </c>
      <c r="AO1354" s="60">
        <v>521.26</v>
      </c>
      <c r="AP1354" s="60">
        <v>390.95</v>
      </c>
      <c r="AQ1354" s="60">
        <v>387.33</v>
      </c>
      <c r="AR1354" s="61">
        <v>521.26</v>
      </c>
    </row>
    <row r="1355" spans="1:44" x14ac:dyDescent="0.35">
      <c r="A1355" s="49" t="str">
        <f t="shared" si="110"/>
        <v>29</v>
      </c>
      <c r="B1355" s="27">
        <v>66332</v>
      </c>
      <c r="C1355" s="25" t="str">
        <f t="shared" si="109"/>
        <v>0000000</v>
      </c>
      <c r="D1355" s="26" t="s">
        <v>3663</v>
      </c>
      <c r="E1355" s="25" t="s">
        <v>1476</v>
      </c>
      <c r="F1355" s="25" t="s">
        <v>1458</v>
      </c>
      <c r="G1355" s="59" t="s">
        <v>1477</v>
      </c>
      <c r="H1355" s="60">
        <v>947.56</v>
      </c>
      <c r="I1355" s="60">
        <v>955.56</v>
      </c>
      <c r="J1355" s="60">
        <v>962.95</v>
      </c>
      <c r="K1355" s="60">
        <v>0</v>
      </c>
      <c r="L1355" s="60">
        <v>0</v>
      </c>
      <c r="M1355" s="60">
        <v>0</v>
      </c>
      <c r="N1355" s="60">
        <v>0</v>
      </c>
      <c r="O1355" s="60">
        <v>0</v>
      </c>
      <c r="P1355" s="60">
        <v>0</v>
      </c>
      <c r="Q1355" s="60">
        <v>0</v>
      </c>
      <c r="R1355" s="60">
        <v>0</v>
      </c>
      <c r="S1355" s="60">
        <v>0</v>
      </c>
      <c r="T1355" s="60">
        <v>0</v>
      </c>
      <c r="U1355" s="60">
        <v>0</v>
      </c>
      <c r="V1355" s="60">
        <v>0</v>
      </c>
      <c r="W1355" s="60">
        <v>0</v>
      </c>
      <c r="X1355" s="60">
        <v>0</v>
      </c>
      <c r="Y1355" s="60">
        <v>0</v>
      </c>
      <c r="Z1355" s="60">
        <v>0</v>
      </c>
      <c r="AA1355" s="60">
        <v>0</v>
      </c>
      <c r="AB1355" s="60">
        <v>0</v>
      </c>
      <c r="AC1355" s="60">
        <v>493.41</v>
      </c>
      <c r="AD1355" s="60">
        <v>486.56</v>
      </c>
      <c r="AE1355" s="60">
        <v>455.72</v>
      </c>
      <c r="AF1355" s="60">
        <v>0</v>
      </c>
      <c r="AG1355" s="60">
        <v>0</v>
      </c>
      <c r="AH1355" s="60">
        <v>0</v>
      </c>
      <c r="AI1355" s="60">
        <v>1440.97</v>
      </c>
      <c r="AJ1355" s="60">
        <v>1442.12</v>
      </c>
      <c r="AK1355" s="60">
        <v>1418.67</v>
      </c>
      <c r="AL1355" s="60">
        <v>0</v>
      </c>
      <c r="AM1355" s="60">
        <v>0</v>
      </c>
      <c r="AN1355" s="60">
        <v>0</v>
      </c>
      <c r="AO1355" s="60">
        <v>1440.97</v>
      </c>
      <c r="AP1355" s="60">
        <v>1442.12</v>
      </c>
      <c r="AQ1355" s="60">
        <v>1418.67</v>
      </c>
      <c r="AR1355" s="61">
        <v>1442.12</v>
      </c>
    </row>
    <row r="1356" spans="1:44" x14ac:dyDescent="0.35">
      <c r="A1356" s="49" t="str">
        <f t="shared" si="110"/>
        <v>29</v>
      </c>
      <c r="B1356" s="27">
        <v>66340</v>
      </c>
      <c r="C1356" s="25" t="str">
        <f t="shared" si="109"/>
        <v>0000000</v>
      </c>
      <c r="D1356" s="26" t="s">
        <v>3663</v>
      </c>
      <c r="E1356" s="25" t="s">
        <v>1478</v>
      </c>
      <c r="F1356" s="25" t="s">
        <v>1458</v>
      </c>
      <c r="G1356" s="59" t="s">
        <v>1479</v>
      </c>
      <c r="H1356" s="60">
        <v>626.13</v>
      </c>
      <c r="I1356" s="60">
        <v>592.12</v>
      </c>
      <c r="J1356" s="60">
        <v>580.26</v>
      </c>
      <c r="K1356" s="60">
        <v>0</v>
      </c>
      <c r="L1356" s="60">
        <v>0</v>
      </c>
      <c r="M1356" s="60">
        <v>0</v>
      </c>
      <c r="N1356" s="60">
        <v>32.83</v>
      </c>
      <c r="O1356" s="60">
        <v>38.520000000000003</v>
      </c>
      <c r="P1356" s="60">
        <v>33.75</v>
      </c>
      <c r="Q1356" s="60">
        <v>0</v>
      </c>
      <c r="R1356" s="60">
        <v>0</v>
      </c>
      <c r="S1356" s="60">
        <v>0</v>
      </c>
      <c r="T1356" s="60">
        <v>0</v>
      </c>
      <c r="U1356" s="60">
        <v>0</v>
      </c>
      <c r="V1356" s="60">
        <v>0</v>
      </c>
      <c r="W1356" s="60">
        <v>0</v>
      </c>
      <c r="X1356" s="60">
        <v>0</v>
      </c>
      <c r="Y1356" s="60">
        <v>0</v>
      </c>
      <c r="Z1356" s="60">
        <v>0</v>
      </c>
      <c r="AA1356" s="60">
        <v>0</v>
      </c>
      <c r="AB1356" s="60">
        <v>0</v>
      </c>
      <c r="AC1356" s="60">
        <v>0</v>
      </c>
      <c r="AD1356" s="60">
        <v>0</v>
      </c>
      <c r="AE1356" s="60">
        <v>0</v>
      </c>
      <c r="AF1356" s="60">
        <v>0</v>
      </c>
      <c r="AG1356" s="60">
        <v>0</v>
      </c>
      <c r="AH1356" s="60">
        <v>0</v>
      </c>
      <c r="AI1356" s="60">
        <v>658.96</v>
      </c>
      <c r="AJ1356" s="60">
        <v>630.64</v>
      </c>
      <c r="AK1356" s="60">
        <v>614.01</v>
      </c>
      <c r="AL1356" s="60">
        <v>0</v>
      </c>
      <c r="AM1356" s="60">
        <v>0</v>
      </c>
      <c r="AN1356" s="60">
        <v>0</v>
      </c>
      <c r="AO1356" s="60">
        <v>658.96</v>
      </c>
      <c r="AP1356" s="60">
        <v>630.64</v>
      </c>
      <c r="AQ1356" s="60">
        <v>614.01</v>
      </c>
      <c r="AR1356" s="61">
        <v>658.96</v>
      </c>
    </row>
    <row r="1357" spans="1:44" x14ac:dyDescent="0.35">
      <c r="A1357" s="49" t="str">
        <f t="shared" si="110"/>
        <v>29</v>
      </c>
      <c r="B1357" s="27">
        <v>66373</v>
      </c>
      <c r="C1357" s="25" t="str">
        <f t="shared" si="109"/>
        <v>0000000</v>
      </c>
      <c r="D1357" s="26" t="s">
        <v>3663</v>
      </c>
      <c r="E1357" s="25" t="s">
        <v>1484</v>
      </c>
      <c r="F1357" s="25" t="s">
        <v>1458</v>
      </c>
      <c r="G1357" s="59" t="s">
        <v>1485</v>
      </c>
      <c r="H1357" s="60">
        <v>1114.8</v>
      </c>
      <c r="I1357" s="60">
        <v>1053.04</v>
      </c>
      <c r="J1357" s="60">
        <v>1033.5899999999999</v>
      </c>
      <c r="K1357" s="60">
        <v>0</v>
      </c>
      <c r="L1357" s="60">
        <v>0</v>
      </c>
      <c r="M1357" s="60">
        <v>0</v>
      </c>
      <c r="N1357" s="60">
        <v>0</v>
      </c>
      <c r="O1357" s="60">
        <v>0</v>
      </c>
      <c r="P1357" s="60">
        <v>0</v>
      </c>
      <c r="Q1357" s="60">
        <v>0</v>
      </c>
      <c r="R1357" s="60">
        <v>0</v>
      </c>
      <c r="S1357" s="60">
        <v>0</v>
      </c>
      <c r="T1357" s="60">
        <v>0</v>
      </c>
      <c r="U1357" s="60">
        <v>0</v>
      </c>
      <c r="V1357" s="60">
        <v>0</v>
      </c>
      <c r="W1357" s="60">
        <v>0</v>
      </c>
      <c r="X1357" s="60">
        <v>0</v>
      </c>
      <c r="Y1357" s="60">
        <v>0</v>
      </c>
      <c r="Z1357" s="60">
        <v>0</v>
      </c>
      <c r="AA1357" s="60">
        <v>0</v>
      </c>
      <c r="AB1357" s="60">
        <v>0</v>
      </c>
      <c r="AC1357" s="60">
        <v>244.39</v>
      </c>
      <c r="AD1357" s="60">
        <v>245.66</v>
      </c>
      <c r="AE1357" s="60">
        <v>215</v>
      </c>
      <c r="AF1357" s="60">
        <v>0</v>
      </c>
      <c r="AG1357" s="60">
        <v>0</v>
      </c>
      <c r="AH1357" s="60">
        <v>0</v>
      </c>
      <c r="AI1357" s="60">
        <v>1359.19</v>
      </c>
      <c r="AJ1357" s="60">
        <v>1298.7</v>
      </c>
      <c r="AK1357" s="60">
        <v>1248.5899999999999</v>
      </c>
      <c r="AL1357" s="60">
        <v>0</v>
      </c>
      <c r="AM1357" s="60">
        <v>0</v>
      </c>
      <c r="AN1357" s="60">
        <v>0</v>
      </c>
      <c r="AO1357" s="60">
        <v>1359.19</v>
      </c>
      <c r="AP1357" s="60">
        <v>1298.7</v>
      </c>
      <c r="AQ1357" s="60">
        <v>1248.5899999999999</v>
      </c>
      <c r="AR1357" s="61">
        <v>1359.19</v>
      </c>
    </row>
    <row r="1358" spans="1:44" x14ac:dyDescent="0.35">
      <c r="A1358" s="49" t="str">
        <f t="shared" si="110"/>
        <v>29</v>
      </c>
      <c r="B1358" s="27">
        <v>66407</v>
      </c>
      <c r="C1358" s="25" t="str">
        <f t="shared" si="109"/>
        <v>0000000</v>
      </c>
      <c r="D1358" s="26" t="s">
        <v>3663</v>
      </c>
      <c r="E1358" s="25" t="s">
        <v>1486</v>
      </c>
      <c r="F1358" s="25" t="s">
        <v>1458</v>
      </c>
      <c r="G1358" s="59" t="s">
        <v>1487</v>
      </c>
      <c r="H1358" s="60">
        <v>135.33000000000001</v>
      </c>
      <c r="I1358" s="60">
        <v>127.15</v>
      </c>
      <c r="J1358" s="60">
        <v>128.04</v>
      </c>
      <c r="K1358" s="60">
        <v>0</v>
      </c>
      <c r="L1358" s="60">
        <v>0</v>
      </c>
      <c r="M1358" s="60">
        <v>0</v>
      </c>
      <c r="N1358" s="60">
        <v>0</v>
      </c>
      <c r="O1358" s="60">
        <v>0</v>
      </c>
      <c r="P1358" s="60">
        <v>0</v>
      </c>
      <c r="Q1358" s="60">
        <v>0</v>
      </c>
      <c r="R1358" s="60">
        <v>0</v>
      </c>
      <c r="S1358" s="60">
        <v>0</v>
      </c>
      <c r="T1358" s="60">
        <v>0</v>
      </c>
      <c r="U1358" s="60">
        <v>0</v>
      </c>
      <c r="V1358" s="60">
        <v>0</v>
      </c>
      <c r="W1358" s="60">
        <v>0</v>
      </c>
      <c r="X1358" s="60">
        <v>0</v>
      </c>
      <c r="Y1358" s="60">
        <v>0</v>
      </c>
      <c r="Z1358" s="60">
        <v>0</v>
      </c>
      <c r="AA1358" s="60">
        <v>0</v>
      </c>
      <c r="AB1358" s="60">
        <v>0</v>
      </c>
      <c r="AC1358" s="60">
        <v>507.16</v>
      </c>
      <c r="AD1358" s="60">
        <v>490.97</v>
      </c>
      <c r="AE1358" s="60">
        <v>504.98</v>
      </c>
      <c r="AF1358" s="60">
        <v>0</v>
      </c>
      <c r="AG1358" s="60">
        <v>0</v>
      </c>
      <c r="AH1358" s="60">
        <v>0</v>
      </c>
      <c r="AI1358" s="60">
        <v>642.49</v>
      </c>
      <c r="AJ1358" s="60">
        <v>618.12</v>
      </c>
      <c r="AK1358" s="60">
        <v>633.02</v>
      </c>
      <c r="AL1358" s="60">
        <v>0</v>
      </c>
      <c r="AM1358" s="60">
        <v>0</v>
      </c>
      <c r="AN1358" s="60">
        <v>0</v>
      </c>
      <c r="AO1358" s="60">
        <v>642.49</v>
      </c>
      <c r="AP1358" s="60">
        <v>618.12</v>
      </c>
      <c r="AQ1358" s="60">
        <v>633.02</v>
      </c>
      <c r="AR1358" s="61">
        <v>642.49</v>
      </c>
    </row>
    <row r="1359" spans="1:44" x14ac:dyDescent="0.35">
      <c r="A1359" s="49" t="str">
        <f t="shared" si="110"/>
        <v>29</v>
      </c>
      <c r="B1359" s="27">
        <v>66357</v>
      </c>
      <c r="C1359" s="25" t="str">
        <f t="shared" si="109"/>
        <v>0000000</v>
      </c>
      <c r="D1359" s="26" t="s">
        <v>3663</v>
      </c>
      <c r="E1359" s="25" t="s">
        <v>1480</v>
      </c>
      <c r="F1359" s="25" t="s">
        <v>1458</v>
      </c>
      <c r="G1359" s="59" t="s">
        <v>1481</v>
      </c>
      <c r="H1359" s="60">
        <v>2284.5100000000002</v>
      </c>
      <c r="I1359" s="60">
        <v>2202.31</v>
      </c>
      <c r="J1359" s="60">
        <v>2155.66</v>
      </c>
      <c r="K1359" s="60">
        <v>0</v>
      </c>
      <c r="L1359" s="60">
        <v>0</v>
      </c>
      <c r="M1359" s="60">
        <v>0</v>
      </c>
      <c r="N1359" s="60">
        <v>0</v>
      </c>
      <c r="O1359" s="60">
        <v>0</v>
      </c>
      <c r="P1359" s="60">
        <v>0</v>
      </c>
      <c r="Q1359" s="60">
        <v>0</v>
      </c>
      <c r="R1359" s="60">
        <v>0</v>
      </c>
      <c r="S1359" s="60">
        <v>0</v>
      </c>
      <c r="T1359" s="60">
        <v>0</v>
      </c>
      <c r="U1359" s="60">
        <v>0</v>
      </c>
      <c r="V1359" s="60">
        <v>0</v>
      </c>
      <c r="W1359" s="60">
        <v>0</v>
      </c>
      <c r="X1359" s="60">
        <v>0</v>
      </c>
      <c r="Y1359" s="60">
        <v>0</v>
      </c>
      <c r="Z1359" s="60">
        <v>0</v>
      </c>
      <c r="AA1359" s="60">
        <v>0</v>
      </c>
      <c r="AB1359" s="60">
        <v>0</v>
      </c>
      <c r="AC1359" s="60">
        <v>455.02</v>
      </c>
      <c r="AD1359" s="60">
        <v>396.24</v>
      </c>
      <c r="AE1359" s="60">
        <v>334.84</v>
      </c>
      <c r="AF1359" s="60">
        <v>0</v>
      </c>
      <c r="AG1359" s="60">
        <v>0</v>
      </c>
      <c r="AH1359" s="60">
        <v>0</v>
      </c>
      <c r="AI1359" s="60">
        <v>2739.53</v>
      </c>
      <c r="AJ1359" s="60">
        <v>2598.5500000000002</v>
      </c>
      <c r="AK1359" s="60">
        <v>2490.5</v>
      </c>
      <c r="AL1359" s="60">
        <v>0</v>
      </c>
      <c r="AM1359" s="60">
        <v>0</v>
      </c>
      <c r="AN1359" s="60">
        <v>0</v>
      </c>
      <c r="AO1359" s="60">
        <v>2739.53</v>
      </c>
      <c r="AP1359" s="60">
        <v>2598.5500000000002</v>
      </c>
      <c r="AQ1359" s="60">
        <v>2490.5</v>
      </c>
      <c r="AR1359" s="61">
        <v>2739.53</v>
      </c>
    </row>
    <row r="1360" spans="1:44" x14ac:dyDescent="0.35">
      <c r="A1360" s="49" t="str">
        <f t="shared" si="110"/>
        <v>29</v>
      </c>
      <c r="B1360" s="27">
        <v>66324</v>
      </c>
      <c r="C1360" s="25" t="str">
        <f t="shared" si="109"/>
        <v>0000000</v>
      </c>
      <c r="D1360" s="26" t="s">
        <v>3663</v>
      </c>
      <c r="E1360" s="25" t="s">
        <v>1474</v>
      </c>
      <c r="F1360" s="25" t="s">
        <v>1458</v>
      </c>
      <c r="G1360" s="59" t="s">
        <v>1475</v>
      </c>
      <c r="H1360" s="60">
        <v>154.33000000000001</v>
      </c>
      <c r="I1360" s="60">
        <v>141.11000000000001</v>
      </c>
      <c r="J1360" s="60">
        <v>141.85</v>
      </c>
      <c r="K1360" s="60">
        <v>0</v>
      </c>
      <c r="L1360" s="60">
        <v>0</v>
      </c>
      <c r="M1360" s="60">
        <v>0</v>
      </c>
      <c r="N1360" s="60">
        <v>0</v>
      </c>
      <c r="O1360" s="60">
        <v>0</v>
      </c>
      <c r="P1360" s="60">
        <v>0</v>
      </c>
      <c r="Q1360" s="60">
        <v>0</v>
      </c>
      <c r="R1360" s="60">
        <v>0</v>
      </c>
      <c r="S1360" s="60">
        <v>0</v>
      </c>
      <c r="T1360" s="60">
        <v>0</v>
      </c>
      <c r="U1360" s="60">
        <v>0</v>
      </c>
      <c r="V1360" s="60">
        <v>0</v>
      </c>
      <c r="W1360" s="60">
        <v>0</v>
      </c>
      <c r="X1360" s="60">
        <v>0</v>
      </c>
      <c r="Y1360" s="60">
        <v>0</v>
      </c>
      <c r="Z1360" s="60">
        <v>0</v>
      </c>
      <c r="AA1360" s="60">
        <v>0</v>
      </c>
      <c r="AB1360" s="60">
        <v>0</v>
      </c>
      <c r="AC1360" s="60">
        <v>0</v>
      </c>
      <c r="AD1360" s="60">
        <v>0</v>
      </c>
      <c r="AE1360" s="60">
        <v>0</v>
      </c>
      <c r="AF1360" s="60">
        <v>0</v>
      </c>
      <c r="AG1360" s="60">
        <v>0</v>
      </c>
      <c r="AH1360" s="60">
        <v>0</v>
      </c>
      <c r="AI1360" s="60">
        <v>154.33000000000001</v>
      </c>
      <c r="AJ1360" s="60">
        <v>141.11000000000001</v>
      </c>
      <c r="AK1360" s="60">
        <v>141.85</v>
      </c>
      <c r="AL1360" s="60">
        <v>0</v>
      </c>
      <c r="AM1360" s="60">
        <v>0</v>
      </c>
      <c r="AN1360" s="60">
        <v>0</v>
      </c>
      <c r="AO1360" s="60">
        <v>154.33000000000001</v>
      </c>
      <c r="AP1360" s="60">
        <v>141.11000000000001</v>
      </c>
      <c r="AQ1360" s="60">
        <v>141.85</v>
      </c>
      <c r="AR1360" s="61">
        <v>154.33000000000001</v>
      </c>
    </row>
    <row r="1361" spans="1:44" x14ac:dyDescent="0.35">
      <c r="A1361" s="49" t="str">
        <f t="shared" si="110"/>
        <v>29</v>
      </c>
      <c r="B1361" s="27">
        <v>66316</v>
      </c>
      <c r="C1361" s="25" t="str">
        <f t="shared" si="109"/>
        <v>0000000</v>
      </c>
      <c r="D1361" s="26" t="s">
        <v>3663</v>
      </c>
      <c r="E1361" s="25" t="s">
        <v>1472</v>
      </c>
      <c r="F1361" s="25" t="s">
        <v>1458</v>
      </c>
      <c r="G1361" s="59" t="s">
        <v>1473</v>
      </c>
      <c r="H1361" s="60">
        <v>108.31</v>
      </c>
      <c r="I1361" s="60">
        <v>109.6</v>
      </c>
      <c r="J1361" s="60">
        <v>112.54</v>
      </c>
      <c r="K1361" s="60">
        <v>0</v>
      </c>
      <c r="L1361" s="60">
        <v>0</v>
      </c>
      <c r="M1361" s="60">
        <v>0</v>
      </c>
      <c r="N1361" s="60">
        <v>0</v>
      </c>
      <c r="O1361" s="60">
        <v>0</v>
      </c>
      <c r="P1361" s="60">
        <v>0</v>
      </c>
      <c r="Q1361" s="60">
        <v>0</v>
      </c>
      <c r="R1361" s="60">
        <v>0</v>
      </c>
      <c r="S1361" s="60">
        <v>0</v>
      </c>
      <c r="T1361" s="60">
        <v>0</v>
      </c>
      <c r="U1361" s="60">
        <v>0</v>
      </c>
      <c r="V1361" s="60">
        <v>0</v>
      </c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0</v>
      </c>
      <c r="AC1361" s="60">
        <v>33.53</v>
      </c>
      <c r="AD1361" s="60">
        <v>31.74</v>
      </c>
      <c r="AE1361" s="60">
        <v>953.04</v>
      </c>
      <c r="AF1361" s="60">
        <v>0</v>
      </c>
      <c r="AG1361" s="60">
        <v>0</v>
      </c>
      <c r="AH1361" s="60">
        <v>0</v>
      </c>
      <c r="AI1361" s="60">
        <v>141.84</v>
      </c>
      <c r="AJ1361" s="60">
        <v>141.34</v>
      </c>
      <c r="AK1361" s="60">
        <v>1065.58</v>
      </c>
      <c r="AL1361" s="60">
        <v>0</v>
      </c>
      <c r="AM1361" s="60">
        <v>0</v>
      </c>
      <c r="AN1361" s="60">
        <v>-920.21</v>
      </c>
      <c r="AO1361" s="60">
        <v>141.84</v>
      </c>
      <c r="AP1361" s="60">
        <v>141.34</v>
      </c>
      <c r="AQ1361" s="60">
        <v>145.37</v>
      </c>
      <c r="AR1361" s="61">
        <v>145.37</v>
      </c>
    </row>
    <row r="1362" spans="1:44" x14ac:dyDescent="0.35">
      <c r="A1362" s="49" t="str">
        <f t="shared" si="110"/>
        <v>29</v>
      </c>
      <c r="B1362" s="27">
        <v>66415</v>
      </c>
      <c r="C1362" s="25" t="str">
        <f t="shared" si="109"/>
        <v>0000000</v>
      </c>
      <c r="D1362" s="26" t="s">
        <v>3663</v>
      </c>
      <c r="E1362" s="25" t="s">
        <v>1488</v>
      </c>
      <c r="F1362" s="25" t="s">
        <v>1458</v>
      </c>
      <c r="G1362" s="59" t="s">
        <v>1489</v>
      </c>
      <c r="H1362" s="60">
        <v>87.89</v>
      </c>
      <c r="I1362" s="60">
        <v>81.040000000000006</v>
      </c>
      <c r="J1362" s="60">
        <v>73.25</v>
      </c>
      <c r="K1362" s="60">
        <v>0</v>
      </c>
      <c r="L1362" s="60">
        <v>0</v>
      </c>
      <c r="M1362" s="60">
        <v>0</v>
      </c>
      <c r="N1362" s="60">
        <v>0</v>
      </c>
      <c r="O1362" s="60">
        <v>0</v>
      </c>
      <c r="P1362" s="60">
        <v>0</v>
      </c>
      <c r="Q1362" s="60">
        <v>0</v>
      </c>
      <c r="R1362" s="60">
        <v>0</v>
      </c>
      <c r="S1362" s="60">
        <v>0</v>
      </c>
      <c r="T1362" s="60">
        <v>0</v>
      </c>
      <c r="U1362" s="60">
        <v>0</v>
      </c>
      <c r="V1362" s="60">
        <v>0</v>
      </c>
      <c r="W1362" s="60">
        <v>0</v>
      </c>
      <c r="X1362" s="60">
        <v>0</v>
      </c>
      <c r="Y1362" s="60">
        <v>0</v>
      </c>
      <c r="Z1362" s="60">
        <v>0</v>
      </c>
      <c r="AA1362" s="60">
        <v>0</v>
      </c>
      <c r="AB1362" s="60">
        <v>0</v>
      </c>
      <c r="AC1362" s="60">
        <v>0</v>
      </c>
      <c r="AD1362" s="60">
        <v>0</v>
      </c>
      <c r="AE1362" s="60">
        <v>0</v>
      </c>
      <c r="AF1362" s="60">
        <v>0</v>
      </c>
      <c r="AG1362" s="60">
        <v>0</v>
      </c>
      <c r="AH1362" s="60">
        <v>0</v>
      </c>
      <c r="AI1362" s="60">
        <v>87.89</v>
      </c>
      <c r="AJ1362" s="60">
        <v>81.040000000000006</v>
      </c>
      <c r="AK1362" s="60">
        <v>73.25</v>
      </c>
      <c r="AL1362" s="60">
        <v>0</v>
      </c>
      <c r="AM1362" s="60">
        <v>0</v>
      </c>
      <c r="AN1362" s="60">
        <v>0</v>
      </c>
      <c r="AO1362" s="60">
        <v>87.89</v>
      </c>
      <c r="AP1362" s="60">
        <v>81.040000000000006</v>
      </c>
      <c r="AQ1362" s="60">
        <v>73.25</v>
      </c>
      <c r="AR1362" s="61">
        <v>87.89</v>
      </c>
    </row>
    <row r="1363" spans="1:44" x14ac:dyDescent="0.35">
      <c r="A1363" s="49" t="str">
        <f t="shared" si="110"/>
        <v>29</v>
      </c>
      <c r="B1363" s="27">
        <v>10298</v>
      </c>
      <c r="C1363" s="25" t="str">
        <f>TEXT(114314,"0000000")</f>
        <v>0114314</v>
      </c>
      <c r="D1363" s="26" t="s">
        <v>1461</v>
      </c>
      <c r="E1363" s="25" t="s">
        <v>1459</v>
      </c>
      <c r="F1363" s="25" t="s">
        <v>1458</v>
      </c>
      <c r="G1363" s="59" t="s">
        <v>1460</v>
      </c>
      <c r="H1363" s="60">
        <v>0</v>
      </c>
      <c r="I1363" s="60">
        <v>0</v>
      </c>
      <c r="J1363" s="60">
        <v>0</v>
      </c>
      <c r="K1363" s="60">
        <v>0</v>
      </c>
      <c r="L1363" s="60">
        <v>0</v>
      </c>
      <c r="M1363" s="60">
        <v>0</v>
      </c>
      <c r="N1363" s="60">
        <v>0</v>
      </c>
      <c r="O1363" s="60">
        <v>0</v>
      </c>
      <c r="P1363" s="60">
        <v>0</v>
      </c>
      <c r="Q1363" s="60">
        <v>0</v>
      </c>
      <c r="R1363" s="60">
        <v>0</v>
      </c>
      <c r="S1363" s="60">
        <v>0</v>
      </c>
      <c r="T1363" s="60">
        <v>0</v>
      </c>
      <c r="U1363" s="60">
        <v>0</v>
      </c>
      <c r="V1363" s="60">
        <v>0</v>
      </c>
      <c r="W1363" s="60">
        <v>0</v>
      </c>
      <c r="X1363" s="60">
        <v>0</v>
      </c>
      <c r="Y1363" s="60">
        <v>0</v>
      </c>
      <c r="Z1363" s="60">
        <v>81.98</v>
      </c>
      <c r="AA1363" s="60">
        <v>78.349999999999994</v>
      </c>
      <c r="AB1363" s="60">
        <v>56.25</v>
      </c>
      <c r="AC1363" s="60">
        <v>0</v>
      </c>
      <c r="AD1363" s="60">
        <v>0</v>
      </c>
      <c r="AE1363" s="60">
        <v>0</v>
      </c>
      <c r="AF1363" s="60">
        <v>0</v>
      </c>
      <c r="AG1363" s="60">
        <v>0</v>
      </c>
      <c r="AH1363" s="60">
        <v>0</v>
      </c>
      <c r="AI1363" s="60">
        <v>81.98</v>
      </c>
      <c r="AJ1363" s="60">
        <v>78.349999999999994</v>
      </c>
      <c r="AK1363" s="60">
        <v>56.25</v>
      </c>
      <c r="AL1363" s="60">
        <v>0</v>
      </c>
      <c r="AM1363" s="60">
        <v>0</v>
      </c>
      <c r="AN1363" s="60">
        <v>0</v>
      </c>
      <c r="AO1363" s="60">
        <v>81.98</v>
      </c>
      <c r="AP1363" s="60">
        <v>78.349999999999994</v>
      </c>
      <c r="AQ1363" s="60">
        <v>56.25</v>
      </c>
      <c r="AR1363" s="61">
        <v>81.98</v>
      </c>
    </row>
    <row r="1364" spans="1:44" x14ac:dyDescent="0.35">
      <c r="A1364" s="49" t="str">
        <f t="shared" si="110"/>
        <v>29</v>
      </c>
      <c r="B1364" s="27">
        <v>10298</v>
      </c>
      <c r="C1364" s="25" t="str">
        <f>TEXT(114330,"0000000")</f>
        <v>0114330</v>
      </c>
      <c r="D1364" s="26" t="s">
        <v>1467</v>
      </c>
      <c r="E1364" s="25" t="s">
        <v>1465</v>
      </c>
      <c r="F1364" s="25" t="s">
        <v>1458</v>
      </c>
      <c r="G1364" s="59" t="s">
        <v>1466</v>
      </c>
      <c r="H1364" s="60">
        <v>0</v>
      </c>
      <c r="I1364" s="60">
        <v>0</v>
      </c>
      <c r="J1364" s="60">
        <v>0</v>
      </c>
      <c r="K1364" s="60">
        <v>0</v>
      </c>
      <c r="L1364" s="60">
        <v>0</v>
      </c>
      <c r="M1364" s="60">
        <v>0</v>
      </c>
      <c r="N1364" s="60">
        <v>0</v>
      </c>
      <c r="O1364" s="60">
        <v>0</v>
      </c>
      <c r="P1364" s="60">
        <v>0</v>
      </c>
      <c r="Q1364" s="60">
        <v>0</v>
      </c>
      <c r="R1364" s="60">
        <v>0</v>
      </c>
      <c r="S1364" s="60">
        <v>0</v>
      </c>
      <c r="T1364" s="60">
        <v>0</v>
      </c>
      <c r="U1364" s="60">
        <v>0</v>
      </c>
      <c r="V1364" s="60">
        <v>0</v>
      </c>
      <c r="W1364" s="60">
        <v>0</v>
      </c>
      <c r="X1364" s="60">
        <v>0</v>
      </c>
      <c r="Y1364" s="60">
        <v>0</v>
      </c>
      <c r="Z1364" s="60">
        <v>432.41</v>
      </c>
      <c r="AA1364" s="60">
        <v>389.66</v>
      </c>
      <c r="AB1364" s="60">
        <v>386.32</v>
      </c>
      <c r="AC1364" s="60">
        <v>0</v>
      </c>
      <c r="AD1364" s="60">
        <v>0</v>
      </c>
      <c r="AE1364" s="60">
        <v>0</v>
      </c>
      <c r="AF1364" s="60">
        <v>0</v>
      </c>
      <c r="AG1364" s="60">
        <v>0</v>
      </c>
      <c r="AH1364" s="60">
        <v>0</v>
      </c>
      <c r="AI1364" s="60">
        <v>432.41</v>
      </c>
      <c r="AJ1364" s="60">
        <v>389.66</v>
      </c>
      <c r="AK1364" s="60">
        <v>386.32</v>
      </c>
      <c r="AL1364" s="60">
        <v>0</v>
      </c>
      <c r="AM1364" s="60">
        <v>0</v>
      </c>
      <c r="AN1364" s="60">
        <v>0</v>
      </c>
      <c r="AO1364" s="60">
        <v>432.41</v>
      </c>
      <c r="AP1364" s="60">
        <v>389.66</v>
      </c>
      <c r="AQ1364" s="60">
        <v>386.32</v>
      </c>
      <c r="AR1364" s="61">
        <v>432.41</v>
      </c>
    </row>
    <row r="1365" spans="1:44" x14ac:dyDescent="0.35">
      <c r="A1365" s="49" t="str">
        <f t="shared" si="110"/>
        <v>29</v>
      </c>
      <c r="B1365" s="27">
        <v>10298</v>
      </c>
      <c r="C1365" s="25" t="str">
        <f>TEXT(114322,"0000000")</f>
        <v>0114322</v>
      </c>
      <c r="D1365" s="26" t="s">
        <v>1464</v>
      </c>
      <c r="E1365" s="25" t="s">
        <v>1462</v>
      </c>
      <c r="F1365" s="25" t="s">
        <v>1458</v>
      </c>
      <c r="G1365" s="59" t="s">
        <v>1463</v>
      </c>
      <c r="H1365" s="60">
        <v>0</v>
      </c>
      <c r="I1365" s="60">
        <v>0</v>
      </c>
      <c r="J1365" s="60">
        <v>0</v>
      </c>
      <c r="K1365" s="60">
        <v>0</v>
      </c>
      <c r="L1365" s="60">
        <v>0</v>
      </c>
      <c r="M1365" s="60">
        <v>0</v>
      </c>
      <c r="N1365" s="60">
        <v>0</v>
      </c>
      <c r="O1365" s="60">
        <v>0</v>
      </c>
      <c r="P1365" s="60">
        <v>0</v>
      </c>
      <c r="Q1365" s="60">
        <v>0</v>
      </c>
      <c r="R1365" s="60">
        <v>0</v>
      </c>
      <c r="S1365" s="60">
        <v>0</v>
      </c>
      <c r="T1365" s="60">
        <v>0</v>
      </c>
      <c r="U1365" s="60">
        <v>0</v>
      </c>
      <c r="V1365" s="60">
        <v>0</v>
      </c>
      <c r="W1365" s="60">
        <v>0</v>
      </c>
      <c r="X1365" s="60">
        <v>0</v>
      </c>
      <c r="Y1365" s="60">
        <v>0</v>
      </c>
      <c r="Z1365" s="60">
        <v>298.48</v>
      </c>
      <c r="AA1365" s="60">
        <v>300.24</v>
      </c>
      <c r="AB1365" s="60">
        <v>277.25</v>
      </c>
      <c r="AC1365" s="60">
        <v>0</v>
      </c>
      <c r="AD1365" s="60">
        <v>0</v>
      </c>
      <c r="AE1365" s="60">
        <v>0</v>
      </c>
      <c r="AF1365" s="60">
        <v>0</v>
      </c>
      <c r="AG1365" s="60">
        <v>0</v>
      </c>
      <c r="AH1365" s="60">
        <v>0</v>
      </c>
      <c r="AI1365" s="60">
        <v>298.48</v>
      </c>
      <c r="AJ1365" s="60">
        <v>300.24</v>
      </c>
      <c r="AK1365" s="60">
        <v>277.25</v>
      </c>
      <c r="AL1365" s="60">
        <v>0</v>
      </c>
      <c r="AM1365" s="60">
        <v>0</v>
      </c>
      <c r="AN1365" s="60">
        <v>0</v>
      </c>
      <c r="AO1365" s="60">
        <v>298.48</v>
      </c>
      <c r="AP1365" s="60">
        <v>300.24</v>
      </c>
      <c r="AQ1365" s="60">
        <v>277.25</v>
      </c>
      <c r="AR1365" s="61">
        <v>300.24</v>
      </c>
    </row>
    <row r="1366" spans="1:44" x14ac:dyDescent="0.35">
      <c r="A1366" s="49" t="str">
        <f t="shared" si="110"/>
        <v>29</v>
      </c>
      <c r="B1366" s="27">
        <v>76877</v>
      </c>
      <c r="C1366" s="25" t="str">
        <f>TEXT(,"0000000")</f>
        <v>0000000</v>
      </c>
      <c r="D1366" s="26" t="s">
        <v>3663</v>
      </c>
      <c r="E1366" s="25" t="s">
        <v>1490</v>
      </c>
      <c r="F1366" s="25" t="s">
        <v>1458</v>
      </c>
      <c r="G1366" s="59" t="s">
        <v>1491</v>
      </c>
      <c r="H1366" s="60">
        <v>478.86</v>
      </c>
      <c r="I1366" s="60">
        <v>497.92</v>
      </c>
      <c r="J1366" s="60">
        <v>482.92</v>
      </c>
      <c r="K1366" s="60">
        <v>0</v>
      </c>
      <c r="L1366" s="60">
        <v>0</v>
      </c>
      <c r="M1366" s="60">
        <v>0</v>
      </c>
      <c r="N1366" s="60">
        <v>0</v>
      </c>
      <c r="O1366" s="60">
        <v>0</v>
      </c>
      <c r="P1366" s="60">
        <v>0</v>
      </c>
      <c r="Q1366" s="60">
        <v>0</v>
      </c>
      <c r="R1366" s="60">
        <v>0</v>
      </c>
      <c r="S1366" s="60">
        <v>0</v>
      </c>
      <c r="T1366" s="60">
        <v>0</v>
      </c>
      <c r="U1366" s="60">
        <v>0</v>
      </c>
      <c r="V1366" s="60">
        <v>0</v>
      </c>
      <c r="W1366" s="60">
        <v>0</v>
      </c>
      <c r="X1366" s="60">
        <v>0</v>
      </c>
      <c r="Y1366" s="60">
        <v>0</v>
      </c>
      <c r="Z1366" s="60">
        <v>0</v>
      </c>
      <c r="AA1366" s="60">
        <v>0</v>
      </c>
      <c r="AB1366" s="60">
        <v>0</v>
      </c>
      <c r="AC1366" s="60">
        <v>38.299999999999997</v>
      </c>
      <c r="AD1366" s="60">
        <v>40.17</v>
      </c>
      <c r="AE1366" s="60">
        <v>41.78</v>
      </c>
      <c r="AF1366" s="60">
        <v>0</v>
      </c>
      <c r="AG1366" s="60">
        <v>0</v>
      </c>
      <c r="AH1366" s="60">
        <v>0</v>
      </c>
      <c r="AI1366" s="60">
        <v>517.16</v>
      </c>
      <c r="AJ1366" s="60">
        <v>538.09</v>
      </c>
      <c r="AK1366" s="60">
        <v>524.70000000000005</v>
      </c>
      <c r="AL1366" s="60">
        <v>0</v>
      </c>
      <c r="AM1366" s="60">
        <v>0</v>
      </c>
      <c r="AN1366" s="60">
        <v>0</v>
      </c>
      <c r="AO1366" s="60">
        <v>517.16</v>
      </c>
      <c r="AP1366" s="60">
        <v>538.09</v>
      </c>
      <c r="AQ1366" s="60">
        <v>524.70000000000005</v>
      </c>
      <c r="AR1366" s="61">
        <v>538.09</v>
      </c>
    </row>
    <row r="1367" spans="1:44" x14ac:dyDescent="0.35">
      <c r="A1367" s="49" t="str">
        <f t="shared" si="110"/>
        <v>29</v>
      </c>
      <c r="B1367" s="27">
        <v>10298</v>
      </c>
      <c r="C1367" s="25" t="str">
        <f>TEXT(126219,"0000000")</f>
        <v>0126219</v>
      </c>
      <c r="D1367" s="27">
        <v>1427</v>
      </c>
      <c r="E1367" s="25" t="s">
        <v>1468</v>
      </c>
      <c r="F1367" s="25" t="s">
        <v>1458</v>
      </c>
      <c r="G1367" s="59" t="s">
        <v>1469</v>
      </c>
      <c r="H1367" s="60">
        <v>0</v>
      </c>
      <c r="I1367" s="60">
        <v>0</v>
      </c>
      <c r="J1367" s="60">
        <v>0</v>
      </c>
      <c r="K1367" s="60">
        <v>0</v>
      </c>
      <c r="L1367" s="60">
        <v>0</v>
      </c>
      <c r="M1367" s="60">
        <v>0</v>
      </c>
      <c r="N1367" s="60">
        <v>0</v>
      </c>
      <c r="O1367" s="60">
        <v>0</v>
      </c>
      <c r="P1367" s="60">
        <v>0</v>
      </c>
      <c r="Q1367" s="60">
        <v>0</v>
      </c>
      <c r="R1367" s="60">
        <v>0</v>
      </c>
      <c r="S1367" s="60">
        <v>0</v>
      </c>
      <c r="T1367" s="60">
        <v>0</v>
      </c>
      <c r="U1367" s="60">
        <v>0</v>
      </c>
      <c r="V1367" s="60">
        <v>0</v>
      </c>
      <c r="W1367" s="60">
        <v>0</v>
      </c>
      <c r="X1367" s="60">
        <v>0</v>
      </c>
      <c r="Y1367" s="60">
        <v>0</v>
      </c>
      <c r="Z1367" s="60">
        <v>0</v>
      </c>
      <c r="AA1367" s="60">
        <v>0</v>
      </c>
      <c r="AB1367" s="60">
        <v>0</v>
      </c>
      <c r="AC1367" s="60">
        <v>782.76</v>
      </c>
      <c r="AD1367" s="60">
        <v>753.81</v>
      </c>
      <c r="AE1367" s="60">
        <v>0</v>
      </c>
      <c r="AF1367" s="60">
        <v>0</v>
      </c>
      <c r="AG1367" s="60">
        <v>0</v>
      </c>
      <c r="AH1367" s="60">
        <v>0</v>
      </c>
      <c r="AI1367" s="60">
        <v>782.76</v>
      </c>
      <c r="AJ1367" s="60">
        <v>753.81</v>
      </c>
      <c r="AK1367" s="60">
        <v>0</v>
      </c>
      <c r="AL1367" s="60">
        <v>0</v>
      </c>
      <c r="AM1367" s="60">
        <v>0</v>
      </c>
      <c r="AN1367" s="60">
        <v>729.11</v>
      </c>
      <c r="AO1367" s="60">
        <v>782.76</v>
      </c>
      <c r="AP1367" s="60">
        <v>753.81</v>
      </c>
      <c r="AQ1367" s="60">
        <v>729.11</v>
      </c>
      <c r="AR1367" s="61">
        <v>782.76</v>
      </c>
    </row>
    <row r="1368" spans="1:44" x14ac:dyDescent="0.35">
      <c r="A1368" s="49" t="str">
        <f t="shared" si="110"/>
        <v>29</v>
      </c>
      <c r="B1368" s="27">
        <v>10298</v>
      </c>
      <c r="C1368" s="25" t="str">
        <f>TEXT(126227,"0000000")</f>
        <v>0126227</v>
      </c>
      <c r="D1368" s="27">
        <v>1428</v>
      </c>
      <c r="E1368" s="25" t="s">
        <v>1470</v>
      </c>
      <c r="F1368" s="25" t="s">
        <v>1458</v>
      </c>
      <c r="G1368" s="59" t="s">
        <v>1471</v>
      </c>
      <c r="H1368" s="60">
        <v>0</v>
      </c>
      <c r="I1368" s="60">
        <v>0</v>
      </c>
      <c r="J1368" s="60">
        <v>0</v>
      </c>
      <c r="K1368" s="60">
        <v>0</v>
      </c>
      <c r="L1368" s="60">
        <v>0</v>
      </c>
      <c r="M1368" s="60">
        <v>0</v>
      </c>
      <c r="N1368" s="60">
        <v>0</v>
      </c>
      <c r="O1368" s="60">
        <v>0</v>
      </c>
      <c r="P1368" s="60">
        <v>0</v>
      </c>
      <c r="Q1368" s="60">
        <v>0</v>
      </c>
      <c r="R1368" s="60">
        <v>0</v>
      </c>
      <c r="S1368" s="60">
        <v>0</v>
      </c>
      <c r="T1368" s="60">
        <v>0</v>
      </c>
      <c r="U1368" s="60">
        <v>0</v>
      </c>
      <c r="V1368" s="60">
        <v>0</v>
      </c>
      <c r="W1368" s="60">
        <v>0</v>
      </c>
      <c r="X1368" s="60">
        <v>0</v>
      </c>
      <c r="Y1368" s="60">
        <v>0</v>
      </c>
      <c r="Z1368" s="60">
        <v>0</v>
      </c>
      <c r="AA1368" s="60">
        <v>0</v>
      </c>
      <c r="AB1368" s="60">
        <v>0</v>
      </c>
      <c r="AC1368" s="60">
        <v>224.65</v>
      </c>
      <c r="AD1368" s="60">
        <v>204.84</v>
      </c>
      <c r="AE1368" s="60">
        <v>0</v>
      </c>
      <c r="AF1368" s="60">
        <v>0</v>
      </c>
      <c r="AG1368" s="60">
        <v>0</v>
      </c>
      <c r="AH1368" s="60">
        <v>0</v>
      </c>
      <c r="AI1368" s="60">
        <v>224.65</v>
      </c>
      <c r="AJ1368" s="60">
        <v>204.84</v>
      </c>
      <c r="AK1368" s="60">
        <v>0</v>
      </c>
      <c r="AL1368" s="60">
        <v>0</v>
      </c>
      <c r="AM1368" s="60">
        <v>0</v>
      </c>
      <c r="AN1368" s="60">
        <v>191.1</v>
      </c>
      <c r="AO1368" s="60">
        <v>224.65</v>
      </c>
      <c r="AP1368" s="60">
        <v>204.84</v>
      </c>
      <c r="AQ1368" s="60">
        <v>191.1</v>
      </c>
      <c r="AR1368" s="61">
        <v>224.65</v>
      </c>
    </row>
    <row r="1369" spans="1:44" x14ac:dyDescent="0.35">
      <c r="A1369" s="49" t="str">
        <f t="shared" ref="A1369:A1398" si="111">TEXT(37,"00")</f>
        <v>37</v>
      </c>
      <c r="B1369" s="27">
        <v>10371</v>
      </c>
      <c r="C1369" s="25" t="str">
        <f t="shared" ref="C1369:C1397" si="112">TEXT(,"0000000")</f>
        <v>0000000</v>
      </c>
      <c r="D1369" s="26" t="s">
        <v>3663</v>
      </c>
      <c r="E1369" s="25" t="s">
        <v>2046</v>
      </c>
      <c r="F1369" s="25" t="s">
        <v>2047</v>
      </c>
      <c r="G1369" s="59" t="s">
        <v>2047</v>
      </c>
      <c r="H1369" s="60">
        <v>0</v>
      </c>
      <c r="I1369" s="60">
        <v>0</v>
      </c>
      <c r="J1369" s="60">
        <v>0</v>
      </c>
      <c r="K1369" s="60">
        <v>0</v>
      </c>
      <c r="L1369" s="60">
        <v>0</v>
      </c>
      <c r="M1369" s="60">
        <v>0</v>
      </c>
      <c r="N1369" s="60">
        <v>0</v>
      </c>
      <c r="O1369" s="60">
        <v>0</v>
      </c>
      <c r="P1369" s="60">
        <v>0</v>
      </c>
      <c r="Q1369" s="60">
        <v>0</v>
      </c>
      <c r="R1369" s="60">
        <v>0</v>
      </c>
      <c r="S1369" s="60">
        <v>0</v>
      </c>
      <c r="T1369" s="60">
        <v>903.38</v>
      </c>
      <c r="U1369" s="60">
        <v>828.37</v>
      </c>
      <c r="V1369" s="60">
        <v>698.2</v>
      </c>
      <c r="W1369" s="60">
        <v>280.08999999999997</v>
      </c>
      <c r="X1369" s="60">
        <v>292.42</v>
      </c>
      <c r="Y1369" s="60">
        <v>311.98</v>
      </c>
      <c r="Z1369" s="60">
        <v>0</v>
      </c>
      <c r="AA1369" s="60">
        <v>0</v>
      </c>
      <c r="AB1369" s="60">
        <v>0</v>
      </c>
      <c r="AC1369" s="60">
        <v>0</v>
      </c>
      <c r="AD1369" s="60">
        <v>0</v>
      </c>
      <c r="AE1369" s="60">
        <v>0</v>
      </c>
      <c r="AF1369" s="60">
        <v>0</v>
      </c>
      <c r="AG1369" s="60">
        <v>0</v>
      </c>
      <c r="AH1369" s="60">
        <v>0</v>
      </c>
      <c r="AI1369" s="60">
        <v>1183.47</v>
      </c>
      <c r="AJ1369" s="60">
        <v>1120.79</v>
      </c>
      <c r="AK1369" s="60">
        <v>1010.18</v>
      </c>
      <c r="AL1369" s="60">
        <v>0</v>
      </c>
      <c r="AM1369" s="60">
        <v>0</v>
      </c>
      <c r="AN1369" s="60">
        <v>0</v>
      </c>
      <c r="AO1369" s="60">
        <v>1183.47</v>
      </c>
      <c r="AP1369" s="60">
        <v>1120.79</v>
      </c>
      <c r="AQ1369" s="60">
        <v>1010.18</v>
      </c>
      <c r="AR1369" s="61">
        <v>1183.47</v>
      </c>
    </row>
    <row r="1370" spans="1:44" x14ac:dyDescent="0.35">
      <c r="A1370" s="49" t="str">
        <f t="shared" si="111"/>
        <v>37</v>
      </c>
      <c r="B1370" s="27">
        <v>68023</v>
      </c>
      <c r="C1370" s="25" t="str">
        <f t="shared" si="112"/>
        <v>0000000</v>
      </c>
      <c r="D1370" s="26" t="s">
        <v>3663</v>
      </c>
      <c r="E1370" s="25" t="s">
        <v>2088</v>
      </c>
      <c r="F1370" s="25" t="s">
        <v>2047</v>
      </c>
      <c r="G1370" s="59" t="s">
        <v>2089</v>
      </c>
      <c r="H1370" s="60">
        <v>21143.82</v>
      </c>
      <c r="I1370" s="60">
        <v>20787.95</v>
      </c>
      <c r="J1370" s="60">
        <v>20303.150000000001</v>
      </c>
      <c r="K1370" s="60">
        <v>0</v>
      </c>
      <c r="L1370" s="60">
        <v>0</v>
      </c>
      <c r="M1370" s="60">
        <v>0</v>
      </c>
      <c r="N1370" s="60">
        <v>0</v>
      </c>
      <c r="O1370" s="60">
        <v>0</v>
      </c>
      <c r="P1370" s="60">
        <v>0</v>
      </c>
      <c r="Q1370" s="60">
        <v>0</v>
      </c>
      <c r="R1370" s="60">
        <v>0</v>
      </c>
      <c r="S1370" s="60">
        <v>0</v>
      </c>
      <c r="T1370" s="60">
        <v>0</v>
      </c>
      <c r="U1370" s="60">
        <v>0</v>
      </c>
      <c r="V1370" s="60">
        <v>0</v>
      </c>
      <c r="W1370" s="60">
        <v>0</v>
      </c>
      <c r="X1370" s="60">
        <v>0</v>
      </c>
      <c r="Y1370" s="60">
        <v>0</v>
      </c>
      <c r="Z1370" s="60">
        <v>0</v>
      </c>
      <c r="AA1370" s="60">
        <v>0</v>
      </c>
      <c r="AB1370" s="60">
        <v>0</v>
      </c>
      <c r="AC1370" s="60">
        <v>5710.26</v>
      </c>
      <c r="AD1370" s="60">
        <v>5729.55</v>
      </c>
      <c r="AE1370" s="60">
        <v>5710.94</v>
      </c>
      <c r="AF1370" s="60">
        <v>0</v>
      </c>
      <c r="AG1370" s="60">
        <v>0</v>
      </c>
      <c r="AH1370" s="60">
        <v>0</v>
      </c>
      <c r="AI1370" s="60">
        <v>26854.080000000002</v>
      </c>
      <c r="AJ1370" s="60">
        <v>26517.5</v>
      </c>
      <c r="AK1370" s="60">
        <v>26014.09</v>
      </c>
      <c r="AL1370" s="60">
        <v>0</v>
      </c>
      <c r="AM1370" s="60">
        <v>0</v>
      </c>
      <c r="AN1370" s="60">
        <v>0</v>
      </c>
      <c r="AO1370" s="60">
        <v>26854.080000000002</v>
      </c>
      <c r="AP1370" s="60">
        <v>26517.5</v>
      </c>
      <c r="AQ1370" s="60">
        <v>26014.09</v>
      </c>
      <c r="AR1370" s="61">
        <v>26854.080000000002</v>
      </c>
    </row>
    <row r="1371" spans="1:44" x14ac:dyDescent="0.35">
      <c r="A1371" s="49" t="str">
        <f t="shared" si="111"/>
        <v>37</v>
      </c>
      <c r="B1371" s="27">
        <v>68031</v>
      </c>
      <c r="C1371" s="25" t="str">
        <f t="shared" si="112"/>
        <v>0000000</v>
      </c>
      <c r="D1371" s="26" t="s">
        <v>3663</v>
      </c>
      <c r="E1371" s="25" t="s">
        <v>2094</v>
      </c>
      <c r="F1371" s="25" t="s">
        <v>2047</v>
      </c>
      <c r="G1371" s="59" t="s">
        <v>2095</v>
      </c>
      <c r="H1371" s="60">
        <v>2609.71</v>
      </c>
      <c r="I1371" s="60">
        <v>2644.39</v>
      </c>
      <c r="J1371" s="60">
        <v>2603.16</v>
      </c>
      <c r="K1371" s="60">
        <v>0</v>
      </c>
      <c r="L1371" s="60">
        <v>0</v>
      </c>
      <c r="M1371" s="60">
        <v>0</v>
      </c>
      <c r="N1371" s="60">
        <v>0</v>
      </c>
      <c r="O1371" s="60">
        <v>0</v>
      </c>
      <c r="P1371" s="60">
        <v>0</v>
      </c>
      <c r="Q1371" s="60">
        <v>0</v>
      </c>
      <c r="R1371" s="60">
        <v>0</v>
      </c>
      <c r="S1371" s="60">
        <v>0</v>
      </c>
      <c r="T1371" s="60">
        <v>0</v>
      </c>
      <c r="U1371" s="60">
        <v>0</v>
      </c>
      <c r="V1371" s="60">
        <v>0</v>
      </c>
      <c r="W1371" s="60">
        <v>0</v>
      </c>
      <c r="X1371" s="60">
        <v>0</v>
      </c>
      <c r="Y1371" s="60">
        <v>0</v>
      </c>
      <c r="Z1371" s="60">
        <v>0</v>
      </c>
      <c r="AA1371" s="60">
        <v>0</v>
      </c>
      <c r="AB1371" s="60">
        <v>0</v>
      </c>
      <c r="AC1371" s="60">
        <v>0</v>
      </c>
      <c r="AD1371" s="60">
        <v>0</v>
      </c>
      <c r="AE1371" s="60">
        <v>0</v>
      </c>
      <c r="AF1371" s="60">
        <v>0</v>
      </c>
      <c r="AG1371" s="60">
        <v>0</v>
      </c>
      <c r="AH1371" s="60">
        <v>0</v>
      </c>
      <c r="AI1371" s="60">
        <v>2609.71</v>
      </c>
      <c r="AJ1371" s="60">
        <v>2644.39</v>
      </c>
      <c r="AK1371" s="60">
        <v>2603.16</v>
      </c>
      <c r="AL1371" s="60">
        <v>0</v>
      </c>
      <c r="AM1371" s="60">
        <v>0</v>
      </c>
      <c r="AN1371" s="60">
        <v>0</v>
      </c>
      <c r="AO1371" s="60">
        <v>2609.71</v>
      </c>
      <c r="AP1371" s="60">
        <v>2644.39</v>
      </c>
      <c r="AQ1371" s="60">
        <v>2603.16</v>
      </c>
      <c r="AR1371" s="61">
        <v>2644.39</v>
      </c>
    </row>
    <row r="1372" spans="1:44" x14ac:dyDescent="0.35">
      <c r="A1372" s="49" t="str">
        <f t="shared" si="111"/>
        <v>37</v>
      </c>
      <c r="B1372" s="27">
        <v>68221</v>
      </c>
      <c r="C1372" s="25" t="str">
        <f t="shared" si="112"/>
        <v>0000000</v>
      </c>
      <c r="D1372" s="26" t="s">
        <v>3663</v>
      </c>
      <c r="E1372" s="25" t="s">
        <v>2167</v>
      </c>
      <c r="F1372" s="25" t="s">
        <v>2047</v>
      </c>
      <c r="G1372" s="59" t="s">
        <v>2168</v>
      </c>
      <c r="H1372" s="60">
        <v>3782.14</v>
      </c>
      <c r="I1372" s="60">
        <v>3750.07</v>
      </c>
      <c r="J1372" s="60">
        <v>3879.1</v>
      </c>
      <c r="K1372" s="60">
        <v>0</v>
      </c>
      <c r="L1372" s="60">
        <v>0</v>
      </c>
      <c r="M1372" s="60">
        <v>0</v>
      </c>
      <c r="N1372" s="60">
        <v>0</v>
      </c>
      <c r="O1372" s="60">
        <v>0</v>
      </c>
      <c r="P1372" s="60">
        <v>0</v>
      </c>
      <c r="Q1372" s="60">
        <v>0</v>
      </c>
      <c r="R1372" s="60">
        <v>0</v>
      </c>
      <c r="S1372" s="60">
        <v>0</v>
      </c>
      <c r="T1372" s="60">
        <v>0</v>
      </c>
      <c r="U1372" s="60">
        <v>0</v>
      </c>
      <c r="V1372" s="60">
        <v>0</v>
      </c>
      <c r="W1372" s="60">
        <v>0</v>
      </c>
      <c r="X1372" s="60">
        <v>0</v>
      </c>
      <c r="Y1372" s="60">
        <v>0</v>
      </c>
      <c r="Z1372" s="60">
        <v>0</v>
      </c>
      <c r="AA1372" s="60">
        <v>0</v>
      </c>
      <c r="AB1372" s="60">
        <v>0</v>
      </c>
      <c r="AC1372" s="60">
        <v>339.29</v>
      </c>
      <c r="AD1372" s="60">
        <v>340.46</v>
      </c>
      <c r="AE1372" s="60">
        <v>332.51</v>
      </c>
      <c r="AF1372" s="60">
        <v>0</v>
      </c>
      <c r="AG1372" s="60">
        <v>0</v>
      </c>
      <c r="AH1372" s="60">
        <v>0</v>
      </c>
      <c r="AI1372" s="60">
        <v>4121.43</v>
      </c>
      <c r="AJ1372" s="60">
        <v>4090.53</v>
      </c>
      <c r="AK1372" s="60">
        <v>4211.6099999999997</v>
      </c>
      <c r="AL1372" s="60">
        <v>0</v>
      </c>
      <c r="AM1372" s="60">
        <v>0</v>
      </c>
      <c r="AN1372" s="60">
        <v>0</v>
      </c>
      <c r="AO1372" s="60">
        <v>4121.43</v>
      </c>
      <c r="AP1372" s="60">
        <v>4090.53</v>
      </c>
      <c r="AQ1372" s="60">
        <v>4211.6099999999997</v>
      </c>
      <c r="AR1372" s="61">
        <v>4211.6099999999997</v>
      </c>
    </row>
    <row r="1373" spans="1:44" x14ac:dyDescent="0.35">
      <c r="A1373" s="49" t="str">
        <f t="shared" si="111"/>
        <v>37</v>
      </c>
      <c r="B1373" s="27">
        <v>68379</v>
      </c>
      <c r="C1373" s="25" t="str">
        <f t="shared" si="112"/>
        <v>0000000</v>
      </c>
      <c r="D1373" s="26" t="s">
        <v>3663</v>
      </c>
      <c r="E1373" s="25" t="s">
        <v>2291</v>
      </c>
      <c r="F1373" s="25" t="s">
        <v>2047</v>
      </c>
      <c r="G1373" s="59" t="s">
        <v>2292</v>
      </c>
      <c r="H1373" s="60">
        <v>3874.95</v>
      </c>
      <c r="I1373" s="60">
        <v>3868.84</v>
      </c>
      <c r="J1373" s="60">
        <v>3844.24</v>
      </c>
      <c r="K1373" s="60">
        <v>0</v>
      </c>
      <c r="L1373" s="60">
        <v>0</v>
      </c>
      <c r="M1373" s="60">
        <v>0</v>
      </c>
      <c r="N1373" s="60">
        <v>0</v>
      </c>
      <c r="O1373" s="60">
        <v>0</v>
      </c>
      <c r="P1373" s="60">
        <v>0</v>
      </c>
      <c r="Q1373" s="60">
        <v>0</v>
      </c>
      <c r="R1373" s="60">
        <v>0</v>
      </c>
      <c r="S1373" s="60">
        <v>0</v>
      </c>
      <c r="T1373" s="60">
        <v>0</v>
      </c>
      <c r="U1373" s="60">
        <v>0</v>
      </c>
      <c r="V1373" s="60">
        <v>0</v>
      </c>
      <c r="W1373" s="60">
        <v>0</v>
      </c>
      <c r="X1373" s="60">
        <v>0</v>
      </c>
      <c r="Y1373" s="60">
        <v>0</v>
      </c>
      <c r="Z1373" s="60">
        <v>0</v>
      </c>
      <c r="AA1373" s="60">
        <v>0</v>
      </c>
      <c r="AB1373" s="60">
        <v>0</v>
      </c>
      <c r="AC1373" s="60">
        <v>0</v>
      </c>
      <c r="AD1373" s="60">
        <v>0</v>
      </c>
      <c r="AE1373" s="60">
        <v>0</v>
      </c>
      <c r="AF1373" s="60">
        <v>0</v>
      </c>
      <c r="AG1373" s="60">
        <v>0</v>
      </c>
      <c r="AH1373" s="60">
        <v>0</v>
      </c>
      <c r="AI1373" s="60">
        <v>3874.95</v>
      </c>
      <c r="AJ1373" s="60">
        <v>3868.84</v>
      </c>
      <c r="AK1373" s="60">
        <v>3844.24</v>
      </c>
      <c r="AL1373" s="60">
        <v>0</v>
      </c>
      <c r="AM1373" s="60">
        <v>0</v>
      </c>
      <c r="AN1373" s="60">
        <v>0</v>
      </c>
      <c r="AO1373" s="60">
        <v>3874.95</v>
      </c>
      <c r="AP1373" s="60">
        <v>3868.84</v>
      </c>
      <c r="AQ1373" s="60">
        <v>3844.24</v>
      </c>
      <c r="AR1373" s="61">
        <v>3874.95</v>
      </c>
    </row>
    <row r="1374" spans="1:44" x14ac:dyDescent="0.35">
      <c r="A1374" s="49" t="str">
        <f t="shared" si="111"/>
        <v>37</v>
      </c>
      <c r="B1374" s="27">
        <v>68395</v>
      </c>
      <c r="C1374" s="25" t="str">
        <f t="shared" si="112"/>
        <v>0000000</v>
      </c>
      <c r="D1374" s="26" t="s">
        <v>3663</v>
      </c>
      <c r="E1374" s="25" t="s">
        <v>2295</v>
      </c>
      <c r="F1374" s="25" t="s">
        <v>2047</v>
      </c>
      <c r="G1374" s="59" t="s">
        <v>2296</v>
      </c>
      <c r="H1374" s="60">
        <v>3463.02</v>
      </c>
      <c r="I1374" s="60">
        <v>3642.74</v>
      </c>
      <c r="J1374" s="60">
        <v>3808.76</v>
      </c>
      <c r="K1374" s="60">
        <v>0</v>
      </c>
      <c r="L1374" s="60">
        <v>0</v>
      </c>
      <c r="M1374" s="60">
        <v>0</v>
      </c>
      <c r="N1374" s="60">
        <v>0</v>
      </c>
      <c r="O1374" s="60">
        <v>0</v>
      </c>
      <c r="P1374" s="60">
        <v>0</v>
      </c>
      <c r="Q1374" s="60">
        <v>0</v>
      </c>
      <c r="R1374" s="60">
        <v>0</v>
      </c>
      <c r="S1374" s="60">
        <v>0</v>
      </c>
      <c r="T1374" s="60">
        <v>0</v>
      </c>
      <c r="U1374" s="60">
        <v>0</v>
      </c>
      <c r="V1374" s="60">
        <v>0</v>
      </c>
      <c r="W1374" s="60">
        <v>0</v>
      </c>
      <c r="X1374" s="60">
        <v>0</v>
      </c>
      <c r="Y1374" s="60">
        <v>0</v>
      </c>
      <c r="Z1374" s="60">
        <v>0</v>
      </c>
      <c r="AA1374" s="60">
        <v>0</v>
      </c>
      <c r="AB1374" s="60">
        <v>0</v>
      </c>
      <c r="AC1374" s="60">
        <v>1717.28</v>
      </c>
      <c r="AD1374" s="60">
        <v>1683.07</v>
      </c>
      <c r="AE1374" s="60">
        <v>1670.5</v>
      </c>
      <c r="AF1374" s="60">
        <v>0</v>
      </c>
      <c r="AG1374" s="60">
        <v>0</v>
      </c>
      <c r="AH1374" s="60">
        <v>0</v>
      </c>
      <c r="AI1374" s="60">
        <v>5180.3</v>
      </c>
      <c r="AJ1374" s="60">
        <v>5325.81</v>
      </c>
      <c r="AK1374" s="60">
        <v>5479.26</v>
      </c>
      <c r="AL1374" s="60">
        <v>0</v>
      </c>
      <c r="AM1374" s="60">
        <v>0</v>
      </c>
      <c r="AN1374" s="60">
        <v>0</v>
      </c>
      <c r="AO1374" s="60">
        <v>5180.3</v>
      </c>
      <c r="AP1374" s="60">
        <v>5325.81</v>
      </c>
      <c r="AQ1374" s="60">
        <v>5479.26</v>
      </c>
      <c r="AR1374" s="61">
        <v>5479.26</v>
      </c>
    </row>
    <row r="1375" spans="1:44" x14ac:dyDescent="0.35">
      <c r="A1375" s="49" t="str">
        <f t="shared" si="111"/>
        <v>37</v>
      </c>
      <c r="B1375" s="27">
        <v>68411</v>
      </c>
      <c r="C1375" s="25" t="str">
        <f t="shared" si="112"/>
        <v>0000000</v>
      </c>
      <c r="D1375" s="26" t="s">
        <v>3663</v>
      </c>
      <c r="E1375" s="25" t="s">
        <v>2299</v>
      </c>
      <c r="F1375" s="25" t="s">
        <v>2047</v>
      </c>
      <c r="G1375" s="59" t="s">
        <v>2300</v>
      </c>
      <c r="H1375" s="60">
        <v>32079.61</v>
      </c>
      <c r="I1375" s="60">
        <v>32664.76</v>
      </c>
      <c r="J1375" s="60">
        <v>32755.84</v>
      </c>
      <c r="K1375" s="60">
        <v>0</v>
      </c>
      <c r="L1375" s="60">
        <v>0</v>
      </c>
      <c r="M1375" s="60">
        <v>0</v>
      </c>
      <c r="N1375" s="60">
        <v>0</v>
      </c>
      <c r="O1375" s="60">
        <v>0</v>
      </c>
      <c r="P1375" s="60">
        <v>0</v>
      </c>
      <c r="Q1375" s="60">
        <v>0</v>
      </c>
      <c r="R1375" s="60">
        <v>0</v>
      </c>
      <c r="S1375" s="60">
        <v>0</v>
      </c>
      <c r="T1375" s="60">
        <v>0</v>
      </c>
      <c r="U1375" s="60">
        <v>0</v>
      </c>
      <c r="V1375" s="60">
        <v>0</v>
      </c>
      <c r="W1375" s="60">
        <v>0</v>
      </c>
      <c r="X1375" s="60">
        <v>0</v>
      </c>
      <c r="Y1375" s="60">
        <v>0</v>
      </c>
      <c r="Z1375" s="60">
        <v>0</v>
      </c>
      <c r="AA1375" s="60">
        <v>0</v>
      </c>
      <c r="AB1375" s="60">
        <v>0</v>
      </c>
      <c r="AC1375" s="60">
        <v>0</v>
      </c>
      <c r="AD1375" s="60">
        <v>0</v>
      </c>
      <c r="AE1375" s="60">
        <v>0</v>
      </c>
      <c r="AF1375" s="60">
        <v>0</v>
      </c>
      <c r="AG1375" s="60">
        <v>0</v>
      </c>
      <c r="AH1375" s="60">
        <v>0</v>
      </c>
      <c r="AI1375" s="60">
        <v>32079.61</v>
      </c>
      <c r="AJ1375" s="60">
        <v>32664.76</v>
      </c>
      <c r="AK1375" s="60">
        <v>32755.84</v>
      </c>
      <c r="AL1375" s="60">
        <v>0</v>
      </c>
      <c r="AM1375" s="60">
        <v>0</v>
      </c>
      <c r="AN1375" s="60">
        <v>0</v>
      </c>
      <c r="AO1375" s="60">
        <v>32079.61</v>
      </c>
      <c r="AP1375" s="60">
        <v>32664.76</v>
      </c>
      <c r="AQ1375" s="60">
        <v>32755.84</v>
      </c>
      <c r="AR1375" s="61">
        <v>32755.84</v>
      </c>
    </row>
    <row r="1376" spans="1:44" x14ac:dyDescent="0.35">
      <c r="A1376" s="49" t="str">
        <f t="shared" si="111"/>
        <v>37</v>
      </c>
      <c r="B1376" s="27">
        <v>10371</v>
      </c>
      <c r="C1376" s="25" t="str">
        <f t="shared" si="112"/>
        <v>0000000</v>
      </c>
      <c r="D1376" s="26" t="s">
        <v>3663</v>
      </c>
      <c r="E1376" s="25" t="s">
        <v>2048</v>
      </c>
      <c r="F1376" s="25" t="s">
        <v>2049</v>
      </c>
      <c r="G1376" s="59" t="s">
        <v>2049</v>
      </c>
      <c r="H1376" s="60">
        <v>0</v>
      </c>
      <c r="I1376" s="60">
        <v>0</v>
      </c>
      <c r="J1376" s="60">
        <v>0</v>
      </c>
      <c r="K1376" s="60">
        <v>0</v>
      </c>
      <c r="L1376" s="60">
        <v>0</v>
      </c>
      <c r="M1376" s="60">
        <v>0</v>
      </c>
      <c r="N1376" s="60">
        <v>0</v>
      </c>
      <c r="O1376" s="60">
        <v>0</v>
      </c>
      <c r="P1376" s="60">
        <v>0</v>
      </c>
      <c r="Q1376" s="60">
        <v>0</v>
      </c>
      <c r="R1376" s="60">
        <v>0</v>
      </c>
      <c r="S1376" s="60">
        <v>0</v>
      </c>
      <c r="T1376" s="60">
        <v>0</v>
      </c>
      <c r="U1376" s="60">
        <v>0</v>
      </c>
      <c r="V1376" s="60">
        <v>0</v>
      </c>
      <c r="W1376" s="60">
        <v>0</v>
      </c>
      <c r="X1376" s="60">
        <v>0</v>
      </c>
      <c r="Y1376" s="60">
        <v>0</v>
      </c>
      <c r="Z1376" s="60">
        <v>0</v>
      </c>
      <c r="AA1376" s="60">
        <v>0</v>
      </c>
      <c r="AB1376" s="60">
        <v>0</v>
      </c>
      <c r="AC1376" s="60">
        <v>0</v>
      </c>
      <c r="AD1376" s="60">
        <v>0</v>
      </c>
      <c r="AE1376" s="60">
        <v>0</v>
      </c>
      <c r="AF1376" s="60">
        <v>0</v>
      </c>
      <c r="AG1376" s="60">
        <v>0</v>
      </c>
      <c r="AH1376" s="60">
        <v>0</v>
      </c>
      <c r="AI1376" s="60">
        <v>0</v>
      </c>
      <c r="AJ1376" s="60">
        <v>0</v>
      </c>
      <c r="AK1376" s="60">
        <v>0</v>
      </c>
      <c r="AL1376" s="60">
        <v>0</v>
      </c>
      <c r="AM1376" s="60">
        <v>0</v>
      </c>
      <c r="AN1376" s="60">
        <v>0</v>
      </c>
      <c r="AO1376" s="60">
        <v>0</v>
      </c>
      <c r="AP1376" s="60">
        <v>0</v>
      </c>
      <c r="AQ1376" s="60">
        <v>0</v>
      </c>
      <c r="AR1376" s="61">
        <v>0</v>
      </c>
    </row>
    <row r="1377" spans="1:44" x14ac:dyDescent="0.35">
      <c r="A1377" s="49" t="str">
        <f t="shared" si="111"/>
        <v>37</v>
      </c>
      <c r="B1377" s="27">
        <v>67983</v>
      </c>
      <c r="C1377" s="25" t="str">
        <f t="shared" si="112"/>
        <v>0000000</v>
      </c>
      <c r="D1377" s="26" t="s">
        <v>3663</v>
      </c>
      <c r="E1377" s="25" t="s">
        <v>2080</v>
      </c>
      <c r="F1377" s="25" t="s">
        <v>2049</v>
      </c>
      <c r="G1377" s="59" t="s">
        <v>2081</v>
      </c>
      <c r="H1377" s="60">
        <v>324.73</v>
      </c>
      <c r="I1377" s="60">
        <v>329.17</v>
      </c>
      <c r="J1377" s="60">
        <v>314.81</v>
      </c>
      <c r="K1377" s="60">
        <v>0</v>
      </c>
      <c r="L1377" s="60">
        <v>0</v>
      </c>
      <c r="M1377" s="60">
        <v>0</v>
      </c>
      <c r="N1377" s="60">
        <v>0</v>
      </c>
      <c r="O1377" s="60">
        <v>0</v>
      </c>
      <c r="P1377" s="60">
        <v>0</v>
      </c>
      <c r="Q1377" s="60">
        <v>0</v>
      </c>
      <c r="R1377" s="60">
        <v>0</v>
      </c>
      <c r="S1377" s="60">
        <v>0</v>
      </c>
      <c r="T1377" s="60">
        <v>0</v>
      </c>
      <c r="U1377" s="60">
        <v>0</v>
      </c>
      <c r="V1377" s="60">
        <v>0</v>
      </c>
      <c r="W1377" s="60">
        <v>0</v>
      </c>
      <c r="X1377" s="60">
        <v>0</v>
      </c>
      <c r="Y1377" s="60">
        <v>0</v>
      </c>
      <c r="Z1377" s="60">
        <v>0</v>
      </c>
      <c r="AA1377" s="60">
        <v>0</v>
      </c>
      <c r="AB1377" s="60">
        <v>0</v>
      </c>
      <c r="AC1377" s="60">
        <v>0</v>
      </c>
      <c r="AD1377" s="60">
        <v>0</v>
      </c>
      <c r="AE1377" s="60">
        <v>0</v>
      </c>
      <c r="AF1377" s="60">
        <v>0</v>
      </c>
      <c r="AG1377" s="60">
        <v>0</v>
      </c>
      <c r="AH1377" s="60">
        <v>0</v>
      </c>
      <c r="AI1377" s="60">
        <v>324.73</v>
      </c>
      <c r="AJ1377" s="60">
        <v>329.17</v>
      </c>
      <c r="AK1377" s="60">
        <v>314.81</v>
      </c>
      <c r="AL1377" s="60">
        <v>0</v>
      </c>
      <c r="AM1377" s="60">
        <v>0</v>
      </c>
      <c r="AN1377" s="60">
        <v>0</v>
      </c>
      <c r="AO1377" s="60">
        <v>324.73</v>
      </c>
      <c r="AP1377" s="60">
        <v>329.17</v>
      </c>
      <c r="AQ1377" s="60">
        <v>314.81</v>
      </c>
      <c r="AR1377" s="61">
        <v>329.17</v>
      </c>
    </row>
    <row r="1378" spans="1:44" x14ac:dyDescent="0.35">
      <c r="A1378" s="49" t="str">
        <f t="shared" si="111"/>
        <v>37</v>
      </c>
      <c r="B1378" s="27">
        <v>68098</v>
      </c>
      <c r="C1378" s="25" t="str">
        <f t="shared" si="112"/>
        <v>0000000</v>
      </c>
      <c r="D1378" s="26" t="s">
        <v>3663</v>
      </c>
      <c r="E1378" s="25" t="s">
        <v>2112</v>
      </c>
      <c r="F1378" s="25" t="s">
        <v>2049</v>
      </c>
      <c r="G1378" s="59" t="s">
        <v>2113</v>
      </c>
      <c r="H1378" s="60">
        <v>12957.76</v>
      </c>
      <c r="I1378" s="60">
        <v>12813.04</v>
      </c>
      <c r="J1378" s="60">
        <v>12586.43</v>
      </c>
      <c r="K1378" s="60">
        <v>0</v>
      </c>
      <c r="L1378" s="60">
        <v>0</v>
      </c>
      <c r="M1378" s="60">
        <v>0</v>
      </c>
      <c r="N1378" s="60">
        <v>0</v>
      </c>
      <c r="O1378" s="60">
        <v>0</v>
      </c>
      <c r="P1378" s="60">
        <v>0</v>
      </c>
      <c r="Q1378" s="60">
        <v>0</v>
      </c>
      <c r="R1378" s="60">
        <v>0</v>
      </c>
      <c r="S1378" s="60">
        <v>0</v>
      </c>
      <c r="T1378" s="60">
        <v>0</v>
      </c>
      <c r="U1378" s="60">
        <v>0</v>
      </c>
      <c r="V1378" s="60">
        <v>0</v>
      </c>
      <c r="W1378" s="60">
        <v>0</v>
      </c>
      <c r="X1378" s="60">
        <v>0</v>
      </c>
      <c r="Y1378" s="60">
        <v>0</v>
      </c>
      <c r="Z1378" s="60">
        <v>0</v>
      </c>
      <c r="AA1378" s="60">
        <v>0</v>
      </c>
      <c r="AB1378" s="60">
        <v>0</v>
      </c>
      <c r="AC1378" s="60">
        <v>1275.3599999999999</v>
      </c>
      <c r="AD1378" s="60">
        <v>1278.96</v>
      </c>
      <c r="AE1378" s="60">
        <v>1271.52</v>
      </c>
      <c r="AF1378" s="60">
        <v>0</v>
      </c>
      <c r="AG1378" s="60">
        <v>0</v>
      </c>
      <c r="AH1378" s="60">
        <v>0</v>
      </c>
      <c r="AI1378" s="60">
        <v>14233.12</v>
      </c>
      <c r="AJ1378" s="60">
        <v>14092</v>
      </c>
      <c r="AK1378" s="60">
        <v>13857.95</v>
      </c>
      <c r="AL1378" s="60">
        <v>0</v>
      </c>
      <c r="AM1378" s="60">
        <v>0</v>
      </c>
      <c r="AN1378" s="60">
        <v>0</v>
      </c>
      <c r="AO1378" s="60">
        <v>14233.12</v>
      </c>
      <c r="AP1378" s="60">
        <v>14092</v>
      </c>
      <c r="AQ1378" s="60">
        <v>13857.95</v>
      </c>
      <c r="AR1378" s="61">
        <v>14233.12</v>
      </c>
    </row>
    <row r="1379" spans="1:44" x14ac:dyDescent="0.35">
      <c r="A1379" s="49" t="str">
        <f t="shared" si="111"/>
        <v>37</v>
      </c>
      <c r="B1379" s="27">
        <v>68106</v>
      </c>
      <c r="C1379" s="25" t="str">
        <f t="shared" si="112"/>
        <v>0000000</v>
      </c>
      <c r="D1379" s="26" t="s">
        <v>3663</v>
      </c>
      <c r="E1379" s="25" t="s">
        <v>2117</v>
      </c>
      <c r="F1379" s="25" t="s">
        <v>2049</v>
      </c>
      <c r="G1379" s="59" t="s">
        <v>2118</v>
      </c>
      <c r="H1379" s="60">
        <v>5990.35</v>
      </c>
      <c r="I1379" s="60">
        <v>6196.06</v>
      </c>
      <c r="J1379" s="60">
        <v>6350.24</v>
      </c>
      <c r="K1379" s="60">
        <v>0</v>
      </c>
      <c r="L1379" s="60">
        <v>0</v>
      </c>
      <c r="M1379" s="60">
        <v>0</v>
      </c>
      <c r="N1379" s="60">
        <v>0</v>
      </c>
      <c r="O1379" s="60">
        <v>0</v>
      </c>
      <c r="P1379" s="60">
        <v>0</v>
      </c>
      <c r="Q1379" s="60">
        <v>0</v>
      </c>
      <c r="R1379" s="60">
        <v>0</v>
      </c>
      <c r="S1379" s="60">
        <v>0</v>
      </c>
      <c r="T1379" s="60">
        <v>0</v>
      </c>
      <c r="U1379" s="60">
        <v>0</v>
      </c>
      <c r="V1379" s="60">
        <v>0</v>
      </c>
      <c r="W1379" s="60">
        <v>0</v>
      </c>
      <c r="X1379" s="60">
        <v>0</v>
      </c>
      <c r="Y1379" s="60">
        <v>0</v>
      </c>
      <c r="Z1379" s="60">
        <v>0</v>
      </c>
      <c r="AA1379" s="60">
        <v>0</v>
      </c>
      <c r="AB1379" s="60">
        <v>0</v>
      </c>
      <c r="AC1379" s="60">
        <v>907.64</v>
      </c>
      <c r="AD1379" s="60">
        <v>901.71</v>
      </c>
      <c r="AE1379" s="60">
        <v>904.74</v>
      </c>
      <c r="AF1379" s="60">
        <v>0</v>
      </c>
      <c r="AG1379" s="60">
        <v>0</v>
      </c>
      <c r="AH1379" s="60">
        <v>0</v>
      </c>
      <c r="AI1379" s="60">
        <v>6897.99</v>
      </c>
      <c r="AJ1379" s="60">
        <v>7097.77</v>
      </c>
      <c r="AK1379" s="60">
        <v>7254.98</v>
      </c>
      <c r="AL1379" s="60">
        <v>0</v>
      </c>
      <c r="AM1379" s="60">
        <v>0</v>
      </c>
      <c r="AN1379" s="60">
        <v>0</v>
      </c>
      <c r="AO1379" s="60">
        <v>6897.99</v>
      </c>
      <c r="AP1379" s="60">
        <v>7097.77</v>
      </c>
      <c r="AQ1379" s="60">
        <v>7254.98</v>
      </c>
      <c r="AR1379" s="61">
        <v>7254.98</v>
      </c>
    </row>
    <row r="1380" spans="1:44" x14ac:dyDescent="0.35">
      <c r="A1380" s="49" t="str">
        <f t="shared" si="111"/>
        <v>37</v>
      </c>
      <c r="B1380" s="27">
        <v>68163</v>
      </c>
      <c r="C1380" s="25" t="str">
        <f t="shared" si="112"/>
        <v>0000000</v>
      </c>
      <c r="D1380" s="26" t="s">
        <v>3663</v>
      </c>
      <c r="E1380" s="25" t="s">
        <v>2134</v>
      </c>
      <c r="F1380" s="25" t="s">
        <v>2049</v>
      </c>
      <c r="G1380" s="59" t="s">
        <v>2135</v>
      </c>
      <c r="H1380" s="60">
        <v>247.32</v>
      </c>
      <c r="I1380" s="60">
        <v>254.48</v>
      </c>
      <c r="J1380" s="60">
        <v>238.66</v>
      </c>
      <c r="K1380" s="60">
        <v>0</v>
      </c>
      <c r="L1380" s="60">
        <v>0</v>
      </c>
      <c r="M1380" s="60">
        <v>0</v>
      </c>
      <c r="N1380" s="60">
        <v>0</v>
      </c>
      <c r="O1380" s="60">
        <v>0</v>
      </c>
      <c r="P1380" s="60">
        <v>0</v>
      </c>
      <c r="Q1380" s="60">
        <v>0</v>
      </c>
      <c r="R1380" s="60">
        <v>0</v>
      </c>
      <c r="S1380" s="60">
        <v>0</v>
      </c>
      <c r="T1380" s="60">
        <v>0</v>
      </c>
      <c r="U1380" s="60">
        <v>0</v>
      </c>
      <c r="V1380" s="60">
        <v>0</v>
      </c>
      <c r="W1380" s="60">
        <v>0</v>
      </c>
      <c r="X1380" s="60">
        <v>0</v>
      </c>
      <c r="Y1380" s="60">
        <v>0</v>
      </c>
      <c r="Z1380" s="60">
        <v>0</v>
      </c>
      <c r="AA1380" s="60">
        <v>0</v>
      </c>
      <c r="AB1380" s="60">
        <v>0</v>
      </c>
      <c r="AC1380" s="60">
        <v>515.04</v>
      </c>
      <c r="AD1380" s="60">
        <v>380.73</v>
      </c>
      <c r="AE1380" s="60">
        <v>424.73</v>
      </c>
      <c r="AF1380" s="60">
        <v>0</v>
      </c>
      <c r="AG1380" s="60">
        <v>0</v>
      </c>
      <c r="AH1380" s="60">
        <v>0</v>
      </c>
      <c r="AI1380" s="60">
        <v>762.36</v>
      </c>
      <c r="AJ1380" s="60">
        <v>635.21</v>
      </c>
      <c r="AK1380" s="60">
        <v>663.39</v>
      </c>
      <c r="AL1380" s="60">
        <v>0</v>
      </c>
      <c r="AM1380" s="60">
        <v>0</v>
      </c>
      <c r="AN1380" s="60">
        <v>0</v>
      </c>
      <c r="AO1380" s="60">
        <v>762.36</v>
      </c>
      <c r="AP1380" s="60">
        <v>635.21</v>
      </c>
      <c r="AQ1380" s="60">
        <v>663.39</v>
      </c>
      <c r="AR1380" s="61">
        <v>762.36</v>
      </c>
    </row>
    <row r="1381" spans="1:44" x14ac:dyDescent="0.35">
      <c r="A1381" s="49" t="str">
        <f t="shared" si="111"/>
        <v>37</v>
      </c>
      <c r="B1381" s="27">
        <v>68304</v>
      </c>
      <c r="C1381" s="25" t="str">
        <f t="shared" si="112"/>
        <v>0000000</v>
      </c>
      <c r="D1381" s="26" t="s">
        <v>3663</v>
      </c>
      <c r="E1381" s="25" t="s">
        <v>2171</v>
      </c>
      <c r="F1381" s="25" t="s">
        <v>2049</v>
      </c>
      <c r="G1381" s="59" t="s">
        <v>2172</v>
      </c>
      <c r="H1381" s="60">
        <v>4699.8500000000004</v>
      </c>
      <c r="I1381" s="60">
        <v>4636.6099999999997</v>
      </c>
      <c r="J1381" s="60">
        <v>4629.93</v>
      </c>
      <c r="K1381" s="60">
        <v>0</v>
      </c>
      <c r="L1381" s="60">
        <v>0</v>
      </c>
      <c r="M1381" s="60">
        <v>0</v>
      </c>
      <c r="N1381" s="60">
        <v>0</v>
      </c>
      <c r="O1381" s="60">
        <v>0</v>
      </c>
      <c r="P1381" s="60">
        <v>0</v>
      </c>
      <c r="Q1381" s="60">
        <v>0</v>
      </c>
      <c r="R1381" s="60">
        <v>0</v>
      </c>
      <c r="S1381" s="60">
        <v>0</v>
      </c>
      <c r="T1381" s="60">
        <v>0</v>
      </c>
      <c r="U1381" s="60">
        <v>0</v>
      </c>
      <c r="V1381" s="60">
        <v>0</v>
      </c>
      <c r="W1381" s="60">
        <v>0</v>
      </c>
      <c r="X1381" s="60">
        <v>0</v>
      </c>
      <c r="Y1381" s="60">
        <v>0</v>
      </c>
      <c r="Z1381" s="60">
        <v>0</v>
      </c>
      <c r="AA1381" s="60">
        <v>0</v>
      </c>
      <c r="AB1381" s="60">
        <v>0</v>
      </c>
      <c r="AC1381" s="60">
        <v>0</v>
      </c>
      <c r="AD1381" s="60">
        <v>0</v>
      </c>
      <c r="AE1381" s="60">
        <v>0</v>
      </c>
      <c r="AF1381" s="60">
        <v>0</v>
      </c>
      <c r="AG1381" s="60">
        <v>0</v>
      </c>
      <c r="AH1381" s="60">
        <v>0</v>
      </c>
      <c r="AI1381" s="60">
        <v>4699.8500000000004</v>
      </c>
      <c r="AJ1381" s="60">
        <v>4636.6099999999997</v>
      </c>
      <c r="AK1381" s="60">
        <v>4629.93</v>
      </c>
      <c r="AL1381" s="60">
        <v>0</v>
      </c>
      <c r="AM1381" s="60">
        <v>0</v>
      </c>
      <c r="AN1381" s="60">
        <v>0</v>
      </c>
      <c r="AO1381" s="60">
        <v>4699.8500000000004</v>
      </c>
      <c r="AP1381" s="60">
        <v>4636.6099999999997</v>
      </c>
      <c r="AQ1381" s="60">
        <v>4629.93</v>
      </c>
      <c r="AR1381" s="61">
        <v>4699.8500000000004</v>
      </c>
    </row>
    <row r="1382" spans="1:44" x14ac:dyDescent="0.35">
      <c r="A1382" s="49" t="str">
        <f t="shared" si="111"/>
        <v>37</v>
      </c>
      <c r="B1382" s="27">
        <v>75614</v>
      </c>
      <c r="C1382" s="25" t="str">
        <f t="shared" si="112"/>
        <v>0000000</v>
      </c>
      <c r="D1382" s="26" t="s">
        <v>3663</v>
      </c>
      <c r="E1382" s="25" t="s">
        <v>2346</v>
      </c>
      <c r="F1382" s="25" t="s">
        <v>2049</v>
      </c>
      <c r="G1382" s="59" t="s">
        <v>2347</v>
      </c>
      <c r="H1382" s="60">
        <v>3366.42</v>
      </c>
      <c r="I1382" s="60">
        <v>3369.14</v>
      </c>
      <c r="J1382" s="60">
        <v>3380.71</v>
      </c>
      <c r="K1382" s="60">
        <v>0</v>
      </c>
      <c r="L1382" s="60">
        <v>0</v>
      </c>
      <c r="M1382" s="60">
        <v>0</v>
      </c>
      <c r="N1382" s="60">
        <v>0</v>
      </c>
      <c r="O1382" s="60">
        <v>0</v>
      </c>
      <c r="P1382" s="60">
        <v>0</v>
      </c>
      <c r="Q1382" s="60">
        <v>0</v>
      </c>
      <c r="R1382" s="60">
        <v>0</v>
      </c>
      <c r="S1382" s="60">
        <v>0</v>
      </c>
      <c r="T1382" s="60">
        <v>0</v>
      </c>
      <c r="U1382" s="60">
        <v>0</v>
      </c>
      <c r="V1382" s="60">
        <v>0</v>
      </c>
      <c r="W1382" s="60">
        <v>0</v>
      </c>
      <c r="X1382" s="60">
        <v>0</v>
      </c>
      <c r="Y1382" s="60">
        <v>0</v>
      </c>
      <c r="Z1382" s="60">
        <v>0</v>
      </c>
      <c r="AA1382" s="60">
        <v>0</v>
      </c>
      <c r="AB1382" s="60">
        <v>0</v>
      </c>
      <c r="AC1382" s="60">
        <v>0</v>
      </c>
      <c r="AD1382" s="60">
        <v>0</v>
      </c>
      <c r="AE1382" s="60">
        <v>0</v>
      </c>
      <c r="AF1382" s="60">
        <v>0</v>
      </c>
      <c r="AG1382" s="60">
        <v>0</v>
      </c>
      <c r="AH1382" s="60">
        <v>0</v>
      </c>
      <c r="AI1382" s="60">
        <v>3366.42</v>
      </c>
      <c r="AJ1382" s="60">
        <v>3369.14</v>
      </c>
      <c r="AK1382" s="60">
        <v>3380.71</v>
      </c>
      <c r="AL1382" s="60">
        <v>0</v>
      </c>
      <c r="AM1382" s="60">
        <v>0</v>
      </c>
      <c r="AN1382" s="60">
        <v>0</v>
      </c>
      <c r="AO1382" s="60">
        <v>3366.42</v>
      </c>
      <c r="AP1382" s="60">
        <v>3369.14</v>
      </c>
      <c r="AQ1382" s="60">
        <v>3380.71</v>
      </c>
      <c r="AR1382" s="61">
        <v>3380.71</v>
      </c>
    </row>
    <row r="1383" spans="1:44" x14ac:dyDescent="0.35">
      <c r="A1383" s="49" t="str">
        <f t="shared" si="111"/>
        <v>37</v>
      </c>
      <c r="B1383" s="27">
        <v>68353</v>
      </c>
      <c r="C1383" s="25" t="str">
        <f t="shared" si="112"/>
        <v>0000000</v>
      </c>
      <c r="D1383" s="26" t="s">
        <v>3663</v>
      </c>
      <c r="E1383" s="25" t="s">
        <v>2287</v>
      </c>
      <c r="F1383" s="25" t="s">
        <v>2049</v>
      </c>
      <c r="G1383" s="59" t="s">
        <v>2288</v>
      </c>
      <c r="H1383" s="60">
        <v>505.41</v>
      </c>
      <c r="I1383" s="60">
        <v>462.8</v>
      </c>
      <c r="J1383" s="60">
        <v>467.07</v>
      </c>
      <c r="K1383" s="60">
        <v>0</v>
      </c>
      <c r="L1383" s="60">
        <v>0</v>
      </c>
      <c r="M1383" s="60">
        <v>0</v>
      </c>
      <c r="N1383" s="60">
        <v>0</v>
      </c>
      <c r="O1383" s="60">
        <v>0</v>
      </c>
      <c r="P1383" s="60">
        <v>0</v>
      </c>
      <c r="Q1383" s="60">
        <v>0</v>
      </c>
      <c r="R1383" s="60">
        <v>0</v>
      </c>
      <c r="S1383" s="60">
        <v>0</v>
      </c>
      <c r="T1383" s="60">
        <v>0</v>
      </c>
      <c r="U1383" s="60">
        <v>0</v>
      </c>
      <c r="V1383" s="60">
        <v>0</v>
      </c>
      <c r="W1383" s="60">
        <v>0</v>
      </c>
      <c r="X1383" s="60">
        <v>0</v>
      </c>
      <c r="Y1383" s="60">
        <v>0</v>
      </c>
      <c r="Z1383" s="60">
        <v>0</v>
      </c>
      <c r="AA1383" s="60">
        <v>0</v>
      </c>
      <c r="AB1383" s="60">
        <v>0</v>
      </c>
      <c r="AC1383" s="60">
        <v>0</v>
      </c>
      <c r="AD1383" s="60">
        <v>0</v>
      </c>
      <c r="AE1383" s="60">
        <v>0</v>
      </c>
      <c r="AF1383" s="60">
        <v>0</v>
      </c>
      <c r="AG1383" s="60">
        <v>0</v>
      </c>
      <c r="AH1383" s="60">
        <v>0</v>
      </c>
      <c r="AI1383" s="60">
        <v>505.41</v>
      </c>
      <c r="AJ1383" s="60">
        <v>462.8</v>
      </c>
      <c r="AK1383" s="60">
        <v>467.07</v>
      </c>
      <c r="AL1383" s="60">
        <v>0</v>
      </c>
      <c r="AM1383" s="60">
        <v>0</v>
      </c>
      <c r="AN1383" s="60">
        <v>0</v>
      </c>
      <c r="AO1383" s="60">
        <v>505.41</v>
      </c>
      <c r="AP1383" s="60">
        <v>462.8</v>
      </c>
      <c r="AQ1383" s="60">
        <v>467.07</v>
      </c>
      <c r="AR1383" s="61">
        <v>505.41</v>
      </c>
    </row>
    <row r="1384" spans="1:44" x14ac:dyDescent="0.35">
      <c r="A1384" s="49" t="str">
        <f t="shared" si="111"/>
        <v>37</v>
      </c>
      <c r="B1384" s="27">
        <v>75416</v>
      </c>
      <c r="C1384" s="25" t="str">
        <f t="shared" si="112"/>
        <v>0000000</v>
      </c>
      <c r="D1384" s="26" t="s">
        <v>3663</v>
      </c>
      <c r="E1384" s="25" t="s">
        <v>2331</v>
      </c>
      <c r="F1384" s="25" t="s">
        <v>2049</v>
      </c>
      <c r="G1384" s="59" t="s">
        <v>2332</v>
      </c>
      <c r="H1384" s="60">
        <v>178.43</v>
      </c>
      <c r="I1384" s="60">
        <v>173.83</v>
      </c>
      <c r="J1384" s="60">
        <v>174.36</v>
      </c>
      <c r="K1384" s="60">
        <v>0</v>
      </c>
      <c r="L1384" s="60">
        <v>0</v>
      </c>
      <c r="M1384" s="60">
        <v>0</v>
      </c>
      <c r="N1384" s="60">
        <v>0</v>
      </c>
      <c r="O1384" s="60">
        <v>0</v>
      </c>
      <c r="P1384" s="60">
        <v>0</v>
      </c>
      <c r="Q1384" s="60">
        <v>0</v>
      </c>
      <c r="R1384" s="60">
        <v>0</v>
      </c>
      <c r="S1384" s="60">
        <v>0</v>
      </c>
      <c r="T1384" s="60">
        <v>0</v>
      </c>
      <c r="U1384" s="60">
        <v>0</v>
      </c>
      <c r="V1384" s="60">
        <v>0</v>
      </c>
      <c r="W1384" s="60">
        <v>0</v>
      </c>
      <c r="X1384" s="60">
        <v>0</v>
      </c>
      <c r="Y1384" s="60">
        <v>0</v>
      </c>
      <c r="Z1384" s="60">
        <v>0</v>
      </c>
      <c r="AA1384" s="60">
        <v>0</v>
      </c>
      <c r="AB1384" s="60">
        <v>0</v>
      </c>
      <c r="AC1384" s="60">
        <v>0</v>
      </c>
      <c r="AD1384" s="60">
        <v>0</v>
      </c>
      <c r="AE1384" s="60">
        <v>0</v>
      </c>
      <c r="AF1384" s="60">
        <v>0</v>
      </c>
      <c r="AG1384" s="60">
        <v>0</v>
      </c>
      <c r="AH1384" s="60">
        <v>0</v>
      </c>
      <c r="AI1384" s="60">
        <v>178.43</v>
      </c>
      <c r="AJ1384" s="60">
        <v>173.83</v>
      </c>
      <c r="AK1384" s="60">
        <v>174.36</v>
      </c>
      <c r="AL1384" s="60">
        <v>0</v>
      </c>
      <c r="AM1384" s="60">
        <v>0</v>
      </c>
      <c r="AN1384" s="60">
        <v>0</v>
      </c>
      <c r="AO1384" s="60">
        <v>178.43</v>
      </c>
      <c r="AP1384" s="60">
        <v>173.83</v>
      </c>
      <c r="AQ1384" s="60">
        <v>174.36</v>
      </c>
      <c r="AR1384" s="61">
        <v>178.43</v>
      </c>
    </row>
    <row r="1385" spans="1:44" x14ac:dyDescent="0.35">
      <c r="A1385" s="49" t="str">
        <f t="shared" si="111"/>
        <v>37</v>
      </c>
      <c r="B1385" s="27">
        <v>68171</v>
      </c>
      <c r="C1385" s="25" t="str">
        <f t="shared" si="112"/>
        <v>0000000</v>
      </c>
      <c r="D1385" s="26" t="s">
        <v>3663</v>
      </c>
      <c r="E1385" s="25" t="s">
        <v>2147</v>
      </c>
      <c r="F1385" s="25" t="s">
        <v>2049</v>
      </c>
      <c r="G1385" s="59" t="s">
        <v>2148</v>
      </c>
      <c r="H1385" s="60">
        <v>108.94</v>
      </c>
      <c r="I1385" s="60">
        <v>92.54</v>
      </c>
      <c r="J1385" s="60">
        <v>87.11</v>
      </c>
      <c r="K1385" s="60">
        <v>0</v>
      </c>
      <c r="L1385" s="60">
        <v>0</v>
      </c>
      <c r="M1385" s="60">
        <v>0</v>
      </c>
      <c r="N1385" s="60">
        <v>0</v>
      </c>
      <c r="O1385" s="60">
        <v>0</v>
      </c>
      <c r="P1385" s="60">
        <v>0</v>
      </c>
      <c r="Q1385" s="60">
        <v>0</v>
      </c>
      <c r="R1385" s="60">
        <v>0</v>
      </c>
      <c r="S1385" s="60">
        <v>0</v>
      </c>
      <c r="T1385" s="60">
        <v>0</v>
      </c>
      <c r="U1385" s="60">
        <v>0</v>
      </c>
      <c r="V1385" s="60">
        <v>0</v>
      </c>
      <c r="W1385" s="60">
        <v>0</v>
      </c>
      <c r="X1385" s="60">
        <v>0</v>
      </c>
      <c r="Y1385" s="60">
        <v>0</v>
      </c>
      <c r="Z1385" s="60">
        <v>0</v>
      </c>
      <c r="AA1385" s="60">
        <v>0</v>
      </c>
      <c r="AB1385" s="60">
        <v>0</v>
      </c>
      <c r="AC1385" s="60">
        <v>0</v>
      </c>
      <c r="AD1385" s="60">
        <v>0</v>
      </c>
      <c r="AE1385" s="60">
        <v>0</v>
      </c>
      <c r="AF1385" s="60">
        <v>0</v>
      </c>
      <c r="AG1385" s="60">
        <v>0</v>
      </c>
      <c r="AH1385" s="60">
        <v>0</v>
      </c>
      <c r="AI1385" s="60">
        <v>108.94</v>
      </c>
      <c r="AJ1385" s="60">
        <v>92.54</v>
      </c>
      <c r="AK1385" s="60">
        <v>87.11</v>
      </c>
      <c r="AL1385" s="60">
        <v>0</v>
      </c>
      <c r="AM1385" s="60">
        <v>0</v>
      </c>
      <c r="AN1385" s="60">
        <v>0</v>
      </c>
      <c r="AO1385" s="60">
        <v>108.94</v>
      </c>
      <c r="AP1385" s="60">
        <v>92.54</v>
      </c>
      <c r="AQ1385" s="60">
        <v>87.11</v>
      </c>
      <c r="AR1385" s="61">
        <v>108.94</v>
      </c>
    </row>
    <row r="1386" spans="1:44" x14ac:dyDescent="0.35">
      <c r="A1386" s="49" t="str">
        <f t="shared" si="111"/>
        <v>37</v>
      </c>
      <c r="B1386" s="27">
        <v>68403</v>
      </c>
      <c r="C1386" s="25" t="str">
        <f t="shared" si="112"/>
        <v>0000000</v>
      </c>
      <c r="D1386" s="26" t="s">
        <v>3663</v>
      </c>
      <c r="E1386" s="25" t="s">
        <v>2297</v>
      </c>
      <c r="F1386" s="25" t="s">
        <v>2049</v>
      </c>
      <c r="G1386" s="59" t="s">
        <v>2298</v>
      </c>
      <c r="H1386" s="60">
        <v>45.22</v>
      </c>
      <c r="I1386" s="60">
        <v>40.36</v>
      </c>
      <c r="J1386" s="60">
        <v>28.15</v>
      </c>
      <c r="K1386" s="60">
        <v>0</v>
      </c>
      <c r="L1386" s="60">
        <v>0</v>
      </c>
      <c r="M1386" s="60">
        <v>0</v>
      </c>
      <c r="N1386" s="60">
        <v>0</v>
      </c>
      <c r="O1386" s="60">
        <v>0</v>
      </c>
      <c r="P1386" s="60">
        <v>0</v>
      </c>
      <c r="Q1386" s="60">
        <v>0</v>
      </c>
      <c r="R1386" s="60">
        <v>0</v>
      </c>
      <c r="S1386" s="60">
        <v>0</v>
      </c>
      <c r="T1386" s="60">
        <v>0</v>
      </c>
      <c r="U1386" s="60">
        <v>0</v>
      </c>
      <c r="V1386" s="60">
        <v>0</v>
      </c>
      <c r="W1386" s="60">
        <v>0</v>
      </c>
      <c r="X1386" s="60">
        <v>0</v>
      </c>
      <c r="Y1386" s="60">
        <v>0</v>
      </c>
      <c r="Z1386" s="60">
        <v>0</v>
      </c>
      <c r="AA1386" s="60">
        <v>0</v>
      </c>
      <c r="AB1386" s="60">
        <v>0</v>
      </c>
      <c r="AC1386" s="60">
        <v>0</v>
      </c>
      <c r="AD1386" s="60">
        <v>3387.76</v>
      </c>
      <c r="AE1386" s="60">
        <v>3621.73</v>
      </c>
      <c r="AF1386" s="60">
        <v>0</v>
      </c>
      <c r="AG1386" s="60">
        <v>0</v>
      </c>
      <c r="AH1386" s="60">
        <v>0</v>
      </c>
      <c r="AI1386" s="60">
        <v>45.22</v>
      </c>
      <c r="AJ1386" s="60">
        <v>3428.12</v>
      </c>
      <c r="AK1386" s="60">
        <v>3649.88</v>
      </c>
      <c r="AL1386" s="60">
        <v>0</v>
      </c>
      <c r="AM1386" s="60">
        <v>-3387.76</v>
      </c>
      <c r="AN1386" s="60">
        <v>-3621.73</v>
      </c>
      <c r="AO1386" s="60">
        <v>45.22</v>
      </c>
      <c r="AP1386" s="60">
        <v>40.36</v>
      </c>
      <c r="AQ1386" s="60">
        <v>28.15</v>
      </c>
      <c r="AR1386" s="61">
        <v>45.22</v>
      </c>
    </row>
    <row r="1387" spans="1:44" x14ac:dyDescent="0.35">
      <c r="A1387" s="49" t="str">
        <f t="shared" si="111"/>
        <v>37</v>
      </c>
      <c r="B1387" s="27">
        <v>10371</v>
      </c>
      <c r="C1387" s="25" t="str">
        <f t="shared" si="112"/>
        <v>0000000</v>
      </c>
      <c r="D1387" s="26" t="s">
        <v>3663</v>
      </c>
      <c r="E1387" s="25" t="s">
        <v>2050</v>
      </c>
      <c r="F1387" s="25" t="s">
        <v>2051</v>
      </c>
      <c r="G1387" s="59" t="s">
        <v>2051</v>
      </c>
      <c r="H1387" s="60">
        <v>0</v>
      </c>
      <c r="I1387" s="60">
        <v>0</v>
      </c>
      <c r="J1387" s="60">
        <v>0</v>
      </c>
      <c r="K1387" s="60">
        <v>0</v>
      </c>
      <c r="L1387" s="60">
        <v>0</v>
      </c>
      <c r="M1387" s="60">
        <v>0</v>
      </c>
      <c r="N1387" s="60">
        <v>0</v>
      </c>
      <c r="O1387" s="60">
        <v>0</v>
      </c>
      <c r="P1387" s="60">
        <v>0</v>
      </c>
      <c r="Q1387" s="60">
        <v>0</v>
      </c>
      <c r="R1387" s="60">
        <v>0</v>
      </c>
      <c r="S1387" s="60">
        <v>0</v>
      </c>
      <c r="T1387" s="60">
        <v>0</v>
      </c>
      <c r="U1387" s="60">
        <v>0</v>
      </c>
      <c r="V1387" s="60">
        <v>0</v>
      </c>
      <c r="W1387" s="60">
        <v>0</v>
      </c>
      <c r="X1387" s="60">
        <v>0</v>
      </c>
      <c r="Y1387" s="60">
        <v>0</v>
      </c>
      <c r="Z1387" s="60">
        <v>0</v>
      </c>
      <c r="AA1387" s="60">
        <v>0</v>
      </c>
      <c r="AB1387" s="60">
        <v>0</v>
      </c>
      <c r="AC1387" s="60">
        <v>0</v>
      </c>
      <c r="AD1387" s="60">
        <v>0</v>
      </c>
      <c r="AE1387" s="60">
        <v>0</v>
      </c>
      <c r="AF1387" s="60">
        <v>0</v>
      </c>
      <c r="AG1387" s="60">
        <v>0</v>
      </c>
      <c r="AH1387" s="60">
        <v>0</v>
      </c>
      <c r="AI1387" s="60">
        <v>0</v>
      </c>
      <c r="AJ1387" s="60">
        <v>0</v>
      </c>
      <c r="AK1387" s="60">
        <v>0</v>
      </c>
      <c r="AL1387" s="60">
        <v>0</v>
      </c>
      <c r="AM1387" s="60">
        <v>0</v>
      </c>
      <c r="AN1387" s="60">
        <v>0</v>
      </c>
      <c r="AO1387" s="60">
        <v>0</v>
      </c>
      <c r="AP1387" s="60">
        <v>0</v>
      </c>
      <c r="AQ1387" s="60">
        <v>0</v>
      </c>
      <c r="AR1387" s="61">
        <v>0</v>
      </c>
    </row>
    <row r="1388" spans="1:44" x14ac:dyDescent="0.35">
      <c r="A1388" s="49" t="str">
        <f t="shared" si="111"/>
        <v>37</v>
      </c>
      <c r="B1388" s="27">
        <v>67967</v>
      </c>
      <c r="C1388" s="25" t="str">
        <f t="shared" si="112"/>
        <v>0000000</v>
      </c>
      <c r="D1388" s="26" t="s">
        <v>3663</v>
      </c>
      <c r="E1388" s="25" t="s">
        <v>2078</v>
      </c>
      <c r="F1388" s="25" t="s">
        <v>2051</v>
      </c>
      <c r="G1388" s="59" t="s">
        <v>2079</v>
      </c>
      <c r="H1388" s="60">
        <v>1382.77</v>
      </c>
      <c r="I1388" s="60">
        <v>1380.21</v>
      </c>
      <c r="J1388" s="60">
        <v>1402.46</v>
      </c>
      <c r="K1388" s="60">
        <v>0</v>
      </c>
      <c r="L1388" s="60">
        <v>0</v>
      </c>
      <c r="M1388" s="60">
        <v>0</v>
      </c>
      <c r="N1388" s="60">
        <v>0</v>
      </c>
      <c r="O1388" s="60">
        <v>0</v>
      </c>
      <c r="P1388" s="60">
        <v>0</v>
      </c>
      <c r="Q1388" s="60">
        <v>0</v>
      </c>
      <c r="R1388" s="60">
        <v>0</v>
      </c>
      <c r="S1388" s="60">
        <v>0</v>
      </c>
      <c r="T1388" s="60">
        <v>0</v>
      </c>
      <c r="U1388" s="60">
        <v>0</v>
      </c>
      <c r="V1388" s="60">
        <v>0</v>
      </c>
      <c r="W1388" s="60">
        <v>0</v>
      </c>
      <c r="X1388" s="60">
        <v>0</v>
      </c>
      <c r="Y1388" s="60">
        <v>0</v>
      </c>
      <c r="Z1388" s="60">
        <v>0</v>
      </c>
      <c r="AA1388" s="60">
        <v>0</v>
      </c>
      <c r="AB1388" s="60">
        <v>0</v>
      </c>
      <c r="AC1388" s="60">
        <v>0</v>
      </c>
      <c r="AD1388" s="60">
        <v>0</v>
      </c>
      <c r="AE1388" s="60">
        <v>0</v>
      </c>
      <c r="AF1388" s="60">
        <v>0</v>
      </c>
      <c r="AG1388" s="60">
        <v>0</v>
      </c>
      <c r="AH1388" s="60">
        <v>0</v>
      </c>
      <c r="AI1388" s="60">
        <v>1382.77</v>
      </c>
      <c r="AJ1388" s="60">
        <v>1380.21</v>
      </c>
      <c r="AK1388" s="60">
        <v>1402.46</v>
      </c>
      <c r="AL1388" s="60">
        <v>0</v>
      </c>
      <c r="AM1388" s="60">
        <v>0</v>
      </c>
      <c r="AN1388" s="60">
        <v>0</v>
      </c>
      <c r="AO1388" s="60">
        <v>1382.77</v>
      </c>
      <c r="AP1388" s="60">
        <v>1380.21</v>
      </c>
      <c r="AQ1388" s="60">
        <v>1402.46</v>
      </c>
      <c r="AR1388" s="61">
        <v>1402.46</v>
      </c>
    </row>
    <row r="1389" spans="1:44" x14ac:dyDescent="0.35">
      <c r="A1389" s="49" t="str">
        <f t="shared" si="111"/>
        <v>37</v>
      </c>
      <c r="B1389" s="27">
        <v>67991</v>
      </c>
      <c r="C1389" s="25" t="str">
        <f t="shared" si="112"/>
        <v>0000000</v>
      </c>
      <c r="D1389" s="26" t="s">
        <v>3663</v>
      </c>
      <c r="E1389" s="25" t="s">
        <v>2084</v>
      </c>
      <c r="F1389" s="25" t="s">
        <v>2051</v>
      </c>
      <c r="G1389" s="59" t="s">
        <v>2085</v>
      </c>
      <c r="H1389" s="60">
        <v>14473.62</v>
      </c>
      <c r="I1389" s="60">
        <v>14037.65</v>
      </c>
      <c r="J1389" s="60">
        <v>13441.24</v>
      </c>
      <c r="K1389" s="60">
        <v>0</v>
      </c>
      <c r="L1389" s="60">
        <v>0</v>
      </c>
      <c r="M1389" s="60">
        <v>0</v>
      </c>
      <c r="N1389" s="60">
        <v>0</v>
      </c>
      <c r="O1389" s="60">
        <v>0</v>
      </c>
      <c r="P1389" s="60">
        <v>0</v>
      </c>
      <c r="Q1389" s="60">
        <v>0</v>
      </c>
      <c r="R1389" s="60">
        <v>0</v>
      </c>
      <c r="S1389" s="60">
        <v>0</v>
      </c>
      <c r="T1389" s="60">
        <v>0</v>
      </c>
      <c r="U1389" s="60">
        <v>0</v>
      </c>
      <c r="V1389" s="60">
        <v>0</v>
      </c>
      <c r="W1389" s="60">
        <v>0</v>
      </c>
      <c r="X1389" s="60">
        <v>0</v>
      </c>
      <c r="Y1389" s="60">
        <v>0</v>
      </c>
      <c r="Z1389" s="60">
        <v>0</v>
      </c>
      <c r="AA1389" s="60">
        <v>0</v>
      </c>
      <c r="AB1389" s="60">
        <v>0</v>
      </c>
      <c r="AC1389" s="60">
        <v>2218.1799999999998</v>
      </c>
      <c r="AD1389" s="60">
        <v>2034.69</v>
      </c>
      <c r="AE1389" s="60">
        <v>1841.62</v>
      </c>
      <c r="AF1389" s="60">
        <v>0</v>
      </c>
      <c r="AG1389" s="60">
        <v>0</v>
      </c>
      <c r="AH1389" s="60">
        <v>0</v>
      </c>
      <c r="AI1389" s="60">
        <v>16691.8</v>
      </c>
      <c r="AJ1389" s="60">
        <v>16072.34</v>
      </c>
      <c r="AK1389" s="60">
        <v>15282.86</v>
      </c>
      <c r="AL1389" s="60">
        <v>0</v>
      </c>
      <c r="AM1389" s="60">
        <v>0</v>
      </c>
      <c r="AN1389" s="60">
        <v>0</v>
      </c>
      <c r="AO1389" s="60">
        <v>16691.8</v>
      </c>
      <c r="AP1389" s="60">
        <v>16072.34</v>
      </c>
      <c r="AQ1389" s="60">
        <v>15282.86</v>
      </c>
      <c r="AR1389" s="61">
        <v>16691.8</v>
      </c>
    </row>
    <row r="1390" spans="1:44" x14ac:dyDescent="0.35">
      <c r="A1390" s="49" t="str">
        <f t="shared" si="111"/>
        <v>37</v>
      </c>
      <c r="B1390" s="27">
        <v>68049</v>
      </c>
      <c r="C1390" s="25" t="str">
        <f t="shared" si="112"/>
        <v>0000000</v>
      </c>
      <c r="D1390" s="26" t="s">
        <v>3663</v>
      </c>
      <c r="E1390" s="25" t="s">
        <v>2096</v>
      </c>
      <c r="F1390" s="25" t="s">
        <v>2051</v>
      </c>
      <c r="G1390" s="59" t="s">
        <v>2097</v>
      </c>
      <c r="H1390" s="60">
        <v>209.87</v>
      </c>
      <c r="I1390" s="60">
        <v>80.72</v>
      </c>
      <c r="J1390" s="60">
        <v>95.27</v>
      </c>
      <c r="K1390" s="60">
        <v>0</v>
      </c>
      <c r="L1390" s="60">
        <v>0</v>
      </c>
      <c r="M1390" s="60">
        <v>0</v>
      </c>
      <c r="N1390" s="60">
        <v>0</v>
      </c>
      <c r="O1390" s="60">
        <v>0</v>
      </c>
      <c r="P1390" s="60">
        <v>0</v>
      </c>
      <c r="Q1390" s="60">
        <v>0</v>
      </c>
      <c r="R1390" s="60">
        <v>0</v>
      </c>
      <c r="S1390" s="60">
        <v>0</v>
      </c>
      <c r="T1390" s="60">
        <v>0</v>
      </c>
      <c r="U1390" s="60">
        <v>0</v>
      </c>
      <c r="V1390" s="60">
        <v>0</v>
      </c>
      <c r="W1390" s="60">
        <v>0</v>
      </c>
      <c r="X1390" s="60">
        <v>0</v>
      </c>
      <c r="Y1390" s="60">
        <v>0</v>
      </c>
      <c r="Z1390" s="60">
        <v>0</v>
      </c>
      <c r="AA1390" s="60">
        <v>0</v>
      </c>
      <c r="AB1390" s="60">
        <v>0</v>
      </c>
      <c r="AC1390" s="60">
        <v>0</v>
      </c>
      <c r="AD1390" s="60">
        <v>0</v>
      </c>
      <c r="AE1390" s="60">
        <v>597.55999999999995</v>
      </c>
      <c r="AF1390" s="60">
        <v>0</v>
      </c>
      <c r="AG1390" s="60">
        <v>0</v>
      </c>
      <c r="AH1390" s="60">
        <v>0</v>
      </c>
      <c r="AI1390" s="60">
        <v>209.87</v>
      </c>
      <c r="AJ1390" s="60">
        <v>80.72</v>
      </c>
      <c r="AK1390" s="60">
        <v>692.83</v>
      </c>
      <c r="AL1390" s="60">
        <v>0</v>
      </c>
      <c r="AM1390" s="60">
        <v>0</v>
      </c>
      <c r="AN1390" s="60">
        <v>-597.55999999999995</v>
      </c>
      <c r="AO1390" s="60">
        <v>209.87</v>
      </c>
      <c r="AP1390" s="60">
        <v>80.72</v>
      </c>
      <c r="AQ1390" s="60">
        <v>95.27</v>
      </c>
      <c r="AR1390" s="61">
        <v>209.87</v>
      </c>
    </row>
    <row r="1391" spans="1:44" x14ac:dyDescent="0.35">
      <c r="A1391" s="49" t="str">
        <f t="shared" si="111"/>
        <v>37</v>
      </c>
      <c r="B1391" s="27">
        <v>68130</v>
      </c>
      <c r="C1391" s="25" t="str">
        <f t="shared" si="112"/>
        <v>0000000</v>
      </c>
      <c r="D1391" s="26" t="s">
        <v>3663</v>
      </c>
      <c r="E1391" s="25" t="s">
        <v>2128</v>
      </c>
      <c r="F1391" s="25" t="s">
        <v>2051</v>
      </c>
      <c r="G1391" s="59" t="s">
        <v>2129</v>
      </c>
      <c r="H1391" s="60">
        <v>14951.03</v>
      </c>
      <c r="I1391" s="60">
        <v>15080.05</v>
      </c>
      <c r="J1391" s="60">
        <v>15292.75</v>
      </c>
      <c r="K1391" s="60">
        <v>0</v>
      </c>
      <c r="L1391" s="60">
        <v>0</v>
      </c>
      <c r="M1391" s="60">
        <v>0</v>
      </c>
      <c r="N1391" s="60">
        <v>0</v>
      </c>
      <c r="O1391" s="60">
        <v>0</v>
      </c>
      <c r="P1391" s="60">
        <v>0</v>
      </c>
      <c r="Q1391" s="60">
        <v>0</v>
      </c>
      <c r="R1391" s="60">
        <v>0</v>
      </c>
      <c r="S1391" s="60">
        <v>0</v>
      </c>
      <c r="T1391" s="60">
        <v>0</v>
      </c>
      <c r="U1391" s="60">
        <v>0</v>
      </c>
      <c r="V1391" s="60">
        <v>0</v>
      </c>
      <c r="W1391" s="60">
        <v>0</v>
      </c>
      <c r="X1391" s="60">
        <v>0</v>
      </c>
      <c r="Y1391" s="60">
        <v>0</v>
      </c>
      <c r="Z1391" s="60">
        <v>0</v>
      </c>
      <c r="AA1391" s="60">
        <v>0</v>
      </c>
      <c r="AB1391" s="60">
        <v>0</v>
      </c>
      <c r="AC1391" s="60">
        <v>4425.67</v>
      </c>
      <c r="AD1391" s="60">
        <v>4378.71</v>
      </c>
      <c r="AE1391" s="60">
        <v>4295.6000000000004</v>
      </c>
      <c r="AF1391" s="60">
        <v>0</v>
      </c>
      <c r="AG1391" s="60">
        <v>0</v>
      </c>
      <c r="AH1391" s="60">
        <v>0</v>
      </c>
      <c r="AI1391" s="60">
        <v>19376.7</v>
      </c>
      <c r="AJ1391" s="60">
        <v>19458.759999999998</v>
      </c>
      <c r="AK1391" s="60">
        <v>19588.349999999999</v>
      </c>
      <c r="AL1391" s="60">
        <v>0</v>
      </c>
      <c r="AM1391" s="60">
        <v>0</v>
      </c>
      <c r="AN1391" s="60">
        <v>0</v>
      </c>
      <c r="AO1391" s="60">
        <v>19376.7</v>
      </c>
      <c r="AP1391" s="60">
        <v>19458.759999999998</v>
      </c>
      <c r="AQ1391" s="60">
        <v>19588.349999999999</v>
      </c>
      <c r="AR1391" s="61">
        <v>19588.349999999999</v>
      </c>
    </row>
    <row r="1392" spans="1:44" x14ac:dyDescent="0.35">
      <c r="A1392" s="49" t="str">
        <f t="shared" si="111"/>
        <v>37</v>
      </c>
      <c r="B1392" s="27">
        <v>68155</v>
      </c>
      <c r="C1392" s="25" t="str">
        <f t="shared" si="112"/>
        <v>0000000</v>
      </c>
      <c r="D1392" s="26" t="s">
        <v>3663</v>
      </c>
      <c r="E1392" s="25" t="s">
        <v>2132</v>
      </c>
      <c r="F1392" s="25" t="s">
        <v>2051</v>
      </c>
      <c r="G1392" s="59" t="s">
        <v>2133</v>
      </c>
      <c r="H1392" s="60">
        <v>561.27</v>
      </c>
      <c r="I1392" s="60">
        <v>462.91</v>
      </c>
      <c r="J1392" s="60">
        <v>450.03</v>
      </c>
      <c r="K1392" s="60">
        <v>0</v>
      </c>
      <c r="L1392" s="60">
        <v>0</v>
      </c>
      <c r="M1392" s="60">
        <v>0</v>
      </c>
      <c r="N1392" s="60">
        <v>0</v>
      </c>
      <c r="O1392" s="60">
        <v>0</v>
      </c>
      <c r="P1392" s="60">
        <v>0</v>
      </c>
      <c r="Q1392" s="60">
        <v>0</v>
      </c>
      <c r="R1392" s="60">
        <v>0</v>
      </c>
      <c r="S1392" s="60">
        <v>0</v>
      </c>
      <c r="T1392" s="60">
        <v>0</v>
      </c>
      <c r="U1392" s="60">
        <v>0</v>
      </c>
      <c r="V1392" s="60">
        <v>0</v>
      </c>
      <c r="W1392" s="60">
        <v>0</v>
      </c>
      <c r="X1392" s="60">
        <v>0</v>
      </c>
      <c r="Y1392" s="60">
        <v>0</v>
      </c>
      <c r="Z1392" s="60">
        <v>0</v>
      </c>
      <c r="AA1392" s="60">
        <v>0</v>
      </c>
      <c r="AB1392" s="60">
        <v>0</v>
      </c>
      <c r="AC1392" s="60">
        <v>180.98</v>
      </c>
      <c r="AD1392" s="60">
        <v>172.61</v>
      </c>
      <c r="AE1392" s="60">
        <v>180.6</v>
      </c>
      <c r="AF1392" s="60">
        <v>0</v>
      </c>
      <c r="AG1392" s="60">
        <v>0</v>
      </c>
      <c r="AH1392" s="60">
        <v>0</v>
      </c>
      <c r="AI1392" s="60">
        <v>742.25</v>
      </c>
      <c r="AJ1392" s="60">
        <v>635.52</v>
      </c>
      <c r="AK1392" s="60">
        <v>630.63</v>
      </c>
      <c r="AL1392" s="60">
        <v>0</v>
      </c>
      <c r="AM1392" s="60">
        <v>0</v>
      </c>
      <c r="AN1392" s="60">
        <v>0</v>
      </c>
      <c r="AO1392" s="60">
        <v>742.25</v>
      </c>
      <c r="AP1392" s="60">
        <v>635.52</v>
      </c>
      <c r="AQ1392" s="60">
        <v>630.63</v>
      </c>
      <c r="AR1392" s="61">
        <v>742.25</v>
      </c>
    </row>
    <row r="1393" spans="1:44" x14ac:dyDescent="0.35">
      <c r="A1393" s="49" t="str">
        <f t="shared" si="111"/>
        <v>37</v>
      </c>
      <c r="B1393" s="27">
        <v>68197</v>
      </c>
      <c r="C1393" s="25" t="str">
        <f t="shared" si="112"/>
        <v>0000000</v>
      </c>
      <c r="D1393" s="26" t="s">
        <v>3663</v>
      </c>
      <c r="E1393" s="25" t="s">
        <v>2153</v>
      </c>
      <c r="F1393" s="25" t="s">
        <v>2051</v>
      </c>
      <c r="G1393" s="59" t="s">
        <v>2154</v>
      </c>
      <c r="H1393" s="60">
        <v>9923.4500000000007</v>
      </c>
      <c r="I1393" s="60">
        <v>9967.68</v>
      </c>
      <c r="J1393" s="60">
        <v>9787.3700000000008</v>
      </c>
      <c r="K1393" s="60">
        <v>0</v>
      </c>
      <c r="L1393" s="60">
        <v>0</v>
      </c>
      <c r="M1393" s="60">
        <v>0</v>
      </c>
      <c r="N1393" s="60">
        <v>0</v>
      </c>
      <c r="O1393" s="60">
        <v>0</v>
      </c>
      <c r="P1393" s="60">
        <v>0</v>
      </c>
      <c r="Q1393" s="60">
        <v>0</v>
      </c>
      <c r="R1393" s="60">
        <v>0</v>
      </c>
      <c r="S1393" s="60">
        <v>0</v>
      </c>
      <c r="T1393" s="60">
        <v>0</v>
      </c>
      <c r="U1393" s="60">
        <v>0</v>
      </c>
      <c r="V1393" s="60">
        <v>0</v>
      </c>
      <c r="W1393" s="60">
        <v>0</v>
      </c>
      <c r="X1393" s="60">
        <v>0</v>
      </c>
      <c r="Y1393" s="60">
        <v>0</v>
      </c>
      <c r="Z1393" s="60">
        <v>0</v>
      </c>
      <c r="AA1393" s="60">
        <v>0</v>
      </c>
      <c r="AB1393" s="60">
        <v>0</v>
      </c>
      <c r="AC1393" s="60">
        <v>319.45</v>
      </c>
      <c r="AD1393" s="60">
        <v>367.73</v>
      </c>
      <c r="AE1393" s="60">
        <v>349.13</v>
      </c>
      <c r="AF1393" s="60">
        <v>0</v>
      </c>
      <c r="AG1393" s="60">
        <v>0</v>
      </c>
      <c r="AH1393" s="60">
        <v>0</v>
      </c>
      <c r="AI1393" s="60">
        <v>10242.9</v>
      </c>
      <c r="AJ1393" s="60">
        <v>10335.41</v>
      </c>
      <c r="AK1393" s="60">
        <v>10136.5</v>
      </c>
      <c r="AL1393" s="60">
        <v>0</v>
      </c>
      <c r="AM1393" s="60">
        <v>0</v>
      </c>
      <c r="AN1393" s="60">
        <v>0</v>
      </c>
      <c r="AO1393" s="60">
        <v>10242.9</v>
      </c>
      <c r="AP1393" s="60">
        <v>10335.41</v>
      </c>
      <c r="AQ1393" s="60">
        <v>10136.5</v>
      </c>
      <c r="AR1393" s="61">
        <v>10335.41</v>
      </c>
    </row>
    <row r="1394" spans="1:44" x14ac:dyDescent="0.35">
      <c r="A1394" s="49" t="str">
        <f t="shared" si="111"/>
        <v>37</v>
      </c>
      <c r="B1394" s="27">
        <v>68189</v>
      </c>
      <c r="C1394" s="25" t="str">
        <f t="shared" si="112"/>
        <v>0000000</v>
      </c>
      <c r="D1394" s="26" t="s">
        <v>3663</v>
      </c>
      <c r="E1394" s="25" t="s">
        <v>2149</v>
      </c>
      <c r="F1394" s="25" t="s">
        <v>2051</v>
      </c>
      <c r="G1394" s="59" t="s">
        <v>777</v>
      </c>
      <c r="H1394" s="60">
        <v>4251.09</v>
      </c>
      <c r="I1394" s="60">
        <v>4189.68</v>
      </c>
      <c r="J1394" s="60">
        <v>4281.51</v>
      </c>
      <c r="K1394" s="60">
        <v>0</v>
      </c>
      <c r="L1394" s="60">
        <v>0</v>
      </c>
      <c r="M1394" s="60">
        <v>0</v>
      </c>
      <c r="N1394" s="60">
        <v>0</v>
      </c>
      <c r="O1394" s="60">
        <v>0</v>
      </c>
      <c r="P1394" s="60">
        <v>0</v>
      </c>
      <c r="Q1394" s="60">
        <v>0</v>
      </c>
      <c r="R1394" s="60">
        <v>0</v>
      </c>
      <c r="S1394" s="60">
        <v>0</v>
      </c>
      <c r="T1394" s="60">
        <v>0</v>
      </c>
      <c r="U1394" s="60">
        <v>0</v>
      </c>
      <c r="V1394" s="60">
        <v>0</v>
      </c>
      <c r="W1394" s="60">
        <v>0</v>
      </c>
      <c r="X1394" s="60">
        <v>0</v>
      </c>
      <c r="Y1394" s="60">
        <v>0</v>
      </c>
      <c r="Z1394" s="60">
        <v>0</v>
      </c>
      <c r="AA1394" s="60">
        <v>0</v>
      </c>
      <c r="AB1394" s="60">
        <v>0</v>
      </c>
      <c r="AC1394" s="60">
        <v>220.67</v>
      </c>
      <c r="AD1394" s="60">
        <v>225.28</v>
      </c>
      <c r="AE1394" s="60">
        <v>319.18</v>
      </c>
      <c r="AF1394" s="60">
        <v>0</v>
      </c>
      <c r="AG1394" s="60">
        <v>0</v>
      </c>
      <c r="AH1394" s="60">
        <v>0</v>
      </c>
      <c r="AI1394" s="60">
        <v>4471.76</v>
      </c>
      <c r="AJ1394" s="60">
        <v>4414.96</v>
      </c>
      <c r="AK1394" s="60">
        <v>4600.6899999999996</v>
      </c>
      <c r="AL1394" s="60">
        <v>0</v>
      </c>
      <c r="AM1394" s="60">
        <v>0</v>
      </c>
      <c r="AN1394" s="60">
        <v>-89.24</v>
      </c>
      <c r="AO1394" s="60">
        <v>4471.76</v>
      </c>
      <c r="AP1394" s="60">
        <v>4414.96</v>
      </c>
      <c r="AQ1394" s="60">
        <v>4511.45</v>
      </c>
      <c r="AR1394" s="61">
        <v>4511.45</v>
      </c>
    </row>
    <row r="1395" spans="1:44" x14ac:dyDescent="0.35">
      <c r="A1395" s="49" t="str">
        <f t="shared" si="111"/>
        <v>37</v>
      </c>
      <c r="B1395" s="27">
        <v>68205</v>
      </c>
      <c r="C1395" s="25" t="str">
        <f t="shared" si="112"/>
        <v>0000000</v>
      </c>
      <c r="D1395" s="26" t="s">
        <v>3663</v>
      </c>
      <c r="E1395" s="25" t="s">
        <v>2155</v>
      </c>
      <c r="F1395" s="25" t="s">
        <v>2051</v>
      </c>
      <c r="G1395" s="59" t="s">
        <v>2156</v>
      </c>
      <c r="H1395" s="60">
        <v>2851.03</v>
      </c>
      <c r="I1395" s="60">
        <v>2905.88</v>
      </c>
      <c r="J1395" s="60">
        <v>2848.13</v>
      </c>
      <c r="K1395" s="60">
        <v>0</v>
      </c>
      <c r="L1395" s="60">
        <v>0</v>
      </c>
      <c r="M1395" s="60">
        <v>0</v>
      </c>
      <c r="N1395" s="60">
        <v>0</v>
      </c>
      <c r="O1395" s="60">
        <v>0</v>
      </c>
      <c r="P1395" s="60">
        <v>0</v>
      </c>
      <c r="Q1395" s="60">
        <v>0</v>
      </c>
      <c r="R1395" s="60">
        <v>0</v>
      </c>
      <c r="S1395" s="60">
        <v>0</v>
      </c>
      <c r="T1395" s="60">
        <v>0</v>
      </c>
      <c r="U1395" s="60">
        <v>0</v>
      </c>
      <c r="V1395" s="60">
        <v>0</v>
      </c>
      <c r="W1395" s="60">
        <v>0</v>
      </c>
      <c r="X1395" s="60">
        <v>0</v>
      </c>
      <c r="Y1395" s="60">
        <v>0</v>
      </c>
      <c r="Z1395" s="60">
        <v>0</v>
      </c>
      <c r="AA1395" s="60">
        <v>0</v>
      </c>
      <c r="AB1395" s="60">
        <v>0</v>
      </c>
      <c r="AC1395" s="60">
        <v>0</v>
      </c>
      <c r="AD1395" s="60">
        <v>0</v>
      </c>
      <c r="AE1395" s="60">
        <v>0</v>
      </c>
      <c r="AF1395" s="60">
        <v>0</v>
      </c>
      <c r="AG1395" s="60">
        <v>0</v>
      </c>
      <c r="AH1395" s="60">
        <v>0</v>
      </c>
      <c r="AI1395" s="60">
        <v>2851.03</v>
      </c>
      <c r="AJ1395" s="60">
        <v>2905.88</v>
      </c>
      <c r="AK1395" s="60">
        <v>2848.13</v>
      </c>
      <c r="AL1395" s="60">
        <v>0</v>
      </c>
      <c r="AM1395" s="60">
        <v>0</v>
      </c>
      <c r="AN1395" s="60">
        <v>0</v>
      </c>
      <c r="AO1395" s="60">
        <v>2851.03</v>
      </c>
      <c r="AP1395" s="60">
        <v>2905.88</v>
      </c>
      <c r="AQ1395" s="60">
        <v>2848.13</v>
      </c>
      <c r="AR1395" s="61">
        <v>2905.88</v>
      </c>
    </row>
    <row r="1396" spans="1:44" x14ac:dyDescent="0.35">
      <c r="A1396" s="49" t="str">
        <f t="shared" si="111"/>
        <v>37</v>
      </c>
      <c r="B1396" s="27">
        <v>68213</v>
      </c>
      <c r="C1396" s="25" t="str">
        <f t="shared" si="112"/>
        <v>0000000</v>
      </c>
      <c r="D1396" s="26" t="s">
        <v>3663</v>
      </c>
      <c r="E1396" s="25" t="s">
        <v>2157</v>
      </c>
      <c r="F1396" s="25" t="s">
        <v>2051</v>
      </c>
      <c r="G1396" s="59" t="s">
        <v>2158</v>
      </c>
      <c r="H1396" s="60">
        <v>1681.25</v>
      </c>
      <c r="I1396" s="60">
        <v>1633.57</v>
      </c>
      <c r="J1396" s="60">
        <v>1519.62</v>
      </c>
      <c r="K1396" s="60">
        <v>0</v>
      </c>
      <c r="L1396" s="60">
        <v>0</v>
      </c>
      <c r="M1396" s="60">
        <v>0</v>
      </c>
      <c r="N1396" s="60">
        <v>0</v>
      </c>
      <c r="O1396" s="60">
        <v>0</v>
      </c>
      <c r="P1396" s="60">
        <v>0</v>
      </c>
      <c r="Q1396" s="60">
        <v>0</v>
      </c>
      <c r="R1396" s="60">
        <v>0</v>
      </c>
      <c r="S1396" s="60">
        <v>0</v>
      </c>
      <c r="T1396" s="60">
        <v>0</v>
      </c>
      <c r="U1396" s="60">
        <v>0</v>
      </c>
      <c r="V1396" s="60">
        <v>0</v>
      </c>
      <c r="W1396" s="60">
        <v>0</v>
      </c>
      <c r="X1396" s="60">
        <v>0</v>
      </c>
      <c r="Y1396" s="60">
        <v>0</v>
      </c>
      <c r="Z1396" s="60">
        <v>0</v>
      </c>
      <c r="AA1396" s="60">
        <v>0</v>
      </c>
      <c r="AB1396" s="60">
        <v>0</v>
      </c>
      <c r="AC1396" s="60">
        <v>412.18</v>
      </c>
      <c r="AD1396" s="60">
        <v>398.33</v>
      </c>
      <c r="AE1396" s="60">
        <v>410.17</v>
      </c>
      <c r="AF1396" s="60">
        <v>0</v>
      </c>
      <c r="AG1396" s="60">
        <v>0</v>
      </c>
      <c r="AH1396" s="60">
        <v>0</v>
      </c>
      <c r="AI1396" s="60">
        <v>2093.4299999999998</v>
      </c>
      <c r="AJ1396" s="60">
        <v>2031.9</v>
      </c>
      <c r="AK1396" s="60">
        <v>1929.79</v>
      </c>
      <c r="AL1396" s="60">
        <v>0</v>
      </c>
      <c r="AM1396" s="60">
        <v>0</v>
      </c>
      <c r="AN1396" s="60">
        <v>0</v>
      </c>
      <c r="AO1396" s="60">
        <v>2093.4299999999998</v>
      </c>
      <c r="AP1396" s="60">
        <v>2031.9</v>
      </c>
      <c r="AQ1396" s="60">
        <v>1929.79</v>
      </c>
      <c r="AR1396" s="61">
        <v>2093.4299999999998</v>
      </c>
    </row>
    <row r="1397" spans="1:44" x14ac:dyDescent="0.35">
      <c r="A1397" s="49" t="str">
        <f t="shared" si="111"/>
        <v>37</v>
      </c>
      <c r="B1397" s="27">
        <v>68361</v>
      </c>
      <c r="C1397" s="25" t="str">
        <f t="shared" si="112"/>
        <v>0000000</v>
      </c>
      <c r="D1397" s="26" t="s">
        <v>3663</v>
      </c>
      <c r="E1397" s="25" t="s">
        <v>2289</v>
      </c>
      <c r="F1397" s="25" t="s">
        <v>2051</v>
      </c>
      <c r="G1397" s="59" t="s">
        <v>2290</v>
      </c>
      <c r="H1397" s="60">
        <v>5748.83</v>
      </c>
      <c r="I1397" s="60">
        <v>5721.54</v>
      </c>
      <c r="J1397" s="60">
        <v>5839.47</v>
      </c>
      <c r="K1397" s="60">
        <v>0</v>
      </c>
      <c r="L1397" s="60">
        <v>0</v>
      </c>
      <c r="M1397" s="60">
        <v>0</v>
      </c>
      <c r="N1397" s="60">
        <v>0</v>
      </c>
      <c r="O1397" s="60">
        <v>0</v>
      </c>
      <c r="P1397" s="60">
        <v>0</v>
      </c>
      <c r="Q1397" s="60">
        <v>0</v>
      </c>
      <c r="R1397" s="60">
        <v>0</v>
      </c>
      <c r="S1397" s="60">
        <v>0</v>
      </c>
      <c r="T1397" s="60">
        <v>0</v>
      </c>
      <c r="U1397" s="60">
        <v>0</v>
      </c>
      <c r="V1397" s="60">
        <v>0</v>
      </c>
      <c r="W1397" s="60">
        <v>0</v>
      </c>
      <c r="X1397" s="60">
        <v>0</v>
      </c>
      <c r="Y1397" s="60">
        <v>0</v>
      </c>
      <c r="Z1397" s="60">
        <v>0</v>
      </c>
      <c r="AA1397" s="60">
        <v>0</v>
      </c>
      <c r="AB1397" s="60">
        <v>0</v>
      </c>
      <c r="AC1397" s="60">
        <v>0</v>
      </c>
      <c r="AD1397" s="60">
        <v>0</v>
      </c>
      <c r="AE1397" s="60">
        <v>0</v>
      </c>
      <c r="AF1397" s="60">
        <v>0</v>
      </c>
      <c r="AG1397" s="60">
        <v>0</v>
      </c>
      <c r="AH1397" s="60">
        <v>0</v>
      </c>
      <c r="AI1397" s="60">
        <v>5748.83</v>
      </c>
      <c r="AJ1397" s="60">
        <v>5721.54</v>
      </c>
      <c r="AK1397" s="60">
        <v>5839.47</v>
      </c>
      <c r="AL1397" s="60">
        <v>0</v>
      </c>
      <c r="AM1397" s="60">
        <v>0</v>
      </c>
      <c r="AN1397" s="60">
        <v>0</v>
      </c>
      <c r="AO1397" s="60">
        <v>5748.83</v>
      </c>
      <c r="AP1397" s="60">
        <v>5721.54</v>
      </c>
      <c r="AQ1397" s="60">
        <v>5839.47</v>
      </c>
      <c r="AR1397" s="61">
        <v>5839.47</v>
      </c>
    </row>
    <row r="1398" spans="1:44" x14ac:dyDescent="0.35">
      <c r="A1398" s="49" t="str">
        <f t="shared" si="111"/>
        <v>37</v>
      </c>
      <c r="B1398" s="27">
        <v>68189</v>
      </c>
      <c r="C1398" s="25" t="str">
        <f>TEXT(6120901,"0000000")</f>
        <v>6120901</v>
      </c>
      <c r="D1398" s="26" t="s">
        <v>2152</v>
      </c>
      <c r="E1398" s="25" t="s">
        <v>2150</v>
      </c>
      <c r="F1398" s="25" t="s">
        <v>2051</v>
      </c>
      <c r="G1398" s="59" t="s">
        <v>2151</v>
      </c>
      <c r="H1398" s="60">
        <v>0</v>
      </c>
      <c r="I1398" s="60">
        <v>0</v>
      </c>
      <c r="J1398" s="60">
        <v>0</v>
      </c>
      <c r="K1398" s="60">
        <v>0</v>
      </c>
      <c r="L1398" s="60">
        <v>0</v>
      </c>
      <c r="M1398" s="60">
        <v>0</v>
      </c>
      <c r="N1398" s="60">
        <v>0</v>
      </c>
      <c r="O1398" s="60">
        <v>0</v>
      </c>
      <c r="P1398" s="60">
        <v>0</v>
      </c>
      <c r="Q1398" s="60">
        <v>0</v>
      </c>
      <c r="R1398" s="60">
        <v>0</v>
      </c>
      <c r="S1398" s="60">
        <v>0</v>
      </c>
      <c r="T1398" s="60">
        <v>0</v>
      </c>
      <c r="U1398" s="60">
        <v>0</v>
      </c>
      <c r="V1398" s="60">
        <v>0</v>
      </c>
      <c r="W1398" s="60">
        <v>0</v>
      </c>
      <c r="X1398" s="60">
        <v>0</v>
      </c>
      <c r="Y1398" s="60">
        <v>0</v>
      </c>
      <c r="Z1398" s="60">
        <v>0</v>
      </c>
      <c r="AA1398" s="60">
        <v>0</v>
      </c>
      <c r="AB1398" s="60">
        <v>0</v>
      </c>
      <c r="AC1398" s="60">
        <v>76.5</v>
      </c>
      <c r="AD1398" s="60">
        <v>72.790000000000006</v>
      </c>
      <c r="AE1398" s="60">
        <v>0</v>
      </c>
      <c r="AF1398" s="60">
        <v>0</v>
      </c>
      <c r="AG1398" s="60">
        <v>0</v>
      </c>
      <c r="AH1398" s="60">
        <v>0</v>
      </c>
      <c r="AI1398" s="60">
        <v>76.5</v>
      </c>
      <c r="AJ1398" s="60">
        <v>72.790000000000006</v>
      </c>
      <c r="AK1398" s="60">
        <v>0</v>
      </c>
      <c r="AL1398" s="60">
        <v>0</v>
      </c>
      <c r="AM1398" s="60">
        <v>0</v>
      </c>
      <c r="AN1398" s="60">
        <v>89.24</v>
      </c>
      <c r="AO1398" s="60">
        <v>76.5</v>
      </c>
      <c r="AP1398" s="60">
        <v>72.790000000000006</v>
      </c>
      <c r="AQ1398" s="60">
        <v>89.24</v>
      </c>
      <c r="AR1398" s="61">
        <v>89.24</v>
      </c>
    </row>
    <row r="1399" spans="1:44" x14ac:dyDescent="0.35">
      <c r="A1399" s="49" t="str">
        <f t="shared" ref="A1399:A1416" si="113">TEXT(31,"00")</f>
        <v>31</v>
      </c>
      <c r="B1399" s="27">
        <v>10314</v>
      </c>
      <c r="C1399" s="25" t="str">
        <f t="shared" ref="C1399:C1415" si="114">TEXT(,"0000000")</f>
        <v>0000000</v>
      </c>
      <c r="D1399" s="26" t="s">
        <v>3663</v>
      </c>
      <c r="E1399" s="25" t="s">
        <v>1625</v>
      </c>
      <c r="F1399" s="25" t="s">
        <v>1626</v>
      </c>
      <c r="G1399" s="59" t="s">
        <v>1626</v>
      </c>
      <c r="H1399" s="60">
        <v>0</v>
      </c>
      <c r="I1399" s="60">
        <v>0</v>
      </c>
      <c r="J1399" s="60">
        <v>0</v>
      </c>
      <c r="K1399" s="60">
        <v>0</v>
      </c>
      <c r="L1399" s="60">
        <v>0</v>
      </c>
      <c r="M1399" s="60">
        <v>0</v>
      </c>
      <c r="N1399" s="60">
        <v>0</v>
      </c>
      <c r="O1399" s="60">
        <v>0</v>
      </c>
      <c r="P1399" s="60">
        <v>0</v>
      </c>
      <c r="Q1399" s="60">
        <v>0</v>
      </c>
      <c r="R1399" s="60">
        <v>0</v>
      </c>
      <c r="S1399" s="60">
        <v>0</v>
      </c>
      <c r="T1399" s="60">
        <v>56.15</v>
      </c>
      <c r="U1399" s="60">
        <v>73.38</v>
      </c>
      <c r="V1399" s="60">
        <v>59.55</v>
      </c>
      <c r="W1399" s="60">
        <v>367.41</v>
      </c>
      <c r="X1399" s="60">
        <v>346.48</v>
      </c>
      <c r="Y1399" s="60">
        <v>360.44</v>
      </c>
      <c r="Z1399" s="60">
        <v>0</v>
      </c>
      <c r="AA1399" s="60">
        <v>0</v>
      </c>
      <c r="AB1399" s="60">
        <v>0</v>
      </c>
      <c r="AC1399" s="60">
        <v>0</v>
      </c>
      <c r="AD1399" s="60">
        <v>0</v>
      </c>
      <c r="AE1399" s="60">
        <v>0</v>
      </c>
      <c r="AF1399" s="60">
        <v>0</v>
      </c>
      <c r="AG1399" s="60">
        <v>0</v>
      </c>
      <c r="AH1399" s="60">
        <v>0</v>
      </c>
      <c r="AI1399" s="60">
        <v>423.56</v>
      </c>
      <c r="AJ1399" s="60">
        <v>419.86</v>
      </c>
      <c r="AK1399" s="60">
        <v>419.99</v>
      </c>
      <c r="AL1399" s="60">
        <v>0</v>
      </c>
      <c r="AM1399" s="60">
        <v>0</v>
      </c>
      <c r="AN1399" s="60">
        <v>0</v>
      </c>
      <c r="AO1399" s="60">
        <v>423.56</v>
      </c>
      <c r="AP1399" s="60">
        <v>419.86</v>
      </c>
      <c r="AQ1399" s="60">
        <v>419.99</v>
      </c>
      <c r="AR1399" s="61">
        <v>423.56</v>
      </c>
    </row>
    <row r="1400" spans="1:44" x14ac:dyDescent="0.35">
      <c r="A1400" s="49" t="str">
        <f t="shared" si="113"/>
        <v>31</v>
      </c>
      <c r="B1400" s="27">
        <v>66761</v>
      </c>
      <c r="C1400" s="25" t="str">
        <f t="shared" si="114"/>
        <v>0000000</v>
      </c>
      <c r="D1400" s="26" t="s">
        <v>3663</v>
      </c>
      <c r="E1400" s="25" t="s">
        <v>1627</v>
      </c>
      <c r="F1400" s="25" t="s">
        <v>1626</v>
      </c>
      <c r="G1400" s="59" t="s">
        <v>1628</v>
      </c>
      <c r="H1400" s="60">
        <v>0</v>
      </c>
      <c r="I1400" s="60">
        <v>0</v>
      </c>
      <c r="J1400" s="60">
        <v>0</v>
      </c>
      <c r="K1400" s="60">
        <v>0</v>
      </c>
      <c r="L1400" s="60">
        <v>0</v>
      </c>
      <c r="M1400" s="60">
        <v>0</v>
      </c>
      <c r="N1400" s="60">
        <v>0</v>
      </c>
      <c r="O1400" s="60">
        <v>0</v>
      </c>
      <c r="P1400" s="60">
        <v>0</v>
      </c>
      <c r="Q1400" s="60">
        <v>0</v>
      </c>
      <c r="R1400" s="60">
        <v>0</v>
      </c>
      <c r="S1400" s="60">
        <v>0</v>
      </c>
      <c r="T1400" s="60">
        <v>0</v>
      </c>
      <c r="U1400" s="60">
        <v>0</v>
      </c>
      <c r="V1400" s="60">
        <v>0</v>
      </c>
      <c r="W1400" s="60">
        <v>0</v>
      </c>
      <c r="X1400" s="60">
        <v>0</v>
      </c>
      <c r="Y1400" s="60">
        <v>0</v>
      </c>
      <c r="Z1400" s="60">
        <v>0</v>
      </c>
      <c r="AA1400" s="60">
        <v>0</v>
      </c>
      <c r="AB1400" s="60">
        <v>0</v>
      </c>
      <c r="AC1400" s="60">
        <v>571.67999999999995</v>
      </c>
      <c r="AD1400" s="60">
        <v>559.59</v>
      </c>
      <c r="AE1400" s="60">
        <v>518.20000000000005</v>
      </c>
      <c r="AF1400" s="60">
        <v>0</v>
      </c>
      <c r="AG1400" s="60">
        <v>0</v>
      </c>
      <c r="AH1400" s="60">
        <v>0</v>
      </c>
      <c r="AI1400" s="60">
        <v>571.67999999999995</v>
      </c>
      <c r="AJ1400" s="60">
        <v>559.59</v>
      </c>
      <c r="AK1400" s="60">
        <v>518.20000000000005</v>
      </c>
      <c r="AL1400" s="60">
        <v>0</v>
      </c>
      <c r="AM1400" s="60">
        <v>0</v>
      </c>
      <c r="AN1400" s="60">
        <v>0</v>
      </c>
      <c r="AO1400" s="60">
        <v>571.67999999999995</v>
      </c>
      <c r="AP1400" s="60">
        <v>559.59</v>
      </c>
      <c r="AQ1400" s="60">
        <v>518.20000000000005</v>
      </c>
      <c r="AR1400" s="61">
        <v>571.67999999999995</v>
      </c>
    </row>
    <row r="1401" spans="1:44" x14ac:dyDescent="0.35">
      <c r="A1401" s="49" t="str">
        <f t="shared" si="113"/>
        <v>31</v>
      </c>
      <c r="B1401" s="27">
        <v>66779</v>
      </c>
      <c r="C1401" s="25" t="str">
        <f t="shared" si="114"/>
        <v>0000000</v>
      </c>
      <c r="D1401" s="26" t="s">
        <v>3663</v>
      </c>
      <c r="E1401" s="25" t="s">
        <v>1629</v>
      </c>
      <c r="F1401" s="25" t="s">
        <v>1626</v>
      </c>
      <c r="G1401" s="59" t="s">
        <v>1630</v>
      </c>
      <c r="H1401" s="60">
        <v>84.7</v>
      </c>
      <c r="I1401" s="60">
        <v>82.63</v>
      </c>
      <c r="J1401" s="60">
        <v>75.180000000000007</v>
      </c>
      <c r="K1401" s="60">
        <v>0</v>
      </c>
      <c r="L1401" s="60">
        <v>0</v>
      </c>
      <c r="M1401" s="60">
        <v>0</v>
      </c>
      <c r="N1401" s="60">
        <v>0</v>
      </c>
      <c r="O1401" s="60">
        <v>0</v>
      </c>
      <c r="P1401" s="60">
        <v>0</v>
      </c>
      <c r="Q1401" s="60">
        <v>0</v>
      </c>
      <c r="R1401" s="60">
        <v>0</v>
      </c>
      <c r="S1401" s="60">
        <v>0</v>
      </c>
      <c r="T1401" s="60">
        <v>0</v>
      </c>
      <c r="U1401" s="60">
        <v>0</v>
      </c>
      <c r="V1401" s="60">
        <v>0</v>
      </c>
      <c r="W1401" s="60">
        <v>0</v>
      </c>
      <c r="X1401" s="60">
        <v>0</v>
      </c>
      <c r="Y1401" s="60">
        <v>0</v>
      </c>
      <c r="Z1401" s="60">
        <v>0</v>
      </c>
      <c r="AA1401" s="60">
        <v>0</v>
      </c>
      <c r="AB1401" s="60">
        <v>0</v>
      </c>
      <c r="AC1401" s="60">
        <v>0</v>
      </c>
      <c r="AD1401" s="60">
        <v>0</v>
      </c>
      <c r="AE1401" s="60">
        <v>0</v>
      </c>
      <c r="AF1401" s="60">
        <v>0</v>
      </c>
      <c r="AG1401" s="60">
        <v>0</v>
      </c>
      <c r="AH1401" s="60">
        <v>0</v>
      </c>
      <c r="AI1401" s="60">
        <v>84.7</v>
      </c>
      <c r="AJ1401" s="60">
        <v>82.63</v>
      </c>
      <c r="AK1401" s="60">
        <v>75.180000000000007</v>
      </c>
      <c r="AL1401" s="60">
        <v>0</v>
      </c>
      <c r="AM1401" s="60">
        <v>0</v>
      </c>
      <c r="AN1401" s="60">
        <v>0</v>
      </c>
      <c r="AO1401" s="60">
        <v>84.7</v>
      </c>
      <c r="AP1401" s="60">
        <v>82.63</v>
      </c>
      <c r="AQ1401" s="60">
        <v>75.180000000000007</v>
      </c>
      <c r="AR1401" s="61">
        <v>84.7</v>
      </c>
    </row>
    <row r="1402" spans="1:44" x14ac:dyDescent="0.35">
      <c r="A1402" s="49" t="str">
        <f t="shared" si="113"/>
        <v>31</v>
      </c>
      <c r="B1402" s="27">
        <v>66787</v>
      </c>
      <c r="C1402" s="25" t="str">
        <f t="shared" si="114"/>
        <v>0000000</v>
      </c>
      <c r="D1402" s="26" t="s">
        <v>3663</v>
      </c>
      <c r="E1402" s="25" t="s">
        <v>1631</v>
      </c>
      <c r="F1402" s="25" t="s">
        <v>1626</v>
      </c>
      <c r="G1402" s="59" t="s">
        <v>1632</v>
      </c>
      <c r="H1402" s="60">
        <v>1332.77</v>
      </c>
      <c r="I1402" s="60">
        <v>1312.1</v>
      </c>
      <c r="J1402" s="60">
        <v>1377.22</v>
      </c>
      <c r="K1402" s="60">
        <v>0</v>
      </c>
      <c r="L1402" s="60">
        <v>0</v>
      </c>
      <c r="M1402" s="60">
        <v>0</v>
      </c>
      <c r="N1402" s="60">
        <v>0</v>
      </c>
      <c r="O1402" s="60">
        <v>0</v>
      </c>
      <c r="P1402" s="60">
        <v>0</v>
      </c>
      <c r="Q1402" s="60">
        <v>0</v>
      </c>
      <c r="R1402" s="60">
        <v>0</v>
      </c>
      <c r="S1402" s="60">
        <v>0</v>
      </c>
      <c r="T1402" s="60">
        <v>0</v>
      </c>
      <c r="U1402" s="60">
        <v>0</v>
      </c>
      <c r="V1402" s="60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60">
        <v>97.55</v>
      </c>
      <c r="AE1402" s="60">
        <v>116.8</v>
      </c>
      <c r="AF1402" s="60">
        <v>0</v>
      </c>
      <c r="AG1402" s="60">
        <v>0</v>
      </c>
      <c r="AH1402" s="60">
        <v>0</v>
      </c>
      <c r="AI1402" s="60">
        <v>1332.77</v>
      </c>
      <c r="AJ1402" s="60">
        <v>1409.65</v>
      </c>
      <c r="AK1402" s="60">
        <v>1494.02</v>
      </c>
      <c r="AL1402" s="60">
        <v>0</v>
      </c>
      <c r="AM1402" s="60">
        <v>0</v>
      </c>
      <c r="AN1402" s="60">
        <v>0</v>
      </c>
      <c r="AO1402" s="60">
        <v>1332.77</v>
      </c>
      <c r="AP1402" s="60">
        <v>1409.65</v>
      </c>
      <c r="AQ1402" s="60">
        <v>1494.02</v>
      </c>
      <c r="AR1402" s="61">
        <v>1494.02</v>
      </c>
    </row>
    <row r="1403" spans="1:44" x14ac:dyDescent="0.35">
      <c r="A1403" s="49" t="str">
        <f t="shared" si="113"/>
        <v>31</v>
      </c>
      <c r="B1403" s="27">
        <v>66795</v>
      </c>
      <c r="C1403" s="25" t="str">
        <f t="shared" si="114"/>
        <v>0000000</v>
      </c>
      <c r="D1403" s="26" t="s">
        <v>3663</v>
      </c>
      <c r="E1403" s="25" t="s">
        <v>1633</v>
      </c>
      <c r="F1403" s="25" t="s">
        <v>1626</v>
      </c>
      <c r="G1403" s="59" t="s">
        <v>1634</v>
      </c>
      <c r="H1403" s="60">
        <v>319.44</v>
      </c>
      <c r="I1403" s="60">
        <v>311.27</v>
      </c>
      <c r="J1403" s="60">
        <v>317.05</v>
      </c>
      <c r="K1403" s="60">
        <v>0</v>
      </c>
      <c r="L1403" s="60">
        <v>0</v>
      </c>
      <c r="M1403" s="60">
        <v>0</v>
      </c>
      <c r="N1403" s="60">
        <v>0</v>
      </c>
      <c r="O1403" s="60">
        <v>0</v>
      </c>
      <c r="P1403" s="60">
        <v>0</v>
      </c>
      <c r="Q1403" s="60">
        <v>0</v>
      </c>
      <c r="R1403" s="60">
        <v>0</v>
      </c>
      <c r="S1403" s="60">
        <v>0</v>
      </c>
      <c r="T1403" s="60">
        <v>0</v>
      </c>
      <c r="U1403" s="60">
        <v>0</v>
      </c>
      <c r="V1403" s="60">
        <v>0</v>
      </c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0">
        <v>0</v>
      </c>
      <c r="AE1403" s="60">
        <v>0</v>
      </c>
      <c r="AF1403" s="60">
        <v>0</v>
      </c>
      <c r="AG1403" s="60">
        <v>0</v>
      </c>
      <c r="AH1403" s="60">
        <v>0</v>
      </c>
      <c r="AI1403" s="60">
        <v>319.44</v>
      </c>
      <c r="AJ1403" s="60">
        <v>311.27</v>
      </c>
      <c r="AK1403" s="60">
        <v>317.05</v>
      </c>
      <c r="AL1403" s="60">
        <v>0</v>
      </c>
      <c r="AM1403" s="60">
        <v>0</v>
      </c>
      <c r="AN1403" s="60">
        <v>0</v>
      </c>
      <c r="AO1403" s="60">
        <v>319.44</v>
      </c>
      <c r="AP1403" s="60">
        <v>311.27</v>
      </c>
      <c r="AQ1403" s="60">
        <v>317.05</v>
      </c>
      <c r="AR1403" s="61">
        <v>319.44</v>
      </c>
    </row>
    <row r="1404" spans="1:44" x14ac:dyDescent="0.35">
      <c r="A1404" s="49" t="str">
        <f t="shared" si="113"/>
        <v>31</v>
      </c>
      <c r="B1404" s="27">
        <v>66803</v>
      </c>
      <c r="C1404" s="25" t="str">
        <f t="shared" si="114"/>
        <v>0000000</v>
      </c>
      <c r="D1404" s="26" t="s">
        <v>3663</v>
      </c>
      <c r="E1404" s="25" t="s">
        <v>1635</v>
      </c>
      <c r="F1404" s="25" t="s">
        <v>1626</v>
      </c>
      <c r="G1404" s="59" t="s">
        <v>1636</v>
      </c>
      <c r="H1404" s="60">
        <v>6401.93</v>
      </c>
      <c r="I1404" s="60">
        <v>6194.74</v>
      </c>
      <c r="J1404" s="60">
        <v>5920.42</v>
      </c>
      <c r="K1404" s="60">
        <v>0</v>
      </c>
      <c r="L1404" s="60">
        <v>0</v>
      </c>
      <c r="M1404" s="60">
        <v>0</v>
      </c>
      <c r="N1404" s="60">
        <v>0</v>
      </c>
      <c r="O1404" s="60">
        <v>0</v>
      </c>
      <c r="P1404" s="60">
        <v>0</v>
      </c>
      <c r="Q1404" s="60">
        <v>0</v>
      </c>
      <c r="R1404" s="60">
        <v>0</v>
      </c>
      <c r="S1404" s="60">
        <v>0</v>
      </c>
      <c r="T1404" s="60">
        <v>0</v>
      </c>
      <c r="U1404" s="60">
        <v>0</v>
      </c>
      <c r="V1404" s="60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60">
        <v>0</v>
      </c>
      <c r="AE1404" s="60">
        <v>0</v>
      </c>
      <c r="AF1404" s="60">
        <v>0</v>
      </c>
      <c r="AG1404" s="60">
        <v>0</v>
      </c>
      <c r="AH1404" s="60">
        <v>0</v>
      </c>
      <c r="AI1404" s="60">
        <v>6401.93</v>
      </c>
      <c r="AJ1404" s="60">
        <v>6194.74</v>
      </c>
      <c r="AK1404" s="60">
        <v>5920.42</v>
      </c>
      <c r="AL1404" s="60">
        <v>0</v>
      </c>
      <c r="AM1404" s="60">
        <v>0</v>
      </c>
      <c r="AN1404" s="60">
        <v>0</v>
      </c>
      <c r="AO1404" s="60">
        <v>6401.93</v>
      </c>
      <c r="AP1404" s="60">
        <v>6194.74</v>
      </c>
      <c r="AQ1404" s="60">
        <v>5920.42</v>
      </c>
      <c r="AR1404" s="61">
        <v>6401.93</v>
      </c>
    </row>
    <row r="1405" spans="1:44" x14ac:dyDescent="0.35">
      <c r="A1405" s="49" t="str">
        <f t="shared" si="113"/>
        <v>31</v>
      </c>
      <c r="B1405" s="27">
        <v>66829</v>
      </c>
      <c r="C1405" s="25" t="str">
        <f t="shared" si="114"/>
        <v>0000000</v>
      </c>
      <c r="D1405" s="26" t="s">
        <v>3663</v>
      </c>
      <c r="E1405" s="25" t="s">
        <v>1637</v>
      </c>
      <c r="F1405" s="25" t="s">
        <v>1626</v>
      </c>
      <c r="G1405" s="59" t="s">
        <v>1638</v>
      </c>
      <c r="H1405" s="60">
        <v>3177.48</v>
      </c>
      <c r="I1405" s="60">
        <v>3009.91</v>
      </c>
      <c r="J1405" s="60">
        <v>2928.11</v>
      </c>
      <c r="K1405" s="60">
        <v>0</v>
      </c>
      <c r="L1405" s="60">
        <v>0</v>
      </c>
      <c r="M1405" s="60">
        <v>0</v>
      </c>
      <c r="N1405" s="60">
        <v>0</v>
      </c>
      <c r="O1405" s="60">
        <v>0</v>
      </c>
      <c r="P1405" s="60">
        <v>0</v>
      </c>
      <c r="Q1405" s="60">
        <v>0</v>
      </c>
      <c r="R1405" s="60">
        <v>0</v>
      </c>
      <c r="S1405" s="60">
        <v>0</v>
      </c>
      <c r="T1405" s="60">
        <v>0</v>
      </c>
      <c r="U1405" s="60">
        <v>0</v>
      </c>
      <c r="V1405" s="60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60">
        <v>0</v>
      </c>
      <c r="AD1405" s="60">
        <v>0</v>
      </c>
      <c r="AE1405" s="60">
        <v>0</v>
      </c>
      <c r="AF1405" s="60">
        <v>0</v>
      </c>
      <c r="AG1405" s="60">
        <v>0</v>
      </c>
      <c r="AH1405" s="60">
        <v>0</v>
      </c>
      <c r="AI1405" s="60">
        <v>3177.48</v>
      </c>
      <c r="AJ1405" s="60">
        <v>3009.91</v>
      </c>
      <c r="AK1405" s="60">
        <v>2928.11</v>
      </c>
      <c r="AL1405" s="60">
        <v>0</v>
      </c>
      <c r="AM1405" s="60">
        <v>0</v>
      </c>
      <c r="AN1405" s="60">
        <v>0</v>
      </c>
      <c r="AO1405" s="60">
        <v>3177.48</v>
      </c>
      <c r="AP1405" s="60">
        <v>3009.91</v>
      </c>
      <c r="AQ1405" s="60">
        <v>2928.11</v>
      </c>
      <c r="AR1405" s="61">
        <v>3177.48</v>
      </c>
    </row>
    <row r="1406" spans="1:44" x14ac:dyDescent="0.35">
      <c r="A1406" s="49" t="str">
        <f t="shared" si="113"/>
        <v>31</v>
      </c>
      <c r="B1406" s="27">
        <v>66837</v>
      </c>
      <c r="C1406" s="25" t="str">
        <f t="shared" si="114"/>
        <v>0000000</v>
      </c>
      <c r="D1406" s="26" t="s">
        <v>3663</v>
      </c>
      <c r="E1406" s="25" t="s">
        <v>1639</v>
      </c>
      <c r="F1406" s="25" t="s">
        <v>1626</v>
      </c>
      <c r="G1406" s="59" t="s">
        <v>1640</v>
      </c>
      <c r="H1406" s="60">
        <v>440.8</v>
      </c>
      <c r="I1406" s="60">
        <v>406.01</v>
      </c>
      <c r="J1406" s="60">
        <v>418.04</v>
      </c>
      <c r="K1406" s="60">
        <v>0</v>
      </c>
      <c r="L1406" s="60">
        <v>0</v>
      </c>
      <c r="M1406" s="60">
        <v>0</v>
      </c>
      <c r="N1406" s="60">
        <v>0</v>
      </c>
      <c r="O1406" s="60">
        <v>0</v>
      </c>
      <c r="P1406" s="60">
        <v>0</v>
      </c>
      <c r="Q1406" s="60">
        <v>0</v>
      </c>
      <c r="R1406" s="60">
        <v>0</v>
      </c>
      <c r="S1406" s="60">
        <v>0</v>
      </c>
      <c r="T1406" s="60">
        <v>0</v>
      </c>
      <c r="U1406" s="60">
        <v>0</v>
      </c>
      <c r="V1406" s="60">
        <v>0</v>
      </c>
      <c r="W1406" s="60">
        <v>0</v>
      </c>
      <c r="X1406" s="60">
        <v>0</v>
      </c>
      <c r="Y1406" s="60">
        <v>0</v>
      </c>
      <c r="Z1406" s="60">
        <v>0</v>
      </c>
      <c r="AA1406" s="60">
        <v>0</v>
      </c>
      <c r="AB1406" s="60">
        <v>0</v>
      </c>
      <c r="AC1406" s="60">
        <v>0</v>
      </c>
      <c r="AD1406" s="60">
        <v>0</v>
      </c>
      <c r="AE1406" s="60">
        <v>0</v>
      </c>
      <c r="AF1406" s="60">
        <v>0</v>
      </c>
      <c r="AG1406" s="60">
        <v>0</v>
      </c>
      <c r="AH1406" s="60">
        <v>0</v>
      </c>
      <c r="AI1406" s="60">
        <v>440.8</v>
      </c>
      <c r="AJ1406" s="60">
        <v>406.01</v>
      </c>
      <c r="AK1406" s="60">
        <v>418.04</v>
      </c>
      <c r="AL1406" s="60">
        <v>0</v>
      </c>
      <c r="AM1406" s="60">
        <v>0</v>
      </c>
      <c r="AN1406" s="60">
        <v>0</v>
      </c>
      <c r="AO1406" s="60">
        <v>440.8</v>
      </c>
      <c r="AP1406" s="60">
        <v>406.01</v>
      </c>
      <c r="AQ1406" s="60">
        <v>418.04</v>
      </c>
      <c r="AR1406" s="61">
        <v>440.8</v>
      </c>
    </row>
    <row r="1407" spans="1:44" x14ac:dyDescent="0.35">
      <c r="A1407" s="49" t="str">
        <f t="shared" si="113"/>
        <v>31</v>
      </c>
      <c r="B1407" s="27">
        <v>66845</v>
      </c>
      <c r="C1407" s="25" t="str">
        <f t="shared" si="114"/>
        <v>0000000</v>
      </c>
      <c r="D1407" s="26" t="s">
        <v>3663</v>
      </c>
      <c r="E1407" s="25" t="s">
        <v>1641</v>
      </c>
      <c r="F1407" s="25" t="s">
        <v>1626</v>
      </c>
      <c r="G1407" s="59" t="s">
        <v>1642</v>
      </c>
      <c r="H1407" s="60">
        <v>2303.2600000000002</v>
      </c>
      <c r="I1407" s="60">
        <v>2267.39</v>
      </c>
      <c r="J1407" s="60">
        <v>2209.2399999999998</v>
      </c>
      <c r="K1407" s="60">
        <v>0</v>
      </c>
      <c r="L1407" s="60">
        <v>0</v>
      </c>
      <c r="M1407" s="60">
        <v>0</v>
      </c>
      <c r="N1407" s="60">
        <v>0</v>
      </c>
      <c r="O1407" s="60">
        <v>0</v>
      </c>
      <c r="P1407" s="60">
        <v>0</v>
      </c>
      <c r="Q1407" s="60">
        <v>0</v>
      </c>
      <c r="R1407" s="60">
        <v>0</v>
      </c>
      <c r="S1407" s="60">
        <v>0</v>
      </c>
      <c r="T1407" s="60">
        <v>0</v>
      </c>
      <c r="U1407" s="60">
        <v>0</v>
      </c>
      <c r="V1407" s="60">
        <v>0</v>
      </c>
      <c r="W1407" s="60">
        <v>0</v>
      </c>
      <c r="X1407" s="60">
        <v>0</v>
      </c>
      <c r="Y1407" s="60">
        <v>0</v>
      </c>
      <c r="Z1407" s="60">
        <v>0</v>
      </c>
      <c r="AA1407" s="60">
        <v>0</v>
      </c>
      <c r="AB1407" s="60">
        <v>0</v>
      </c>
      <c r="AC1407" s="60">
        <v>479.58</v>
      </c>
      <c r="AD1407" s="60">
        <v>474.65</v>
      </c>
      <c r="AE1407" s="60">
        <v>478</v>
      </c>
      <c r="AF1407" s="60">
        <v>0</v>
      </c>
      <c r="AG1407" s="60">
        <v>0</v>
      </c>
      <c r="AH1407" s="60">
        <v>0</v>
      </c>
      <c r="AI1407" s="60">
        <v>2782.84</v>
      </c>
      <c r="AJ1407" s="60">
        <v>2742.04</v>
      </c>
      <c r="AK1407" s="60">
        <v>2687.24</v>
      </c>
      <c r="AL1407" s="60">
        <v>0</v>
      </c>
      <c r="AM1407" s="60">
        <v>0</v>
      </c>
      <c r="AN1407" s="60">
        <v>0</v>
      </c>
      <c r="AO1407" s="60">
        <v>2782.84</v>
      </c>
      <c r="AP1407" s="60">
        <v>2742.04</v>
      </c>
      <c r="AQ1407" s="60">
        <v>2687.24</v>
      </c>
      <c r="AR1407" s="61">
        <v>2782.84</v>
      </c>
    </row>
    <row r="1408" spans="1:44" x14ac:dyDescent="0.35">
      <c r="A1408" s="49" t="str">
        <f t="shared" si="113"/>
        <v>31</v>
      </c>
      <c r="B1408" s="27">
        <v>66852</v>
      </c>
      <c r="C1408" s="25" t="str">
        <f t="shared" si="114"/>
        <v>0000000</v>
      </c>
      <c r="D1408" s="26" t="s">
        <v>3663</v>
      </c>
      <c r="E1408" s="25" t="s">
        <v>1643</v>
      </c>
      <c r="F1408" s="25" t="s">
        <v>1626</v>
      </c>
      <c r="G1408" s="59" t="s">
        <v>1644</v>
      </c>
      <c r="H1408" s="60">
        <v>153.44999999999999</v>
      </c>
      <c r="I1408" s="60">
        <v>141.34</v>
      </c>
      <c r="J1408" s="60">
        <v>150.13999999999999</v>
      </c>
      <c r="K1408" s="60">
        <v>0</v>
      </c>
      <c r="L1408" s="60">
        <v>0</v>
      </c>
      <c r="M1408" s="60">
        <v>0</v>
      </c>
      <c r="N1408" s="60">
        <v>0</v>
      </c>
      <c r="O1408" s="60">
        <v>0</v>
      </c>
      <c r="P1408" s="60">
        <v>0</v>
      </c>
      <c r="Q1408" s="60">
        <v>0</v>
      </c>
      <c r="R1408" s="60">
        <v>0</v>
      </c>
      <c r="S1408" s="60">
        <v>0</v>
      </c>
      <c r="T1408" s="60">
        <v>0</v>
      </c>
      <c r="U1408" s="60">
        <v>0</v>
      </c>
      <c r="V1408" s="60">
        <v>0</v>
      </c>
      <c r="W1408" s="60">
        <v>0</v>
      </c>
      <c r="X1408" s="60">
        <v>0</v>
      </c>
      <c r="Y1408" s="60">
        <v>0</v>
      </c>
      <c r="Z1408" s="60">
        <v>0</v>
      </c>
      <c r="AA1408" s="60">
        <v>0</v>
      </c>
      <c r="AB1408" s="60">
        <v>0</v>
      </c>
      <c r="AC1408" s="60">
        <v>866.22</v>
      </c>
      <c r="AD1408" s="60">
        <v>821.1</v>
      </c>
      <c r="AE1408" s="60">
        <v>772.98</v>
      </c>
      <c r="AF1408" s="60">
        <v>0</v>
      </c>
      <c r="AG1408" s="60">
        <v>0</v>
      </c>
      <c r="AH1408" s="60">
        <v>0</v>
      </c>
      <c r="AI1408" s="60">
        <v>1019.67</v>
      </c>
      <c r="AJ1408" s="60">
        <v>962.44</v>
      </c>
      <c r="AK1408" s="60">
        <v>923.12</v>
      </c>
      <c r="AL1408" s="60">
        <v>0</v>
      </c>
      <c r="AM1408" s="60">
        <v>0</v>
      </c>
      <c r="AN1408" s="60">
        <v>0</v>
      </c>
      <c r="AO1408" s="60">
        <v>1019.67</v>
      </c>
      <c r="AP1408" s="60">
        <v>962.44</v>
      </c>
      <c r="AQ1408" s="60">
        <v>923.12</v>
      </c>
      <c r="AR1408" s="61">
        <v>1019.67</v>
      </c>
    </row>
    <row r="1409" spans="1:44" x14ac:dyDescent="0.35">
      <c r="A1409" s="49" t="str">
        <f t="shared" si="113"/>
        <v>31</v>
      </c>
      <c r="B1409" s="27">
        <v>66886</v>
      </c>
      <c r="C1409" s="25" t="str">
        <f t="shared" si="114"/>
        <v>0000000</v>
      </c>
      <c r="D1409" s="26" t="s">
        <v>3663</v>
      </c>
      <c r="E1409" s="25" t="s">
        <v>1647</v>
      </c>
      <c r="F1409" s="25" t="s">
        <v>1626</v>
      </c>
      <c r="G1409" s="59" t="s">
        <v>1648</v>
      </c>
      <c r="H1409" s="60">
        <v>708.78</v>
      </c>
      <c r="I1409" s="60">
        <v>699.67</v>
      </c>
      <c r="J1409" s="60">
        <v>665.54</v>
      </c>
      <c r="K1409" s="60">
        <v>0</v>
      </c>
      <c r="L1409" s="60">
        <v>0</v>
      </c>
      <c r="M1409" s="60">
        <v>0</v>
      </c>
      <c r="N1409" s="60">
        <v>0</v>
      </c>
      <c r="O1409" s="60">
        <v>0</v>
      </c>
      <c r="P1409" s="60">
        <v>0</v>
      </c>
      <c r="Q1409" s="60">
        <v>0</v>
      </c>
      <c r="R1409" s="60">
        <v>0</v>
      </c>
      <c r="S1409" s="60">
        <v>0</v>
      </c>
      <c r="T1409" s="60">
        <v>0</v>
      </c>
      <c r="U1409" s="60">
        <v>0</v>
      </c>
      <c r="V1409" s="60">
        <v>0</v>
      </c>
      <c r="W1409" s="60">
        <v>0</v>
      </c>
      <c r="X1409" s="60">
        <v>0</v>
      </c>
      <c r="Y1409" s="60">
        <v>0</v>
      </c>
      <c r="Z1409" s="60">
        <v>0</v>
      </c>
      <c r="AA1409" s="60">
        <v>0</v>
      </c>
      <c r="AB1409" s="60">
        <v>0</v>
      </c>
      <c r="AC1409" s="60">
        <v>0</v>
      </c>
      <c r="AD1409" s="60">
        <v>0</v>
      </c>
      <c r="AE1409" s="60">
        <v>0</v>
      </c>
      <c r="AF1409" s="60">
        <v>0</v>
      </c>
      <c r="AG1409" s="60">
        <v>0</v>
      </c>
      <c r="AH1409" s="60">
        <v>0</v>
      </c>
      <c r="AI1409" s="60">
        <v>708.78</v>
      </c>
      <c r="AJ1409" s="60">
        <v>699.67</v>
      </c>
      <c r="AK1409" s="60">
        <v>665.54</v>
      </c>
      <c r="AL1409" s="60">
        <v>0</v>
      </c>
      <c r="AM1409" s="60">
        <v>0</v>
      </c>
      <c r="AN1409" s="60">
        <v>0</v>
      </c>
      <c r="AO1409" s="60">
        <v>708.78</v>
      </c>
      <c r="AP1409" s="60">
        <v>699.67</v>
      </c>
      <c r="AQ1409" s="60">
        <v>665.54</v>
      </c>
      <c r="AR1409" s="61">
        <v>708.78</v>
      </c>
    </row>
    <row r="1410" spans="1:44" x14ac:dyDescent="0.35">
      <c r="A1410" s="49" t="str">
        <f t="shared" si="113"/>
        <v>31</v>
      </c>
      <c r="B1410" s="27">
        <v>75085</v>
      </c>
      <c r="C1410" s="25" t="str">
        <f t="shared" si="114"/>
        <v>0000000</v>
      </c>
      <c r="D1410" s="26" t="s">
        <v>3663</v>
      </c>
      <c r="E1410" s="25" t="s">
        <v>1668</v>
      </c>
      <c r="F1410" s="25" t="s">
        <v>1626</v>
      </c>
      <c r="G1410" s="59" t="s">
        <v>1669</v>
      </c>
      <c r="H1410" s="60">
        <v>11101.17</v>
      </c>
      <c r="I1410" s="60">
        <v>11049.22</v>
      </c>
      <c r="J1410" s="60">
        <v>10734.79</v>
      </c>
      <c r="K1410" s="60">
        <v>0</v>
      </c>
      <c r="L1410" s="60">
        <v>0</v>
      </c>
      <c r="M1410" s="60">
        <v>0</v>
      </c>
      <c r="N1410" s="60">
        <v>0</v>
      </c>
      <c r="O1410" s="60">
        <v>0</v>
      </c>
      <c r="P1410" s="60">
        <v>0</v>
      </c>
      <c r="Q1410" s="60">
        <v>0</v>
      </c>
      <c r="R1410" s="60">
        <v>0</v>
      </c>
      <c r="S1410" s="60">
        <v>0</v>
      </c>
      <c r="T1410" s="60">
        <v>0</v>
      </c>
      <c r="U1410" s="60">
        <v>0</v>
      </c>
      <c r="V1410" s="60">
        <v>0</v>
      </c>
      <c r="W1410" s="60">
        <v>0</v>
      </c>
      <c r="X1410" s="60">
        <v>0</v>
      </c>
      <c r="Y1410" s="60">
        <v>0</v>
      </c>
      <c r="Z1410" s="60">
        <v>0</v>
      </c>
      <c r="AA1410" s="60">
        <v>0</v>
      </c>
      <c r="AB1410" s="60">
        <v>0</v>
      </c>
      <c r="AC1410" s="60">
        <v>0</v>
      </c>
      <c r="AD1410" s="60">
        <v>0</v>
      </c>
      <c r="AE1410" s="60">
        <v>0</v>
      </c>
      <c r="AF1410" s="60">
        <v>0</v>
      </c>
      <c r="AG1410" s="60">
        <v>0</v>
      </c>
      <c r="AH1410" s="60">
        <v>0</v>
      </c>
      <c r="AI1410" s="60">
        <v>11101.17</v>
      </c>
      <c r="AJ1410" s="60">
        <v>11049.22</v>
      </c>
      <c r="AK1410" s="60">
        <v>10734.79</v>
      </c>
      <c r="AL1410" s="60">
        <v>0</v>
      </c>
      <c r="AM1410" s="60">
        <v>0</v>
      </c>
      <c r="AN1410" s="60">
        <v>0</v>
      </c>
      <c r="AO1410" s="60">
        <v>11101.17</v>
      </c>
      <c r="AP1410" s="60">
        <v>11049.22</v>
      </c>
      <c r="AQ1410" s="60">
        <v>10734.79</v>
      </c>
      <c r="AR1410" s="61">
        <v>11101.17</v>
      </c>
    </row>
    <row r="1411" spans="1:44" x14ac:dyDescent="0.35">
      <c r="A1411" s="49" t="str">
        <f t="shared" si="113"/>
        <v>31</v>
      </c>
      <c r="B1411" s="27">
        <v>66910</v>
      </c>
      <c r="C1411" s="25" t="str">
        <f t="shared" si="114"/>
        <v>0000000</v>
      </c>
      <c r="D1411" s="26" t="s">
        <v>3663</v>
      </c>
      <c r="E1411" s="25" t="s">
        <v>1651</v>
      </c>
      <c r="F1411" s="25" t="s">
        <v>1626</v>
      </c>
      <c r="G1411" s="59" t="s">
        <v>1652</v>
      </c>
      <c r="H1411" s="60">
        <v>11446.21</v>
      </c>
      <c r="I1411" s="60">
        <v>10742.3</v>
      </c>
      <c r="J1411" s="60">
        <v>10516.59</v>
      </c>
      <c r="K1411" s="60">
        <v>0</v>
      </c>
      <c r="L1411" s="60">
        <v>0</v>
      </c>
      <c r="M1411" s="60">
        <v>0</v>
      </c>
      <c r="N1411" s="60">
        <v>0</v>
      </c>
      <c r="O1411" s="60">
        <v>0</v>
      </c>
      <c r="P1411" s="60">
        <v>0</v>
      </c>
      <c r="Q1411" s="60">
        <v>0</v>
      </c>
      <c r="R1411" s="60">
        <v>0</v>
      </c>
      <c r="S1411" s="60">
        <v>0</v>
      </c>
      <c r="T1411" s="60">
        <v>0</v>
      </c>
      <c r="U1411" s="60">
        <v>0</v>
      </c>
      <c r="V1411" s="60">
        <v>0</v>
      </c>
      <c r="W1411" s="60">
        <v>0</v>
      </c>
      <c r="X1411" s="60">
        <v>0</v>
      </c>
      <c r="Y1411" s="60">
        <v>0</v>
      </c>
      <c r="Z1411" s="60">
        <v>0</v>
      </c>
      <c r="AA1411" s="60">
        <v>0</v>
      </c>
      <c r="AB1411" s="60">
        <v>0</v>
      </c>
      <c r="AC1411" s="60">
        <v>0</v>
      </c>
      <c r="AD1411" s="60">
        <v>0</v>
      </c>
      <c r="AE1411" s="60">
        <v>0</v>
      </c>
      <c r="AF1411" s="60">
        <v>0</v>
      </c>
      <c r="AG1411" s="60">
        <v>0</v>
      </c>
      <c r="AH1411" s="60">
        <v>0</v>
      </c>
      <c r="AI1411" s="60">
        <v>11446.21</v>
      </c>
      <c r="AJ1411" s="60">
        <v>10742.3</v>
      </c>
      <c r="AK1411" s="60">
        <v>10516.59</v>
      </c>
      <c r="AL1411" s="60">
        <v>0</v>
      </c>
      <c r="AM1411" s="60">
        <v>0</v>
      </c>
      <c r="AN1411" s="60">
        <v>0</v>
      </c>
      <c r="AO1411" s="60">
        <v>11446.21</v>
      </c>
      <c r="AP1411" s="60">
        <v>10742.3</v>
      </c>
      <c r="AQ1411" s="60">
        <v>10516.59</v>
      </c>
      <c r="AR1411" s="61">
        <v>11446.21</v>
      </c>
    </row>
    <row r="1412" spans="1:44" x14ac:dyDescent="0.35">
      <c r="A1412" s="49" t="str">
        <f t="shared" si="113"/>
        <v>31</v>
      </c>
      <c r="B1412" s="27">
        <v>66894</v>
      </c>
      <c r="C1412" s="25" t="str">
        <f t="shared" si="114"/>
        <v>0000000</v>
      </c>
      <c r="D1412" s="26" t="s">
        <v>3663</v>
      </c>
      <c r="E1412" s="25" t="s">
        <v>1649</v>
      </c>
      <c r="F1412" s="25" t="s">
        <v>1626</v>
      </c>
      <c r="G1412" s="59" t="s">
        <v>1650</v>
      </c>
      <c r="H1412" s="60">
        <v>3586.63</v>
      </c>
      <c r="I1412" s="60">
        <v>3587.95</v>
      </c>
      <c r="J1412" s="60">
        <v>3623.63</v>
      </c>
      <c r="K1412" s="60">
        <v>0</v>
      </c>
      <c r="L1412" s="60">
        <v>0</v>
      </c>
      <c r="M1412" s="60">
        <v>0</v>
      </c>
      <c r="N1412" s="60">
        <v>0</v>
      </c>
      <c r="O1412" s="60">
        <v>0</v>
      </c>
      <c r="P1412" s="60">
        <v>0</v>
      </c>
      <c r="Q1412" s="60">
        <v>0</v>
      </c>
      <c r="R1412" s="60">
        <v>0</v>
      </c>
      <c r="S1412" s="60">
        <v>0</v>
      </c>
      <c r="T1412" s="60">
        <v>0</v>
      </c>
      <c r="U1412" s="60">
        <v>0</v>
      </c>
      <c r="V1412" s="60">
        <v>0</v>
      </c>
      <c r="W1412" s="60">
        <v>0</v>
      </c>
      <c r="X1412" s="60">
        <v>0</v>
      </c>
      <c r="Y1412" s="60">
        <v>0</v>
      </c>
      <c r="Z1412" s="60">
        <v>0</v>
      </c>
      <c r="AA1412" s="60">
        <v>0</v>
      </c>
      <c r="AB1412" s="60">
        <v>0</v>
      </c>
      <c r="AC1412" s="60">
        <v>116.78</v>
      </c>
      <c r="AD1412" s="60">
        <v>94.65</v>
      </c>
      <c r="AE1412" s="60">
        <v>91.91</v>
      </c>
      <c r="AF1412" s="60">
        <v>0</v>
      </c>
      <c r="AG1412" s="60">
        <v>0</v>
      </c>
      <c r="AH1412" s="60">
        <v>0</v>
      </c>
      <c r="AI1412" s="60">
        <v>3703.41</v>
      </c>
      <c r="AJ1412" s="60">
        <v>3682.6</v>
      </c>
      <c r="AK1412" s="60">
        <v>3715.54</v>
      </c>
      <c r="AL1412" s="60">
        <v>0</v>
      </c>
      <c r="AM1412" s="60">
        <v>0</v>
      </c>
      <c r="AN1412" s="60">
        <v>0</v>
      </c>
      <c r="AO1412" s="60">
        <v>3703.41</v>
      </c>
      <c r="AP1412" s="60">
        <v>3682.6</v>
      </c>
      <c r="AQ1412" s="60">
        <v>3715.54</v>
      </c>
      <c r="AR1412" s="61">
        <v>3715.54</v>
      </c>
    </row>
    <row r="1413" spans="1:44" x14ac:dyDescent="0.35">
      <c r="A1413" s="49" t="str">
        <f t="shared" si="113"/>
        <v>31</v>
      </c>
      <c r="B1413" s="27">
        <v>66928</v>
      </c>
      <c r="C1413" s="25" t="str">
        <f t="shared" si="114"/>
        <v>0000000</v>
      </c>
      <c r="D1413" s="26" t="s">
        <v>3663</v>
      </c>
      <c r="E1413" s="25" t="s">
        <v>1653</v>
      </c>
      <c r="F1413" s="25" t="s">
        <v>1626</v>
      </c>
      <c r="G1413" s="59" t="s">
        <v>1654</v>
      </c>
      <c r="H1413" s="60">
        <v>10141.43</v>
      </c>
      <c r="I1413" s="60">
        <v>9856.58</v>
      </c>
      <c r="J1413" s="60">
        <v>9767.32</v>
      </c>
      <c r="K1413" s="60">
        <v>0</v>
      </c>
      <c r="L1413" s="60">
        <v>0</v>
      </c>
      <c r="M1413" s="60">
        <v>0</v>
      </c>
      <c r="N1413" s="60">
        <v>0</v>
      </c>
      <c r="O1413" s="60">
        <v>0</v>
      </c>
      <c r="P1413" s="60">
        <v>0</v>
      </c>
      <c r="Q1413" s="60">
        <v>0</v>
      </c>
      <c r="R1413" s="60">
        <v>0</v>
      </c>
      <c r="S1413" s="60">
        <v>0</v>
      </c>
      <c r="T1413" s="60">
        <v>0</v>
      </c>
      <c r="U1413" s="60">
        <v>0</v>
      </c>
      <c r="V1413" s="60">
        <v>0</v>
      </c>
      <c r="W1413" s="60">
        <v>0</v>
      </c>
      <c r="X1413" s="60">
        <v>0</v>
      </c>
      <c r="Y1413" s="60">
        <v>0</v>
      </c>
      <c r="Z1413" s="60">
        <v>0</v>
      </c>
      <c r="AA1413" s="60">
        <v>0</v>
      </c>
      <c r="AB1413" s="60">
        <v>0</v>
      </c>
      <c r="AC1413" s="60">
        <v>0</v>
      </c>
      <c r="AD1413" s="60">
        <v>0</v>
      </c>
      <c r="AE1413" s="60">
        <v>0</v>
      </c>
      <c r="AF1413" s="60">
        <v>0</v>
      </c>
      <c r="AG1413" s="60">
        <v>0</v>
      </c>
      <c r="AH1413" s="60">
        <v>0</v>
      </c>
      <c r="AI1413" s="60">
        <v>10141.43</v>
      </c>
      <c r="AJ1413" s="60">
        <v>9856.58</v>
      </c>
      <c r="AK1413" s="60">
        <v>9767.32</v>
      </c>
      <c r="AL1413" s="60">
        <v>0</v>
      </c>
      <c r="AM1413" s="60">
        <v>0</v>
      </c>
      <c r="AN1413" s="60">
        <v>0</v>
      </c>
      <c r="AO1413" s="60">
        <v>10141.43</v>
      </c>
      <c r="AP1413" s="60">
        <v>9856.58</v>
      </c>
      <c r="AQ1413" s="60">
        <v>9767.32</v>
      </c>
      <c r="AR1413" s="61">
        <v>10141.43</v>
      </c>
    </row>
    <row r="1414" spans="1:44" x14ac:dyDescent="0.35">
      <c r="A1414" s="49" t="str">
        <f t="shared" si="113"/>
        <v>31</v>
      </c>
      <c r="B1414" s="27">
        <v>66944</v>
      </c>
      <c r="C1414" s="25" t="str">
        <f t="shared" si="114"/>
        <v>0000000</v>
      </c>
      <c r="D1414" s="26" t="s">
        <v>3663</v>
      </c>
      <c r="E1414" s="25" t="s">
        <v>1659</v>
      </c>
      <c r="F1414" s="25" t="s">
        <v>1626</v>
      </c>
      <c r="G1414" s="59" t="s">
        <v>1660</v>
      </c>
      <c r="H1414" s="60">
        <v>3599.06</v>
      </c>
      <c r="I1414" s="60">
        <v>3555.67</v>
      </c>
      <c r="J1414" s="60">
        <v>3413.14</v>
      </c>
      <c r="K1414" s="60">
        <v>0</v>
      </c>
      <c r="L1414" s="60">
        <v>0</v>
      </c>
      <c r="M1414" s="60">
        <v>0</v>
      </c>
      <c r="N1414" s="60">
        <v>0</v>
      </c>
      <c r="O1414" s="60">
        <v>0</v>
      </c>
      <c r="P1414" s="60">
        <v>0</v>
      </c>
      <c r="Q1414" s="60">
        <v>0</v>
      </c>
      <c r="R1414" s="60">
        <v>0</v>
      </c>
      <c r="S1414" s="60">
        <v>0</v>
      </c>
      <c r="T1414" s="60">
        <v>0</v>
      </c>
      <c r="U1414" s="60">
        <v>0</v>
      </c>
      <c r="V1414" s="60">
        <v>0</v>
      </c>
      <c r="W1414" s="60">
        <v>0</v>
      </c>
      <c r="X1414" s="60">
        <v>0</v>
      </c>
      <c r="Y1414" s="60">
        <v>0</v>
      </c>
      <c r="Z1414" s="60">
        <v>0</v>
      </c>
      <c r="AA1414" s="60">
        <v>0</v>
      </c>
      <c r="AB1414" s="60">
        <v>0</v>
      </c>
      <c r="AC1414" s="60">
        <v>212.78</v>
      </c>
      <c r="AD1414" s="60">
        <v>207.37</v>
      </c>
      <c r="AE1414" s="60">
        <v>208.16</v>
      </c>
      <c r="AF1414" s="60">
        <v>0</v>
      </c>
      <c r="AG1414" s="60">
        <v>0</v>
      </c>
      <c r="AH1414" s="60">
        <v>0</v>
      </c>
      <c r="AI1414" s="60">
        <v>3811.84</v>
      </c>
      <c r="AJ1414" s="60">
        <v>3763.04</v>
      </c>
      <c r="AK1414" s="60">
        <v>3621.3</v>
      </c>
      <c r="AL1414" s="60">
        <v>0</v>
      </c>
      <c r="AM1414" s="60">
        <v>0</v>
      </c>
      <c r="AN1414" s="60">
        <v>0</v>
      </c>
      <c r="AO1414" s="60">
        <v>3811.84</v>
      </c>
      <c r="AP1414" s="60">
        <v>3763.04</v>
      </c>
      <c r="AQ1414" s="60">
        <v>3621.3</v>
      </c>
      <c r="AR1414" s="61">
        <v>3811.84</v>
      </c>
    </row>
    <row r="1415" spans="1:44" x14ac:dyDescent="0.35">
      <c r="A1415" s="49" t="str">
        <f t="shared" si="113"/>
        <v>31</v>
      </c>
      <c r="B1415" s="27">
        <v>66951</v>
      </c>
      <c r="C1415" s="25" t="str">
        <f t="shared" si="114"/>
        <v>0000000</v>
      </c>
      <c r="D1415" s="26" t="s">
        <v>3663</v>
      </c>
      <c r="E1415" s="25" t="s">
        <v>1661</v>
      </c>
      <c r="F1415" s="25" t="s">
        <v>1626</v>
      </c>
      <c r="G1415" s="59" t="s">
        <v>1662</v>
      </c>
      <c r="H1415" s="60">
        <v>7444.8</v>
      </c>
      <c r="I1415" s="60">
        <v>7076.33</v>
      </c>
      <c r="J1415" s="60">
        <v>6677.96</v>
      </c>
      <c r="K1415" s="60">
        <v>0</v>
      </c>
      <c r="L1415" s="60">
        <v>0</v>
      </c>
      <c r="M1415" s="60">
        <v>0</v>
      </c>
      <c r="N1415" s="60">
        <v>0</v>
      </c>
      <c r="O1415" s="60">
        <v>0</v>
      </c>
      <c r="P1415" s="60">
        <v>0</v>
      </c>
      <c r="Q1415" s="60">
        <v>0</v>
      </c>
      <c r="R1415" s="60">
        <v>0</v>
      </c>
      <c r="S1415" s="60">
        <v>0</v>
      </c>
      <c r="T1415" s="60">
        <v>0</v>
      </c>
      <c r="U1415" s="60">
        <v>0</v>
      </c>
      <c r="V1415" s="60">
        <v>0</v>
      </c>
      <c r="W1415" s="60">
        <v>0</v>
      </c>
      <c r="X1415" s="60">
        <v>0</v>
      </c>
      <c r="Y1415" s="60">
        <v>0</v>
      </c>
      <c r="Z1415" s="60">
        <v>0</v>
      </c>
      <c r="AA1415" s="60">
        <v>0</v>
      </c>
      <c r="AB1415" s="60">
        <v>0</v>
      </c>
      <c r="AC1415" s="60">
        <v>0</v>
      </c>
      <c r="AD1415" s="60">
        <v>0</v>
      </c>
      <c r="AE1415" s="60">
        <v>1769.05</v>
      </c>
      <c r="AF1415" s="60">
        <v>0</v>
      </c>
      <c r="AG1415" s="60">
        <v>0</v>
      </c>
      <c r="AH1415" s="60">
        <v>0</v>
      </c>
      <c r="AI1415" s="60">
        <v>7444.8</v>
      </c>
      <c r="AJ1415" s="60">
        <v>7076.33</v>
      </c>
      <c r="AK1415" s="60">
        <v>8447.01</v>
      </c>
      <c r="AL1415" s="60">
        <v>0</v>
      </c>
      <c r="AM1415" s="60">
        <v>0</v>
      </c>
      <c r="AN1415" s="60">
        <v>-1769.05</v>
      </c>
      <c r="AO1415" s="60">
        <v>7444.8</v>
      </c>
      <c r="AP1415" s="60">
        <v>7076.33</v>
      </c>
      <c r="AQ1415" s="60">
        <v>6677.96</v>
      </c>
      <c r="AR1415" s="61">
        <v>7444.8</v>
      </c>
    </row>
    <row r="1416" spans="1:44" x14ac:dyDescent="0.35">
      <c r="A1416" s="49" t="str">
        <f t="shared" si="113"/>
        <v>31</v>
      </c>
      <c r="B1416" s="27">
        <v>75085</v>
      </c>
      <c r="C1416" s="25" t="str">
        <f>TEXT(117879,"0000000")</f>
        <v>0117879</v>
      </c>
      <c r="D1416" s="27">
        <v>1042</v>
      </c>
      <c r="E1416" s="25" t="s">
        <v>1673</v>
      </c>
      <c r="F1416" s="25" t="s">
        <v>1626</v>
      </c>
      <c r="G1416" s="59" t="s">
        <v>1674</v>
      </c>
      <c r="H1416" s="60">
        <v>0</v>
      </c>
      <c r="I1416" s="60">
        <v>0</v>
      </c>
      <c r="J1416" s="60">
        <v>0</v>
      </c>
      <c r="K1416" s="60">
        <v>0</v>
      </c>
      <c r="L1416" s="60">
        <v>0</v>
      </c>
      <c r="M1416" s="60">
        <v>0</v>
      </c>
      <c r="N1416" s="60">
        <v>0</v>
      </c>
      <c r="O1416" s="60">
        <v>0</v>
      </c>
      <c r="P1416" s="60">
        <v>0</v>
      </c>
      <c r="Q1416" s="60">
        <v>0</v>
      </c>
      <c r="R1416" s="60">
        <v>0</v>
      </c>
      <c r="S1416" s="60">
        <v>0</v>
      </c>
      <c r="T1416" s="60">
        <v>0</v>
      </c>
      <c r="U1416" s="60">
        <v>0</v>
      </c>
      <c r="V1416" s="60">
        <v>0</v>
      </c>
      <c r="W1416" s="60">
        <v>0</v>
      </c>
      <c r="X1416" s="60">
        <v>0</v>
      </c>
      <c r="Y1416" s="60">
        <v>0</v>
      </c>
      <c r="Z1416" s="60">
        <v>0</v>
      </c>
      <c r="AA1416" s="60">
        <v>0</v>
      </c>
      <c r="AB1416" s="60">
        <v>0</v>
      </c>
      <c r="AC1416" s="60">
        <v>258.14999999999998</v>
      </c>
      <c r="AD1416" s="60">
        <v>249.44</v>
      </c>
      <c r="AE1416" s="60">
        <v>239.83</v>
      </c>
      <c r="AF1416" s="60">
        <v>0</v>
      </c>
      <c r="AG1416" s="60">
        <v>0</v>
      </c>
      <c r="AH1416" s="60">
        <v>0</v>
      </c>
      <c r="AI1416" s="60">
        <v>258.14999999999998</v>
      </c>
      <c r="AJ1416" s="60">
        <v>249.44</v>
      </c>
      <c r="AK1416" s="60">
        <v>239.83</v>
      </c>
      <c r="AL1416" s="60">
        <v>0</v>
      </c>
      <c r="AM1416" s="60">
        <v>0</v>
      </c>
      <c r="AN1416" s="60">
        <v>0</v>
      </c>
      <c r="AO1416" s="60">
        <v>258.14999999999998</v>
      </c>
      <c r="AP1416" s="60">
        <v>249.44</v>
      </c>
      <c r="AQ1416" s="60">
        <v>239.83</v>
      </c>
      <c r="AR1416" s="61">
        <v>258.14999999999998</v>
      </c>
    </row>
    <row r="1417" spans="1:44" x14ac:dyDescent="0.35">
      <c r="A1417" s="49" t="str">
        <f t="shared" ref="A1417:A1431" si="115">TEXT(37,"00")</f>
        <v>37</v>
      </c>
      <c r="B1417" s="27">
        <v>10371</v>
      </c>
      <c r="C1417" s="25" t="str">
        <f t="shared" ref="C1417:C1454" si="116">TEXT(,"0000000")</f>
        <v>0000000</v>
      </c>
      <c r="D1417" s="26" t="s">
        <v>3663</v>
      </c>
      <c r="E1417" s="25" t="s">
        <v>2052</v>
      </c>
      <c r="F1417" s="25" t="s">
        <v>2053</v>
      </c>
      <c r="G1417" s="59" t="s">
        <v>2053</v>
      </c>
      <c r="H1417" s="60">
        <v>0</v>
      </c>
      <c r="I1417" s="60">
        <v>0</v>
      </c>
      <c r="J1417" s="60">
        <v>0</v>
      </c>
      <c r="K1417" s="60">
        <v>0</v>
      </c>
      <c r="L1417" s="60">
        <v>0</v>
      </c>
      <c r="M1417" s="60">
        <v>0</v>
      </c>
      <c r="N1417" s="60">
        <v>0</v>
      </c>
      <c r="O1417" s="60">
        <v>0</v>
      </c>
      <c r="P1417" s="60">
        <v>0</v>
      </c>
      <c r="Q1417" s="60">
        <v>0</v>
      </c>
      <c r="R1417" s="60">
        <v>0</v>
      </c>
      <c r="S1417" s="60">
        <v>0</v>
      </c>
      <c r="T1417" s="60">
        <v>0</v>
      </c>
      <c r="U1417" s="60">
        <v>0</v>
      </c>
      <c r="V1417" s="60">
        <v>0</v>
      </c>
      <c r="W1417" s="60">
        <v>44.53</v>
      </c>
      <c r="X1417" s="60">
        <v>48.54</v>
      </c>
      <c r="Y1417" s="60">
        <v>47.03</v>
      </c>
      <c r="Z1417" s="60">
        <v>0</v>
      </c>
      <c r="AA1417" s="60">
        <v>0</v>
      </c>
      <c r="AB1417" s="60">
        <v>0</v>
      </c>
      <c r="AC1417" s="60">
        <v>0</v>
      </c>
      <c r="AD1417" s="60">
        <v>0</v>
      </c>
      <c r="AE1417" s="60">
        <v>0</v>
      </c>
      <c r="AF1417" s="60">
        <v>0</v>
      </c>
      <c r="AG1417" s="60">
        <v>0</v>
      </c>
      <c r="AH1417" s="60">
        <v>0</v>
      </c>
      <c r="AI1417" s="60">
        <v>44.53</v>
      </c>
      <c r="AJ1417" s="60">
        <v>48.54</v>
      </c>
      <c r="AK1417" s="60">
        <v>47.03</v>
      </c>
      <c r="AL1417" s="60">
        <v>0</v>
      </c>
      <c r="AM1417" s="60">
        <v>0</v>
      </c>
      <c r="AN1417" s="60">
        <v>0</v>
      </c>
      <c r="AO1417" s="60">
        <v>44.53</v>
      </c>
      <c r="AP1417" s="60">
        <v>48.54</v>
      </c>
      <c r="AQ1417" s="60">
        <v>47.03</v>
      </c>
      <c r="AR1417" s="61">
        <v>48.54</v>
      </c>
    </row>
    <row r="1418" spans="1:44" x14ac:dyDescent="0.35">
      <c r="A1418" s="49" t="str">
        <f t="shared" si="115"/>
        <v>37</v>
      </c>
      <c r="B1418" s="27">
        <v>68007</v>
      </c>
      <c r="C1418" s="25" t="str">
        <f t="shared" si="116"/>
        <v>0000000</v>
      </c>
      <c r="D1418" s="26" t="s">
        <v>3663</v>
      </c>
      <c r="E1418" s="25" t="s">
        <v>2086</v>
      </c>
      <c r="F1418" s="25" t="s">
        <v>2053</v>
      </c>
      <c r="G1418" s="59" t="s">
        <v>2087</v>
      </c>
      <c r="H1418" s="60">
        <v>611.29999999999995</v>
      </c>
      <c r="I1418" s="60">
        <v>600.16</v>
      </c>
      <c r="J1418" s="60">
        <v>583.07000000000005</v>
      </c>
      <c r="K1418" s="60">
        <v>0</v>
      </c>
      <c r="L1418" s="60">
        <v>0</v>
      </c>
      <c r="M1418" s="60">
        <v>0</v>
      </c>
      <c r="N1418" s="60">
        <v>0</v>
      </c>
      <c r="O1418" s="60">
        <v>0</v>
      </c>
      <c r="P1418" s="60">
        <v>0</v>
      </c>
      <c r="Q1418" s="60">
        <v>0</v>
      </c>
      <c r="R1418" s="60">
        <v>0</v>
      </c>
      <c r="S1418" s="60">
        <v>0</v>
      </c>
      <c r="T1418" s="60">
        <v>0</v>
      </c>
      <c r="U1418" s="60">
        <v>0</v>
      </c>
      <c r="V1418" s="60">
        <v>0</v>
      </c>
      <c r="W1418" s="60">
        <v>0</v>
      </c>
      <c r="X1418" s="60">
        <v>0</v>
      </c>
      <c r="Y1418" s="60">
        <v>0</v>
      </c>
      <c r="Z1418" s="60">
        <v>0</v>
      </c>
      <c r="AA1418" s="60">
        <v>0</v>
      </c>
      <c r="AB1418" s="60">
        <v>0</v>
      </c>
      <c r="AC1418" s="60">
        <v>0</v>
      </c>
      <c r="AD1418" s="60">
        <v>0</v>
      </c>
      <c r="AE1418" s="60">
        <v>0</v>
      </c>
      <c r="AF1418" s="60">
        <v>0</v>
      </c>
      <c r="AG1418" s="60">
        <v>0</v>
      </c>
      <c r="AH1418" s="60">
        <v>0</v>
      </c>
      <c r="AI1418" s="60">
        <v>611.29999999999995</v>
      </c>
      <c r="AJ1418" s="60">
        <v>600.16</v>
      </c>
      <c r="AK1418" s="60">
        <v>583.07000000000005</v>
      </c>
      <c r="AL1418" s="60">
        <v>0</v>
      </c>
      <c r="AM1418" s="60">
        <v>0</v>
      </c>
      <c r="AN1418" s="60">
        <v>0</v>
      </c>
      <c r="AO1418" s="60">
        <v>611.29999999999995</v>
      </c>
      <c r="AP1418" s="60">
        <v>600.16</v>
      </c>
      <c r="AQ1418" s="60">
        <v>583.07000000000005</v>
      </c>
      <c r="AR1418" s="61">
        <v>611.29999999999995</v>
      </c>
    </row>
    <row r="1419" spans="1:44" x14ac:dyDescent="0.35">
      <c r="A1419" s="49" t="str">
        <f t="shared" si="115"/>
        <v>37</v>
      </c>
      <c r="B1419" s="27">
        <v>73551</v>
      </c>
      <c r="C1419" s="25" t="str">
        <f t="shared" si="116"/>
        <v>0000000</v>
      </c>
      <c r="D1419" s="26" t="s">
        <v>3663</v>
      </c>
      <c r="E1419" s="25" t="s">
        <v>2317</v>
      </c>
      <c r="F1419" s="25" t="s">
        <v>2053</v>
      </c>
      <c r="G1419" s="59" t="s">
        <v>2318</v>
      </c>
      <c r="H1419" s="60">
        <v>10229.61</v>
      </c>
      <c r="I1419" s="60">
        <v>10290.81</v>
      </c>
      <c r="J1419" s="60">
        <v>10271.99</v>
      </c>
      <c r="K1419" s="60">
        <v>0</v>
      </c>
      <c r="L1419" s="60">
        <v>0</v>
      </c>
      <c r="M1419" s="60">
        <v>0</v>
      </c>
      <c r="N1419" s="60">
        <v>0</v>
      </c>
      <c r="O1419" s="60">
        <v>0</v>
      </c>
      <c r="P1419" s="60">
        <v>0</v>
      </c>
      <c r="Q1419" s="60">
        <v>0</v>
      </c>
      <c r="R1419" s="60">
        <v>0</v>
      </c>
      <c r="S1419" s="60">
        <v>0</v>
      </c>
      <c r="T1419" s="60">
        <v>0</v>
      </c>
      <c r="U1419" s="60">
        <v>0</v>
      </c>
      <c r="V1419" s="60">
        <v>0</v>
      </c>
      <c r="W1419" s="60">
        <v>0</v>
      </c>
      <c r="X1419" s="60">
        <v>0</v>
      </c>
      <c r="Y1419" s="60">
        <v>0</v>
      </c>
      <c r="Z1419" s="60">
        <v>0</v>
      </c>
      <c r="AA1419" s="60">
        <v>0</v>
      </c>
      <c r="AB1419" s="60">
        <v>0</v>
      </c>
      <c r="AC1419" s="60">
        <v>0</v>
      </c>
      <c r="AD1419" s="60">
        <v>0</v>
      </c>
      <c r="AE1419" s="60">
        <v>0</v>
      </c>
      <c r="AF1419" s="60">
        <v>0</v>
      </c>
      <c r="AG1419" s="60">
        <v>0</v>
      </c>
      <c r="AH1419" s="60">
        <v>0</v>
      </c>
      <c r="AI1419" s="60">
        <v>10229.61</v>
      </c>
      <c r="AJ1419" s="60">
        <v>10290.81</v>
      </c>
      <c r="AK1419" s="60">
        <v>10271.99</v>
      </c>
      <c r="AL1419" s="60">
        <v>0</v>
      </c>
      <c r="AM1419" s="60">
        <v>0</v>
      </c>
      <c r="AN1419" s="60">
        <v>0</v>
      </c>
      <c r="AO1419" s="60">
        <v>10229.61</v>
      </c>
      <c r="AP1419" s="60">
        <v>10290.81</v>
      </c>
      <c r="AQ1419" s="60">
        <v>10271.99</v>
      </c>
      <c r="AR1419" s="61">
        <v>10290.81</v>
      </c>
    </row>
    <row r="1420" spans="1:44" x14ac:dyDescent="0.35">
      <c r="A1420" s="49" t="str">
        <f t="shared" si="115"/>
        <v>37</v>
      </c>
      <c r="B1420" s="27">
        <v>68056</v>
      </c>
      <c r="C1420" s="25" t="str">
        <f t="shared" si="116"/>
        <v>0000000</v>
      </c>
      <c r="D1420" s="26" t="s">
        <v>3663</v>
      </c>
      <c r="E1420" s="25" t="s">
        <v>2108</v>
      </c>
      <c r="F1420" s="25" t="s">
        <v>2053</v>
      </c>
      <c r="G1420" s="59" t="s">
        <v>2109</v>
      </c>
      <c r="H1420" s="60">
        <v>3501.61</v>
      </c>
      <c r="I1420" s="60">
        <v>3580.57</v>
      </c>
      <c r="J1420" s="60">
        <v>3648.73</v>
      </c>
      <c r="K1420" s="60">
        <v>0</v>
      </c>
      <c r="L1420" s="60">
        <v>0</v>
      </c>
      <c r="M1420" s="60">
        <v>0</v>
      </c>
      <c r="N1420" s="60">
        <v>0</v>
      </c>
      <c r="O1420" s="60">
        <v>0</v>
      </c>
      <c r="P1420" s="60">
        <v>0</v>
      </c>
      <c r="Q1420" s="60">
        <v>0</v>
      </c>
      <c r="R1420" s="60">
        <v>0</v>
      </c>
      <c r="S1420" s="60">
        <v>0</v>
      </c>
      <c r="T1420" s="60">
        <v>0</v>
      </c>
      <c r="U1420" s="60">
        <v>0</v>
      </c>
      <c r="V1420" s="60">
        <v>0</v>
      </c>
      <c r="W1420" s="60">
        <v>0</v>
      </c>
      <c r="X1420" s="60">
        <v>0</v>
      </c>
      <c r="Y1420" s="60">
        <v>0</v>
      </c>
      <c r="Z1420" s="60">
        <v>0</v>
      </c>
      <c r="AA1420" s="60">
        <v>0</v>
      </c>
      <c r="AB1420" s="60">
        <v>0</v>
      </c>
      <c r="AC1420" s="60">
        <v>0</v>
      </c>
      <c r="AD1420" s="60">
        <v>0</v>
      </c>
      <c r="AE1420" s="60">
        <v>0</v>
      </c>
      <c r="AF1420" s="60">
        <v>0</v>
      </c>
      <c r="AG1420" s="60">
        <v>0</v>
      </c>
      <c r="AH1420" s="60">
        <v>0</v>
      </c>
      <c r="AI1420" s="60">
        <v>3501.61</v>
      </c>
      <c r="AJ1420" s="60">
        <v>3580.57</v>
      </c>
      <c r="AK1420" s="60">
        <v>3648.73</v>
      </c>
      <c r="AL1420" s="60">
        <v>0</v>
      </c>
      <c r="AM1420" s="60">
        <v>0</v>
      </c>
      <c r="AN1420" s="60">
        <v>0</v>
      </c>
      <c r="AO1420" s="60">
        <v>3501.61</v>
      </c>
      <c r="AP1420" s="60">
        <v>3580.57</v>
      </c>
      <c r="AQ1420" s="60">
        <v>3648.73</v>
      </c>
      <c r="AR1420" s="61">
        <v>3648.73</v>
      </c>
    </row>
    <row r="1421" spans="1:44" x14ac:dyDescent="0.35">
      <c r="A1421" s="49" t="str">
        <f t="shared" si="115"/>
        <v>37</v>
      </c>
      <c r="B1421" s="27">
        <v>68080</v>
      </c>
      <c r="C1421" s="25" t="str">
        <f t="shared" si="116"/>
        <v>0000000</v>
      </c>
      <c r="D1421" s="26" t="s">
        <v>3663</v>
      </c>
      <c r="E1421" s="25" t="s">
        <v>2110</v>
      </c>
      <c r="F1421" s="25" t="s">
        <v>2053</v>
      </c>
      <c r="G1421" s="59" t="s">
        <v>2111</v>
      </c>
      <c r="H1421" s="60">
        <v>4201.78</v>
      </c>
      <c r="I1421" s="60">
        <v>4349.3999999999996</v>
      </c>
      <c r="J1421" s="60">
        <v>4510.24</v>
      </c>
      <c r="K1421" s="60">
        <v>0</v>
      </c>
      <c r="L1421" s="60">
        <v>0</v>
      </c>
      <c r="M1421" s="60">
        <v>0</v>
      </c>
      <c r="N1421" s="60">
        <v>39.409999999999997</v>
      </c>
      <c r="O1421" s="60">
        <v>51.73</v>
      </c>
      <c r="P1421" s="60">
        <v>50.12</v>
      </c>
      <c r="Q1421" s="60">
        <v>0</v>
      </c>
      <c r="R1421" s="60">
        <v>0</v>
      </c>
      <c r="S1421" s="60">
        <v>0</v>
      </c>
      <c r="T1421" s="60">
        <v>0</v>
      </c>
      <c r="U1421" s="60">
        <v>0</v>
      </c>
      <c r="V1421" s="60">
        <v>0</v>
      </c>
      <c r="W1421" s="60">
        <v>0</v>
      </c>
      <c r="X1421" s="60">
        <v>0</v>
      </c>
      <c r="Y1421" s="60">
        <v>0</v>
      </c>
      <c r="Z1421" s="60">
        <v>0</v>
      </c>
      <c r="AA1421" s="60">
        <v>0</v>
      </c>
      <c r="AB1421" s="60">
        <v>0</v>
      </c>
      <c r="AC1421" s="60">
        <v>0</v>
      </c>
      <c r="AD1421" s="60">
        <v>0</v>
      </c>
      <c r="AE1421" s="60">
        <v>0</v>
      </c>
      <c r="AF1421" s="60">
        <v>0</v>
      </c>
      <c r="AG1421" s="60">
        <v>0</v>
      </c>
      <c r="AH1421" s="60">
        <v>0</v>
      </c>
      <c r="AI1421" s="60">
        <v>4241.1899999999996</v>
      </c>
      <c r="AJ1421" s="60">
        <v>4401.13</v>
      </c>
      <c r="AK1421" s="60">
        <v>4560.3599999999997</v>
      </c>
      <c r="AL1421" s="60">
        <v>0</v>
      </c>
      <c r="AM1421" s="60">
        <v>0</v>
      </c>
      <c r="AN1421" s="60">
        <v>0</v>
      </c>
      <c r="AO1421" s="60">
        <v>4241.1899999999996</v>
      </c>
      <c r="AP1421" s="60">
        <v>4401.13</v>
      </c>
      <c r="AQ1421" s="60">
        <v>4560.3599999999997</v>
      </c>
      <c r="AR1421" s="61">
        <v>4560.3599999999997</v>
      </c>
    </row>
    <row r="1422" spans="1:44" x14ac:dyDescent="0.35">
      <c r="A1422" s="49" t="str">
        <f t="shared" si="115"/>
        <v>37</v>
      </c>
      <c r="B1422" s="27">
        <v>68114</v>
      </c>
      <c r="C1422" s="25" t="str">
        <f t="shared" si="116"/>
        <v>0000000</v>
      </c>
      <c r="D1422" s="26" t="s">
        <v>3663</v>
      </c>
      <c r="E1422" s="25" t="s">
        <v>2124</v>
      </c>
      <c r="F1422" s="25" t="s">
        <v>2053</v>
      </c>
      <c r="G1422" s="59" t="s">
        <v>2125</v>
      </c>
      <c r="H1422" s="60">
        <v>4807.22</v>
      </c>
      <c r="I1422" s="60">
        <v>4595.6400000000003</v>
      </c>
      <c r="J1422" s="60">
        <v>4415.7</v>
      </c>
      <c r="K1422" s="60">
        <v>0</v>
      </c>
      <c r="L1422" s="60">
        <v>0</v>
      </c>
      <c r="M1422" s="60">
        <v>0</v>
      </c>
      <c r="N1422" s="60">
        <v>0</v>
      </c>
      <c r="O1422" s="60">
        <v>0</v>
      </c>
      <c r="P1422" s="60">
        <v>0</v>
      </c>
      <c r="Q1422" s="60">
        <v>0</v>
      </c>
      <c r="R1422" s="60">
        <v>0</v>
      </c>
      <c r="S1422" s="60">
        <v>0</v>
      </c>
      <c r="T1422" s="60">
        <v>0</v>
      </c>
      <c r="U1422" s="60">
        <v>0</v>
      </c>
      <c r="V1422" s="60">
        <v>0</v>
      </c>
      <c r="W1422" s="60">
        <v>0</v>
      </c>
      <c r="X1422" s="60">
        <v>0</v>
      </c>
      <c r="Y1422" s="60">
        <v>0</v>
      </c>
      <c r="Z1422" s="60">
        <v>0</v>
      </c>
      <c r="AA1422" s="60">
        <v>0</v>
      </c>
      <c r="AB1422" s="60">
        <v>0</v>
      </c>
      <c r="AC1422" s="60">
        <v>0</v>
      </c>
      <c r="AD1422" s="60">
        <v>0</v>
      </c>
      <c r="AE1422" s="60">
        <v>0</v>
      </c>
      <c r="AF1422" s="60">
        <v>0</v>
      </c>
      <c r="AG1422" s="60">
        <v>0</v>
      </c>
      <c r="AH1422" s="60">
        <v>0</v>
      </c>
      <c r="AI1422" s="60">
        <v>4807.22</v>
      </c>
      <c r="AJ1422" s="60">
        <v>4595.6400000000003</v>
      </c>
      <c r="AK1422" s="60">
        <v>4415.7</v>
      </c>
      <c r="AL1422" s="60">
        <v>0</v>
      </c>
      <c r="AM1422" s="60">
        <v>0</v>
      </c>
      <c r="AN1422" s="60">
        <v>0</v>
      </c>
      <c r="AO1422" s="60">
        <v>4807.22</v>
      </c>
      <c r="AP1422" s="60">
        <v>4595.6400000000003</v>
      </c>
      <c r="AQ1422" s="60">
        <v>4415.7</v>
      </c>
      <c r="AR1422" s="61">
        <v>4807.22</v>
      </c>
    </row>
    <row r="1423" spans="1:44" x14ac:dyDescent="0.35">
      <c r="A1423" s="49" t="str">
        <f t="shared" si="115"/>
        <v>37</v>
      </c>
      <c r="B1423" s="27">
        <v>68122</v>
      </c>
      <c r="C1423" s="25" t="str">
        <f t="shared" si="116"/>
        <v>0000000</v>
      </c>
      <c r="D1423" s="26" t="s">
        <v>3663</v>
      </c>
      <c r="E1423" s="25" t="s">
        <v>2126</v>
      </c>
      <c r="F1423" s="25" t="s">
        <v>2053</v>
      </c>
      <c r="G1423" s="59" t="s">
        <v>2127</v>
      </c>
      <c r="H1423" s="60">
        <v>1895.21</v>
      </c>
      <c r="I1423" s="60">
        <v>1902.4</v>
      </c>
      <c r="J1423" s="60">
        <v>1888.91</v>
      </c>
      <c r="K1423" s="60">
        <v>0</v>
      </c>
      <c r="L1423" s="60">
        <v>0</v>
      </c>
      <c r="M1423" s="60">
        <v>0</v>
      </c>
      <c r="N1423" s="60">
        <v>0</v>
      </c>
      <c r="O1423" s="60">
        <v>0</v>
      </c>
      <c r="P1423" s="60">
        <v>0</v>
      </c>
      <c r="Q1423" s="60">
        <v>0</v>
      </c>
      <c r="R1423" s="60">
        <v>0</v>
      </c>
      <c r="S1423" s="60">
        <v>0</v>
      </c>
      <c r="T1423" s="60">
        <v>0</v>
      </c>
      <c r="U1423" s="60">
        <v>0</v>
      </c>
      <c r="V1423" s="60">
        <v>0</v>
      </c>
      <c r="W1423" s="60">
        <v>0</v>
      </c>
      <c r="X1423" s="60">
        <v>0</v>
      </c>
      <c r="Y1423" s="60">
        <v>0</v>
      </c>
      <c r="Z1423" s="60">
        <v>0</v>
      </c>
      <c r="AA1423" s="60">
        <v>0</v>
      </c>
      <c r="AB1423" s="60">
        <v>0</v>
      </c>
      <c r="AC1423" s="60">
        <v>0</v>
      </c>
      <c r="AD1423" s="60">
        <v>0</v>
      </c>
      <c r="AE1423" s="60">
        <v>0</v>
      </c>
      <c r="AF1423" s="60">
        <v>0</v>
      </c>
      <c r="AG1423" s="60">
        <v>0</v>
      </c>
      <c r="AH1423" s="60">
        <v>0</v>
      </c>
      <c r="AI1423" s="60">
        <v>1895.21</v>
      </c>
      <c r="AJ1423" s="60">
        <v>1902.4</v>
      </c>
      <c r="AK1423" s="60">
        <v>1888.91</v>
      </c>
      <c r="AL1423" s="60">
        <v>0</v>
      </c>
      <c r="AM1423" s="60">
        <v>0</v>
      </c>
      <c r="AN1423" s="60">
        <v>0</v>
      </c>
      <c r="AO1423" s="60">
        <v>1895.21</v>
      </c>
      <c r="AP1423" s="60">
        <v>1902.4</v>
      </c>
      <c r="AQ1423" s="60">
        <v>1888.91</v>
      </c>
      <c r="AR1423" s="61">
        <v>1902.4</v>
      </c>
    </row>
    <row r="1424" spans="1:44" x14ac:dyDescent="0.35">
      <c r="A1424" s="49" t="str">
        <f t="shared" si="115"/>
        <v>37</v>
      </c>
      <c r="B1424" s="27">
        <v>73569</v>
      </c>
      <c r="C1424" s="25" t="str">
        <f t="shared" si="116"/>
        <v>0000000</v>
      </c>
      <c r="D1424" s="26" t="s">
        <v>3663</v>
      </c>
      <c r="E1424" s="25" t="s">
        <v>2319</v>
      </c>
      <c r="F1424" s="25" t="s">
        <v>2053</v>
      </c>
      <c r="G1424" s="59" t="s">
        <v>2320</v>
      </c>
      <c r="H1424" s="60">
        <v>14020.21</v>
      </c>
      <c r="I1424" s="60">
        <v>13918.09</v>
      </c>
      <c r="J1424" s="60">
        <v>14660.6</v>
      </c>
      <c r="K1424" s="60">
        <v>0</v>
      </c>
      <c r="L1424" s="60">
        <v>0</v>
      </c>
      <c r="M1424" s="60">
        <v>0</v>
      </c>
      <c r="N1424" s="60">
        <v>0</v>
      </c>
      <c r="O1424" s="60">
        <v>0</v>
      </c>
      <c r="P1424" s="60">
        <v>0</v>
      </c>
      <c r="Q1424" s="60">
        <v>0</v>
      </c>
      <c r="R1424" s="60">
        <v>0</v>
      </c>
      <c r="S1424" s="60">
        <v>0</v>
      </c>
      <c r="T1424" s="60">
        <v>0</v>
      </c>
      <c r="U1424" s="60">
        <v>0</v>
      </c>
      <c r="V1424" s="60">
        <v>0</v>
      </c>
      <c r="W1424" s="60">
        <v>0</v>
      </c>
      <c r="X1424" s="60">
        <v>0</v>
      </c>
      <c r="Y1424" s="60">
        <v>0</v>
      </c>
      <c r="Z1424" s="60">
        <v>0</v>
      </c>
      <c r="AA1424" s="60">
        <v>0</v>
      </c>
      <c r="AB1424" s="60">
        <v>0</v>
      </c>
      <c r="AC1424" s="60">
        <v>0</v>
      </c>
      <c r="AD1424" s="60">
        <v>0</v>
      </c>
      <c r="AE1424" s="60">
        <v>0</v>
      </c>
      <c r="AF1424" s="60">
        <v>0</v>
      </c>
      <c r="AG1424" s="60">
        <v>0</v>
      </c>
      <c r="AH1424" s="60">
        <v>0</v>
      </c>
      <c r="AI1424" s="60">
        <v>14020.21</v>
      </c>
      <c r="AJ1424" s="60">
        <v>13918.09</v>
      </c>
      <c r="AK1424" s="60">
        <v>14660.6</v>
      </c>
      <c r="AL1424" s="60">
        <v>0</v>
      </c>
      <c r="AM1424" s="60">
        <v>0</v>
      </c>
      <c r="AN1424" s="60">
        <v>0</v>
      </c>
      <c r="AO1424" s="60">
        <v>14020.21</v>
      </c>
      <c r="AP1424" s="60">
        <v>13918.09</v>
      </c>
      <c r="AQ1424" s="60">
        <v>14660.6</v>
      </c>
      <c r="AR1424" s="61">
        <v>14660.6</v>
      </c>
    </row>
    <row r="1425" spans="1:44" x14ac:dyDescent="0.35">
      <c r="A1425" s="49" t="str">
        <f t="shared" si="115"/>
        <v>37</v>
      </c>
      <c r="B1425" s="27">
        <v>68312</v>
      </c>
      <c r="C1425" s="25" t="str">
        <f t="shared" si="116"/>
        <v>0000000</v>
      </c>
      <c r="D1425" s="26" t="s">
        <v>3663</v>
      </c>
      <c r="E1425" s="25" t="s">
        <v>2173</v>
      </c>
      <c r="F1425" s="25" t="s">
        <v>2053</v>
      </c>
      <c r="G1425" s="59" t="s">
        <v>2174</v>
      </c>
      <c r="H1425" s="60">
        <v>509.57</v>
      </c>
      <c r="I1425" s="60">
        <v>539</v>
      </c>
      <c r="J1425" s="60">
        <v>560</v>
      </c>
      <c r="K1425" s="60">
        <v>0</v>
      </c>
      <c r="L1425" s="60">
        <v>0</v>
      </c>
      <c r="M1425" s="60">
        <v>0</v>
      </c>
      <c r="N1425" s="60">
        <v>0</v>
      </c>
      <c r="O1425" s="60">
        <v>0</v>
      </c>
      <c r="P1425" s="60">
        <v>0</v>
      </c>
      <c r="Q1425" s="60">
        <v>0</v>
      </c>
      <c r="R1425" s="60">
        <v>0</v>
      </c>
      <c r="S1425" s="60">
        <v>0</v>
      </c>
      <c r="T1425" s="60">
        <v>0</v>
      </c>
      <c r="U1425" s="60">
        <v>0</v>
      </c>
      <c r="V1425" s="60">
        <v>0</v>
      </c>
      <c r="W1425" s="60">
        <v>0</v>
      </c>
      <c r="X1425" s="60">
        <v>0</v>
      </c>
      <c r="Y1425" s="60">
        <v>0</v>
      </c>
      <c r="Z1425" s="60">
        <v>0</v>
      </c>
      <c r="AA1425" s="60">
        <v>0</v>
      </c>
      <c r="AB1425" s="60">
        <v>0</v>
      </c>
      <c r="AC1425" s="60">
        <v>0</v>
      </c>
      <c r="AD1425" s="60">
        <v>0</v>
      </c>
      <c r="AE1425" s="60">
        <v>0</v>
      </c>
      <c r="AF1425" s="60">
        <v>0</v>
      </c>
      <c r="AG1425" s="60">
        <v>0</v>
      </c>
      <c r="AH1425" s="60">
        <v>0</v>
      </c>
      <c r="AI1425" s="60">
        <v>509.57</v>
      </c>
      <c r="AJ1425" s="60">
        <v>539</v>
      </c>
      <c r="AK1425" s="60">
        <v>560</v>
      </c>
      <c r="AL1425" s="60">
        <v>0</v>
      </c>
      <c r="AM1425" s="60">
        <v>0</v>
      </c>
      <c r="AN1425" s="60">
        <v>0</v>
      </c>
      <c r="AO1425" s="60">
        <v>509.57</v>
      </c>
      <c r="AP1425" s="60">
        <v>539</v>
      </c>
      <c r="AQ1425" s="60">
        <v>560</v>
      </c>
      <c r="AR1425" s="61">
        <v>560</v>
      </c>
    </row>
    <row r="1426" spans="1:44" x14ac:dyDescent="0.35">
      <c r="A1426" s="49" t="str">
        <f t="shared" si="115"/>
        <v>37</v>
      </c>
      <c r="B1426" s="27">
        <v>68346</v>
      </c>
      <c r="C1426" s="25" t="str">
        <f t="shared" si="116"/>
        <v>0000000</v>
      </c>
      <c r="D1426" s="26" t="s">
        <v>3663</v>
      </c>
      <c r="E1426" s="25" t="s">
        <v>2285</v>
      </c>
      <c r="F1426" s="25" t="s">
        <v>2053</v>
      </c>
      <c r="G1426" s="59" t="s">
        <v>2286</v>
      </c>
      <c r="H1426" s="60">
        <v>11940.65</v>
      </c>
      <c r="I1426" s="60">
        <v>11949.6</v>
      </c>
      <c r="J1426" s="60">
        <v>12019.12</v>
      </c>
      <c r="K1426" s="60">
        <v>0</v>
      </c>
      <c r="L1426" s="60">
        <v>0</v>
      </c>
      <c r="M1426" s="60">
        <v>0</v>
      </c>
      <c r="N1426" s="60">
        <v>0</v>
      </c>
      <c r="O1426" s="60">
        <v>0</v>
      </c>
      <c r="P1426" s="60">
        <v>0</v>
      </c>
      <c r="Q1426" s="60">
        <v>0</v>
      </c>
      <c r="R1426" s="60">
        <v>0</v>
      </c>
      <c r="S1426" s="60">
        <v>0</v>
      </c>
      <c r="T1426" s="60">
        <v>0</v>
      </c>
      <c r="U1426" s="60">
        <v>0</v>
      </c>
      <c r="V1426" s="60">
        <v>0</v>
      </c>
      <c r="W1426" s="60">
        <v>0</v>
      </c>
      <c r="X1426" s="60">
        <v>0</v>
      </c>
      <c r="Y1426" s="60">
        <v>0</v>
      </c>
      <c r="Z1426" s="60">
        <v>0</v>
      </c>
      <c r="AA1426" s="60">
        <v>0</v>
      </c>
      <c r="AB1426" s="60">
        <v>0</v>
      </c>
      <c r="AC1426" s="60">
        <v>0</v>
      </c>
      <c r="AD1426" s="60">
        <v>0</v>
      </c>
      <c r="AE1426" s="60">
        <v>0</v>
      </c>
      <c r="AF1426" s="60">
        <v>0</v>
      </c>
      <c r="AG1426" s="60">
        <v>0</v>
      </c>
      <c r="AH1426" s="60">
        <v>0</v>
      </c>
      <c r="AI1426" s="60">
        <v>11940.65</v>
      </c>
      <c r="AJ1426" s="60">
        <v>11949.6</v>
      </c>
      <c r="AK1426" s="60">
        <v>12019.12</v>
      </c>
      <c r="AL1426" s="60">
        <v>0</v>
      </c>
      <c r="AM1426" s="60">
        <v>0</v>
      </c>
      <c r="AN1426" s="60">
        <v>0</v>
      </c>
      <c r="AO1426" s="60">
        <v>11940.65</v>
      </c>
      <c r="AP1426" s="60">
        <v>11949.6</v>
      </c>
      <c r="AQ1426" s="60">
        <v>12019.12</v>
      </c>
      <c r="AR1426" s="61">
        <v>12019.12</v>
      </c>
    </row>
    <row r="1427" spans="1:44" x14ac:dyDescent="0.35">
      <c r="A1427" s="49" t="str">
        <f t="shared" si="115"/>
        <v>37</v>
      </c>
      <c r="B1427" s="27">
        <v>73791</v>
      </c>
      <c r="C1427" s="25" t="str">
        <f t="shared" si="116"/>
        <v>0000000</v>
      </c>
      <c r="D1427" s="26" t="s">
        <v>3663</v>
      </c>
      <c r="E1427" s="25" t="s">
        <v>2327</v>
      </c>
      <c r="F1427" s="25" t="s">
        <v>2053</v>
      </c>
      <c r="G1427" s="59" t="s">
        <v>2328</v>
      </c>
      <c r="H1427" s="60">
        <v>18170.39</v>
      </c>
      <c r="I1427" s="60">
        <v>18127.97</v>
      </c>
      <c r="J1427" s="60">
        <v>18117.79</v>
      </c>
      <c r="K1427" s="60">
        <v>0</v>
      </c>
      <c r="L1427" s="60">
        <v>0</v>
      </c>
      <c r="M1427" s="60">
        <v>0</v>
      </c>
      <c r="N1427" s="60">
        <v>0</v>
      </c>
      <c r="O1427" s="60">
        <v>0</v>
      </c>
      <c r="P1427" s="60">
        <v>0</v>
      </c>
      <c r="Q1427" s="60">
        <v>0</v>
      </c>
      <c r="R1427" s="60">
        <v>0</v>
      </c>
      <c r="S1427" s="60">
        <v>0</v>
      </c>
      <c r="T1427" s="60">
        <v>0</v>
      </c>
      <c r="U1427" s="60">
        <v>0</v>
      </c>
      <c r="V1427" s="60">
        <v>0</v>
      </c>
      <c r="W1427" s="60">
        <v>0</v>
      </c>
      <c r="X1427" s="60">
        <v>0</v>
      </c>
      <c r="Y1427" s="60">
        <v>0</v>
      </c>
      <c r="Z1427" s="60">
        <v>0</v>
      </c>
      <c r="AA1427" s="60">
        <v>0</v>
      </c>
      <c r="AB1427" s="60">
        <v>0</v>
      </c>
      <c r="AC1427" s="60">
        <v>0</v>
      </c>
      <c r="AD1427" s="60">
        <v>0</v>
      </c>
      <c r="AE1427" s="60">
        <v>0</v>
      </c>
      <c r="AF1427" s="60">
        <v>0</v>
      </c>
      <c r="AG1427" s="60">
        <v>0</v>
      </c>
      <c r="AH1427" s="60">
        <v>0</v>
      </c>
      <c r="AI1427" s="60">
        <v>18170.39</v>
      </c>
      <c r="AJ1427" s="60">
        <v>18127.97</v>
      </c>
      <c r="AK1427" s="60">
        <v>18117.79</v>
      </c>
      <c r="AL1427" s="60">
        <v>0</v>
      </c>
      <c r="AM1427" s="60">
        <v>0</v>
      </c>
      <c r="AN1427" s="60">
        <v>0</v>
      </c>
      <c r="AO1427" s="60">
        <v>18170.39</v>
      </c>
      <c r="AP1427" s="60">
        <v>18127.97</v>
      </c>
      <c r="AQ1427" s="60">
        <v>18117.79</v>
      </c>
      <c r="AR1427" s="61">
        <v>18170.39</v>
      </c>
    </row>
    <row r="1428" spans="1:44" x14ac:dyDescent="0.35">
      <c r="A1428" s="49" t="str">
        <f t="shared" si="115"/>
        <v>37</v>
      </c>
      <c r="B1428" s="27">
        <v>68387</v>
      </c>
      <c r="C1428" s="25" t="str">
        <f t="shared" si="116"/>
        <v>0000000</v>
      </c>
      <c r="D1428" s="26" t="s">
        <v>3663</v>
      </c>
      <c r="E1428" s="25" t="s">
        <v>2293</v>
      </c>
      <c r="F1428" s="25" t="s">
        <v>2053</v>
      </c>
      <c r="G1428" s="59" t="s">
        <v>2294</v>
      </c>
      <c r="H1428" s="60">
        <v>2620.04</v>
      </c>
      <c r="I1428" s="60">
        <v>2592.5</v>
      </c>
      <c r="J1428" s="60">
        <v>2699.62</v>
      </c>
      <c r="K1428" s="60">
        <v>0</v>
      </c>
      <c r="L1428" s="60">
        <v>0</v>
      </c>
      <c r="M1428" s="60">
        <v>0</v>
      </c>
      <c r="N1428" s="60">
        <v>0</v>
      </c>
      <c r="O1428" s="60">
        <v>0</v>
      </c>
      <c r="P1428" s="60">
        <v>0</v>
      </c>
      <c r="Q1428" s="60">
        <v>0</v>
      </c>
      <c r="R1428" s="60">
        <v>0</v>
      </c>
      <c r="S1428" s="60">
        <v>0</v>
      </c>
      <c r="T1428" s="60">
        <v>0</v>
      </c>
      <c r="U1428" s="60">
        <v>0</v>
      </c>
      <c r="V1428" s="60">
        <v>0</v>
      </c>
      <c r="W1428" s="60">
        <v>0</v>
      </c>
      <c r="X1428" s="60">
        <v>0</v>
      </c>
      <c r="Y1428" s="60">
        <v>0</v>
      </c>
      <c r="Z1428" s="60">
        <v>0</v>
      </c>
      <c r="AA1428" s="60">
        <v>0</v>
      </c>
      <c r="AB1428" s="60">
        <v>0</v>
      </c>
      <c r="AC1428" s="60">
        <v>0</v>
      </c>
      <c r="AD1428" s="60">
        <v>0</v>
      </c>
      <c r="AE1428" s="60">
        <v>0</v>
      </c>
      <c r="AF1428" s="60">
        <v>0</v>
      </c>
      <c r="AG1428" s="60">
        <v>0</v>
      </c>
      <c r="AH1428" s="60">
        <v>0</v>
      </c>
      <c r="AI1428" s="60">
        <v>2620.04</v>
      </c>
      <c r="AJ1428" s="60">
        <v>2592.5</v>
      </c>
      <c r="AK1428" s="60">
        <v>2699.62</v>
      </c>
      <c r="AL1428" s="60">
        <v>0</v>
      </c>
      <c r="AM1428" s="60">
        <v>0</v>
      </c>
      <c r="AN1428" s="60">
        <v>0</v>
      </c>
      <c r="AO1428" s="60">
        <v>2620.04</v>
      </c>
      <c r="AP1428" s="60">
        <v>2592.5</v>
      </c>
      <c r="AQ1428" s="60">
        <v>2699.62</v>
      </c>
      <c r="AR1428" s="61">
        <v>2699.62</v>
      </c>
    </row>
    <row r="1429" spans="1:44" x14ac:dyDescent="0.35">
      <c r="A1429" s="49" t="str">
        <f t="shared" si="115"/>
        <v>37</v>
      </c>
      <c r="B1429" s="27">
        <v>68452</v>
      </c>
      <c r="C1429" s="25" t="str">
        <f t="shared" si="116"/>
        <v>0000000</v>
      </c>
      <c r="D1429" s="26" t="s">
        <v>3663</v>
      </c>
      <c r="E1429" s="25" t="s">
        <v>2308</v>
      </c>
      <c r="F1429" s="25" t="s">
        <v>2053</v>
      </c>
      <c r="G1429" s="59" t="s">
        <v>2309</v>
      </c>
      <c r="H1429" s="60">
        <v>17287.169999999998</v>
      </c>
      <c r="I1429" s="60">
        <v>17283.72</v>
      </c>
      <c r="J1429" s="60">
        <v>17298.060000000001</v>
      </c>
      <c r="K1429" s="60">
        <v>0</v>
      </c>
      <c r="L1429" s="60">
        <v>0</v>
      </c>
      <c r="M1429" s="60">
        <v>0</v>
      </c>
      <c r="N1429" s="60">
        <v>0</v>
      </c>
      <c r="O1429" s="60">
        <v>0</v>
      </c>
      <c r="P1429" s="60">
        <v>0</v>
      </c>
      <c r="Q1429" s="60">
        <v>0</v>
      </c>
      <c r="R1429" s="60">
        <v>0</v>
      </c>
      <c r="S1429" s="60">
        <v>0</v>
      </c>
      <c r="T1429" s="60">
        <v>0</v>
      </c>
      <c r="U1429" s="60">
        <v>0</v>
      </c>
      <c r="V1429" s="60">
        <v>0</v>
      </c>
      <c r="W1429" s="60">
        <v>0</v>
      </c>
      <c r="X1429" s="60">
        <v>0</v>
      </c>
      <c r="Y1429" s="60">
        <v>0</v>
      </c>
      <c r="Z1429" s="60">
        <v>0</v>
      </c>
      <c r="AA1429" s="60">
        <v>0</v>
      </c>
      <c r="AB1429" s="60">
        <v>0</v>
      </c>
      <c r="AC1429" s="60">
        <v>1101.19</v>
      </c>
      <c r="AD1429" s="60">
        <v>870.44</v>
      </c>
      <c r="AE1429" s="60">
        <v>620.42999999999995</v>
      </c>
      <c r="AF1429" s="60">
        <v>0</v>
      </c>
      <c r="AG1429" s="60">
        <v>0</v>
      </c>
      <c r="AH1429" s="60">
        <v>0</v>
      </c>
      <c r="AI1429" s="60">
        <v>18388.36</v>
      </c>
      <c r="AJ1429" s="60">
        <v>18154.16</v>
      </c>
      <c r="AK1429" s="60">
        <v>17918.490000000002</v>
      </c>
      <c r="AL1429" s="60">
        <v>0</v>
      </c>
      <c r="AM1429" s="60">
        <v>0</v>
      </c>
      <c r="AN1429" s="60">
        <v>0</v>
      </c>
      <c r="AO1429" s="60">
        <v>18388.36</v>
      </c>
      <c r="AP1429" s="60">
        <v>18154.16</v>
      </c>
      <c r="AQ1429" s="60">
        <v>17918.490000000002</v>
      </c>
      <c r="AR1429" s="61">
        <v>18388.36</v>
      </c>
    </row>
    <row r="1430" spans="1:44" x14ac:dyDescent="0.35">
      <c r="A1430" s="49" t="str">
        <f t="shared" si="115"/>
        <v>37</v>
      </c>
      <c r="B1430" s="27">
        <v>68437</v>
      </c>
      <c r="C1430" s="25" t="str">
        <f t="shared" si="116"/>
        <v>0000000</v>
      </c>
      <c r="D1430" s="26" t="s">
        <v>3663</v>
      </c>
      <c r="E1430" s="25" t="s">
        <v>2306</v>
      </c>
      <c r="F1430" s="25" t="s">
        <v>2053</v>
      </c>
      <c r="G1430" s="59" t="s">
        <v>2307</v>
      </c>
      <c r="H1430" s="60">
        <v>172.5</v>
      </c>
      <c r="I1430" s="60">
        <v>174.61</v>
      </c>
      <c r="J1430" s="60">
        <v>156.66999999999999</v>
      </c>
      <c r="K1430" s="60">
        <v>0</v>
      </c>
      <c r="L1430" s="60">
        <v>0</v>
      </c>
      <c r="M1430" s="60">
        <v>0</v>
      </c>
      <c r="N1430" s="60">
        <v>0</v>
      </c>
      <c r="O1430" s="60">
        <v>0</v>
      </c>
      <c r="P1430" s="60">
        <v>0</v>
      </c>
      <c r="Q1430" s="60">
        <v>0</v>
      </c>
      <c r="R1430" s="60">
        <v>0</v>
      </c>
      <c r="S1430" s="60">
        <v>0</v>
      </c>
      <c r="T1430" s="60">
        <v>0</v>
      </c>
      <c r="U1430" s="60">
        <v>0</v>
      </c>
      <c r="V1430" s="60">
        <v>0</v>
      </c>
      <c r="W1430" s="60">
        <v>0</v>
      </c>
      <c r="X1430" s="60">
        <v>0</v>
      </c>
      <c r="Y1430" s="60">
        <v>0</v>
      </c>
      <c r="Z1430" s="60">
        <v>0</v>
      </c>
      <c r="AA1430" s="60">
        <v>0</v>
      </c>
      <c r="AB1430" s="60">
        <v>0</v>
      </c>
      <c r="AC1430" s="60">
        <v>0</v>
      </c>
      <c r="AD1430" s="60">
        <v>0</v>
      </c>
      <c r="AE1430" s="60">
        <v>0</v>
      </c>
      <c r="AF1430" s="60">
        <v>0</v>
      </c>
      <c r="AG1430" s="60">
        <v>0</v>
      </c>
      <c r="AH1430" s="60">
        <v>0</v>
      </c>
      <c r="AI1430" s="60">
        <v>172.5</v>
      </c>
      <c r="AJ1430" s="60">
        <v>174.61</v>
      </c>
      <c r="AK1430" s="60">
        <v>156.66999999999999</v>
      </c>
      <c r="AL1430" s="60">
        <v>0</v>
      </c>
      <c r="AM1430" s="60">
        <v>0</v>
      </c>
      <c r="AN1430" s="60">
        <v>0</v>
      </c>
      <c r="AO1430" s="60">
        <v>172.5</v>
      </c>
      <c r="AP1430" s="60">
        <v>174.61</v>
      </c>
      <c r="AQ1430" s="60">
        <v>156.66999999999999</v>
      </c>
      <c r="AR1430" s="61">
        <v>174.61</v>
      </c>
    </row>
    <row r="1431" spans="1:44" x14ac:dyDescent="0.35">
      <c r="A1431" s="49" t="str">
        <f t="shared" si="115"/>
        <v>37</v>
      </c>
      <c r="B1431" s="27">
        <v>76851</v>
      </c>
      <c r="C1431" s="25" t="str">
        <f t="shared" si="116"/>
        <v>0000000</v>
      </c>
      <c r="D1431" s="26" t="s">
        <v>3663</v>
      </c>
      <c r="E1431" s="25" t="s">
        <v>2367</v>
      </c>
      <c r="F1431" s="25" t="s">
        <v>2053</v>
      </c>
      <c r="G1431" s="59" t="s">
        <v>2368</v>
      </c>
      <c r="H1431" s="60">
        <v>2061.91</v>
      </c>
      <c r="I1431" s="60">
        <v>1937.16</v>
      </c>
      <c r="J1431" s="60">
        <v>1967.53</v>
      </c>
      <c r="K1431" s="60">
        <v>0</v>
      </c>
      <c r="L1431" s="60">
        <v>0</v>
      </c>
      <c r="M1431" s="60">
        <v>0</v>
      </c>
      <c r="N1431" s="60">
        <v>0</v>
      </c>
      <c r="O1431" s="60">
        <v>0</v>
      </c>
      <c r="P1431" s="60">
        <v>0</v>
      </c>
      <c r="Q1431" s="60">
        <v>0</v>
      </c>
      <c r="R1431" s="60">
        <v>0</v>
      </c>
      <c r="S1431" s="60">
        <v>0</v>
      </c>
      <c r="T1431" s="60">
        <v>0</v>
      </c>
      <c r="U1431" s="60">
        <v>0</v>
      </c>
      <c r="V1431" s="60">
        <v>0</v>
      </c>
      <c r="W1431" s="60">
        <v>0</v>
      </c>
      <c r="X1431" s="60">
        <v>0</v>
      </c>
      <c r="Y1431" s="60">
        <v>0</v>
      </c>
      <c r="Z1431" s="60">
        <v>0</v>
      </c>
      <c r="AA1431" s="60">
        <v>0</v>
      </c>
      <c r="AB1431" s="60">
        <v>0</v>
      </c>
      <c r="AC1431" s="60">
        <v>78.81</v>
      </c>
      <c r="AD1431" s="60">
        <v>77.91</v>
      </c>
      <c r="AE1431" s="60">
        <v>80.959999999999994</v>
      </c>
      <c r="AF1431" s="60">
        <v>0</v>
      </c>
      <c r="AG1431" s="60">
        <v>0</v>
      </c>
      <c r="AH1431" s="60">
        <v>0</v>
      </c>
      <c r="AI1431" s="60">
        <v>2140.7199999999998</v>
      </c>
      <c r="AJ1431" s="60">
        <v>2015.07</v>
      </c>
      <c r="AK1431" s="60">
        <v>2048.4899999999998</v>
      </c>
      <c r="AL1431" s="60">
        <v>0</v>
      </c>
      <c r="AM1431" s="60">
        <v>0</v>
      </c>
      <c r="AN1431" s="60">
        <v>0</v>
      </c>
      <c r="AO1431" s="60">
        <v>2140.7199999999998</v>
      </c>
      <c r="AP1431" s="60">
        <v>2015.07</v>
      </c>
      <c r="AQ1431" s="60">
        <v>2048.4899999999998</v>
      </c>
      <c r="AR1431" s="61">
        <v>2140.7199999999998</v>
      </c>
    </row>
    <row r="1432" spans="1:44" x14ac:dyDescent="0.35">
      <c r="A1432" s="49" t="str">
        <f>TEXT(44,"00")</f>
        <v>44</v>
      </c>
      <c r="B1432" s="27">
        <v>69799</v>
      </c>
      <c r="C1432" s="25" t="str">
        <f t="shared" si="116"/>
        <v>0000000</v>
      </c>
      <c r="D1432" s="26" t="s">
        <v>3663</v>
      </c>
      <c r="E1432" s="25" t="s">
        <v>2865</v>
      </c>
      <c r="F1432" s="25" t="s">
        <v>2866</v>
      </c>
      <c r="G1432" s="59" t="s">
        <v>2866</v>
      </c>
      <c r="H1432" s="60">
        <v>13915.08</v>
      </c>
      <c r="I1432" s="60">
        <v>14159.39</v>
      </c>
      <c r="J1432" s="60">
        <v>14652.47</v>
      </c>
      <c r="K1432" s="60">
        <v>0</v>
      </c>
      <c r="L1432" s="60">
        <v>0</v>
      </c>
      <c r="M1432" s="60">
        <v>0</v>
      </c>
      <c r="N1432" s="60">
        <v>0</v>
      </c>
      <c r="O1432" s="60">
        <v>0</v>
      </c>
      <c r="P1432" s="60">
        <v>0</v>
      </c>
      <c r="Q1432" s="60">
        <v>0</v>
      </c>
      <c r="R1432" s="60">
        <v>0</v>
      </c>
      <c r="S1432" s="60">
        <v>0</v>
      </c>
      <c r="T1432" s="60">
        <v>0</v>
      </c>
      <c r="U1432" s="60">
        <v>0</v>
      </c>
      <c r="V1432" s="60">
        <v>0</v>
      </c>
      <c r="W1432" s="60">
        <v>0</v>
      </c>
      <c r="X1432" s="60">
        <v>0</v>
      </c>
      <c r="Y1432" s="60">
        <v>0</v>
      </c>
      <c r="Z1432" s="60">
        <v>0</v>
      </c>
      <c r="AA1432" s="60">
        <v>0</v>
      </c>
      <c r="AB1432" s="60">
        <v>0</v>
      </c>
      <c r="AC1432" s="60">
        <v>1493.77</v>
      </c>
      <c r="AD1432" s="60">
        <v>1419.71</v>
      </c>
      <c r="AE1432" s="60">
        <v>1437.32</v>
      </c>
      <c r="AF1432" s="60">
        <v>0</v>
      </c>
      <c r="AG1432" s="60">
        <v>0</v>
      </c>
      <c r="AH1432" s="60">
        <v>0</v>
      </c>
      <c r="AI1432" s="60">
        <v>15408.85</v>
      </c>
      <c r="AJ1432" s="60">
        <v>15579.1</v>
      </c>
      <c r="AK1432" s="60">
        <v>16089.79</v>
      </c>
      <c r="AL1432" s="60">
        <v>0</v>
      </c>
      <c r="AM1432" s="60">
        <v>0</v>
      </c>
      <c r="AN1432" s="60">
        <v>0</v>
      </c>
      <c r="AO1432" s="60">
        <v>15408.85</v>
      </c>
      <c r="AP1432" s="60">
        <v>15579.1</v>
      </c>
      <c r="AQ1432" s="60">
        <v>16089.79</v>
      </c>
      <c r="AR1432" s="61">
        <v>16089.79</v>
      </c>
    </row>
    <row r="1433" spans="1:44" x14ac:dyDescent="0.35">
      <c r="A1433" s="49" t="str">
        <f>TEXT(37,"00")</f>
        <v>37</v>
      </c>
      <c r="B1433" s="27">
        <v>68296</v>
      </c>
      <c r="C1433" s="25" t="str">
        <f t="shared" si="116"/>
        <v>0000000</v>
      </c>
      <c r="D1433" s="26" t="s">
        <v>3663</v>
      </c>
      <c r="E1433" s="25" t="s">
        <v>2169</v>
      </c>
      <c r="F1433" s="25" t="s">
        <v>2170</v>
      </c>
      <c r="G1433" s="59" t="s">
        <v>2170</v>
      </c>
      <c r="H1433" s="60">
        <v>33215.68</v>
      </c>
      <c r="I1433" s="60">
        <v>32978.050000000003</v>
      </c>
      <c r="J1433" s="60">
        <v>33258.720000000001</v>
      </c>
      <c r="K1433" s="60">
        <v>0</v>
      </c>
      <c r="L1433" s="60">
        <v>0</v>
      </c>
      <c r="M1433" s="60">
        <v>0</v>
      </c>
      <c r="N1433" s="60">
        <v>0</v>
      </c>
      <c r="O1433" s="60">
        <v>0</v>
      </c>
      <c r="P1433" s="60">
        <v>0</v>
      </c>
      <c r="Q1433" s="60">
        <v>0</v>
      </c>
      <c r="R1433" s="60">
        <v>0</v>
      </c>
      <c r="S1433" s="60">
        <v>0</v>
      </c>
      <c r="T1433" s="60">
        <v>0</v>
      </c>
      <c r="U1433" s="60">
        <v>0</v>
      </c>
      <c r="V1433" s="60">
        <v>0</v>
      </c>
      <c r="W1433" s="60">
        <v>0</v>
      </c>
      <c r="X1433" s="60">
        <v>0</v>
      </c>
      <c r="Y1433" s="60">
        <v>0</v>
      </c>
      <c r="Z1433" s="60">
        <v>0</v>
      </c>
      <c r="AA1433" s="60">
        <v>0</v>
      </c>
      <c r="AB1433" s="60">
        <v>0</v>
      </c>
      <c r="AC1433" s="60">
        <v>0</v>
      </c>
      <c r="AD1433" s="60">
        <v>0</v>
      </c>
      <c r="AE1433" s="60">
        <v>0</v>
      </c>
      <c r="AF1433" s="60">
        <v>0</v>
      </c>
      <c r="AG1433" s="60">
        <v>0</v>
      </c>
      <c r="AH1433" s="60">
        <v>0</v>
      </c>
      <c r="AI1433" s="60">
        <v>33215.68</v>
      </c>
      <c r="AJ1433" s="60">
        <v>32978.050000000003</v>
      </c>
      <c r="AK1433" s="60">
        <v>33258.720000000001</v>
      </c>
      <c r="AL1433" s="60">
        <v>0</v>
      </c>
      <c r="AM1433" s="60">
        <v>0</v>
      </c>
      <c r="AN1433" s="60">
        <v>0</v>
      </c>
      <c r="AO1433" s="60">
        <v>33215.68</v>
      </c>
      <c r="AP1433" s="60">
        <v>32978.050000000003</v>
      </c>
      <c r="AQ1433" s="60">
        <v>33258.720000000001</v>
      </c>
      <c r="AR1433" s="61">
        <v>33258.720000000001</v>
      </c>
    </row>
    <row r="1434" spans="1:44" x14ac:dyDescent="0.35">
      <c r="A1434" s="49" t="str">
        <f>TEXT(43,"00")</f>
        <v>43</v>
      </c>
      <c r="B1434" s="27">
        <v>10439</v>
      </c>
      <c r="C1434" s="25" t="str">
        <f t="shared" si="116"/>
        <v>0000000</v>
      </c>
      <c r="D1434" s="26" t="s">
        <v>3663</v>
      </c>
      <c r="E1434" s="25" t="s">
        <v>2697</v>
      </c>
      <c r="F1434" s="25" t="s">
        <v>2698</v>
      </c>
      <c r="G1434" s="59" t="s">
        <v>2698</v>
      </c>
      <c r="H1434" s="60">
        <v>0</v>
      </c>
      <c r="I1434" s="60">
        <v>0</v>
      </c>
      <c r="J1434" s="60">
        <v>0</v>
      </c>
      <c r="K1434" s="60">
        <v>0</v>
      </c>
      <c r="L1434" s="60">
        <v>0</v>
      </c>
      <c r="M1434" s="60">
        <v>0</v>
      </c>
      <c r="N1434" s="60">
        <v>0</v>
      </c>
      <c r="O1434" s="60">
        <v>0</v>
      </c>
      <c r="P1434" s="60">
        <v>0</v>
      </c>
      <c r="Q1434" s="60">
        <v>0</v>
      </c>
      <c r="R1434" s="60">
        <v>0</v>
      </c>
      <c r="S1434" s="60">
        <v>0</v>
      </c>
      <c r="T1434" s="60">
        <v>12.44</v>
      </c>
      <c r="U1434" s="60">
        <v>11.15</v>
      </c>
      <c r="V1434" s="60">
        <v>8.24</v>
      </c>
      <c r="W1434" s="60">
        <v>32.14</v>
      </c>
      <c r="X1434" s="60">
        <v>45.85</v>
      </c>
      <c r="Y1434" s="60">
        <v>43.01</v>
      </c>
      <c r="Z1434" s="60">
        <v>0</v>
      </c>
      <c r="AA1434" s="60">
        <v>0</v>
      </c>
      <c r="AB1434" s="60">
        <v>0</v>
      </c>
      <c r="AC1434" s="60">
        <v>0</v>
      </c>
      <c r="AD1434" s="60">
        <v>0</v>
      </c>
      <c r="AE1434" s="60">
        <v>0</v>
      </c>
      <c r="AF1434" s="60">
        <v>0</v>
      </c>
      <c r="AG1434" s="60">
        <v>0</v>
      </c>
      <c r="AH1434" s="60">
        <v>0</v>
      </c>
      <c r="AI1434" s="60">
        <v>44.58</v>
      </c>
      <c r="AJ1434" s="60">
        <v>57</v>
      </c>
      <c r="AK1434" s="60">
        <v>51.25</v>
      </c>
      <c r="AL1434" s="60">
        <v>0</v>
      </c>
      <c r="AM1434" s="60">
        <v>0</v>
      </c>
      <c r="AN1434" s="60">
        <v>0</v>
      </c>
      <c r="AO1434" s="60">
        <v>44.58</v>
      </c>
      <c r="AP1434" s="60">
        <v>57</v>
      </c>
      <c r="AQ1434" s="60">
        <v>51.25</v>
      </c>
      <c r="AR1434" s="61">
        <v>57</v>
      </c>
    </row>
    <row r="1435" spans="1:44" x14ac:dyDescent="0.35">
      <c r="A1435" s="49" t="str">
        <f>TEXT(43,"00")</f>
        <v>43</v>
      </c>
      <c r="B1435" s="27">
        <v>69468</v>
      </c>
      <c r="C1435" s="25" t="str">
        <f t="shared" si="116"/>
        <v>0000000</v>
      </c>
      <c r="D1435" s="26" t="s">
        <v>3663</v>
      </c>
      <c r="E1435" s="25" t="s">
        <v>2792</v>
      </c>
      <c r="F1435" s="25" t="s">
        <v>2698</v>
      </c>
      <c r="G1435" s="59" t="s">
        <v>2793</v>
      </c>
      <c r="H1435" s="60">
        <v>9137.2099999999991</v>
      </c>
      <c r="I1435" s="60">
        <v>9539.5</v>
      </c>
      <c r="J1435" s="60">
        <v>9749.15</v>
      </c>
      <c r="K1435" s="60">
        <v>0</v>
      </c>
      <c r="L1435" s="60">
        <v>0</v>
      </c>
      <c r="M1435" s="60">
        <v>0</v>
      </c>
      <c r="N1435" s="60">
        <v>0</v>
      </c>
      <c r="O1435" s="60">
        <v>0</v>
      </c>
      <c r="P1435" s="60">
        <v>0</v>
      </c>
      <c r="Q1435" s="60">
        <v>0</v>
      </c>
      <c r="R1435" s="60">
        <v>0</v>
      </c>
      <c r="S1435" s="60">
        <v>0</v>
      </c>
      <c r="T1435" s="60">
        <v>0</v>
      </c>
      <c r="U1435" s="60">
        <v>0</v>
      </c>
      <c r="V1435" s="60">
        <v>0</v>
      </c>
      <c r="W1435" s="60">
        <v>0</v>
      </c>
      <c r="X1435" s="60">
        <v>0</v>
      </c>
      <c r="Y1435" s="60">
        <v>0</v>
      </c>
      <c r="Z1435" s="60">
        <v>0</v>
      </c>
      <c r="AA1435" s="60">
        <v>0</v>
      </c>
      <c r="AB1435" s="60">
        <v>0</v>
      </c>
      <c r="AC1435" s="60">
        <v>0</v>
      </c>
      <c r="AD1435" s="60">
        <v>0</v>
      </c>
      <c r="AE1435" s="60">
        <v>0</v>
      </c>
      <c r="AF1435" s="60">
        <v>0</v>
      </c>
      <c r="AG1435" s="60">
        <v>0</v>
      </c>
      <c r="AH1435" s="60">
        <v>0</v>
      </c>
      <c r="AI1435" s="60">
        <v>9137.2099999999991</v>
      </c>
      <c r="AJ1435" s="60">
        <v>9539.5</v>
      </c>
      <c r="AK1435" s="60">
        <v>9749.15</v>
      </c>
      <c r="AL1435" s="60">
        <v>0</v>
      </c>
      <c r="AM1435" s="60">
        <v>0</v>
      </c>
      <c r="AN1435" s="60">
        <v>0</v>
      </c>
      <c r="AO1435" s="60">
        <v>9137.2099999999991</v>
      </c>
      <c r="AP1435" s="60">
        <v>9539.5</v>
      </c>
      <c r="AQ1435" s="60">
        <v>9749.15</v>
      </c>
      <c r="AR1435" s="61">
        <v>9749.15</v>
      </c>
    </row>
    <row r="1436" spans="1:44" x14ac:dyDescent="0.35">
      <c r="A1436" s="49" t="str">
        <f>TEXT(43,"00")</f>
        <v>43</v>
      </c>
      <c r="B1436" s="27">
        <v>69690</v>
      </c>
      <c r="C1436" s="25" t="str">
        <f t="shared" si="116"/>
        <v>0000000</v>
      </c>
      <c r="D1436" s="26" t="s">
        <v>3663</v>
      </c>
      <c r="E1436" s="25" t="s">
        <v>2840</v>
      </c>
      <c r="F1436" s="25" t="s">
        <v>2698</v>
      </c>
      <c r="G1436" s="59" t="s">
        <v>2841</v>
      </c>
      <c r="H1436" s="60">
        <v>5330.88</v>
      </c>
      <c r="I1436" s="60">
        <v>5158.74</v>
      </c>
      <c r="J1436" s="60">
        <v>5154.6899999999996</v>
      </c>
      <c r="K1436" s="60">
        <v>0</v>
      </c>
      <c r="L1436" s="60">
        <v>0</v>
      </c>
      <c r="M1436" s="60">
        <v>0</v>
      </c>
      <c r="N1436" s="60">
        <v>0</v>
      </c>
      <c r="O1436" s="60">
        <v>0</v>
      </c>
      <c r="P1436" s="60">
        <v>0</v>
      </c>
      <c r="Q1436" s="60">
        <v>0</v>
      </c>
      <c r="R1436" s="60">
        <v>0</v>
      </c>
      <c r="S1436" s="60">
        <v>0</v>
      </c>
      <c r="T1436" s="60">
        <v>0</v>
      </c>
      <c r="U1436" s="60">
        <v>0</v>
      </c>
      <c r="V1436" s="60">
        <v>0</v>
      </c>
      <c r="W1436" s="60">
        <v>0</v>
      </c>
      <c r="X1436" s="60">
        <v>0</v>
      </c>
      <c r="Y1436" s="60">
        <v>0</v>
      </c>
      <c r="Z1436" s="60">
        <v>0</v>
      </c>
      <c r="AA1436" s="60">
        <v>0</v>
      </c>
      <c r="AB1436" s="60">
        <v>0</v>
      </c>
      <c r="AC1436" s="60">
        <v>0</v>
      </c>
      <c r="AD1436" s="60">
        <v>0</v>
      </c>
      <c r="AE1436" s="60">
        <v>0</v>
      </c>
      <c r="AF1436" s="60">
        <v>0</v>
      </c>
      <c r="AG1436" s="60">
        <v>0</v>
      </c>
      <c r="AH1436" s="60">
        <v>0</v>
      </c>
      <c r="AI1436" s="60">
        <v>5330.88</v>
      </c>
      <c r="AJ1436" s="60">
        <v>5158.74</v>
      </c>
      <c r="AK1436" s="60">
        <v>5154.6899999999996</v>
      </c>
      <c r="AL1436" s="60">
        <v>0</v>
      </c>
      <c r="AM1436" s="60">
        <v>0</v>
      </c>
      <c r="AN1436" s="60">
        <v>0</v>
      </c>
      <c r="AO1436" s="60">
        <v>5330.88</v>
      </c>
      <c r="AP1436" s="60">
        <v>5158.74</v>
      </c>
      <c r="AQ1436" s="60">
        <v>5154.6899999999996</v>
      </c>
      <c r="AR1436" s="61">
        <v>5330.88</v>
      </c>
    </row>
    <row r="1437" spans="1:44" x14ac:dyDescent="0.35">
      <c r="A1437" s="49" t="str">
        <f>TEXT(43,"00")</f>
        <v>43</v>
      </c>
      <c r="B1437" s="27">
        <v>69419</v>
      </c>
      <c r="C1437" s="25" t="str">
        <f t="shared" si="116"/>
        <v>0000000</v>
      </c>
      <c r="D1437" s="26" t="s">
        <v>3663</v>
      </c>
      <c r="E1437" s="25" t="s">
        <v>2750</v>
      </c>
      <c r="F1437" s="25" t="s">
        <v>2698</v>
      </c>
      <c r="G1437" s="59" t="s">
        <v>2751</v>
      </c>
      <c r="H1437" s="60">
        <v>13093.36</v>
      </c>
      <c r="I1437" s="60">
        <v>12952.34</v>
      </c>
      <c r="J1437" s="60">
        <v>13557.34</v>
      </c>
      <c r="K1437" s="60">
        <v>0</v>
      </c>
      <c r="L1437" s="60">
        <v>0</v>
      </c>
      <c r="M1437" s="60">
        <v>0</v>
      </c>
      <c r="N1437" s="60">
        <v>0</v>
      </c>
      <c r="O1437" s="60">
        <v>0</v>
      </c>
      <c r="P1437" s="60">
        <v>0</v>
      </c>
      <c r="Q1437" s="60">
        <v>0</v>
      </c>
      <c r="R1437" s="60">
        <v>0</v>
      </c>
      <c r="S1437" s="60">
        <v>0</v>
      </c>
      <c r="T1437" s="60">
        <v>0</v>
      </c>
      <c r="U1437" s="60">
        <v>0</v>
      </c>
      <c r="V1437" s="60">
        <v>0</v>
      </c>
      <c r="W1437" s="60">
        <v>0</v>
      </c>
      <c r="X1437" s="60">
        <v>0</v>
      </c>
      <c r="Y1437" s="60">
        <v>0</v>
      </c>
      <c r="Z1437" s="60">
        <v>0</v>
      </c>
      <c r="AA1437" s="60">
        <v>0</v>
      </c>
      <c r="AB1437" s="60">
        <v>0</v>
      </c>
      <c r="AC1437" s="60">
        <v>0</v>
      </c>
      <c r="AD1437" s="60">
        <v>0</v>
      </c>
      <c r="AE1437" s="60">
        <v>0</v>
      </c>
      <c r="AF1437" s="60">
        <v>0</v>
      </c>
      <c r="AG1437" s="60">
        <v>0</v>
      </c>
      <c r="AH1437" s="60">
        <v>0</v>
      </c>
      <c r="AI1437" s="60">
        <v>13093.36</v>
      </c>
      <c r="AJ1437" s="60">
        <v>12952.34</v>
      </c>
      <c r="AK1437" s="60">
        <v>13557.34</v>
      </c>
      <c r="AL1437" s="60">
        <v>0</v>
      </c>
      <c r="AM1437" s="60">
        <v>0</v>
      </c>
      <c r="AN1437" s="60">
        <v>0</v>
      </c>
      <c r="AO1437" s="60">
        <v>13093.36</v>
      </c>
      <c r="AP1437" s="60">
        <v>12952.34</v>
      </c>
      <c r="AQ1437" s="60">
        <v>13557.34</v>
      </c>
      <c r="AR1437" s="61">
        <v>13557.34</v>
      </c>
    </row>
    <row r="1438" spans="1:44" x14ac:dyDescent="0.35">
      <c r="A1438" s="49" t="str">
        <f t="shared" ref="A1438:A1454" si="117">TEXT(36,"00")</f>
        <v>36</v>
      </c>
      <c r="B1438" s="27">
        <v>67777</v>
      </c>
      <c r="C1438" s="25" t="str">
        <f t="shared" si="116"/>
        <v>0000000</v>
      </c>
      <c r="D1438" s="26" t="s">
        <v>3663</v>
      </c>
      <c r="E1438" s="25" t="s">
        <v>1959</v>
      </c>
      <c r="F1438" s="25" t="s">
        <v>1960</v>
      </c>
      <c r="G1438" s="59" t="s">
        <v>1960</v>
      </c>
      <c r="H1438" s="60">
        <v>6637.73</v>
      </c>
      <c r="I1438" s="60">
        <v>6702.42</v>
      </c>
      <c r="J1438" s="60">
        <v>6594.14</v>
      </c>
      <c r="K1438" s="60">
        <v>0</v>
      </c>
      <c r="L1438" s="60">
        <v>0</v>
      </c>
      <c r="M1438" s="60">
        <v>0</v>
      </c>
      <c r="N1438" s="60">
        <v>0</v>
      </c>
      <c r="O1438" s="60">
        <v>0</v>
      </c>
      <c r="P1438" s="60">
        <v>0</v>
      </c>
      <c r="Q1438" s="60">
        <v>0</v>
      </c>
      <c r="R1438" s="60">
        <v>0</v>
      </c>
      <c r="S1438" s="60">
        <v>0</v>
      </c>
      <c r="T1438" s="60">
        <v>0</v>
      </c>
      <c r="U1438" s="60">
        <v>0</v>
      </c>
      <c r="V1438" s="60">
        <v>0</v>
      </c>
      <c r="W1438" s="60">
        <v>0</v>
      </c>
      <c r="X1438" s="60">
        <v>0</v>
      </c>
      <c r="Y1438" s="60">
        <v>0</v>
      </c>
      <c r="Z1438" s="60">
        <v>0</v>
      </c>
      <c r="AA1438" s="60">
        <v>0</v>
      </c>
      <c r="AB1438" s="60">
        <v>0</v>
      </c>
      <c r="AC1438" s="60">
        <v>0</v>
      </c>
      <c r="AD1438" s="60">
        <v>0</v>
      </c>
      <c r="AE1438" s="60">
        <v>0</v>
      </c>
      <c r="AF1438" s="60">
        <v>0</v>
      </c>
      <c r="AG1438" s="60">
        <v>0</v>
      </c>
      <c r="AH1438" s="60">
        <v>0</v>
      </c>
      <c r="AI1438" s="60">
        <v>6637.73</v>
      </c>
      <c r="AJ1438" s="60">
        <v>6702.42</v>
      </c>
      <c r="AK1438" s="60">
        <v>6594.14</v>
      </c>
      <c r="AL1438" s="60">
        <v>0</v>
      </c>
      <c r="AM1438" s="60">
        <v>0</v>
      </c>
      <c r="AN1438" s="60">
        <v>0</v>
      </c>
      <c r="AO1438" s="60">
        <v>6637.73</v>
      </c>
      <c r="AP1438" s="60">
        <v>6702.42</v>
      </c>
      <c r="AQ1438" s="60">
        <v>6594.14</v>
      </c>
      <c r="AR1438" s="61">
        <v>6702.42</v>
      </c>
    </row>
    <row r="1439" spans="1:44" x14ac:dyDescent="0.35">
      <c r="A1439" s="49" t="str">
        <f t="shared" si="117"/>
        <v>36</v>
      </c>
      <c r="B1439" s="27">
        <v>10363</v>
      </c>
      <c r="C1439" s="25" t="str">
        <f t="shared" si="116"/>
        <v>0000000</v>
      </c>
      <c r="D1439" s="26" t="s">
        <v>3663</v>
      </c>
      <c r="E1439" s="25" t="s">
        <v>1708</v>
      </c>
      <c r="F1439" s="25" t="s">
        <v>1709</v>
      </c>
      <c r="G1439" s="59" t="s">
        <v>1709</v>
      </c>
      <c r="H1439" s="60">
        <v>0</v>
      </c>
      <c r="I1439" s="60">
        <v>0</v>
      </c>
      <c r="J1439" s="60">
        <v>0</v>
      </c>
      <c r="K1439" s="60">
        <v>0</v>
      </c>
      <c r="L1439" s="60">
        <v>0</v>
      </c>
      <c r="M1439" s="60">
        <v>0</v>
      </c>
      <c r="N1439" s="60">
        <v>0</v>
      </c>
      <c r="O1439" s="60">
        <v>0</v>
      </c>
      <c r="P1439" s="60">
        <v>0</v>
      </c>
      <c r="Q1439" s="60">
        <v>0</v>
      </c>
      <c r="R1439" s="60">
        <v>0</v>
      </c>
      <c r="S1439" s="60">
        <v>0</v>
      </c>
      <c r="T1439" s="60">
        <v>122.28</v>
      </c>
      <c r="U1439" s="60">
        <v>111.23</v>
      </c>
      <c r="V1439" s="60">
        <v>76.47</v>
      </c>
      <c r="W1439" s="60">
        <v>1052.5899999999999</v>
      </c>
      <c r="X1439" s="60">
        <v>858.19</v>
      </c>
      <c r="Y1439" s="60">
        <v>833.56</v>
      </c>
      <c r="Z1439" s="60">
        <v>0</v>
      </c>
      <c r="AA1439" s="60">
        <v>0</v>
      </c>
      <c r="AB1439" s="60">
        <v>0</v>
      </c>
      <c r="AC1439" s="60">
        <v>0</v>
      </c>
      <c r="AD1439" s="60">
        <v>0</v>
      </c>
      <c r="AE1439" s="60">
        <v>0</v>
      </c>
      <c r="AF1439" s="60">
        <v>0</v>
      </c>
      <c r="AG1439" s="60">
        <v>0</v>
      </c>
      <c r="AH1439" s="60">
        <v>0</v>
      </c>
      <c r="AI1439" s="60">
        <v>1174.8699999999999</v>
      </c>
      <c r="AJ1439" s="60">
        <v>969.42</v>
      </c>
      <c r="AK1439" s="60">
        <v>910.03</v>
      </c>
      <c r="AL1439" s="60">
        <v>0</v>
      </c>
      <c r="AM1439" s="60">
        <v>0</v>
      </c>
      <c r="AN1439" s="60">
        <v>0</v>
      </c>
      <c r="AO1439" s="60">
        <v>1174.8699999999999</v>
      </c>
      <c r="AP1439" s="60">
        <v>969.42</v>
      </c>
      <c r="AQ1439" s="60">
        <v>910.03</v>
      </c>
      <c r="AR1439" s="61">
        <v>1174.8699999999999</v>
      </c>
    </row>
    <row r="1440" spans="1:44" x14ac:dyDescent="0.35">
      <c r="A1440" s="49" t="str">
        <f t="shared" si="117"/>
        <v>36</v>
      </c>
      <c r="B1440" s="27">
        <v>67587</v>
      </c>
      <c r="C1440" s="25" t="str">
        <f t="shared" si="116"/>
        <v>0000000</v>
      </c>
      <c r="D1440" s="26" t="s">
        <v>3663</v>
      </c>
      <c r="E1440" s="25" t="s">
        <v>1923</v>
      </c>
      <c r="F1440" s="25" t="s">
        <v>1709</v>
      </c>
      <c r="G1440" s="59" t="s">
        <v>1924</v>
      </c>
      <c r="H1440" s="60">
        <v>6920.47</v>
      </c>
      <c r="I1440" s="60">
        <v>6897.27</v>
      </c>
      <c r="J1440" s="60">
        <v>6419.24</v>
      </c>
      <c r="K1440" s="60">
        <v>0</v>
      </c>
      <c r="L1440" s="60">
        <v>0</v>
      </c>
      <c r="M1440" s="60">
        <v>0</v>
      </c>
      <c r="N1440" s="60">
        <v>0</v>
      </c>
      <c r="O1440" s="60">
        <v>0</v>
      </c>
      <c r="P1440" s="60">
        <v>0</v>
      </c>
      <c r="Q1440" s="60">
        <v>0</v>
      </c>
      <c r="R1440" s="60">
        <v>0</v>
      </c>
      <c r="S1440" s="60">
        <v>0</v>
      </c>
      <c r="T1440" s="60">
        <v>0</v>
      </c>
      <c r="U1440" s="60">
        <v>0</v>
      </c>
      <c r="V1440" s="60">
        <v>0</v>
      </c>
      <c r="W1440" s="60">
        <v>0</v>
      </c>
      <c r="X1440" s="60">
        <v>0</v>
      </c>
      <c r="Y1440" s="60">
        <v>0</v>
      </c>
      <c r="Z1440" s="60">
        <v>0</v>
      </c>
      <c r="AA1440" s="60">
        <v>0</v>
      </c>
      <c r="AB1440" s="60">
        <v>0</v>
      </c>
      <c r="AC1440" s="60">
        <v>0</v>
      </c>
      <c r="AD1440" s="60">
        <v>0</v>
      </c>
      <c r="AE1440" s="60">
        <v>0</v>
      </c>
      <c r="AF1440" s="60">
        <v>0</v>
      </c>
      <c r="AG1440" s="60">
        <v>0</v>
      </c>
      <c r="AH1440" s="60">
        <v>0</v>
      </c>
      <c r="AI1440" s="60">
        <v>6920.47</v>
      </c>
      <c r="AJ1440" s="60">
        <v>6897.27</v>
      </c>
      <c r="AK1440" s="60">
        <v>6419.24</v>
      </c>
      <c r="AL1440" s="60">
        <v>0</v>
      </c>
      <c r="AM1440" s="60">
        <v>0</v>
      </c>
      <c r="AN1440" s="60">
        <v>0</v>
      </c>
      <c r="AO1440" s="60">
        <v>6920.47</v>
      </c>
      <c r="AP1440" s="60">
        <v>6897.27</v>
      </c>
      <c r="AQ1440" s="60">
        <v>6419.24</v>
      </c>
      <c r="AR1440" s="61">
        <v>6920.47</v>
      </c>
    </row>
    <row r="1441" spans="1:44" x14ac:dyDescent="0.35">
      <c r="A1441" s="49" t="str">
        <f t="shared" si="117"/>
        <v>36</v>
      </c>
      <c r="B1441" s="27">
        <v>75077</v>
      </c>
      <c r="C1441" s="25" t="str">
        <f t="shared" si="116"/>
        <v>0000000</v>
      </c>
      <c r="D1441" s="26" t="s">
        <v>3663</v>
      </c>
      <c r="E1441" s="25" t="s">
        <v>2041</v>
      </c>
      <c r="F1441" s="25" t="s">
        <v>1709</v>
      </c>
      <c r="G1441" s="59" t="s">
        <v>2042</v>
      </c>
      <c r="H1441" s="60">
        <v>12482.09</v>
      </c>
      <c r="I1441" s="60">
        <v>12173.78</v>
      </c>
      <c r="J1441" s="60">
        <v>11329.95</v>
      </c>
      <c r="K1441" s="60">
        <v>0</v>
      </c>
      <c r="L1441" s="60">
        <v>0</v>
      </c>
      <c r="M1441" s="60">
        <v>0</v>
      </c>
      <c r="N1441" s="60">
        <v>0</v>
      </c>
      <c r="O1441" s="60">
        <v>0</v>
      </c>
      <c r="P1441" s="60">
        <v>0</v>
      </c>
      <c r="Q1441" s="60">
        <v>0</v>
      </c>
      <c r="R1441" s="60">
        <v>0</v>
      </c>
      <c r="S1441" s="60">
        <v>0</v>
      </c>
      <c r="T1441" s="60">
        <v>0</v>
      </c>
      <c r="U1441" s="60">
        <v>0</v>
      </c>
      <c r="V1441" s="60">
        <v>0</v>
      </c>
      <c r="W1441" s="60">
        <v>0</v>
      </c>
      <c r="X1441" s="60">
        <v>0</v>
      </c>
      <c r="Y1441" s="60">
        <v>0</v>
      </c>
      <c r="Z1441" s="60">
        <v>0</v>
      </c>
      <c r="AA1441" s="60">
        <v>0</v>
      </c>
      <c r="AB1441" s="60">
        <v>0</v>
      </c>
      <c r="AC1441" s="60">
        <v>0</v>
      </c>
      <c r="AD1441" s="60">
        <v>0</v>
      </c>
      <c r="AE1441" s="60">
        <v>1320</v>
      </c>
      <c r="AF1441" s="60">
        <v>0</v>
      </c>
      <c r="AG1441" s="60">
        <v>0</v>
      </c>
      <c r="AH1441" s="60">
        <v>0</v>
      </c>
      <c r="AI1441" s="60">
        <v>12482.09</v>
      </c>
      <c r="AJ1441" s="60">
        <v>12173.78</v>
      </c>
      <c r="AK1441" s="60">
        <v>12649.95</v>
      </c>
      <c r="AL1441" s="60">
        <v>0</v>
      </c>
      <c r="AM1441" s="60">
        <v>0</v>
      </c>
      <c r="AN1441" s="60">
        <v>-1320</v>
      </c>
      <c r="AO1441" s="60">
        <v>12482.09</v>
      </c>
      <c r="AP1441" s="60">
        <v>12173.78</v>
      </c>
      <c r="AQ1441" s="60">
        <v>11329.95</v>
      </c>
      <c r="AR1441" s="61">
        <v>12482.09</v>
      </c>
    </row>
    <row r="1442" spans="1:44" x14ac:dyDescent="0.35">
      <c r="A1442" s="49" t="str">
        <f t="shared" si="117"/>
        <v>36</v>
      </c>
      <c r="B1442" s="27">
        <v>73858</v>
      </c>
      <c r="C1442" s="25" t="str">
        <f t="shared" si="116"/>
        <v>0000000</v>
      </c>
      <c r="D1442" s="26" t="s">
        <v>3663</v>
      </c>
      <c r="E1442" s="25" t="s">
        <v>2002</v>
      </c>
      <c r="F1442" s="25" t="s">
        <v>1709</v>
      </c>
      <c r="G1442" s="59" t="s">
        <v>2003</v>
      </c>
      <c r="H1442" s="60">
        <v>120.71</v>
      </c>
      <c r="I1442" s="60">
        <v>116.46</v>
      </c>
      <c r="J1442" s="60">
        <v>119.45</v>
      </c>
      <c r="K1442" s="60">
        <v>0</v>
      </c>
      <c r="L1442" s="60">
        <v>0</v>
      </c>
      <c r="M1442" s="60">
        <v>0</v>
      </c>
      <c r="N1442" s="60">
        <v>0</v>
      </c>
      <c r="O1442" s="60">
        <v>0</v>
      </c>
      <c r="P1442" s="60">
        <v>0</v>
      </c>
      <c r="Q1442" s="60">
        <v>0</v>
      </c>
      <c r="R1442" s="60">
        <v>0</v>
      </c>
      <c r="S1442" s="60">
        <v>0</v>
      </c>
      <c r="T1442" s="60">
        <v>0</v>
      </c>
      <c r="U1442" s="60">
        <v>0</v>
      </c>
      <c r="V1442" s="60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60">
        <v>0</v>
      </c>
      <c r="AD1442" s="60">
        <v>0</v>
      </c>
      <c r="AE1442" s="60">
        <v>0</v>
      </c>
      <c r="AF1442" s="60">
        <v>0</v>
      </c>
      <c r="AG1442" s="60">
        <v>0</v>
      </c>
      <c r="AH1442" s="60">
        <v>0</v>
      </c>
      <c r="AI1442" s="60">
        <v>120.71</v>
      </c>
      <c r="AJ1442" s="60">
        <v>116.46</v>
      </c>
      <c r="AK1442" s="60">
        <v>119.45</v>
      </c>
      <c r="AL1442" s="60">
        <v>0</v>
      </c>
      <c r="AM1442" s="60">
        <v>0</v>
      </c>
      <c r="AN1442" s="60">
        <v>0</v>
      </c>
      <c r="AO1442" s="60">
        <v>120.71</v>
      </c>
      <c r="AP1442" s="60">
        <v>116.46</v>
      </c>
      <c r="AQ1442" s="60">
        <v>119.45</v>
      </c>
      <c r="AR1442" s="61">
        <v>120.71</v>
      </c>
    </row>
    <row r="1443" spans="1:44" x14ac:dyDescent="0.35">
      <c r="A1443" s="49" t="str">
        <f t="shared" si="117"/>
        <v>36</v>
      </c>
      <c r="B1443" s="27">
        <v>67611</v>
      </c>
      <c r="C1443" s="25" t="str">
        <f t="shared" si="116"/>
        <v>0000000</v>
      </c>
      <c r="D1443" s="26" t="s">
        <v>3663</v>
      </c>
      <c r="E1443" s="25" t="s">
        <v>1929</v>
      </c>
      <c r="F1443" s="25" t="s">
        <v>1709</v>
      </c>
      <c r="G1443" s="59" t="s">
        <v>1930</v>
      </c>
      <c r="H1443" s="60">
        <v>5724.14</v>
      </c>
      <c r="I1443" s="60">
        <v>5617.54</v>
      </c>
      <c r="J1443" s="60">
        <v>5133.34</v>
      </c>
      <c r="K1443" s="60">
        <v>0</v>
      </c>
      <c r="L1443" s="60">
        <v>0</v>
      </c>
      <c r="M1443" s="60">
        <v>0</v>
      </c>
      <c r="N1443" s="60">
        <v>0</v>
      </c>
      <c r="O1443" s="60">
        <v>0</v>
      </c>
      <c r="P1443" s="60">
        <v>0</v>
      </c>
      <c r="Q1443" s="60">
        <v>0</v>
      </c>
      <c r="R1443" s="60">
        <v>0</v>
      </c>
      <c r="S1443" s="60">
        <v>0</v>
      </c>
      <c r="T1443" s="60">
        <v>0</v>
      </c>
      <c r="U1443" s="60">
        <v>0</v>
      </c>
      <c r="V1443" s="60">
        <v>0</v>
      </c>
      <c r="W1443" s="60">
        <v>0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60">
        <v>0</v>
      </c>
      <c r="AD1443" s="60">
        <v>0</v>
      </c>
      <c r="AE1443" s="60">
        <v>0</v>
      </c>
      <c r="AF1443" s="60">
        <v>0</v>
      </c>
      <c r="AG1443" s="60">
        <v>0</v>
      </c>
      <c r="AH1443" s="60">
        <v>0</v>
      </c>
      <c r="AI1443" s="60">
        <v>5724.14</v>
      </c>
      <c r="AJ1443" s="60">
        <v>5617.54</v>
      </c>
      <c r="AK1443" s="60">
        <v>5133.34</v>
      </c>
      <c r="AL1443" s="60">
        <v>0</v>
      </c>
      <c r="AM1443" s="60">
        <v>0</v>
      </c>
      <c r="AN1443" s="60">
        <v>0</v>
      </c>
      <c r="AO1443" s="60">
        <v>5724.14</v>
      </c>
      <c r="AP1443" s="60">
        <v>5617.54</v>
      </c>
      <c r="AQ1443" s="60">
        <v>5133.34</v>
      </c>
      <c r="AR1443" s="61">
        <v>5724.14</v>
      </c>
    </row>
    <row r="1444" spans="1:44" x14ac:dyDescent="0.35">
      <c r="A1444" s="49" t="str">
        <f t="shared" si="117"/>
        <v>36</v>
      </c>
      <c r="B1444" s="27">
        <v>67637</v>
      </c>
      <c r="C1444" s="25" t="str">
        <f t="shared" si="116"/>
        <v>0000000</v>
      </c>
      <c r="D1444" s="26" t="s">
        <v>3663</v>
      </c>
      <c r="E1444" s="25" t="s">
        <v>1931</v>
      </c>
      <c r="F1444" s="25" t="s">
        <v>1709</v>
      </c>
      <c r="G1444" s="59" t="s">
        <v>1932</v>
      </c>
      <c r="H1444" s="60">
        <v>1950.94</v>
      </c>
      <c r="I1444" s="60">
        <v>1921.9</v>
      </c>
      <c r="J1444" s="60">
        <v>1917.39</v>
      </c>
      <c r="K1444" s="60">
        <v>0</v>
      </c>
      <c r="L1444" s="60">
        <v>0</v>
      </c>
      <c r="M1444" s="60">
        <v>0</v>
      </c>
      <c r="N1444" s="60">
        <v>0</v>
      </c>
      <c r="O1444" s="60">
        <v>0</v>
      </c>
      <c r="P1444" s="60">
        <v>0</v>
      </c>
      <c r="Q1444" s="60">
        <v>0</v>
      </c>
      <c r="R1444" s="60">
        <v>0</v>
      </c>
      <c r="S1444" s="60">
        <v>0</v>
      </c>
      <c r="T1444" s="60">
        <v>0</v>
      </c>
      <c r="U1444" s="60">
        <v>0</v>
      </c>
      <c r="V1444" s="60">
        <v>0</v>
      </c>
      <c r="W1444" s="60">
        <v>0</v>
      </c>
      <c r="X1444" s="60">
        <v>0</v>
      </c>
      <c r="Y1444" s="60">
        <v>0</v>
      </c>
      <c r="Z1444" s="60">
        <v>0</v>
      </c>
      <c r="AA1444" s="60">
        <v>0</v>
      </c>
      <c r="AB1444" s="60">
        <v>0</v>
      </c>
      <c r="AC1444" s="60">
        <v>0</v>
      </c>
      <c r="AD1444" s="60">
        <v>0</v>
      </c>
      <c r="AE1444" s="60">
        <v>0</v>
      </c>
      <c r="AF1444" s="60">
        <v>0</v>
      </c>
      <c r="AG1444" s="60">
        <v>0</v>
      </c>
      <c r="AH1444" s="60">
        <v>0</v>
      </c>
      <c r="AI1444" s="60">
        <v>1950.94</v>
      </c>
      <c r="AJ1444" s="60">
        <v>1921.9</v>
      </c>
      <c r="AK1444" s="60">
        <v>1917.39</v>
      </c>
      <c r="AL1444" s="60">
        <v>0</v>
      </c>
      <c r="AM1444" s="60">
        <v>0</v>
      </c>
      <c r="AN1444" s="60">
        <v>0</v>
      </c>
      <c r="AO1444" s="60">
        <v>1950.94</v>
      </c>
      <c r="AP1444" s="60">
        <v>1921.9</v>
      </c>
      <c r="AQ1444" s="60">
        <v>1917.39</v>
      </c>
      <c r="AR1444" s="61">
        <v>1950.94</v>
      </c>
    </row>
    <row r="1445" spans="1:44" x14ac:dyDescent="0.35">
      <c r="A1445" s="49" t="str">
        <f t="shared" si="117"/>
        <v>36</v>
      </c>
      <c r="B1445" s="27">
        <v>75044</v>
      </c>
      <c r="C1445" s="25" t="str">
        <f t="shared" si="116"/>
        <v>0000000</v>
      </c>
      <c r="D1445" s="26" t="s">
        <v>3663</v>
      </c>
      <c r="E1445" s="25" t="s">
        <v>2008</v>
      </c>
      <c r="F1445" s="25" t="s">
        <v>1709</v>
      </c>
      <c r="G1445" s="59" t="s">
        <v>2009</v>
      </c>
      <c r="H1445" s="60">
        <v>21480.37</v>
      </c>
      <c r="I1445" s="60">
        <v>20698.12</v>
      </c>
      <c r="J1445" s="60">
        <v>19733.990000000002</v>
      </c>
      <c r="K1445" s="60">
        <v>0</v>
      </c>
      <c r="L1445" s="60">
        <v>0</v>
      </c>
      <c r="M1445" s="60">
        <v>0</v>
      </c>
      <c r="N1445" s="60">
        <v>0</v>
      </c>
      <c r="O1445" s="60">
        <v>0</v>
      </c>
      <c r="P1445" s="60">
        <v>0</v>
      </c>
      <c r="Q1445" s="60">
        <v>0</v>
      </c>
      <c r="R1445" s="60">
        <v>0</v>
      </c>
      <c r="S1445" s="60">
        <v>0</v>
      </c>
      <c r="T1445" s="60">
        <v>0</v>
      </c>
      <c r="U1445" s="60">
        <v>0</v>
      </c>
      <c r="V1445" s="60">
        <v>0</v>
      </c>
      <c r="W1445" s="60">
        <v>0</v>
      </c>
      <c r="X1445" s="60">
        <v>0</v>
      </c>
      <c r="Y1445" s="60">
        <v>0</v>
      </c>
      <c r="Z1445" s="60">
        <v>0</v>
      </c>
      <c r="AA1445" s="60">
        <v>0</v>
      </c>
      <c r="AB1445" s="60">
        <v>0</v>
      </c>
      <c r="AC1445" s="60">
        <v>0</v>
      </c>
      <c r="AD1445" s="60">
        <v>0</v>
      </c>
      <c r="AE1445" s="60">
        <v>0</v>
      </c>
      <c r="AF1445" s="60">
        <v>0</v>
      </c>
      <c r="AG1445" s="60">
        <v>0</v>
      </c>
      <c r="AH1445" s="60">
        <v>0</v>
      </c>
      <c r="AI1445" s="60">
        <v>21480.37</v>
      </c>
      <c r="AJ1445" s="60">
        <v>20698.12</v>
      </c>
      <c r="AK1445" s="60">
        <v>19733.990000000002</v>
      </c>
      <c r="AL1445" s="60">
        <v>0</v>
      </c>
      <c r="AM1445" s="60">
        <v>0</v>
      </c>
      <c r="AN1445" s="60">
        <v>0</v>
      </c>
      <c r="AO1445" s="60">
        <v>21480.37</v>
      </c>
      <c r="AP1445" s="60">
        <v>20698.12</v>
      </c>
      <c r="AQ1445" s="60">
        <v>19733.990000000002</v>
      </c>
      <c r="AR1445" s="61">
        <v>21480.37</v>
      </c>
    </row>
    <row r="1446" spans="1:44" x14ac:dyDescent="0.35">
      <c r="A1446" s="49" t="str">
        <f t="shared" si="117"/>
        <v>36</v>
      </c>
      <c r="B1446" s="27">
        <v>75051</v>
      </c>
      <c r="C1446" s="25" t="str">
        <f t="shared" si="116"/>
        <v>0000000</v>
      </c>
      <c r="D1446" s="26" t="s">
        <v>3663</v>
      </c>
      <c r="E1446" s="25" t="s">
        <v>2024</v>
      </c>
      <c r="F1446" s="25" t="s">
        <v>1709</v>
      </c>
      <c r="G1446" s="59" t="s">
        <v>2025</v>
      </c>
      <c r="H1446" s="60">
        <v>1004.23</v>
      </c>
      <c r="I1446" s="60">
        <v>927.95</v>
      </c>
      <c r="J1446" s="60">
        <v>857.39</v>
      </c>
      <c r="K1446" s="60">
        <v>0</v>
      </c>
      <c r="L1446" s="60">
        <v>0</v>
      </c>
      <c r="M1446" s="60">
        <v>0</v>
      </c>
      <c r="N1446" s="60">
        <v>0</v>
      </c>
      <c r="O1446" s="60">
        <v>0</v>
      </c>
      <c r="P1446" s="60">
        <v>0</v>
      </c>
      <c r="Q1446" s="60">
        <v>0</v>
      </c>
      <c r="R1446" s="60">
        <v>0</v>
      </c>
      <c r="S1446" s="60">
        <v>0</v>
      </c>
      <c r="T1446" s="60">
        <v>0</v>
      </c>
      <c r="U1446" s="60">
        <v>0</v>
      </c>
      <c r="V1446" s="60">
        <v>0</v>
      </c>
      <c r="W1446" s="60">
        <v>0</v>
      </c>
      <c r="X1446" s="60">
        <v>0</v>
      </c>
      <c r="Y1446" s="60">
        <v>0</v>
      </c>
      <c r="Z1446" s="60">
        <v>0</v>
      </c>
      <c r="AA1446" s="60">
        <v>0</v>
      </c>
      <c r="AB1446" s="60">
        <v>0</v>
      </c>
      <c r="AC1446" s="60">
        <v>0</v>
      </c>
      <c r="AD1446" s="60">
        <v>0</v>
      </c>
      <c r="AE1446" s="60">
        <v>0</v>
      </c>
      <c r="AF1446" s="60">
        <v>0</v>
      </c>
      <c r="AG1446" s="60">
        <v>0</v>
      </c>
      <c r="AH1446" s="60">
        <v>0</v>
      </c>
      <c r="AI1446" s="60">
        <v>1004.23</v>
      </c>
      <c r="AJ1446" s="60">
        <v>927.95</v>
      </c>
      <c r="AK1446" s="60">
        <v>857.39</v>
      </c>
      <c r="AL1446" s="60">
        <v>0</v>
      </c>
      <c r="AM1446" s="60">
        <v>0</v>
      </c>
      <c r="AN1446" s="60">
        <v>0</v>
      </c>
      <c r="AO1446" s="60">
        <v>1004.23</v>
      </c>
      <c r="AP1446" s="60">
        <v>927.95</v>
      </c>
      <c r="AQ1446" s="60">
        <v>857.39</v>
      </c>
      <c r="AR1446" s="61">
        <v>1004.23</v>
      </c>
    </row>
    <row r="1447" spans="1:44" x14ac:dyDescent="0.35">
      <c r="A1447" s="49" t="str">
        <f t="shared" si="117"/>
        <v>36</v>
      </c>
      <c r="B1447" s="27">
        <v>67801</v>
      </c>
      <c r="C1447" s="25" t="str">
        <f t="shared" si="116"/>
        <v>0000000</v>
      </c>
      <c r="D1447" s="26" t="s">
        <v>3663</v>
      </c>
      <c r="E1447" s="25" t="s">
        <v>1964</v>
      </c>
      <c r="F1447" s="25" t="s">
        <v>1709</v>
      </c>
      <c r="G1447" s="59" t="s">
        <v>1965</v>
      </c>
      <c r="H1447" s="60">
        <v>845.65</v>
      </c>
      <c r="I1447" s="60">
        <v>825.29</v>
      </c>
      <c r="J1447" s="60">
        <v>773.87</v>
      </c>
      <c r="K1447" s="60">
        <v>0</v>
      </c>
      <c r="L1447" s="60">
        <v>0</v>
      </c>
      <c r="M1447" s="60">
        <v>0</v>
      </c>
      <c r="N1447" s="60">
        <v>0</v>
      </c>
      <c r="O1447" s="60">
        <v>0</v>
      </c>
      <c r="P1447" s="60">
        <v>0</v>
      </c>
      <c r="Q1447" s="60">
        <v>0</v>
      </c>
      <c r="R1447" s="60">
        <v>0</v>
      </c>
      <c r="S1447" s="60">
        <v>0</v>
      </c>
      <c r="T1447" s="60">
        <v>0</v>
      </c>
      <c r="U1447" s="60">
        <v>0</v>
      </c>
      <c r="V1447" s="60">
        <v>0</v>
      </c>
      <c r="W1447" s="60">
        <v>0</v>
      </c>
      <c r="X1447" s="60">
        <v>0</v>
      </c>
      <c r="Y1447" s="60">
        <v>0</v>
      </c>
      <c r="Z1447" s="60">
        <v>0</v>
      </c>
      <c r="AA1447" s="60">
        <v>0</v>
      </c>
      <c r="AB1447" s="60">
        <v>0</v>
      </c>
      <c r="AC1447" s="60">
        <v>0</v>
      </c>
      <c r="AD1447" s="60">
        <v>0</v>
      </c>
      <c r="AE1447" s="60">
        <v>0</v>
      </c>
      <c r="AF1447" s="60">
        <v>0</v>
      </c>
      <c r="AG1447" s="60">
        <v>0</v>
      </c>
      <c r="AH1447" s="60">
        <v>0</v>
      </c>
      <c r="AI1447" s="60">
        <v>845.65</v>
      </c>
      <c r="AJ1447" s="60">
        <v>825.29</v>
      </c>
      <c r="AK1447" s="60">
        <v>773.87</v>
      </c>
      <c r="AL1447" s="60">
        <v>0</v>
      </c>
      <c r="AM1447" s="60">
        <v>0</v>
      </c>
      <c r="AN1447" s="60">
        <v>0</v>
      </c>
      <c r="AO1447" s="60">
        <v>845.65</v>
      </c>
      <c r="AP1447" s="60">
        <v>825.29</v>
      </c>
      <c r="AQ1447" s="60">
        <v>773.87</v>
      </c>
      <c r="AR1447" s="61">
        <v>845.65</v>
      </c>
    </row>
    <row r="1448" spans="1:44" x14ac:dyDescent="0.35">
      <c r="A1448" s="49" t="str">
        <f t="shared" si="117"/>
        <v>36</v>
      </c>
      <c r="B1448" s="27">
        <v>67827</v>
      </c>
      <c r="C1448" s="25" t="str">
        <f t="shared" si="116"/>
        <v>0000000</v>
      </c>
      <c r="D1448" s="26" t="s">
        <v>3663</v>
      </c>
      <c r="E1448" s="25" t="s">
        <v>1968</v>
      </c>
      <c r="F1448" s="25" t="s">
        <v>1709</v>
      </c>
      <c r="G1448" s="59" t="s">
        <v>1969</v>
      </c>
      <c r="H1448" s="60">
        <v>80.55</v>
      </c>
      <c r="I1448" s="60">
        <v>81.33</v>
      </c>
      <c r="J1448" s="60">
        <v>86.04</v>
      </c>
      <c r="K1448" s="60">
        <v>0</v>
      </c>
      <c r="L1448" s="60">
        <v>0</v>
      </c>
      <c r="M1448" s="60">
        <v>0</v>
      </c>
      <c r="N1448" s="60">
        <v>0</v>
      </c>
      <c r="O1448" s="60">
        <v>0</v>
      </c>
      <c r="P1448" s="60">
        <v>0</v>
      </c>
      <c r="Q1448" s="60">
        <v>0</v>
      </c>
      <c r="R1448" s="60">
        <v>0</v>
      </c>
      <c r="S1448" s="60">
        <v>0</v>
      </c>
      <c r="T1448" s="60">
        <v>0</v>
      </c>
      <c r="U1448" s="60">
        <v>0</v>
      </c>
      <c r="V1448" s="60">
        <v>0</v>
      </c>
      <c r="W1448" s="60">
        <v>0</v>
      </c>
      <c r="X1448" s="60">
        <v>0</v>
      </c>
      <c r="Y1448" s="60">
        <v>0</v>
      </c>
      <c r="Z1448" s="60">
        <v>0</v>
      </c>
      <c r="AA1448" s="60">
        <v>0</v>
      </c>
      <c r="AB1448" s="60">
        <v>0</v>
      </c>
      <c r="AC1448" s="60">
        <v>5669.87</v>
      </c>
      <c r="AD1448" s="60">
        <v>5355.22</v>
      </c>
      <c r="AE1448" s="60">
        <v>5032.51</v>
      </c>
      <c r="AF1448" s="60">
        <v>0</v>
      </c>
      <c r="AG1448" s="60">
        <v>0</v>
      </c>
      <c r="AH1448" s="60">
        <v>0</v>
      </c>
      <c r="AI1448" s="60">
        <v>5750.42</v>
      </c>
      <c r="AJ1448" s="60">
        <v>5436.55</v>
      </c>
      <c r="AK1448" s="60">
        <v>5118.55</v>
      </c>
      <c r="AL1448" s="60">
        <v>0</v>
      </c>
      <c r="AM1448" s="60">
        <v>0</v>
      </c>
      <c r="AN1448" s="60">
        <v>0</v>
      </c>
      <c r="AO1448" s="60">
        <v>5750.42</v>
      </c>
      <c r="AP1448" s="60">
        <v>5436.55</v>
      </c>
      <c r="AQ1448" s="60">
        <v>5118.55</v>
      </c>
      <c r="AR1448" s="61">
        <v>5750.42</v>
      </c>
    </row>
    <row r="1449" spans="1:44" x14ac:dyDescent="0.35">
      <c r="A1449" s="49" t="str">
        <f t="shared" si="117"/>
        <v>36</v>
      </c>
      <c r="B1449" s="27">
        <v>73890</v>
      </c>
      <c r="C1449" s="25" t="str">
        <f t="shared" si="116"/>
        <v>0000000</v>
      </c>
      <c r="D1449" s="26" t="s">
        <v>3663</v>
      </c>
      <c r="E1449" s="25" t="s">
        <v>2004</v>
      </c>
      <c r="F1449" s="25" t="s">
        <v>1709</v>
      </c>
      <c r="G1449" s="59" t="s">
        <v>2005</v>
      </c>
      <c r="H1449" s="60">
        <v>1911.79</v>
      </c>
      <c r="I1449" s="60">
        <v>1806.48</v>
      </c>
      <c r="J1449" s="60">
        <v>1785.42</v>
      </c>
      <c r="K1449" s="60">
        <v>0</v>
      </c>
      <c r="L1449" s="60">
        <v>0</v>
      </c>
      <c r="M1449" s="60">
        <v>0</v>
      </c>
      <c r="N1449" s="60">
        <v>0</v>
      </c>
      <c r="O1449" s="60">
        <v>0</v>
      </c>
      <c r="P1449" s="60">
        <v>0</v>
      </c>
      <c r="Q1449" s="60">
        <v>0</v>
      </c>
      <c r="R1449" s="60">
        <v>0</v>
      </c>
      <c r="S1449" s="60">
        <v>0</v>
      </c>
      <c r="T1449" s="60">
        <v>0</v>
      </c>
      <c r="U1449" s="60">
        <v>0</v>
      </c>
      <c r="V1449" s="60">
        <v>0</v>
      </c>
      <c r="W1449" s="60">
        <v>0</v>
      </c>
      <c r="X1449" s="60">
        <v>0</v>
      </c>
      <c r="Y1449" s="60">
        <v>0</v>
      </c>
      <c r="Z1449" s="60">
        <v>0</v>
      </c>
      <c r="AA1449" s="60">
        <v>0</v>
      </c>
      <c r="AB1449" s="60">
        <v>0</v>
      </c>
      <c r="AC1449" s="60">
        <v>0</v>
      </c>
      <c r="AD1449" s="60">
        <v>0</v>
      </c>
      <c r="AE1449" s="60">
        <v>0</v>
      </c>
      <c r="AF1449" s="60">
        <v>0</v>
      </c>
      <c r="AG1449" s="60">
        <v>0</v>
      </c>
      <c r="AH1449" s="60">
        <v>0</v>
      </c>
      <c r="AI1449" s="60">
        <v>1911.79</v>
      </c>
      <c r="AJ1449" s="60">
        <v>1806.48</v>
      </c>
      <c r="AK1449" s="60">
        <v>1785.42</v>
      </c>
      <c r="AL1449" s="60">
        <v>0</v>
      </c>
      <c r="AM1449" s="60">
        <v>0</v>
      </c>
      <c r="AN1449" s="60">
        <v>0</v>
      </c>
      <c r="AO1449" s="60">
        <v>1911.79</v>
      </c>
      <c r="AP1449" s="60">
        <v>1806.48</v>
      </c>
      <c r="AQ1449" s="60">
        <v>1785.42</v>
      </c>
      <c r="AR1449" s="61">
        <v>1911.79</v>
      </c>
    </row>
    <row r="1450" spans="1:44" x14ac:dyDescent="0.35">
      <c r="A1450" s="49" t="str">
        <f t="shared" si="117"/>
        <v>36</v>
      </c>
      <c r="B1450" s="27">
        <v>67892</v>
      </c>
      <c r="C1450" s="25" t="str">
        <f t="shared" si="116"/>
        <v>0000000</v>
      </c>
      <c r="D1450" s="26" t="s">
        <v>3663</v>
      </c>
      <c r="E1450" s="25" t="s">
        <v>1991</v>
      </c>
      <c r="F1450" s="25" t="s">
        <v>1709</v>
      </c>
      <c r="G1450" s="59" t="s">
        <v>1992</v>
      </c>
      <c r="H1450" s="60">
        <v>211.34</v>
      </c>
      <c r="I1450" s="60">
        <v>213.81</v>
      </c>
      <c r="J1450" s="60">
        <v>208.54</v>
      </c>
      <c r="K1450" s="60">
        <v>0</v>
      </c>
      <c r="L1450" s="60">
        <v>0</v>
      </c>
      <c r="M1450" s="60">
        <v>0</v>
      </c>
      <c r="N1450" s="60">
        <v>0</v>
      </c>
      <c r="O1450" s="60">
        <v>0</v>
      </c>
      <c r="P1450" s="60">
        <v>0</v>
      </c>
      <c r="Q1450" s="60">
        <v>0</v>
      </c>
      <c r="R1450" s="60">
        <v>0</v>
      </c>
      <c r="S1450" s="60">
        <v>0</v>
      </c>
      <c r="T1450" s="60">
        <v>0</v>
      </c>
      <c r="U1450" s="60">
        <v>0</v>
      </c>
      <c r="V1450" s="60">
        <v>0</v>
      </c>
      <c r="W1450" s="60">
        <v>0</v>
      </c>
      <c r="X1450" s="60">
        <v>0</v>
      </c>
      <c r="Y1450" s="60">
        <v>0</v>
      </c>
      <c r="Z1450" s="60">
        <v>0</v>
      </c>
      <c r="AA1450" s="60">
        <v>0</v>
      </c>
      <c r="AB1450" s="60">
        <v>0</v>
      </c>
      <c r="AC1450" s="60">
        <v>0</v>
      </c>
      <c r="AD1450" s="60">
        <v>0</v>
      </c>
      <c r="AE1450" s="60">
        <v>0</v>
      </c>
      <c r="AF1450" s="60">
        <v>0</v>
      </c>
      <c r="AG1450" s="60">
        <v>0</v>
      </c>
      <c r="AH1450" s="60">
        <v>0</v>
      </c>
      <c r="AI1450" s="60">
        <v>211.34</v>
      </c>
      <c r="AJ1450" s="60">
        <v>213.81</v>
      </c>
      <c r="AK1450" s="60">
        <v>208.54</v>
      </c>
      <c r="AL1450" s="60">
        <v>0</v>
      </c>
      <c r="AM1450" s="60">
        <v>0</v>
      </c>
      <c r="AN1450" s="60">
        <v>0</v>
      </c>
      <c r="AO1450" s="60">
        <v>211.34</v>
      </c>
      <c r="AP1450" s="60">
        <v>213.81</v>
      </c>
      <c r="AQ1450" s="60">
        <v>208.54</v>
      </c>
      <c r="AR1450" s="61">
        <v>213.81</v>
      </c>
    </row>
    <row r="1451" spans="1:44" x14ac:dyDescent="0.35">
      <c r="A1451" s="49" t="str">
        <f t="shared" si="117"/>
        <v>36</v>
      </c>
      <c r="B1451" s="27">
        <v>67918</v>
      </c>
      <c r="C1451" s="25" t="str">
        <f t="shared" si="116"/>
        <v>0000000</v>
      </c>
      <c r="D1451" s="26" t="s">
        <v>3663</v>
      </c>
      <c r="E1451" s="25" t="s">
        <v>1993</v>
      </c>
      <c r="F1451" s="25" t="s">
        <v>1709</v>
      </c>
      <c r="G1451" s="59" t="s">
        <v>1994</v>
      </c>
      <c r="H1451" s="60">
        <v>10970.53</v>
      </c>
      <c r="I1451" s="60">
        <v>10856.81</v>
      </c>
      <c r="J1451" s="60">
        <v>10597.54</v>
      </c>
      <c r="K1451" s="60">
        <v>0</v>
      </c>
      <c r="L1451" s="60">
        <v>0</v>
      </c>
      <c r="M1451" s="60">
        <v>0</v>
      </c>
      <c r="N1451" s="60">
        <v>0</v>
      </c>
      <c r="O1451" s="60">
        <v>0</v>
      </c>
      <c r="P1451" s="60">
        <v>0</v>
      </c>
      <c r="Q1451" s="60">
        <v>0</v>
      </c>
      <c r="R1451" s="60">
        <v>0</v>
      </c>
      <c r="S1451" s="60">
        <v>0</v>
      </c>
      <c r="T1451" s="60">
        <v>0</v>
      </c>
      <c r="U1451" s="60">
        <v>0</v>
      </c>
      <c r="V1451" s="60">
        <v>0</v>
      </c>
      <c r="W1451" s="60">
        <v>0</v>
      </c>
      <c r="X1451" s="60">
        <v>0</v>
      </c>
      <c r="Y1451" s="60">
        <v>0</v>
      </c>
      <c r="Z1451" s="60">
        <v>0</v>
      </c>
      <c r="AA1451" s="60">
        <v>0</v>
      </c>
      <c r="AB1451" s="60">
        <v>0</v>
      </c>
      <c r="AC1451" s="60">
        <v>439.58</v>
      </c>
      <c r="AD1451" s="60">
        <v>434.39</v>
      </c>
      <c r="AE1451" s="60">
        <v>421.94</v>
      </c>
      <c r="AF1451" s="60">
        <v>0</v>
      </c>
      <c r="AG1451" s="60">
        <v>0</v>
      </c>
      <c r="AH1451" s="60">
        <v>0</v>
      </c>
      <c r="AI1451" s="60">
        <v>11410.11</v>
      </c>
      <c r="AJ1451" s="60">
        <v>11291.2</v>
      </c>
      <c r="AK1451" s="60">
        <v>11019.48</v>
      </c>
      <c r="AL1451" s="60">
        <v>0</v>
      </c>
      <c r="AM1451" s="60">
        <v>0</v>
      </c>
      <c r="AN1451" s="60">
        <v>0</v>
      </c>
      <c r="AO1451" s="60">
        <v>11410.11</v>
      </c>
      <c r="AP1451" s="60">
        <v>11291.2</v>
      </c>
      <c r="AQ1451" s="60">
        <v>11019.48</v>
      </c>
      <c r="AR1451" s="61">
        <v>11410.11</v>
      </c>
    </row>
    <row r="1452" spans="1:44" x14ac:dyDescent="0.35">
      <c r="A1452" s="49" t="str">
        <f t="shared" si="117"/>
        <v>36</v>
      </c>
      <c r="B1452" s="27">
        <v>67934</v>
      </c>
      <c r="C1452" s="25" t="str">
        <f t="shared" si="116"/>
        <v>0000000</v>
      </c>
      <c r="D1452" s="26" t="s">
        <v>3663</v>
      </c>
      <c r="E1452" s="25" t="s">
        <v>1995</v>
      </c>
      <c r="F1452" s="25" t="s">
        <v>1709</v>
      </c>
      <c r="G1452" s="59" t="s">
        <v>1996</v>
      </c>
      <c r="H1452" s="60">
        <v>10702.92</v>
      </c>
      <c r="I1452" s="60">
        <v>10239.66</v>
      </c>
      <c r="J1452" s="60">
        <v>10130.549999999999</v>
      </c>
      <c r="K1452" s="60">
        <v>0</v>
      </c>
      <c r="L1452" s="60">
        <v>0</v>
      </c>
      <c r="M1452" s="60">
        <v>0</v>
      </c>
      <c r="N1452" s="60">
        <v>0</v>
      </c>
      <c r="O1452" s="60">
        <v>0</v>
      </c>
      <c r="P1452" s="60">
        <v>0</v>
      </c>
      <c r="Q1452" s="60">
        <v>0</v>
      </c>
      <c r="R1452" s="60">
        <v>0</v>
      </c>
      <c r="S1452" s="60">
        <v>0</v>
      </c>
      <c r="T1452" s="60">
        <v>0</v>
      </c>
      <c r="U1452" s="60">
        <v>0</v>
      </c>
      <c r="V1452" s="60">
        <v>0</v>
      </c>
      <c r="W1452" s="60">
        <v>0</v>
      </c>
      <c r="X1452" s="60">
        <v>0</v>
      </c>
      <c r="Y1452" s="60">
        <v>0</v>
      </c>
      <c r="Z1452" s="60">
        <v>0</v>
      </c>
      <c r="AA1452" s="60">
        <v>0</v>
      </c>
      <c r="AB1452" s="60">
        <v>0</v>
      </c>
      <c r="AC1452" s="60">
        <v>952.37</v>
      </c>
      <c r="AD1452" s="60">
        <v>822.65</v>
      </c>
      <c r="AE1452" s="60">
        <v>739.03</v>
      </c>
      <c r="AF1452" s="60">
        <v>0</v>
      </c>
      <c r="AG1452" s="60">
        <v>0</v>
      </c>
      <c r="AH1452" s="60">
        <v>0</v>
      </c>
      <c r="AI1452" s="60">
        <v>11655.29</v>
      </c>
      <c r="AJ1452" s="60">
        <v>11062.31</v>
      </c>
      <c r="AK1452" s="60">
        <v>10869.58</v>
      </c>
      <c r="AL1452" s="60">
        <v>0</v>
      </c>
      <c r="AM1452" s="60">
        <v>0</v>
      </c>
      <c r="AN1452" s="60">
        <v>0</v>
      </c>
      <c r="AO1452" s="60">
        <v>11655.29</v>
      </c>
      <c r="AP1452" s="60">
        <v>11062.31</v>
      </c>
      <c r="AQ1452" s="60">
        <v>10869.58</v>
      </c>
      <c r="AR1452" s="61">
        <v>11655.29</v>
      </c>
    </row>
    <row r="1453" spans="1:44" x14ac:dyDescent="0.35">
      <c r="A1453" s="49" t="str">
        <f t="shared" si="117"/>
        <v>36</v>
      </c>
      <c r="B1453" s="27">
        <v>73957</v>
      </c>
      <c r="C1453" s="25" t="str">
        <f t="shared" si="116"/>
        <v>0000000</v>
      </c>
      <c r="D1453" s="26" t="s">
        <v>3663</v>
      </c>
      <c r="E1453" s="25" t="s">
        <v>2006</v>
      </c>
      <c r="F1453" s="25" t="s">
        <v>1709</v>
      </c>
      <c r="G1453" s="59" t="s">
        <v>2007</v>
      </c>
      <c r="H1453" s="60">
        <v>7328.02</v>
      </c>
      <c r="I1453" s="60">
        <v>7277.49</v>
      </c>
      <c r="J1453" s="60">
        <v>6970.95</v>
      </c>
      <c r="K1453" s="60">
        <v>0</v>
      </c>
      <c r="L1453" s="60">
        <v>0</v>
      </c>
      <c r="M1453" s="60">
        <v>0</v>
      </c>
      <c r="N1453" s="60">
        <v>0</v>
      </c>
      <c r="O1453" s="60">
        <v>0</v>
      </c>
      <c r="P1453" s="60">
        <v>0</v>
      </c>
      <c r="Q1453" s="60">
        <v>0</v>
      </c>
      <c r="R1453" s="60">
        <v>0</v>
      </c>
      <c r="S1453" s="60">
        <v>0</v>
      </c>
      <c r="T1453" s="60">
        <v>0</v>
      </c>
      <c r="U1453" s="60">
        <v>0</v>
      </c>
      <c r="V1453" s="60">
        <v>0</v>
      </c>
      <c r="W1453" s="60">
        <v>0</v>
      </c>
      <c r="X1453" s="60">
        <v>0</v>
      </c>
      <c r="Y1453" s="60">
        <v>0</v>
      </c>
      <c r="Z1453" s="60">
        <v>0</v>
      </c>
      <c r="AA1453" s="60">
        <v>0</v>
      </c>
      <c r="AB1453" s="60">
        <v>0</v>
      </c>
      <c r="AC1453" s="60">
        <v>0</v>
      </c>
      <c r="AD1453" s="60">
        <v>0</v>
      </c>
      <c r="AE1453" s="60">
        <v>0</v>
      </c>
      <c r="AF1453" s="60">
        <v>0</v>
      </c>
      <c r="AG1453" s="60">
        <v>0</v>
      </c>
      <c r="AH1453" s="60">
        <v>0</v>
      </c>
      <c r="AI1453" s="60">
        <v>7328.02</v>
      </c>
      <c r="AJ1453" s="60">
        <v>7277.49</v>
      </c>
      <c r="AK1453" s="60">
        <v>6970.95</v>
      </c>
      <c r="AL1453" s="60">
        <v>0</v>
      </c>
      <c r="AM1453" s="60">
        <v>0</v>
      </c>
      <c r="AN1453" s="60">
        <v>0</v>
      </c>
      <c r="AO1453" s="60">
        <v>7328.02</v>
      </c>
      <c r="AP1453" s="60">
        <v>7277.49</v>
      </c>
      <c r="AQ1453" s="60">
        <v>6970.95</v>
      </c>
      <c r="AR1453" s="61">
        <v>7328.02</v>
      </c>
    </row>
    <row r="1454" spans="1:44" x14ac:dyDescent="0.35">
      <c r="A1454" s="49" t="str">
        <f t="shared" si="117"/>
        <v>36</v>
      </c>
      <c r="B1454" s="27">
        <v>67736</v>
      </c>
      <c r="C1454" s="25" t="str">
        <f t="shared" si="116"/>
        <v>0000000</v>
      </c>
      <c r="D1454" s="26" t="s">
        <v>3663</v>
      </c>
      <c r="E1454" s="25" t="s">
        <v>1949</v>
      </c>
      <c r="F1454" s="25" t="s">
        <v>1709</v>
      </c>
      <c r="G1454" s="59" t="s">
        <v>1950</v>
      </c>
      <c r="H1454" s="60">
        <v>648.21</v>
      </c>
      <c r="I1454" s="60">
        <v>630.08000000000004</v>
      </c>
      <c r="J1454" s="60">
        <v>583.12</v>
      </c>
      <c r="K1454" s="60">
        <v>0</v>
      </c>
      <c r="L1454" s="60">
        <v>0</v>
      </c>
      <c r="M1454" s="60">
        <v>0</v>
      </c>
      <c r="N1454" s="60">
        <v>0</v>
      </c>
      <c r="O1454" s="60">
        <v>0</v>
      </c>
      <c r="P1454" s="60">
        <v>0</v>
      </c>
      <c r="Q1454" s="60">
        <v>0</v>
      </c>
      <c r="R1454" s="60">
        <v>0</v>
      </c>
      <c r="S1454" s="60">
        <v>0</v>
      </c>
      <c r="T1454" s="60">
        <v>0</v>
      </c>
      <c r="U1454" s="60">
        <v>0</v>
      </c>
      <c r="V1454" s="60">
        <v>0</v>
      </c>
      <c r="W1454" s="60">
        <v>0</v>
      </c>
      <c r="X1454" s="60">
        <v>0</v>
      </c>
      <c r="Y1454" s="60">
        <v>0</v>
      </c>
      <c r="Z1454" s="60">
        <v>0</v>
      </c>
      <c r="AA1454" s="60">
        <v>0</v>
      </c>
      <c r="AB1454" s="60">
        <v>0</v>
      </c>
      <c r="AC1454" s="60">
        <v>401.07</v>
      </c>
      <c r="AD1454" s="60">
        <v>412.67</v>
      </c>
      <c r="AE1454" s="60">
        <v>466.09</v>
      </c>
      <c r="AF1454" s="60">
        <v>0</v>
      </c>
      <c r="AG1454" s="60">
        <v>0</v>
      </c>
      <c r="AH1454" s="60">
        <v>0</v>
      </c>
      <c r="AI1454" s="60">
        <v>1049.28</v>
      </c>
      <c r="AJ1454" s="60">
        <v>1042.75</v>
      </c>
      <c r="AK1454" s="60">
        <v>1049.21</v>
      </c>
      <c r="AL1454" s="60">
        <v>0</v>
      </c>
      <c r="AM1454" s="60">
        <v>0</v>
      </c>
      <c r="AN1454" s="60">
        <v>0</v>
      </c>
      <c r="AO1454" s="60">
        <v>1049.28</v>
      </c>
      <c r="AP1454" s="60">
        <v>1042.75</v>
      </c>
      <c r="AQ1454" s="60">
        <v>1049.21</v>
      </c>
      <c r="AR1454" s="61">
        <v>1049.28</v>
      </c>
    </row>
    <row r="1455" spans="1:44" x14ac:dyDescent="0.35">
      <c r="A1455" s="49" t="str">
        <f>TEXT(37,"00")</f>
        <v>37</v>
      </c>
      <c r="B1455" s="27">
        <v>68338</v>
      </c>
      <c r="C1455" s="25" t="str">
        <f>TEXT(114462,"0000000")</f>
        <v>0114462</v>
      </c>
      <c r="D1455" s="26" t="s">
        <v>2209</v>
      </c>
      <c r="E1455" s="25" t="s">
        <v>2207</v>
      </c>
      <c r="F1455" s="25" t="s">
        <v>1709</v>
      </c>
      <c r="G1455" s="59" t="s">
        <v>2208</v>
      </c>
      <c r="H1455" s="60">
        <v>0</v>
      </c>
      <c r="I1455" s="60">
        <v>0</v>
      </c>
      <c r="J1455" s="60">
        <v>0</v>
      </c>
      <c r="K1455" s="60">
        <v>0</v>
      </c>
      <c r="L1455" s="60">
        <v>0</v>
      </c>
      <c r="M1455" s="60">
        <v>0</v>
      </c>
      <c r="N1455" s="60">
        <v>0</v>
      </c>
      <c r="O1455" s="60">
        <v>0</v>
      </c>
      <c r="P1455" s="60">
        <v>0</v>
      </c>
      <c r="Q1455" s="60">
        <v>0</v>
      </c>
      <c r="R1455" s="60">
        <v>0</v>
      </c>
      <c r="S1455" s="60">
        <v>0</v>
      </c>
      <c r="T1455" s="60">
        <v>0</v>
      </c>
      <c r="U1455" s="60">
        <v>0</v>
      </c>
      <c r="V1455" s="60">
        <v>0</v>
      </c>
      <c r="W1455" s="60">
        <v>0</v>
      </c>
      <c r="X1455" s="60">
        <v>0</v>
      </c>
      <c r="Y1455" s="60">
        <v>0</v>
      </c>
      <c r="Z1455" s="60">
        <v>0</v>
      </c>
      <c r="AA1455" s="60">
        <v>0</v>
      </c>
      <c r="AB1455" s="60">
        <v>0</v>
      </c>
      <c r="AC1455" s="60">
        <v>460.45</v>
      </c>
      <c r="AD1455" s="60">
        <v>474.38</v>
      </c>
      <c r="AE1455" s="60">
        <v>537.91</v>
      </c>
      <c r="AF1455" s="60">
        <v>0</v>
      </c>
      <c r="AG1455" s="60">
        <v>0</v>
      </c>
      <c r="AH1455" s="60">
        <v>0</v>
      </c>
      <c r="AI1455" s="60">
        <v>460.45</v>
      </c>
      <c r="AJ1455" s="60">
        <v>474.38</v>
      </c>
      <c r="AK1455" s="60">
        <v>537.91</v>
      </c>
      <c r="AL1455" s="60">
        <v>0</v>
      </c>
      <c r="AM1455" s="60">
        <v>0</v>
      </c>
      <c r="AN1455" s="60">
        <v>0</v>
      </c>
      <c r="AO1455" s="60">
        <v>460.45</v>
      </c>
      <c r="AP1455" s="60">
        <v>474.38</v>
      </c>
      <c r="AQ1455" s="60">
        <v>537.91</v>
      </c>
      <c r="AR1455" s="61">
        <v>537.91</v>
      </c>
    </row>
    <row r="1456" spans="1:44" x14ac:dyDescent="0.35">
      <c r="A1456" s="49" t="str">
        <f>TEXT(36,"00")</f>
        <v>36</v>
      </c>
      <c r="B1456" s="27">
        <v>10363</v>
      </c>
      <c r="C1456" s="25" t="str">
        <f>TEXT(115808,"0000000")</f>
        <v>0115808</v>
      </c>
      <c r="D1456" s="26" t="s">
        <v>1914</v>
      </c>
      <c r="E1456" s="25" t="s">
        <v>1912</v>
      </c>
      <c r="F1456" s="25" t="s">
        <v>1709</v>
      </c>
      <c r="G1456" s="59" t="s">
        <v>1913</v>
      </c>
      <c r="H1456" s="60">
        <v>0</v>
      </c>
      <c r="I1456" s="60">
        <v>0</v>
      </c>
      <c r="J1456" s="60">
        <v>0</v>
      </c>
      <c r="K1456" s="60">
        <v>0</v>
      </c>
      <c r="L1456" s="60">
        <v>0</v>
      </c>
      <c r="M1456" s="60">
        <v>0</v>
      </c>
      <c r="N1456" s="60">
        <v>0</v>
      </c>
      <c r="O1456" s="60">
        <v>0</v>
      </c>
      <c r="P1456" s="60">
        <v>0</v>
      </c>
      <c r="Q1456" s="60">
        <v>0</v>
      </c>
      <c r="R1456" s="60">
        <v>0</v>
      </c>
      <c r="S1456" s="60">
        <v>0</v>
      </c>
      <c r="T1456" s="60">
        <v>0</v>
      </c>
      <c r="U1456" s="60">
        <v>0</v>
      </c>
      <c r="V1456" s="60">
        <v>0</v>
      </c>
      <c r="W1456" s="60">
        <v>0</v>
      </c>
      <c r="X1456" s="60">
        <v>0</v>
      </c>
      <c r="Y1456" s="60">
        <v>0</v>
      </c>
      <c r="Z1456" s="60">
        <v>1105.49</v>
      </c>
      <c r="AA1456" s="60">
        <v>1042.8800000000001</v>
      </c>
      <c r="AB1456" s="60">
        <v>966.1</v>
      </c>
      <c r="AC1456" s="60">
        <v>0</v>
      </c>
      <c r="AD1456" s="60">
        <v>0</v>
      </c>
      <c r="AE1456" s="60">
        <v>0</v>
      </c>
      <c r="AF1456" s="60">
        <v>0</v>
      </c>
      <c r="AG1456" s="60">
        <v>0</v>
      </c>
      <c r="AH1456" s="60">
        <v>0</v>
      </c>
      <c r="AI1456" s="60">
        <v>1105.49</v>
      </c>
      <c r="AJ1456" s="60">
        <v>1042.8800000000001</v>
      </c>
      <c r="AK1456" s="60">
        <v>966.1</v>
      </c>
      <c r="AL1456" s="60">
        <v>0</v>
      </c>
      <c r="AM1456" s="60">
        <v>0</v>
      </c>
      <c r="AN1456" s="60">
        <v>0</v>
      </c>
      <c r="AO1456" s="60">
        <v>1105.49</v>
      </c>
      <c r="AP1456" s="60">
        <v>1042.8800000000001</v>
      </c>
      <c r="AQ1456" s="60">
        <v>966.1</v>
      </c>
      <c r="AR1456" s="61">
        <v>1105.49</v>
      </c>
    </row>
    <row r="1457" spans="1:44" x14ac:dyDescent="0.35">
      <c r="A1457" s="49" t="str">
        <f>TEXT(33,"00")</f>
        <v>33</v>
      </c>
      <c r="B1457" s="27">
        <v>10330</v>
      </c>
      <c r="C1457" s="25" t="str">
        <f>TEXT(137869,"0000000")</f>
        <v>0137869</v>
      </c>
      <c r="D1457" s="27">
        <v>1993</v>
      </c>
      <c r="E1457" s="25" t="s">
        <v>1710</v>
      </c>
      <c r="F1457" s="25" t="s">
        <v>1709</v>
      </c>
      <c r="G1457" s="59" t="s">
        <v>1711</v>
      </c>
      <c r="H1457" s="60">
        <v>0</v>
      </c>
      <c r="I1457" s="60">
        <v>0</v>
      </c>
      <c r="J1457" s="60">
        <v>0</v>
      </c>
      <c r="K1457" s="60">
        <v>0</v>
      </c>
      <c r="L1457" s="60">
        <v>0</v>
      </c>
      <c r="M1457" s="60">
        <v>0</v>
      </c>
      <c r="N1457" s="60">
        <v>0</v>
      </c>
      <c r="O1457" s="60">
        <v>0</v>
      </c>
      <c r="P1457" s="60">
        <v>0</v>
      </c>
      <c r="Q1457" s="60">
        <v>0</v>
      </c>
      <c r="R1457" s="60">
        <v>0</v>
      </c>
      <c r="S1457" s="60">
        <v>0</v>
      </c>
      <c r="T1457" s="60">
        <v>0</v>
      </c>
      <c r="U1457" s="60">
        <v>0</v>
      </c>
      <c r="V1457" s="60">
        <v>0</v>
      </c>
      <c r="W1457" s="60">
        <v>0</v>
      </c>
      <c r="X1457" s="60">
        <v>0</v>
      </c>
      <c r="Y1457" s="60">
        <v>0</v>
      </c>
      <c r="Z1457" s="60">
        <v>0</v>
      </c>
      <c r="AA1457" s="60">
        <v>0</v>
      </c>
      <c r="AB1457" s="60">
        <v>0</v>
      </c>
      <c r="AC1457" s="60">
        <v>136.9</v>
      </c>
      <c r="AD1457" s="60">
        <v>132.15</v>
      </c>
      <c r="AE1457" s="60">
        <v>115.38</v>
      </c>
      <c r="AF1457" s="60">
        <v>0</v>
      </c>
      <c r="AG1457" s="60">
        <v>0</v>
      </c>
      <c r="AH1457" s="60">
        <v>0</v>
      </c>
      <c r="AI1457" s="60">
        <v>136.9</v>
      </c>
      <c r="AJ1457" s="60">
        <v>132.15</v>
      </c>
      <c r="AK1457" s="60">
        <v>115.38</v>
      </c>
      <c r="AL1457" s="60">
        <v>0</v>
      </c>
      <c r="AM1457" s="60">
        <v>0</v>
      </c>
      <c r="AN1457" s="60">
        <v>0</v>
      </c>
      <c r="AO1457" s="60">
        <v>136.9</v>
      </c>
      <c r="AP1457" s="60">
        <v>132.15</v>
      </c>
      <c r="AQ1457" s="60">
        <v>115.38</v>
      </c>
      <c r="AR1457" s="61">
        <v>136.9</v>
      </c>
    </row>
    <row r="1458" spans="1:44" x14ac:dyDescent="0.35">
      <c r="A1458" s="49" t="str">
        <f>TEXT(36,"00")</f>
        <v>36</v>
      </c>
      <c r="B1458" s="27">
        <v>10363</v>
      </c>
      <c r="C1458" s="25" t="str">
        <f>TEXT(3630761,"0000000")</f>
        <v>3630761</v>
      </c>
      <c r="D1458" s="27">
        <v>1910</v>
      </c>
      <c r="E1458" s="25" t="s">
        <v>1919</v>
      </c>
      <c r="F1458" s="25" t="s">
        <v>1709</v>
      </c>
      <c r="G1458" s="59" t="s">
        <v>1920</v>
      </c>
      <c r="H1458" s="60">
        <v>0</v>
      </c>
      <c r="I1458" s="60">
        <v>0</v>
      </c>
      <c r="J1458" s="60">
        <v>0</v>
      </c>
      <c r="K1458" s="60">
        <v>0</v>
      </c>
      <c r="L1458" s="60">
        <v>0</v>
      </c>
      <c r="M1458" s="60">
        <v>0</v>
      </c>
      <c r="N1458" s="60">
        <v>0</v>
      </c>
      <c r="O1458" s="60">
        <v>0</v>
      </c>
      <c r="P1458" s="60">
        <v>0</v>
      </c>
      <c r="Q1458" s="60">
        <v>0</v>
      </c>
      <c r="R1458" s="60">
        <v>0</v>
      </c>
      <c r="S1458" s="60">
        <v>0</v>
      </c>
      <c r="T1458" s="60">
        <v>0</v>
      </c>
      <c r="U1458" s="60">
        <v>0</v>
      </c>
      <c r="V1458" s="60">
        <v>0</v>
      </c>
      <c r="W1458" s="60">
        <v>0</v>
      </c>
      <c r="X1458" s="60">
        <v>0</v>
      </c>
      <c r="Y1458" s="60">
        <v>0</v>
      </c>
      <c r="Z1458" s="60">
        <v>2100.67</v>
      </c>
      <c r="AA1458" s="60">
        <v>2256.2199999999998</v>
      </c>
      <c r="AB1458" s="60">
        <v>2012.49</v>
      </c>
      <c r="AC1458" s="60">
        <v>0</v>
      </c>
      <c r="AD1458" s="60">
        <v>0</v>
      </c>
      <c r="AE1458" s="60">
        <v>0</v>
      </c>
      <c r="AF1458" s="60">
        <v>0</v>
      </c>
      <c r="AG1458" s="60">
        <v>0</v>
      </c>
      <c r="AH1458" s="60">
        <v>0</v>
      </c>
      <c r="AI1458" s="60">
        <v>2100.67</v>
      </c>
      <c r="AJ1458" s="60">
        <v>2256.2199999999998</v>
      </c>
      <c r="AK1458" s="60">
        <v>2012.49</v>
      </c>
      <c r="AL1458" s="60">
        <v>0</v>
      </c>
      <c r="AM1458" s="60">
        <v>0</v>
      </c>
      <c r="AN1458" s="60">
        <v>0</v>
      </c>
      <c r="AO1458" s="60">
        <v>2100.67</v>
      </c>
      <c r="AP1458" s="60">
        <v>2256.2199999999998</v>
      </c>
      <c r="AQ1458" s="60">
        <v>2012.49</v>
      </c>
      <c r="AR1458" s="61">
        <v>2256.2199999999998</v>
      </c>
    </row>
    <row r="1459" spans="1:44" x14ac:dyDescent="0.35">
      <c r="A1459" s="49" t="str">
        <f>TEXT(36,"00")</f>
        <v>36</v>
      </c>
      <c r="B1459" s="27">
        <v>75077</v>
      </c>
      <c r="C1459" s="25" t="str">
        <f>TEXT(3631207,"0000000")</f>
        <v>3631207</v>
      </c>
      <c r="D1459" s="26" t="s">
        <v>2045</v>
      </c>
      <c r="E1459" s="25" t="s">
        <v>2043</v>
      </c>
      <c r="F1459" s="25" t="s">
        <v>1709</v>
      </c>
      <c r="G1459" s="59" t="s">
        <v>2044</v>
      </c>
      <c r="H1459" s="60">
        <v>0</v>
      </c>
      <c r="I1459" s="60">
        <v>0</v>
      </c>
      <c r="J1459" s="60">
        <v>0</v>
      </c>
      <c r="K1459" s="60">
        <v>0</v>
      </c>
      <c r="L1459" s="60">
        <v>0</v>
      </c>
      <c r="M1459" s="60">
        <v>0</v>
      </c>
      <c r="N1459" s="60">
        <v>0</v>
      </c>
      <c r="O1459" s="60">
        <v>0</v>
      </c>
      <c r="P1459" s="60">
        <v>0</v>
      </c>
      <c r="Q1459" s="60">
        <v>0</v>
      </c>
      <c r="R1459" s="60">
        <v>0</v>
      </c>
      <c r="S1459" s="60">
        <v>0</v>
      </c>
      <c r="T1459" s="60">
        <v>0</v>
      </c>
      <c r="U1459" s="60">
        <v>0</v>
      </c>
      <c r="V1459" s="60">
        <v>0</v>
      </c>
      <c r="W1459" s="60">
        <v>0</v>
      </c>
      <c r="X1459" s="60">
        <v>0</v>
      </c>
      <c r="Y1459" s="60">
        <v>0</v>
      </c>
      <c r="Z1459" s="60">
        <v>0</v>
      </c>
      <c r="AA1459" s="60">
        <v>0</v>
      </c>
      <c r="AB1459" s="60">
        <v>0</v>
      </c>
      <c r="AC1459" s="60">
        <v>1410.72</v>
      </c>
      <c r="AD1459" s="60">
        <v>1378.08</v>
      </c>
      <c r="AE1459" s="60">
        <v>0</v>
      </c>
      <c r="AF1459" s="60">
        <v>0</v>
      </c>
      <c r="AG1459" s="60">
        <v>0</v>
      </c>
      <c r="AH1459" s="60">
        <v>0</v>
      </c>
      <c r="AI1459" s="60">
        <v>1410.72</v>
      </c>
      <c r="AJ1459" s="60">
        <v>1378.08</v>
      </c>
      <c r="AK1459" s="60">
        <v>0</v>
      </c>
      <c r="AL1459" s="60">
        <v>0</v>
      </c>
      <c r="AM1459" s="60">
        <v>0</v>
      </c>
      <c r="AN1459" s="60">
        <v>1320</v>
      </c>
      <c r="AO1459" s="60">
        <v>1410.72</v>
      </c>
      <c r="AP1459" s="60">
        <v>1378.08</v>
      </c>
      <c r="AQ1459" s="60">
        <v>1320</v>
      </c>
      <c r="AR1459" s="61">
        <v>1410.72</v>
      </c>
    </row>
    <row r="1460" spans="1:44" x14ac:dyDescent="0.35">
      <c r="A1460" s="49" t="str">
        <f>TEXT(36,"00")</f>
        <v>36</v>
      </c>
      <c r="B1460" s="27">
        <v>10363</v>
      </c>
      <c r="C1460" s="25" t="str">
        <f>TEXT(,"0000000")</f>
        <v>0000000</v>
      </c>
      <c r="D1460" s="26" t="s">
        <v>3663</v>
      </c>
      <c r="E1460" s="25" t="s">
        <v>601</v>
      </c>
      <c r="F1460" s="25" t="s">
        <v>602</v>
      </c>
      <c r="G1460" s="59" t="s">
        <v>602</v>
      </c>
      <c r="H1460" s="60">
        <v>0</v>
      </c>
      <c r="I1460" s="60">
        <v>0</v>
      </c>
      <c r="J1460" s="60">
        <v>0</v>
      </c>
      <c r="K1460" s="60">
        <v>0</v>
      </c>
      <c r="L1460" s="60">
        <v>0</v>
      </c>
      <c r="M1460" s="60">
        <v>0</v>
      </c>
      <c r="N1460" s="60">
        <v>0</v>
      </c>
      <c r="O1460" s="60">
        <v>0</v>
      </c>
      <c r="P1460" s="60">
        <v>0</v>
      </c>
      <c r="Q1460" s="60">
        <v>0</v>
      </c>
      <c r="R1460" s="60">
        <v>0</v>
      </c>
      <c r="S1460" s="60">
        <v>0</v>
      </c>
      <c r="T1460" s="60">
        <v>0</v>
      </c>
      <c r="U1460" s="60">
        <v>0</v>
      </c>
      <c r="V1460" s="60">
        <v>0</v>
      </c>
      <c r="W1460" s="60">
        <v>0</v>
      </c>
      <c r="X1460" s="60">
        <v>0</v>
      </c>
      <c r="Y1460" s="60">
        <v>0</v>
      </c>
      <c r="Z1460" s="60">
        <v>0</v>
      </c>
      <c r="AA1460" s="60">
        <v>0</v>
      </c>
      <c r="AB1460" s="60">
        <v>0</v>
      </c>
      <c r="AC1460" s="60">
        <v>0</v>
      </c>
      <c r="AD1460" s="60">
        <v>0</v>
      </c>
      <c r="AE1460" s="60">
        <v>0</v>
      </c>
      <c r="AF1460" s="60">
        <v>0</v>
      </c>
      <c r="AG1460" s="60">
        <v>0</v>
      </c>
      <c r="AH1460" s="60">
        <v>0</v>
      </c>
      <c r="AI1460" s="60">
        <v>0</v>
      </c>
      <c r="AJ1460" s="60">
        <v>0</v>
      </c>
      <c r="AK1460" s="60">
        <v>0</v>
      </c>
      <c r="AL1460" s="60">
        <v>0</v>
      </c>
      <c r="AM1460" s="60">
        <v>0</v>
      </c>
      <c r="AN1460" s="60">
        <v>0</v>
      </c>
      <c r="AO1460" s="60">
        <v>0</v>
      </c>
      <c r="AP1460" s="60">
        <v>0</v>
      </c>
      <c r="AQ1460" s="60">
        <v>0</v>
      </c>
      <c r="AR1460" s="61">
        <v>0</v>
      </c>
    </row>
    <row r="1461" spans="1:44" x14ac:dyDescent="0.35">
      <c r="A1461" s="49" t="str">
        <f>TEXT(13,"00")</f>
        <v>13</v>
      </c>
      <c r="B1461" s="27">
        <v>63123</v>
      </c>
      <c r="C1461" s="25" t="str">
        <f>TEXT(118455,"0000000")</f>
        <v>0118455</v>
      </c>
      <c r="D1461" s="27">
        <v>1030</v>
      </c>
      <c r="E1461" s="25" t="s">
        <v>603</v>
      </c>
      <c r="F1461" s="25" t="s">
        <v>602</v>
      </c>
      <c r="G1461" s="59" t="s">
        <v>604</v>
      </c>
      <c r="H1461" s="60">
        <v>0</v>
      </c>
      <c r="I1461" s="60">
        <v>0</v>
      </c>
      <c r="J1461" s="60">
        <v>0</v>
      </c>
      <c r="K1461" s="60">
        <v>0</v>
      </c>
      <c r="L1461" s="60">
        <v>0</v>
      </c>
      <c r="M1461" s="60">
        <v>0</v>
      </c>
      <c r="N1461" s="60">
        <v>0</v>
      </c>
      <c r="O1461" s="60">
        <v>0</v>
      </c>
      <c r="P1461" s="60">
        <v>0</v>
      </c>
      <c r="Q1461" s="60">
        <v>0</v>
      </c>
      <c r="R1461" s="60">
        <v>0</v>
      </c>
      <c r="S1461" s="60">
        <v>0</v>
      </c>
      <c r="T1461" s="60">
        <v>0</v>
      </c>
      <c r="U1461" s="60">
        <v>0</v>
      </c>
      <c r="V1461" s="60">
        <v>0</v>
      </c>
      <c r="W1461" s="60">
        <v>0</v>
      </c>
      <c r="X1461" s="60">
        <v>0</v>
      </c>
      <c r="Y1461" s="60">
        <v>0</v>
      </c>
      <c r="Z1461" s="60">
        <v>0</v>
      </c>
      <c r="AA1461" s="60">
        <v>0</v>
      </c>
      <c r="AB1461" s="60">
        <v>0</v>
      </c>
      <c r="AC1461" s="60">
        <v>238.38</v>
      </c>
      <c r="AD1461" s="60">
        <v>215.26</v>
      </c>
      <c r="AE1461" s="60">
        <v>185.33</v>
      </c>
      <c r="AF1461" s="60">
        <v>0</v>
      </c>
      <c r="AG1461" s="60">
        <v>0</v>
      </c>
      <c r="AH1461" s="60">
        <v>0</v>
      </c>
      <c r="AI1461" s="60">
        <v>238.38</v>
      </c>
      <c r="AJ1461" s="60">
        <v>215.26</v>
      </c>
      <c r="AK1461" s="60">
        <v>185.33</v>
      </c>
      <c r="AL1461" s="60">
        <v>0</v>
      </c>
      <c r="AM1461" s="60">
        <v>0</v>
      </c>
      <c r="AN1461" s="60">
        <v>0</v>
      </c>
      <c r="AO1461" s="60">
        <v>238.38</v>
      </c>
      <c r="AP1461" s="60">
        <v>215.26</v>
      </c>
      <c r="AQ1461" s="60">
        <v>185.33</v>
      </c>
      <c r="AR1461" s="61">
        <v>238.38</v>
      </c>
    </row>
    <row r="1462" spans="1:44" x14ac:dyDescent="0.35">
      <c r="A1462" s="49" t="str">
        <f>TEXT(19,"00")</f>
        <v>19</v>
      </c>
      <c r="B1462" s="27">
        <v>10199</v>
      </c>
      <c r="C1462" s="25" t="str">
        <f>TEXT(6116883,"0000000")</f>
        <v>6116883</v>
      </c>
      <c r="D1462" s="26" t="s">
        <v>888</v>
      </c>
      <c r="E1462" s="25" t="s">
        <v>886</v>
      </c>
      <c r="F1462" s="25" t="s">
        <v>602</v>
      </c>
      <c r="G1462" s="59" t="s">
        <v>887</v>
      </c>
      <c r="H1462" s="60">
        <v>0</v>
      </c>
      <c r="I1462" s="60">
        <v>0</v>
      </c>
      <c r="J1462" s="60">
        <v>0</v>
      </c>
      <c r="K1462" s="60">
        <v>0</v>
      </c>
      <c r="L1462" s="60">
        <v>0</v>
      </c>
      <c r="M1462" s="60">
        <v>0</v>
      </c>
      <c r="N1462" s="60">
        <v>0</v>
      </c>
      <c r="O1462" s="60">
        <v>0</v>
      </c>
      <c r="P1462" s="60">
        <v>0</v>
      </c>
      <c r="Q1462" s="60">
        <v>0</v>
      </c>
      <c r="R1462" s="60">
        <v>0</v>
      </c>
      <c r="S1462" s="60">
        <v>0</v>
      </c>
      <c r="T1462" s="60">
        <v>0</v>
      </c>
      <c r="U1462" s="60">
        <v>0</v>
      </c>
      <c r="V1462" s="60">
        <v>0</v>
      </c>
      <c r="W1462" s="60">
        <v>0</v>
      </c>
      <c r="X1462" s="60">
        <v>0</v>
      </c>
      <c r="Y1462" s="60">
        <v>0</v>
      </c>
      <c r="Z1462" s="60">
        <v>0</v>
      </c>
      <c r="AA1462" s="60">
        <v>0</v>
      </c>
      <c r="AB1462" s="60">
        <v>0</v>
      </c>
      <c r="AC1462" s="60">
        <v>437.99</v>
      </c>
      <c r="AD1462" s="60">
        <v>430</v>
      </c>
      <c r="AE1462" s="60">
        <v>432.17</v>
      </c>
      <c r="AF1462" s="60">
        <v>0</v>
      </c>
      <c r="AG1462" s="60">
        <v>0</v>
      </c>
      <c r="AH1462" s="60">
        <v>0</v>
      </c>
      <c r="AI1462" s="60">
        <v>437.99</v>
      </c>
      <c r="AJ1462" s="60">
        <v>430</v>
      </c>
      <c r="AK1462" s="60">
        <v>432.17</v>
      </c>
      <c r="AL1462" s="60">
        <v>0</v>
      </c>
      <c r="AM1462" s="60">
        <v>0</v>
      </c>
      <c r="AN1462" s="60">
        <v>0</v>
      </c>
      <c r="AO1462" s="60">
        <v>437.99</v>
      </c>
      <c r="AP1462" s="60">
        <v>430</v>
      </c>
      <c r="AQ1462" s="60">
        <v>432.17</v>
      </c>
      <c r="AR1462" s="61">
        <v>437.99</v>
      </c>
    </row>
    <row r="1463" spans="1:44" x14ac:dyDescent="0.35">
      <c r="A1463" s="49" t="str">
        <f>TEXT(19,"00")</f>
        <v>19</v>
      </c>
      <c r="B1463" s="27">
        <v>64881</v>
      </c>
      <c r="C1463" s="25" t="str">
        <f>TEXT(113464,"0000000")</f>
        <v>0113464</v>
      </c>
      <c r="D1463" s="26" t="s">
        <v>1084</v>
      </c>
      <c r="E1463" s="25" t="s">
        <v>1082</v>
      </c>
      <c r="F1463" s="25" t="s">
        <v>602</v>
      </c>
      <c r="G1463" s="59" t="s">
        <v>1083</v>
      </c>
      <c r="H1463" s="60">
        <v>0</v>
      </c>
      <c r="I1463" s="60">
        <v>0</v>
      </c>
      <c r="J1463" s="60">
        <v>0</v>
      </c>
      <c r="K1463" s="60">
        <v>0</v>
      </c>
      <c r="L1463" s="60">
        <v>0</v>
      </c>
      <c r="M1463" s="60">
        <v>0</v>
      </c>
      <c r="N1463" s="60">
        <v>0</v>
      </c>
      <c r="O1463" s="60">
        <v>0</v>
      </c>
      <c r="P1463" s="60">
        <v>0</v>
      </c>
      <c r="Q1463" s="60">
        <v>0</v>
      </c>
      <c r="R1463" s="60">
        <v>0</v>
      </c>
      <c r="S1463" s="60">
        <v>0</v>
      </c>
      <c r="T1463" s="60">
        <v>0</v>
      </c>
      <c r="U1463" s="60">
        <v>0</v>
      </c>
      <c r="V1463" s="60">
        <v>0</v>
      </c>
      <c r="W1463" s="60">
        <v>0</v>
      </c>
      <c r="X1463" s="60">
        <v>0</v>
      </c>
      <c r="Y1463" s="60">
        <v>0</v>
      </c>
      <c r="Z1463" s="60">
        <v>0</v>
      </c>
      <c r="AA1463" s="60">
        <v>0</v>
      </c>
      <c r="AB1463" s="60">
        <v>0</v>
      </c>
      <c r="AC1463" s="60">
        <v>192.88</v>
      </c>
      <c r="AD1463" s="60">
        <v>196.27</v>
      </c>
      <c r="AE1463" s="60">
        <v>235.43</v>
      </c>
      <c r="AF1463" s="60">
        <v>0</v>
      </c>
      <c r="AG1463" s="60">
        <v>0</v>
      </c>
      <c r="AH1463" s="60">
        <v>0</v>
      </c>
      <c r="AI1463" s="60">
        <v>192.88</v>
      </c>
      <c r="AJ1463" s="60">
        <v>196.27</v>
      </c>
      <c r="AK1463" s="60">
        <v>235.43</v>
      </c>
      <c r="AL1463" s="60">
        <v>0</v>
      </c>
      <c r="AM1463" s="60">
        <v>0</v>
      </c>
      <c r="AN1463" s="60">
        <v>0</v>
      </c>
      <c r="AO1463" s="60">
        <v>192.88</v>
      </c>
      <c r="AP1463" s="60">
        <v>196.27</v>
      </c>
      <c r="AQ1463" s="60">
        <v>235.43</v>
      </c>
      <c r="AR1463" s="61">
        <v>235.43</v>
      </c>
    </row>
    <row r="1464" spans="1:44" x14ac:dyDescent="0.35">
      <c r="A1464" s="49" t="str">
        <f>TEXT(19,"00")</f>
        <v>19</v>
      </c>
      <c r="B1464" s="27">
        <v>64881</v>
      </c>
      <c r="C1464" s="25" t="str">
        <f>TEXT(113472,"0000000")</f>
        <v>0113472</v>
      </c>
      <c r="D1464" s="26" t="s">
        <v>1087</v>
      </c>
      <c r="E1464" s="25" t="s">
        <v>1085</v>
      </c>
      <c r="F1464" s="25" t="s">
        <v>602</v>
      </c>
      <c r="G1464" s="59" t="s">
        <v>1086</v>
      </c>
      <c r="H1464" s="60">
        <v>0</v>
      </c>
      <c r="I1464" s="60">
        <v>0</v>
      </c>
      <c r="J1464" s="60">
        <v>0</v>
      </c>
      <c r="K1464" s="60">
        <v>0</v>
      </c>
      <c r="L1464" s="60">
        <v>0</v>
      </c>
      <c r="M1464" s="60">
        <v>0</v>
      </c>
      <c r="N1464" s="60">
        <v>0</v>
      </c>
      <c r="O1464" s="60">
        <v>0</v>
      </c>
      <c r="P1464" s="60">
        <v>0</v>
      </c>
      <c r="Q1464" s="60">
        <v>0</v>
      </c>
      <c r="R1464" s="60">
        <v>0</v>
      </c>
      <c r="S1464" s="60">
        <v>0</v>
      </c>
      <c r="T1464" s="60">
        <v>0</v>
      </c>
      <c r="U1464" s="60">
        <v>0</v>
      </c>
      <c r="V1464" s="60">
        <v>0</v>
      </c>
      <c r="W1464" s="60">
        <v>0</v>
      </c>
      <c r="X1464" s="60">
        <v>0</v>
      </c>
      <c r="Y1464" s="60">
        <v>0</v>
      </c>
      <c r="Z1464" s="60">
        <v>0</v>
      </c>
      <c r="AA1464" s="60">
        <v>0</v>
      </c>
      <c r="AB1464" s="60">
        <v>0</v>
      </c>
      <c r="AC1464" s="60">
        <v>291.79000000000002</v>
      </c>
      <c r="AD1464" s="60">
        <v>315.10000000000002</v>
      </c>
      <c r="AE1464" s="60">
        <v>332.27</v>
      </c>
      <c r="AF1464" s="60">
        <v>0</v>
      </c>
      <c r="AG1464" s="60">
        <v>0</v>
      </c>
      <c r="AH1464" s="60">
        <v>0</v>
      </c>
      <c r="AI1464" s="60">
        <v>291.79000000000002</v>
      </c>
      <c r="AJ1464" s="60">
        <v>315.10000000000002</v>
      </c>
      <c r="AK1464" s="60">
        <v>332.27</v>
      </c>
      <c r="AL1464" s="60">
        <v>0</v>
      </c>
      <c r="AM1464" s="60">
        <v>0</v>
      </c>
      <c r="AN1464" s="60">
        <v>0</v>
      </c>
      <c r="AO1464" s="60">
        <v>291.79000000000002</v>
      </c>
      <c r="AP1464" s="60">
        <v>315.10000000000002</v>
      </c>
      <c r="AQ1464" s="60">
        <v>332.27</v>
      </c>
      <c r="AR1464" s="61">
        <v>332.27</v>
      </c>
    </row>
    <row r="1465" spans="1:44" x14ac:dyDescent="0.35">
      <c r="A1465" s="49" t="str">
        <f>TEXT(19,"00")</f>
        <v>19</v>
      </c>
      <c r="B1465" s="27">
        <v>64881</v>
      </c>
      <c r="C1465" s="25" t="str">
        <f>TEXT(113894,"0000000")</f>
        <v>0113894</v>
      </c>
      <c r="D1465" s="26" t="s">
        <v>1090</v>
      </c>
      <c r="E1465" s="25" t="s">
        <v>1088</v>
      </c>
      <c r="F1465" s="25" t="s">
        <v>602</v>
      </c>
      <c r="G1465" s="59" t="s">
        <v>1089</v>
      </c>
      <c r="H1465" s="60">
        <v>0</v>
      </c>
      <c r="I1465" s="60">
        <v>0</v>
      </c>
      <c r="J1465" s="60">
        <v>0</v>
      </c>
      <c r="K1465" s="60">
        <v>0</v>
      </c>
      <c r="L1465" s="60">
        <v>0</v>
      </c>
      <c r="M1465" s="60">
        <v>0</v>
      </c>
      <c r="N1465" s="60">
        <v>0</v>
      </c>
      <c r="O1465" s="60">
        <v>0</v>
      </c>
      <c r="P1465" s="60">
        <v>0</v>
      </c>
      <c r="Q1465" s="60">
        <v>0</v>
      </c>
      <c r="R1465" s="60">
        <v>0</v>
      </c>
      <c r="S1465" s="60">
        <v>0</v>
      </c>
      <c r="T1465" s="60">
        <v>0</v>
      </c>
      <c r="U1465" s="60">
        <v>0</v>
      </c>
      <c r="V1465" s="60">
        <v>0</v>
      </c>
      <c r="W1465" s="60">
        <v>0</v>
      </c>
      <c r="X1465" s="60">
        <v>0</v>
      </c>
      <c r="Y1465" s="60">
        <v>0</v>
      </c>
      <c r="Z1465" s="60">
        <v>0</v>
      </c>
      <c r="AA1465" s="60">
        <v>0</v>
      </c>
      <c r="AB1465" s="60">
        <v>0</v>
      </c>
      <c r="AC1465" s="60">
        <v>130.03</v>
      </c>
      <c r="AD1465" s="60">
        <v>137.5</v>
      </c>
      <c r="AE1465" s="60">
        <v>149.69999999999999</v>
      </c>
      <c r="AF1465" s="60">
        <v>0</v>
      </c>
      <c r="AG1465" s="60">
        <v>0</v>
      </c>
      <c r="AH1465" s="60">
        <v>0</v>
      </c>
      <c r="AI1465" s="60">
        <v>130.03</v>
      </c>
      <c r="AJ1465" s="60">
        <v>137.5</v>
      </c>
      <c r="AK1465" s="60">
        <v>149.69999999999999</v>
      </c>
      <c r="AL1465" s="60">
        <v>0</v>
      </c>
      <c r="AM1465" s="60">
        <v>0</v>
      </c>
      <c r="AN1465" s="60">
        <v>0</v>
      </c>
      <c r="AO1465" s="60">
        <v>130.03</v>
      </c>
      <c r="AP1465" s="60">
        <v>137.5</v>
      </c>
      <c r="AQ1465" s="60">
        <v>149.69999999999999</v>
      </c>
      <c r="AR1465" s="61">
        <v>149.69999999999999</v>
      </c>
    </row>
    <row r="1466" spans="1:44" x14ac:dyDescent="0.35">
      <c r="A1466" s="49" t="str">
        <f>TEXT(19,"00")</f>
        <v>19</v>
      </c>
      <c r="B1466" s="27">
        <v>64881</v>
      </c>
      <c r="C1466" s="25" t="str">
        <f>TEXT(136945,"0000000")</f>
        <v>0136945</v>
      </c>
      <c r="D1466" s="27">
        <v>1921</v>
      </c>
      <c r="E1466" s="25" t="s">
        <v>1091</v>
      </c>
      <c r="F1466" s="25" t="s">
        <v>602</v>
      </c>
      <c r="G1466" s="59" t="s">
        <v>1092</v>
      </c>
      <c r="H1466" s="60">
        <v>0</v>
      </c>
      <c r="I1466" s="60">
        <v>0</v>
      </c>
      <c r="J1466" s="60">
        <v>0</v>
      </c>
      <c r="K1466" s="60">
        <v>0</v>
      </c>
      <c r="L1466" s="60">
        <v>0</v>
      </c>
      <c r="M1466" s="60">
        <v>0</v>
      </c>
      <c r="N1466" s="60">
        <v>0</v>
      </c>
      <c r="O1466" s="60">
        <v>0</v>
      </c>
      <c r="P1466" s="60">
        <v>0</v>
      </c>
      <c r="Q1466" s="60">
        <v>0</v>
      </c>
      <c r="R1466" s="60">
        <v>0</v>
      </c>
      <c r="S1466" s="60">
        <v>0</v>
      </c>
      <c r="T1466" s="60">
        <v>0</v>
      </c>
      <c r="U1466" s="60">
        <v>0</v>
      </c>
      <c r="V1466" s="60">
        <v>0</v>
      </c>
      <c r="W1466" s="60">
        <v>0</v>
      </c>
      <c r="X1466" s="60">
        <v>0</v>
      </c>
      <c r="Y1466" s="60">
        <v>0</v>
      </c>
      <c r="Z1466" s="60">
        <v>0</v>
      </c>
      <c r="AA1466" s="60">
        <v>0</v>
      </c>
      <c r="AB1466" s="60">
        <v>0</v>
      </c>
      <c r="AC1466" s="60">
        <v>341.78</v>
      </c>
      <c r="AD1466" s="60">
        <v>308.60000000000002</v>
      </c>
      <c r="AE1466" s="60">
        <v>298.67</v>
      </c>
      <c r="AF1466" s="60">
        <v>0</v>
      </c>
      <c r="AG1466" s="60">
        <v>0</v>
      </c>
      <c r="AH1466" s="60">
        <v>0</v>
      </c>
      <c r="AI1466" s="60">
        <v>341.78</v>
      </c>
      <c r="AJ1466" s="60">
        <v>308.60000000000002</v>
      </c>
      <c r="AK1466" s="60">
        <v>298.67</v>
      </c>
      <c r="AL1466" s="60">
        <v>0</v>
      </c>
      <c r="AM1466" s="60">
        <v>0</v>
      </c>
      <c r="AN1466" s="60">
        <v>0</v>
      </c>
      <c r="AO1466" s="60">
        <v>341.78</v>
      </c>
      <c r="AP1466" s="60">
        <v>308.60000000000002</v>
      </c>
      <c r="AQ1466" s="60">
        <v>298.67</v>
      </c>
      <c r="AR1466" s="61">
        <v>341.78</v>
      </c>
    </row>
    <row r="1467" spans="1:44" x14ac:dyDescent="0.35">
      <c r="A1467" s="49" t="str">
        <f>TEXT(33,"00")</f>
        <v>33</v>
      </c>
      <c r="B1467" s="27">
        <v>10330</v>
      </c>
      <c r="C1467" s="25" t="str">
        <f>TEXT(137851,"0000000")</f>
        <v>0137851</v>
      </c>
      <c r="D1467" s="27">
        <v>1988</v>
      </c>
      <c r="E1467" s="25" t="s">
        <v>1706</v>
      </c>
      <c r="F1467" s="25" t="s">
        <v>602</v>
      </c>
      <c r="G1467" s="59" t="s">
        <v>1707</v>
      </c>
      <c r="H1467" s="60">
        <v>0</v>
      </c>
      <c r="I1467" s="60">
        <v>0</v>
      </c>
      <c r="J1467" s="60">
        <v>0</v>
      </c>
      <c r="K1467" s="60">
        <v>0</v>
      </c>
      <c r="L1467" s="60">
        <v>0</v>
      </c>
      <c r="M1467" s="60">
        <v>0</v>
      </c>
      <c r="N1467" s="60">
        <v>0</v>
      </c>
      <c r="O1467" s="60">
        <v>0</v>
      </c>
      <c r="P1467" s="60">
        <v>0</v>
      </c>
      <c r="Q1467" s="60">
        <v>0</v>
      </c>
      <c r="R1467" s="60">
        <v>0</v>
      </c>
      <c r="S1467" s="60">
        <v>0</v>
      </c>
      <c r="T1467" s="60">
        <v>0</v>
      </c>
      <c r="U1467" s="60">
        <v>0</v>
      </c>
      <c r="V1467" s="60">
        <v>0</v>
      </c>
      <c r="W1467" s="60">
        <v>0</v>
      </c>
      <c r="X1467" s="60">
        <v>0</v>
      </c>
      <c r="Y1467" s="60">
        <v>0</v>
      </c>
      <c r="Z1467" s="60">
        <v>0</v>
      </c>
      <c r="AA1467" s="60">
        <v>0</v>
      </c>
      <c r="AB1467" s="60">
        <v>0</v>
      </c>
      <c r="AC1467" s="60">
        <v>399.34</v>
      </c>
      <c r="AD1467" s="60">
        <v>399.36</v>
      </c>
      <c r="AE1467" s="60">
        <v>334.74</v>
      </c>
      <c r="AF1467" s="60">
        <v>0</v>
      </c>
      <c r="AG1467" s="60">
        <v>0</v>
      </c>
      <c r="AH1467" s="60">
        <v>0</v>
      </c>
      <c r="AI1467" s="60">
        <v>399.34</v>
      </c>
      <c r="AJ1467" s="60">
        <v>399.36</v>
      </c>
      <c r="AK1467" s="60">
        <v>334.74</v>
      </c>
      <c r="AL1467" s="60">
        <v>0</v>
      </c>
      <c r="AM1467" s="60">
        <v>0</v>
      </c>
      <c r="AN1467" s="60">
        <v>0</v>
      </c>
      <c r="AO1467" s="60">
        <v>399.34</v>
      </c>
      <c r="AP1467" s="60">
        <v>399.36</v>
      </c>
      <c r="AQ1467" s="60">
        <v>334.74</v>
      </c>
      <c r="AR1467" s="61">
        <v>399.36</v>
      </c>
    </row>
    <row r="1468" spans="1:44" x14ac:dyDescent="0.35">
      <c r="A1468" s="49" t="str">
        <f t="shared" ref="A1468:A1476" si="118">TEXT(36,"00")</f>
        <v>36</v>
      </c>
      <c r="B1468" s="27">
        <v>10363</v>
      </c>
      <c r="C1468" s="25" t="str">
        <f>TEXT(6111918,"0000000")</f>
        <v>6111918</v>
      </c>
      <c r="D1468" s="27">
        <v>1522</v>
      </c>
      <c r="E1468" s="25" t="s">
        <v>1921</v>
      </c>
      <c r="F1468" s="25" t="s">
        <v>602</v>
      </c>
      <c r="G1468" s="59" t="s">
        <v>1922</v>
      </c>
      <c r="H1468" s="60">
        <v>0</v>
      </c>
      <c r="I1468" s="60">
        <v>0</v>
      </c>
      <c r="J1468" s="60">
        <v>0</v>
      </c>
      <c r="K1468" s="60">
        <v>0</v>
      </c>
      <c r="L1468" s="60">
        <v>0</v>
      </c>
      <c r="M1468" s="60">
        <v>0</v>
      </c>
      <c r="N1468" s="60">
        <v>0</v>
      </c>
      <c r="O1468" s="60">
        <v>0</v>
      </c>
      <c r="P1468" s="60">
        <v>0</v>
      </c>
      <c r="Q1468" s="60">
        <v>0</v>
      </c>
      <c r="R1468" s="60">
        <v>0</v>
      </c>
      <c r="S1468" s="60">
        <v>0</v>
      </c>
      <c r="T1468" s="60">
        <v>0</v>
      </c>
      <c r="U1468" s="60">
        <v>0</v>
      </c>
      <c r="V1468" s="60">
        <v>0</v>
      </c>
      <c r="W1468" s="60">
        <v>0</v>
      </c>
      <c r="X1468" s="60">
        <v>0</v>
      </c>
      <c r="Y1468" s="60">
        <v>0</v>
      </c>
      <c r="Z1468" s="60">
        <v>0</v>
      </c>
      <c r="AA1468" s="60">
        <v>0</v>
      </c>
      <c r="AB1468" s="60">
        <v>0</v>
      </c>
      <c r="AC1468" s="60">
        <v>416.97</v>
      </c>
      <c r="AD1468" s="60">
        <v>485.54</v>
      </c>
      <c r="AE1468" s="60">
        <v>472.1</v>
      </c>
      <c r="AF1468" s="60">
        <v>0</v>
      </c>
      <c r="AG1468" s="60">
        <v>0</v>
      </c>
      <c r="AH1468" s="60">
        <v>0</v>
      </c>
      <c r="AI1468" s="60">
        <v>416.97</v>
      </c>
      <c r="AJ1468" s="60">
        <v>485.54</v>
      </c>
      <c r="AK1468" s="60">
        <v>472.1</v>
      </c>
      <c r="AL1468" s="60">
        <v>0</v>
      </c>
      <c r="AM1468" s="60">
        <v>0</v>
      </c>
      <c r="AN1468" s="60">
        <v>0</v>
      </c>
      <c r="AO1468" s="60">
        <v>416.97</v>
      </c>
      <c r="AP1468" s="60">
        <v>485.54</v>
      </c>
      <c r="AQ1468" s="60">
        <v>472.1</v>
      </c>
      <c r="AR1468" s="61">
        <v>485.54</v>
      </c>
    </row>
    <row r="1469" spans="1:44" x14ac:dyDescent="0.35">
      <c r="A1469" s="49" t="str">
        <f t="shared" si="118"/>
        <v>36</v>
      </c>
      <c r="B1469" s="27">
        <v>67587</v>
      </c>
      <c r="C1469" s="25" t="str">
        <f>TEXT(128462,"0000000")</f>
        <v>0128462</v>
      </c>
      <c r="D1469" s="27">
        <v>1520</v>
      </c>
      <c r="E1469" s="25" t="s">
        <v>1925</v>
      </c>
      <c r="F1469" s="25" t="s">
        <v>602</v>
      </c>
      <c r="G1469" s="59" t="s">
        <v>1926</v>
      </c>
      <c r="H1469" s="60">
        <v>0</v>
      </c>
      <c r="I1469" s="60">
        <v>0</v>
      </c>
      <c r="J1469" s="60">
        <v>0</v>
      </c>
      <c r="K1469" s="60">
        <v>0</v>
      </c>
      <c r="L1469" s="60">
        <v>0</v>
      </c>
      <c r="M1469" s="60">
        <v>0</v>
      </c>
      <c r="N1469" s="60">
        <v>0</v>
      </c>
      <c r="O1469" s="60">
        <v>0</v>
      </c>
      <c r="P1469" s="60">
        <v>0</v>
      </c>
      <c r="Q1469" s="60">
        <v>0</v>
      </c>
      <c r="R1469" s="60">
        <v>0</v>
      </c>
      <c r="S1469" s="60">
        <v>0</v>
      </c>
      <c r="T1469" s="60">
        <v>0</v>
      </c>
      <c r="U1469" s="60">
        <v>0</v>
      </c>
      <c r="V1469" s="60">
        <v>0</v>
      </c>
      <c r="W1469" s="60">
        <v>0</v>
      </c>
      <c r="X1469" s="60">
        <v>0</v>
      </c>
      <c r="Y1469" s="60">
        <v>0</v>
      </c>
      <c r="Z1469" s="60">
        <v>0</v>
      </c>
      <c r="AA1469" s="60">
        <v>0</v>
      </c>
      <c r="AB1469" s="60">
        <v>0</v>
      </c>
      <c r="AC1469" s="60">
        <v>672.18</v>
      </c>
      <c r="AD1469" s="60">
        <v>479.43</v>
      </c>
      <c r="AE1469" s="60">
        <v>273.69</v>
      </c>
      <c r="AF1469" s="60">
        <v>0</v>
      </c>
      <c r="AG1469" s="60">
        <v>0</v>
      </c>
      <c r="AH1469" s="60">
        <v>0</v>
      </c>
      <c r="AI1469" s="60">
        <v>672.18</v>
      </c>
      <c r="AJ1469" s="60">
        <v>479.43</v>
      </c>
      <c r="AK1469" s="60">
        <v>273.69</v>
      </c>
      <c r="AL1469" s="60">
        <v>0</v>
      </c>
      <c r="AM1469" s="60">
        <v>0</v>
      </c>
      <c r="AN1469" s="60">
        <v>0</v>
      </c>
      <c r="AO1469" s="60">
        <v>672.18</v>
      </c>
      <c r="AP1469" s="60">
        <v>479.43</v>
      </c>
      <c r="AQ1469" s="60">
        <v>273.69</v>
      </c>
      <c r="AR1469" s="61">
        <v>672.18</v>
      </c>
    </row>
    <row r="1470" spans="1:44" x14ac:dyDescent="0.35">
      <c r="A1470" s="49" t="str">
        <f t="shared" si="118"/>
        <v>36</v>
      </c>
      <c r="B1470" s="27">
        <v>67678</v>
      </c>
      <c r="C1470" s="25" t="str">
        <f>TEXT(137547,"0000000")</f>
        <v>0137547</v>
      </c>
      <c r="D1470" s="27">
        <v>1945</v>
      </c>
      <c r="E1470" s="25" t="s">
        <v>1939</v>
      </c>
      <c r="F1470" s="25" t="s">
        <v>602</v>
      </c>
      <c r="G1470" s="59" t="s">
        <v>1940</v>
      </c>
      <c r="H1470" s="60">
        <v>0</v>
      </c>
      <c r="I1470" s="60">
        <v>0</v>
      </c>
      <c r="J1470" s="60">
        <v>0</v>
      </c>
      <c r="K1470" s="60">
        <v>0</v>
      </c>
      <c r="L1470" s="60">
        <v>0</v>
      </c>
      <c r="M1470" s="60">
        <v>0</v>
      </c>
      <c r="N1470" s="60">
        <v>0</v>
      </c>
      <c r="O1470" s="60">
        <v>0</v>
      </c>
      <c r="P1470" s="60">
        <v>0</v>
      </c>
      <c r="Q1470" s="60">
        <v>0</v>
      </c>
      <c r="R1470" s="60">
        <v>0</v>
      </c>
      <c r="S1470" s="60">
        <v>0</v>
      </c>
      <c r="T1470" s="60">
        <v>0</v>
      </c>
      <c r="U1470" s="60">
        <v>0</v>
      </c>
      <c r="V1470" s="60">
        <v>0</v>
      </c>
      <c r="W1470" s="60">
        <v>0</v>
      </c>
      <c r="X1470" s="60">
        <v>0</v>
      </c>
      <c r="Y1470" s="60">
        <v>0</v>
      </c>
      <c r="Z1470" s="60">
        <v>0</v>
      </c>
      <c r="AA1470" s="60">
        <v>0</v>
      </c>
      <c r="AB1470" s="60">
        <v>0</v>
      </c>
      <c r="AC1470" s="60">
        <v>904.69</v>
      </c>
      <c r="AD1470" s="60">
        <v>898.44</v>
      </c>
      <c r="AE1470" s="60">
        <v>843.61</v>
      </c>
      <c r="AF1470" s="60">
        <v>0</v>
      </c>
      <c r="AG1470" s="60">
        <v>0</v>
      </c>
      <c r="AH1470" s="60">
        <v>0</v>
      </c>
      <c r="AI1470" s="60">
        <v>904.69</v>
      </c>
      <c r="AJ1470" s="60">
        <v>898.44</v>
      </c>
      <c r="AK1470" s="60">
        <v>843.61</v>
      </c>
      <c r="AL1470" s="60">
        <v>0</v>
      </c>
      <c r="AM1470" s="60">
        <v>0</v>
      </c>
      <c r="AN1470" s="60">
        <v>0</v>
      </c>
      <c r="AO1470" s="60">
        <v>904.69</v>
      </c>
      <c r="AP1470" s="60">
        <v>898.44</v>
      </c>
      <c r="AQ1470" s="60">
        <v>843.61</v>
      </c>
      <c r="AR1470" s="61">
        <v>904.69</v>
      </c>
    </row>
    <row r="1471" spans="1:44" x14ac:dyDescent="0.35">
      <c r="A1471" s="49" t="str">
        <f t="shared" si="118"/>
        <v>36</v>
      </c>
      <c r="B1471" s="27">
        <v>67876</v>
      </c>
      <c r="C1471" s="25" t="str">
        <f>TEXT(107730,"0000000")</f>
        <v>0107730</v>
      </c>
      <c r="D1471" s="26" t="s">
        <v>1980</v>
      </c>
      <c r="E1471" s="25" t="s">
        <v>1978</v>
      </c>
      <c r="F1471" s="25" t="s">
        <v>602</v>
      </c>
      <c r="G1471" s="59" t="s">
        <v>1979</v>
      </c>
      <c r="H1471" s="60">
        <v>0</v>
      </c>
      <c r="I1471" s="60">
        <v>0</v>
      </c>
      <c r="J1471" s="60">
        <v>0</v>
      </c>
      <c r="K1471" s="60">
        <v>0</v>
      </c>
      <c r="L1471" s="60">
        <v>0</v>
      </c>
      <c r="M1471" s="60">
        <v>0</v>
      </c>
      <c r="N1471" s="60">
        <v>0</v>
      </c>
      <c r="O1471" s="60">
        <v>0</v>
      </c>
      <c r="P1471" s="60">
        <v>0</v>
      </c>
      <c r="Q1471" s="60">
        <v>0</v>
      </c>
      <c r="R1471" s="60">
        <v>0</v>
      </c>
      <c r="S1471" s="60">
        <v>0</v>
      </c>
      <c r="T1471" s="60">
        <v>0</v>
      </c>
      <c r="U1471" s="60">
        <v>0</v>
      </c>
      <c r="V1471" s="60">
        <v>0</v>
      </c>
      <c r="W1471" s="60">
        <v>0</v>
      </c>
      <c r="X1471" s="60">
        <v>0</v>
      </c>
      <c r="Y1471" s="60">
        <v>0</v>
      </c>
      <c r="Z1471" s="60">
        <v>0</v>
      </c>
      <c r="AA1471" s="60">
        <v>0</v>
      </c>
      <c r="AB1471" s="60">
        <v>0</v>
      </c>
      <c r="AC1471" s="60">
        <v>284.66000000000003</v>
      </c>
      <c r="AD1471" s="60">
        <v>247.24</v>
      </c>
      <c r="AE1471" s="60">
        <v>188.16</v>
      </c>
      <c r="AF1471" s="60">
        <v>0</v>
      </c>
      <c r="AG1471" s="60">
        <v>0</v>
      </c>
      <c r="AH1471" s="60">
        <v>0</v>
      </c>
      <c r="AI1471" s="60">
        <v>284.66000000000003</v>
      </c>
      <c r="AJ1471" s="60">
        <v>247.24</v>
      </c>
      <c r="AK1471" s="60">
        <v>188.16</v>
      </c>
      <c r="AL1471" s="60">
        <v>0</v>
      </c>
      <c r="AM1471" s="60">
        <v>0</v>
      </c>
      <c r="AN1471" s="60">
        <v>0</v>
      </c>
      <c r="AO1471" s="60">
        <v>284.66000000000003</v>
      </c>
      <c r="AP1471" s="60">
        <v>247.24</v>
      </c>
      <c r="AQ1471" s="60">
        <v>188.16</v>
      </c>
      <c r="AR1471" s="61">
        <v>284.66000000000003</v>
      </c>
    </row>
    <row r="1472" spans="1:44" x14ac:dyDescent="0.35">
      <c r="A1472" s="49" t="str">
        <f t="shared" si="118"/>
        <v>36</v>
      </c>
      <c r="B1472" s="27">
        <v>75044</v>
      </c>
      <c r="C1472" s="25" t="str">
        <f>TEXT(112441,"0000000")</f>
        <v>0112441</v>
      </c>
      <c r="D1472" s="26" t="s">
        <v>2015</v>
      </c>
      <c r="E1472" s="25" t="s">
        <v>2013</v>
      </c>
      <c r="F1472" s="25" t="s">
        <v>602</v>
      </c>
      <c r="G1472" s="59" t="s">
        <v>2014</v>
      </c>
      <c r="H1472" s="60">
        <v>0</v>
      </c>
      <c r="I1472" s="60">
        <v>0</v>
      </c>
      <c r="J1472" s="60">
        <v>0</v>
      </c>
      <c r="K1472" s="60">
        <v>0</v>
      </c>
      <c r="L1472" s="60">
        <v>0</v>
      </c>
      <c r="M1472" s="60">
        <v>0</v>
      </c>
      <c r="N1472" s="60">
        <v>0</v>
      </c>
      <c r="O1472" s="60">
        <v>0</v>
      </c>
      <c r="P1472" s="60">
        <v>0</v>
      </c>
      <c r="Q1472" s="60">
        <v>0</v>
      </c>
      <c r="R1472" s="60">
        <v>0</v>
      </c>
      <c r="S1472" s="60">
        <v>0</v>
      </c>
      <c r="T1472" s="60">
        <v>0</v>
      </c>
      <c r="U1472" s="60">
        <v>0</v>
      </c>
      <c r="V1472" s="60">
        <v>0</v>
      </c>
      <c r="W1472" s="60">
        <v>0</v>
      </c>
      <c r="X1472" s="60">
        <v>0</v>
      </c>
      <c r="Y1472" s="60">
        <v>0</v>
      </c>
      <c r="Z1472" s="60">
        <v>0</v>
      </c>
      <c r="AA1472" s="60">
        <v>0</v>
      </c>
      <c r="AB1472" s="60">
        <v>0</v>
      </c>
      <c r="AC1472" s="60">
        <v>341.53</v>
      </c>
      <c r="AD1472" s="60">
        <v>333.98</v>
      </c>
      <c r="AE1472" s="60">
        <v>311.36</v>
      </c>
      <c r="AF1472" s="60">
        <v>0</v>
      </c>
      <c r="AG1472" s="60">
        <v>0</v>
      </c>
      <c r="AH1472" s="60">
        <v>0</v>
      </c>
      <c r="AI1472" s="60">
        <v>341.53</v>
      </c>
      <c r="AJ1472" s="60">
        <v>333.98</v>
      </c>
      <c r="AK1472" s="60">
        <v>311.36</v>
      </c>
      <c r="AL1472" s="60">
        <v>0</v>
      </c>
      <c r="AM1472" s="60">
        <v>0</v>
      </c>
      <c r="AN1472" s="60">
        <v>0</v>
      </c>
      <c r="AO1472" s="60">
        <v>341.53</v>
      </c>
      <c r="AP1472" s="60">
        <v>333.98</v>
      </c>
      <c r="AQ1472" s="60">
        <v>311.36</v>
      </c>
      <c r="AR1472" s="61">
        <v>341.53</v>
      </c>
    </row>
    <row r="1473" spans="1:44" ht="31" x14ac:dyDescent="0.35">
      <c r="A1473" s="49" t="str">
        <f t="shared" si="118"/>
        <v>36</v>
      </c>
      <c r="B1473" s="27">
        <v>75044</v>
      </c>
      <c r="C1473" s="25" t="str">
        <f>TEXT(116707,"0000000")</f>
        <v>0116707</v>
      </c>
      <c r="D1473" s="26" t="s">
        <v>2021</v>
      </c>
      <c r="E1473" s="25" t="s">
        <v>2019</v>
      </c>
      <c r="F1473" s="25" t="s">
        <v>602</v>
      </c>
      <c r="G1473" s="59" t="s">
        <v>2020</v>
      </c>
      <c r="H1473" s="60">
        <v>0</v>
      </c>
      <c r="I1473" s="60">
        <v>0</v>
      </c>
      <c r="J1473" s="60">
        <v>0</v>
      </c>
      <c r="K1473" s="60">
        <v>0</v>
      </c>
      <c r="L1473" s="60">
        <v>0</v>
      </c>
      <c r="M1473" s="60">
        <v>0</v>
      </c>
      <c r="N1473" s="60">
        <v>0</v>
      </c>
      <c r="O1473" s="60">
        <v>0</v>
      </c>
      <c r="P1473" s="60">
        <v>0</v>
      </c>
      <c r="Q1473" s="60">
        <v>0</v>
      </c>
      <c r="R1473" s="60">
        <v>0</v>
      </c>
      <c r="S1473" s="60">
        <v>0</v>
      </c>
      <c r="T1473" s="60">
        <v>0</v>
      </c>
      <c r="U1473" s="60">
        <v>0</v>
      </c>
      <c r="V1473" s="60">
        <v>0</v>
      </c>
      <c r="W1473" s="60">
        <v>0</v>
      </c>
      <c r="X1473" s="60">
        <v>0</v>
      </c>
      <c r="Y1473" s="60">
        <v>0</v>
      </c>
      <c r="Z1473" s="60">
        <v>0</v>
      </c>
      <c r="AA1473" s="60">
        <v>0</v>
      </c>
      <c r="AB1473" s="60">
        <v>0</v>
      </c>
      <c r="AC1473" s="60">
        <v>481.66</v>
      </c>
      <c r="AD1473" s="60">
        <v>581.89</v>
      </c>
      <c r="AE1473" s="60">
        <v>603.35</v>
      </c>
      <c r="AF1473" s="60">
        <v>0</v>
      </c>
      <c r="AG1473" s="60">
        <v>0</v>
      </c>
      <c r="AH1473" s="60">
        <v>0</v>
      </c>
      <c r="AI1473" s="60">
        <v>481.66</v>
      </c>
      <c r="AJ1473" s="60">
        <v>581.89</v>
      </c>
      <c r="AK1473" s="60">
        <v>603.35</v>
      </c>
      <c r="AL1473" s="60">
        <v>0</v>
      </c>
      <c r="AM1473" s="60">
        <v>0</v>
      </c>
      <c r="AN1473" s="60">
        <v>0</v>
      </c>
      <c r="AO1473" s="60">
        <v>481.66</v>
      </c>
      <c r="AP1473" s="60">
        <v>581.89</v>
      </c>
      <c r="AQ1473" s="60">
        <v>603.35</v>
      </c>
      <c r="AR1473" s="61">
        <v>603.35</v>
      </c>
    </row>
    <row r="1474" spans="1:44" x14ac:dyDescent="0.35">
      <c r="A1474" s="49" t="str">
        <f t="shared" si="118"/>
        <v>36</v>
      </c>
      <c r="B1474" s="27">
        <v>75044</v>
      </c>
      <c r="C1474" s="25" t="str">
        <f>TEXT(118059,"0000000")</f>
        <v>0118059</v>
      </c>
      <c r="D1474" s="27">
        <v>1034</v>
      </c>
      <c r="E1474" s="25" t="s">
        <v>2022</v>
      </c>
      <c r="F1474" s="25" t="s">
        <v>602</v>
      </c>
      <c r="G1474" s="59" t="s">
        <v>2023</v>
      </c>
      <c r="H1474" s="60">
        <v>0</v>
      </c>
      <c r="I1474" s="60">
        <v>0</v>
      </c>
      <c r="J1474" s="60">
        <v>0</v>
      </c>
      <c r="K1474" s="60">
        <v>0</v>
      </c>
      <c r="L1474" s="60">
        <v>0</v>
      </c>
      <c r="M1474" s="60">
        <v>0</v>
      </c>
      <c r="N1474" s="60">
        <v>0</v>
      </c>
      <c r="O1474" s="60">
        <v>0</v>
      </c>
      <c r="P1474" s="60">
        <v>0</v>
      </c>
      <c r="Q1474" s="60">
        <v>0</v>
      </c>
      <c r="R1474" s="60">
        <v>0</v>
      </c>
      <c r="S1474" s="60">
        <v>0</v>
      </c>
      <c r="T1474" s="60">
        <v>0</v>
      </c>
      <c r="U1474" s="60">
        <v>0</v>
      </c>
      <c r="V1474" s="60">
        <v>0</v>
      </c>
      <c r="W1474" s="60">
        <v>0</v>
      </c>
      <c r="X1474" s="60">
        <v>0</v>
      </c>
      <c r="Y1474" s="60">
        <v>0</v>
      </c>
      <c r="Z1474" s="60">
        <v>0</v>
      </c>
      <c r="AA1474" s="60">
        <v>0</v>
      </c>
      <c r="AB1474" s="60">
        <v>0</v>
      </c>
      <c r="AC1474" s="60">
        <v>520.83000000000004</v>
      </c>
      <c r="AD1474" s="60">
        <v>507.28</v>
      </c>
      <c r="AE1474" s="60">
        <v>471.51</v>
      </c>
      <c r="AF1474" s="60">
        <v>0</v>
      </c>
      <c r="AG1474" s="60">
        <v>0</v>
      </c>
      <c r="AH1474" s="60">
        <v>0</v>
      </c>
      <c r="AI1474" s="60">
        <v>520.83000000000004</v>
      </c>
      <c r="AJ1474" s="60">
        <v>507.28</v>
      </c>
      <c r="AK1474" s="60">
        <v>471.51</v>
      </c>
      <c r="AL1474" s="60">
        <v>0</v>
      </c>
      <c r="AM1474" s="60">
        <v>0</v>
      </c>
      <c r="AN1474" s="60">
        <v>0</v>
      </c>
      <c r="AO1474" s="60">
        <v>520.83000000000004</v>
      </c>
      <c r="AP1474" s="60">
        <v>507.28</v>
      </c>
      <c r="AQ1474" s="60">
        <v>471.51</v>
      </c>
      <c r="AR1474" s="61">
        <v>520.83000000000004</v>
      </c>
    </row>
    <row r="1475" spans="1:44" x14ac:dyDescent="0.35">
      <c r="A1475" s="49" t="str">
        <f t="shared" si="118"/>
        <v>36</v>
      </c>
      <c r="B1475" s="27">
        <v>75051</v>
      </c>
      <c r="C1475" s="25" t="str">
        <f>TEXT(136960,"0000000")</f>
        <v>0136960</v>
      </c>
      <c r="D1475" s="27">
        <v>1923</v>
      </c>
      <c r="E1475" s="25" t="s">
        <v>2031</v>
      </c>
      <c r="F1475" s="25" t="s">
        <v>602</v>
      </c>
      <c r="G1475" s="59" t="s">
        <v>2032</v>
      </c>
      <c r="H1475" s="60">
        <v>0</v>
      </c>
      <c r="I1475" s="60">
        <v>0</v>
      </c>
      <c r="J1475" s="60">
        <v>0</v>
      </c>
      <c r="K1475" s="60">
        <v>0</v>
      </c>
      <c r="L1475" s="60">
        <v>0</v>
      </c>
      <c r="M1475" s="60">
        <v>0</v>
      </c>
      <c r="N1475" s="60">
        <v>0</v>
      </c>
      <c r="O1475" s="60">
        <v>0</v>
      </c>
      <c r="P1475" s="60">
        <v>0</v>
      </c>
      <c r="Q1475" s="60">
        <v>0</v>
      </c>
      <c r="R1475" s="60">
        <v>0</v>
      </c>
      <c r="S1475" s="60">
        <v>0</v>
      </c>
      <c r="T1475" s="60">
        <v>0</v>
      </c>
      <c r="U1475" s="60">
        <v>0</v>
      </c>
      <c r="V1475" s="60">
        <v>0</v>
      </c>
      <c r="W1475" s="60">
        <v>0</v>
      </c>
      <c r="X1475" s="60">
        <v>0</v>
      </c>
      <c r="Y1475" s="60">
        <v>0</v>
      </c>
      <c r="Z1475" s="60">
        <v>0</v>
      </c>
      <c r="AA1475" s="60">
        <v>0</v>
      </c>
      <c r="AB1475" s="60">
        <v>0</v>
      </c>
      <c r="AC1475" s="60">
        <v>1161.83</v>
      </c>
      <c r="AD1475" s="60">
        <v>828.69</v>
      </c>
      <c r="AE1475" s="60">
        <v>675.55</v>
      </c>
      <c r="AF1475" s="60">
        <v>0</v>
      </c>
      <c r="AG1475" s="60">
        <v>0</v>
      </c>
      <c r="AH1475" s="60">
        <v>0</v>
      </c>
      <c r="AI1475" s="60">
        <v>1161.83</v>
      </c>
      <c r="AJ1475" s="60">
        <v>828.69</v>
      </c>
      <c r="AK1475" s="60">
        <v>675.55</v>
      </c>
      <c r="AL1475" s="60">
        <v>0</v>
      </c>
      <c r="AM1475" s="60">
        <v>0</v>
      </c>
      <c r="AN1475" s="60">
        <v>0</v>
      </c>
      <c r="AO1475" s="60">
        <v>1161.83</v>
      </c>
      <c r="AP1475" s="60">
        <v>828.69</v>
      </c>
      <c r="AQ1475" s="60">
        <v>675.55</v>
      </c>
      <c r="AR1475" s="61">
        <v>1161.83</v>
      </c>
    </row>
    <row r="1476" spans="1:44" x14ac:dyDescent="0.35">
      <c r="A1476" s="49" t="str">
        <f t="shared" si="118"/>
        <v>36</v>
      </c>
      <c r="B1476" s="27">
        <v>75051</v>
      </c>
      <c r="C1476" s="25" t="str">
        <f>TEXT(138107,"0000000")</f>
        <v>0138107</v>
      </c>
      <c r="D1476" s="27">
        <v>1975</v>
      </c>
      <c r="E1476" s="25" t="s">
        <v>2035</v>
      </c>
      <c r="F1476" s="25" t="s">
        <v>602</v>
      </c>
      <c r="G1476" s="59" t="s">
        <v>2036</v>
      </c>
      <c r="H1476" s="60">
        <v>0</v>
      </c>
      <c r="I1476" s="60">
        <v>0</v>
      </c>
      <c r="J1476" s="60">
        <v>0</v>
      </c>
      <c r="K1476" s="60">
        <v>0</v>
      </c>
      <c r="L1476" s="60">
        <v>0</v>
      </c>
      <c r="M1476" s="60">
        <v>0</v>
      </c>
      <c r="N1476" s="60">
        <v>0</v>
      </c>
      <c r="O1476" s="60">
        <v>0</v>
      </c>
      <c r="P1476" s="60">
        <v>0</v>
      </c>
      <c r="Q1476" s="60">
        <v>0</v>
      </c>
      <c r="R1476" s="60">
        <v>0</v>
      </c>
      <c r="S1476" s="60">
        <v>0</v>
      </c>
      <c r="T1476" s="60">
        <v>0</v>
      </c>
      <c r="U1476" s="60">
        <v>0</v>
      </c>
      <c r="V1476" s="60">
        <v>0</v>
      </c>
      <c r="W1476" s="60">
        <v>0</v>
      </c>
      <c r="X1476" s="60">
        <v>0</v>
      </c>
      <c r="Y1476" s="60">
        <v>0</v>
      </c>
      <c r="Z1476" s="60">
        <v>0</v>
      </c>
      <c r="AA1476" s="60">
        <v>0</v>
      </c>
      <c r="AB1476" s="60">
        <v>0</v>
      </c>
      <c r="AC1476" s="60">
        <v>544</v>
      </c>
      <c r="AD1476" s="60">
        <v>586.92999999999995</v>
      </c>
      <c r="AE1476" s="60">
        <v>446.23</v>
      </c>
      <c r="AF1476" s="60">
        <v>0</v>
      </c>
      <c r="AG1476" s="60">
        <v>0</v>
      </c>
      <c r="AH1476" s="60">
        <v>0</v>
      </c>
      <c r="AI1476" s="60">
        <v>544</v>
      </c>
      <c r="AJ1476" s="60">
        <v>586.92999999999995</v>
      </c>
      <c r="AK1476" s="60">
        <v>446.23</v>
      </c>
      <c r="AL1476" s="60">
        <v>0</v>
      </c>
      <c r="AM1476" s="60">
        <v>0</v>
      </c>
      <c r="AN1476" s="60">
        <v>0</v>
      </c>
      <c r="AO1476" s="60">
        <v>544</v>
      </c>
      <c r="AP1476" s="60">
        <v>586.92999999999995</v>
      </c>
      <c r="AQ1476" s="60">
        <v>446.23</v>
      </c>
      <c r="AR1476" s="61">
        <v>586.92999999999995</v>
      </c>
    </row>
    <row r="1477" spans="1:44" x14ac:dyDescent="0.35">
      <c r="A1477" s="49" t="str">
        <f>TEXT(37,"00")</f>
        <v>37</v>
      </c>
      <c r="B1477" s="27">
        <v>68023</v>
      </c>
      <c r="C1477" s="25" t="str">
        <f>TEXT(119594,"0000000")</f>
        <v>0119594</v>
      </c>
      <c r="D1477" s="27">
        <v>1082</v>
      </c>
      <c r="E1477" s="25" t="s">
        <v>2090</v>
      </c>
      <c r="F1477" s="25" t="s">
        <v>602</v>
      </c>
      <c r="G1477" s="59" t="s">
        <v>2091</v>
      </c>
      <c r="H1477" s="60">
        <v>0</v>
      </c>
      <c r="I1477" s="60">
        <v>0</v>
      </c>
      <c r="J1477" s="60">
        <v>0</v>
      </c>
      <c r="K1477" s="60">
        <v>0</v>
      </c>
      <c r="L1477" s="60">
        <v>0</v>
      </c>
      <c r="M1477" s="60">
        <v>0</v>
      </c>
      <c r="N1477" s="60">
        <v>0</v>
      </c>
      <c r="O1477" s="60">
        <v>0</v>
      </c>
      <c r="P1477" s="60">
        <v>0</v>
      </c>
      <c r="Q1477" s="60">
        <v>0</v>
      </c>
      <c r="R1477" s="60">
        <v>0</v>
      </c>
      <c r="S1477" s="60">
        <v>0</v>
      </c>
      <c r="T1477" s="60">
        <v>0</v>
      </c>
      <c r="U1477" s="60">
        <v>0</v>
      </c>
      <c r="V1477" s="60">
        <v>0</v>
      </c>
      <c r="W1477" s="60">
        <v>0</v>
      </c>
      <c r="X1477" s="60">
        <v>0</v>
      </c>
      <c r="Y1477" s="60">
        <v>0</v>
      </c>
      <c r="Z1477" s="60">
        <v>0</v>
      </c>
      <c r="AA1477" s="60">
        <v>0</v>
      </c>
      <c r="AB1477" s="60">
        <v>0</v>
      </c>
      <c r="AC1477" s="60">
        <v>242.69</v>
      </c>
      <c r="AD1477" s="60">
        <v>234.62</v>
      </c>
      <c r="AE1477" s="60">
        <v>219.38</v>
      </c>
      <c r="AF1477" s="60">
        <v>0</v>
      </c>
      <c r="AG1477" s="60">
        <v>0</v>
      </c>
      <c r="AH1477" s="60">
        <v>0</v>
      </c>
      <c r="AI1477" s="60">
        <v>242.69</v>
      </c>
      <c r="AJ1477" s="60">
        <v>234.62</v>
      </c>
      <c r="AK1477" s="60">
        <v>219.38</v>
      </c>
      <c r="AL1477" s="60">
        <v>0</v>
      </c>
      <c r="AM1477" s="60">
        <v>0</v>
      </c>
      <c r="AN1477" s="60">
        <v>0</v>
      </c>
      <c r="AO1477" s="60">
        <v>242.69</v>
      </c>
      <c r="AP1477" s="60">
        <v>234.62</v>
      </c>
      <c r="AQ1477" s="60">
        <v>219.38</v>
      </c>
      <c r="AR1477" s="61">
        <v>242.69</v>
      </c>
    </row>
    <row r="1478" spans="1:44" x14ac:dyDescent="0.35">
      <c r="A1478" s="49" t="str">
        <f>TEXT(36,"00")</f>
        <v>36</v>
      </c>
      <c r="B1478" s="27">
        <v>67710</v>
      </c>
      <c r="C1478" s="25" t="str">
        <f>TEXT(141952,"0000000")</f>
        <v>0141952</v>
      </c>
      <c r="D1478" s="27">
        <v>2130</v>
      </c>
      <c r="E1478" s="25" t="s">
        <v>3533</v>
      </c>
      <c r="F1478" s="25" t="s">
        <v>602</v>
      </c>
      <c r="G1478" s="59" t="s">
        <v>3534</v>
      </c>
      <c r="H1478" s="60">
        <v>0</v>
      </c>
      <c r="I1478" s="60">
        <v>0</v>
      </c>
      <c r="J1478" s="60">
        <v>0</v>
      </c>
      <c r="K1478" s="60">
        <v>0</v>
      </c>
      <c r="L1478" s="60">
        <v>0</v>
      </c>
      <c r="M1478" s="60">
        <v>0</v>
      </c>
      <c r="N1478" s="60">
        <v>0</v>
      </c>
      <c r="O1478" s="60">
        <v>0</v>
      </c>
      <c r="P1478" s="60">
        <v>0</v>
      </c>
      <c r="Q1478" s="60">
        <v>0</v>
      </c>
      <c r="R1478" s="60">
        <v>0</v>
      </c>
      <c r="S1478" s="60">
        <v>0</v>
      </c>
      <c r="T1478" s="60">
        <v>0</v>
      </c>
      <c r="U1478" s="60">
        <v>0</v>
      </c>
      <c r="V1478" s="60">
        <v>0</v>
      </c>
      <c r="W1478" s="60">
        <v>0</v>
      </c>
      <c r="X1478" s="60">
        <v>0</v>
      </c>
      <c r="Y1478" s="60">
        <v>0</v>
      </c>
      <c r="Z1478" s="60">
        <v>0</v>
      </c>
      <c r="AA1478" s="60">
        <v>0</v>
      </c>
      <c r="AB1478" s="60">
        <v>0</v>
      </c>
      <c r="AC1478" s="60">
        <v>194.76</v>
      </c>
      <c r="AD1478" s="60">
        <v>0</v>
      </c>
      <c r="AE1478" s="60">
        <v>0</v>
      </c>
      <c r="AF1478" s="60">
        <v>0</v>
      </c>
      <c r="AG1478" s="60">
        <v>0</v>
      </c>
      <c r="AH1478" s="60">
        <v>0</v>
      </c>
      <c r="AI1478" s="60">
        <v>194.76</v>
      </c>
      <c r="AJ1478" s="60">
        <v>0</v>
      </c>
      <c r="AK1478" s="60">
        <v>0</v>
      </c>
      <c r="AL1478" s="60">
        <v>0</v>
      </c>
      <c r="AM1478" s="60">
        <v>0</v>
      </c>
      <c r="AN1478" s="60">
        <v>0</v>
      </c>
      <c r="AO1478" s="60">
        <v>194.76</v>
      </c>
      <c r="AP1478" s="60">
        <v>0</v>
      </c>
      <c r="AQ1478" s="60">
        <v>0</v>
      </c>
      <c r="AR1478" s="61">
        <v>194.76</v>
      </c>
    </row>
    <row r="1479" spans="1:44" x14ac:dyDescent="0.35">
      <c r="A1479" s="49" t="str">
        <f t="shared" ref="A1479:A1490" si="119">TEXT(35,"00")</f>
        <v>35</v>
      </c>
      <c r="B1479" s="27">
        <v>10355</v>
      </c>
      <c r="C1479" s="25" t="str">
        <f t="shared" ref="C1479:C1501" si="120">TEXT(,"0000000")</f>
        <v>0000000</v>
      </c>
      <c r="D1479" s="26" t="s">
        <v>3663</v>
      </c>
      <c r="E1479" s="25" t="s">
        <v>1882</v>
      </c>
      <c r="F1479" s="25" t="s">
        <v>1883</v>
      </c>
      <c r="G1479" s="59" t="s">
        <v>1883</v>
      </c>
      <c r="H1479" s="60">
        <v>0</v>
      </c>
      <c r="I1479" s="60">
        <v>0</v>
      </c>
      <c r="J1479" s="60">
        <v>0</v>
      </c>
      <c r="K1479" s="60">
        <v>0</v>
      </c>
      <c r="L1479" s="60">
        <v>0</v>
      </c>
      <c r="M1479" s="60">
        <v>0</v>
      </c>
      <c r="N1479" s="60">
        <v>0</v>
      </c>
      <c r="O1479" s="60">
        <v>0</v>
      </c>
      <c r="P1479" s="60">
        <v>0</v>
      </c>
      <c r="Q1479" s="60">
        <v>0</v>
      </c>
      <c r="R1479" s="60">
        <v>0</v>
      </c>
      <c r="S1479" s="60">
        <v>0</v>
      </c>
      <c r="T1479" s="60">
        <v>19.260000000000002</v>
      </c>
      <c r="U1479" s="60">
        <v>14.6</v>
      </c>
      <c r="V1479" s="60">
        <v>6.15</v>
      </c>
      <c r="W1479" s="60">
        <v>23.56</v>
      </c>
      <c r="X1479" s="60">
        <v>18.309999999999999</v>
      </c>
      <c r="Y1479" s="60">
        <v>15.76</v>
      </c>
      <c r="Z1479" s="60">
        <v>0</v>
      </c>
      <c r="AA1479" s="60">
        <v>0</v>
      </c>
      <c r="AB1479" s="60">
        <v>0</v>
      </c>
      <c r="AC1479" s="60">
        <v>0</v>
      </c>
      <c r="AD1479" s="60">
        <v>0</v>
      </c>
      <c r="AE1479" s="60">
        <v>0</v>
      </c>
      <c r="AF1479" s="60">
        <v>0</v>
      </c>
      <c r="AG1479" s="60">
        <v>0</v>
      </c>
      <c r="AH1479" s="60">
        <v>0</v>
      </c>
      <c r="AI1479" s="60">
        <v>42.82</v>
      </c>
      <c r="AJ1479" s="60">
        <v>32.909999999999997</v>
      </c>
      <c r="AK1479" s="60">
        <v>21.91</v>
      </c>
      <c r="AL1479" s="60">
        <v>0</v>
      </c>
      <c r="AM1479" s="60">
        <v>0</v>
      </c>
      <c r="AN1479" s="60">
        <v>0</v>
      </c>
      <c r="AO1479" s="60">
        <v>42.82</v>
      </c>
      <c r="AP1479" s="60">
        <v>32.909999999999997</v>
      </c>
      <c r="AQ1479" s="60">
        <v>21.91</v>
      </c>
      <c r="AR1479" s="61">
        <v>42.82</v>
      </c>
    </row>
    <row r="1480" spans="1:44" x14ac:dyDescent="0.35">
      <c r="A1480" s="49" t="str">
        <f t="shared" si="119"/>
        <v>35</v>
      </c>
      <c r="B1480" s="27">
        <v>75259</v>
      </c>
      <c r="C1480" s="25" t="str">
        <f t="shared" si="120"/>
        <v>0000000</v>
      </c>
      <c r="D1480" s="26" t="s">
        <v>3663</v>
      </c>
      <c r="E1480" s="25" t="s">
        <v>1906</v>
      </c>
      <c r="F1480" s="25" t="s">
        <v>1883</v>
      </c>
      <c r="G1480" s="59" t="s">
        <v>1907</v>
      </c>
      <c r="H1480" s="60">
        <v>894.62</v>
      </c>
      <c r="I1480" s="60">
        <v>889.38</v>
      </c>
      <c r="J1480" s="60">
        <v>882.51</v>
      </c>
      <c r="K1480" s="60">
        <v>0</v>
      </c>
      <c r="L1480" s="60">
        <v>0</v>
      </c>
      <c r="M1480" s="60">
        <v>0</v>
      </c>
      <c r="N1480" s="60">
        <v>0</v>
      </c>
      <c r="O1480" s="60">
        <v>0</v>
      </c>
      <c r="P1480" s="60">
        <v>0</v>
      </c>
      <c r="Q1480" s="60">
        <v>0</v>
      </c>
      <c r="R1480" s="60">
        <v>0</v>
      </c>
      <c r="S1480" s="60">
        <v>0</v>
      </c>
      <c r="T1480" s="60">
        <v>0</v>
      </c>
      <c r="U1480" s="60">
        <v>0</v>
      </c>
      <c r="V1480" s="60">
        <v>0</v>
      </c>
      <c r="W1480" s="60">
        <v>0</v>
      </c>
      <c r="X1480" s="60">
        <v>0</v>
      </c>
      <c r="Y1480" s="60">
        <v>0</v>
      </c>
      <c r="Z1480" s="60">
        <v>0</v>
      </c>
      <c r="AA1480" s="60">
        <v>0</v>
      </c>
      <c r="AB1480" s="60">
        <v>0</v>
      </c>
      <c r="AC1480" s="60">
        <v>0</v>
      </c>
      <c r="AD1480" s="60">
        <v>0</v>
      </c>
      <c r="AE1480" s="60">
        <v>0</v>
      </c>
      <c r="AF1480" s="60">
        <v>0</v>
      </c>
      <c r="AG1480" s="60">
        <v>0</v>
      </c>
      <c r="AH1480" s="60">
        <v>0</v>
      </c>
      <c r="AI1480" s="60">
        <v>894.62</v>
      </c>
      <c r="AJ1480" s="60">
        <v>889.38</v>
      </c>
      <c r="AK1480" s="60">
        <v>882.51</v>
      </c>
      <c r="AL1480" s="60">
        <v>0</v>
      </c>
      <c r="AM1480" s="60">
        <v>0</v>
      </c>
      <c r="AN1480" s="60">
        <v>0</v>
      </c>
      <c r="AO1480" s="60">
        <v>894.62</v>
      </c>
      <c r="AP1480" s="60">
        <v>889.38</v>
      </c>
      <c r="AQ1480" s="60">
        <v>882.51</v>
      </c>
      <c r="AR1480" s="61">
        <v>894.62</v>
      </c>
    </row>
    <row r="1481" spans="1:44" x14ac:dyDescent="0.35">
      <c r="A1481" s="49" t="str">
        <f t="shared" si="119"/>
        <v>35</v>
      </c>
      <c r="B1481" s="27">
        <v>67470</v>
      </c>
      <c r="C1481" s="25" t="str">
        <f t="shared" si="120"/>
        <v>0000000</v>
      </c>
      <c r="D1481" s="26" t="s">
        <v>3663</v>
      </c>
      <c r="E1481" s="25" t="s">
        <v>1888</v>
      </c>
      <c r="F1481" s="25" t="s">
        <v>1883</v>
      </c>
      <c r="G1481" s="59" t="s">
        <v>1889</v>
      </c>
      <c r="H1481" s="60">
        <v>5386.85</v>
      </c>
      <c r="I1481" s="60">
        <v>5200.9399999999996</v>
      </c>
      <c r="J1481" s="60">
        <v>5024.07</v>
      </c>
      <c r="K1481" s="60">
        <v>0</v>
      </c>
      <c r="L1481" s="60">
        <v>0</v>
      </c>
      <c r="M1481" s="60">
        <v>0</v>
      </c>
      <c r="N1481" s="60">
        <v>0</v>
      </c>
      <c r="O1481" s="60">
        <v>0</v>
      </c>
      <c r="P1481" s="60">
        <v>0</v>
      </c>
      <c r="Q1481" s="60">
        <v>0</v>
      </c>
      <c r="R1481" s="60">
        <v>0</v>
      </c>
      <c r="S1481" s="60">
        <v>0</v>
      </c>
      <c r="T1481" s="60">
        <v>0</v>
      </c>
      <c r="U1481" s="60">
        <v>0</v>
      </c>
      <c r="V1481" s="60">
        <v>0</v>
      </c>
      <c r="W1481" s="60">
        <v>0</v>
      </c>
      <c r="X1481" s="60">
        <v>0</v>
      </c>
      <c r="Y1481" s="60">
        <v>0</v>
      </c>
      <c r="Z1481" s="60">
        <v>0</v>
      </c>
      <c r="AA1481" s="60">
        <v>0</v>
      </c>
      <c r="AB1481" s="60">
        <v>0</v>
      </c>
      <c r="AC1481" s="60">
        <v>0</v>
      </c>
      <c r="AD1481" s="60">
        <v>0</v>
      </c>
      <c r="AE1481" s="60">
        <v>0</v>
      </c>
      <c r="AF1481" s="60">
        <v>0</v>
      </c>
      <c r="AG1481" s="60">
        <v>0</v>
      </c>
      <c r="AH1481" s="60">
        <v>0</v>
      </c>
      <c r="AI1481" s="60">
        <v>5386.85</v>
      </c>
      <c r="AJ1481" s="60">
        <v>5200.9399999999996</v>
      </c>
      <c r="AK1481" s="60">
        <v>5024.07</v>
      </c>
      <c r="AL1481" s="60">
        <v>0</v>
      </c>
      <c r="AM1481" s="60">
        <v>0</v>
      </c>
      <c r="AN1481" s="60">
        <v>0</v>
      </c>
      <c r="AO1481" s="60">
        <v>5386.85</v>
      </c>
      <c r="AP1481" s="60">
        <v>5200.9399999999996</v>
      </c>
      <c r="AQ1481" s="60">
        <v>5024.07</v>
      </c>
      <c r="AR1481" s="61">
        <v>5386.85</v>
      </c>
    </row>
    <row r="1482" spans="1:44" x14ac:dyDescent="0.35">
      <c r="A1482" s="49" t="str">
        <f t="shared" si="119"/>
        <v>35</v>
      </c>
      <c r="B1482" s="27">
        <v>67504</v>
      </c>
      <c r="C1482" s="25" t="str">
        <f t="shared" si="120"/>
        <v>0000000</v>
      </c>
      <c r="D1482" s="26" t="s">
        <v>3663</v>
      </c>
      <c r="E1482" s="25" t="s">
        <v>1894</v>
      </c>
      <c r="F1482" s="25" t="s">
        <v>1883</v>
      </c>
      <c r="G1482" s="59" t="s">
        <v>1895</v>
      </c>
      <c r="H1482" s="60">
        <v>718.81</v>
      </c>
      <c r="I1482" s="60">
        <v>698.15</v>
      </c>
      <c r="J1482" s="60">
        <v>673.32</v>
      </c>
      <c r="K1482" s="60">
        <v>0</v>
      </c>
      <c r="L1482" s="60">
        <v>0</v>
      </c>
      <c r="M1482" s="60">
        <v>0</v>
      </c>
      <c r="N1482" s="60">
        <v>0</v>
      </c>
      <c r="O1482" s="60">
        <v>0</v>
      </c>
      <c r="P1482" s="60">
        <v>0</v>
      </c>
      <c r="Q1482" s="60">
        <v>0</v>
      </c>
      <c r="R1482" s="60">
        <v>0</v>
      </c>
      <c r="S1482" s="60">
        <v>0</v>
      </c>
      <c r="T1482" s="60">
        <v>0</v>
      </c>
      <c r="U1482" s="60">
        <v>0</v>
      </c>
      <c r="V1482" s="60">
        <v>0</v>
      </c>
      <c r="W1482" s="60">
        <v>0</v>
      </c>
      <c r="X1482" s="60">
        <v>0</v>
      </c>
      <c r="Y1482" s="60">
        <v>0</v>
      </c>
      <c r="Z1482" s="60">
        <v>0</v>
      </c>
      <c r="AA1482" s="60">
        <v>0</v>
      </c>
      <c r="AB1482" s="60">
        <v>0</v>
      </c>
      <c r="AC1482" s="60">
        <v>0</v>
      </c>
      <c r="AD1482" s="60">
        <v>0</v>
      </c>
      <c r="AE1482" s="60">
        <v>0</v>
      </c>
      <c r="AF1482" s="60">
        <v>0</v>
      </c>
      <c r="AG1482" s="60">
        <v>0</v>
      </c>
      <c r="AH1482" s="60">
        <v>0</v>
      </c>
      <c r="AI1482" s="60">
        <v>718.81</v>
      </c>
      <c r="AJ1482" s="60">
        <v>698.15</v>
      </c>
      <c r="AK1482" s="60">
        <v>673.32</v>
      </c>
      <c r="AL1482" s="60">
        <v>0</v>
      </c>
      <c r="AM1482" s="60">
        <v>0</v>
      </c>
      <c r="AN1482" s="60">
        <v>0</v>
      </c>
      <c r="AO1482" s="60">
        <v>718.81</v>
      </c>
      <c r="AP1482" s="60">
        <v>698.15</v>
      </c>
      <c r="AQ1482" s="60">
        <v>673.32</v>
      </c>
      <c r="AR1482" s="61">
        <v>718.81</v>
      </c>
    </row>
    <row r="1483" spans="1:44" x14ac:dyDescent="0.35">
      <c r="A1483" s="49" t="str">
        <f t="shared" si="119"/>
        <v>35</v>
      </c>
      <c r="B1483" s="27">
        <v>67538</v>
      </c>
      <c r="C1483" s="25" t="str">
        <f t="shared" si="120"/>
        <v>0000000</v>
      </c>
      <c r="D1483" s="26" t="s">
        <v>3663</v>
      </c>
      <c r="E1483" s="25" t="s">
        <v>1898</v>
      </c>
      <c r="F1483" s="25" t="s">
        <v>1883</v>
      </c>
      <c r="G1483" s="59" t="s">
        <v>1899</v>
      </c>
      <c r="H1483" s="60">
        <v>3237.83</v>
      </c>
      <c r="I1483" s="60">
        <v>3214.27</v>
      </c>
      <c r="J1483" s="60">
        <v>3160.95</v>
      </c>
      <c r="K1483" s="60">
        <v>0</v>
      </c>
      <c r="L1483" s="60">
        <v>0</v>
      </c>
      <c r="M1483" s="60">
        <v>0</v>
      </c>
      <c r="N1483" s="60">
        <v>0</v>
      </c>
      <c r="O1483" s="60">
        <v>0</v>
      </c>
      <c r="P1483" s="60">
        <v>0</v>
      </c>
      <c r="Q1483" s="60">
        <v>0</v>
      </c>
      <c r="R1483" s="60">
        <v>0</v>
      </c>
      <c r="S1483" s="60">
        <v>0</v>
      </c>
      <c r="T1483" s="60">
        <v>0</v>
      </c>
      <c r="U1483" s="60">
        <v>0</v>
      </c>
      <c r="V1483" s="60">
        <v>0</v>
      </c>
      <c r="W1483" s="60">
        <v>0</v>
      </c>
      <c r="X1483" s="60">
        <v>0</v>
      </c>
      <c r="Y1483" s="60">
        <v>0</v>
      </c>
      <c r="Z1483" s="60">
        <v>0</v>
      </c>
      <c r="AA1483" s="60">
        <v>0</v>
      </c>
      <c r="AB1483" s="60">
        <v>0</v>
      </c>
      <c r="AC1483" s="60">
        <v>0</v>
      </c>
      <c r="AD1483" s="60">
        <v>0</v>
      </c>
      <c r="AE1483" s="60">
        <v>0</v>
      </c>
      <c r="AF1483" s="60">
        <v>0</v>
      </c>
      <c r="AG1483" s="60">
        <v>0</v>
      </c>
      <c r="AH1483" s="60">
        <v>0</v>
      </c>
      <c r="AI1483" s="60">
        <v>3237.83</v>
      </c>
      <c r="AJ1483" s="60">
        <v>3214.27</v>
      </c>
      <c r="AK1483" s="60">
        <v>3160.95</v>
      </c>
      <c r="AL1483" s="60">
        <v>0</v>
      </c>
      <c r="AM1483" s="60">
        <v>0</v>
      </c>
      <c r="AN1483" s="60">
        <v>0</v>
      </c>
      <c r="AO1483" s="60">
        <v>3237.83</v>
      </c>
      <c r="AP1483" s="60">
        <v>3214.27</v>
      </c>
      <c r="AQ1483" s="60">
        <v>3160.95</v>
      </c>
      <c r="AR1483" s="61">
        <v>3237.83</v>
      </c>
    </row>
    <row r="1484" spans="1:44" x14ac:dyDescent="0.35">
      <c r="A1484" s="49" t="str">
        <f t="shared" si="119"/>
        <v>35</v>
      </c>
      <c r="B1484" s="27">
        <v>67454</v>
      </c>
      <c r="C1484" s="25" t="str">
        <f t="shared" si="120"/>
        <v>0000000</v>
      </c>
      <c r="D1484" s="26" t="s">
        <v>3663</v>
      </c>
      <c r="E1484" s="25" t="s">
        <v>1884</v>
      </c>
      <c r="F1484" s="25" t="s">
        <v>1883</v>
      </c>
      <c r="G1484" s="59" t="s">
        <v>1885</v>
      </c>
      <c r="H1484" s="60">
        <v>23.97</v>
      </c>
      <c r="I1484" s="60">
        <v>26.39</v>
      </c>
      <c r="J1484" s="60">
        <v>32.17</v>
      </c>
      <c r="K1484" s="60">
        <v>0</v>
      </c>
      <c r="L1484" s="60">
        <v>0</v>
      </c>
      <c r="M1484" s="60">
        <v>0</v>
      </c>
      <c r="N1484" s="60">
        <v>0</v>
      </c>
      <c r="O1484" s="60">
        <v>0</v>
      </c>
      <c r="P1484" s="60">
        <v>0</v>
      </c>
      <c r="Q1484" s="60">
        <v>0</v>
      </c>
      <c r="R1484" s="60">
        <v>0</v>
      </c>
      <c r="S1484" s="60">
        <v>0</v>
      </c>
      <c r="T1484" s="60">
        <v>0</v>
      </c>
      <c r="U1484" s="60">
        <v>0</v>
      </c>
      <c r="V1484" s="60">
        <v>0</v>
      </c>
      <c r="W1484" s="60">
        <v>0</v>
      </c>
      <c r="X1484" s="60">
        <v>0</v>
      </c>
      <c r="Y1484" s="60">
        <v>0</v>
      </c>
      <c r="Z1484" s="60">
        <v>0</v>
      </c>
      <c r="AA1484" s="60">
        <v>0</v>
      </c>
      <c r="AB1484" s="60">
        <v>0</v>
      </c>
      <c r="AC1484" s="60">
        <v>0</v>
      </c>
      <c r="AD1484" s="60">
        <v>0</v>
      </c>
      <c r="AE1484" s="60">
        <v>0</v>
      </c>
      <c r="AF1484" s="60">
        <v>0</v>
      </c>
      <c r="AG1484" s="60">
        <v>0</v>
      </c>
      <c r="AH1484" s="60">
        <v>0</v>
      </c>
      <c r="AI1484" s="60">
        <v>23.97</v>
      </c>
      <c r="AJ1484" s="60">
        <v>26.39</v>
      </c>
      <c r="AK1484" s="60">
        <v>32.17</v>
      </c>
      <c r="AL1484" s="60">
        <v>0</v>
      </c>
      <c r="AM1484" s="60">
        <v>0</v>
      </c>
      <c r="AN1484" s="60">
        <v>0</v>
      </c>
      <c r="AO1484" s="60">
        <v>23.97</v>
      </c>
      <c r="AP1484" s="60">
        <v>26.39</v>
      </c>
      <c r="AQ1484" s="60">
        <v>32.17</v>
      </c>
      <c r="AR1484" s="61">
        <v>32.17</v>
      </c>
    </row>
    <row r="1485" spans="1:44" x14ac:dyDescent="0.35">
      <c r="A1485" s="49" t="str">
        <f t="shared" si="119"/>
        <v>35</v>
      </c>
      <c r="B1485" s="27">
        <v>67462</v>
      </c>
      <c r="C1485" s="25" t="str">
        <f t="shared" si="120"/>
        <v>0000000</v>
      </c>
      <c r="D1485" s="26" t="s">
        <v>3663</v>
      </c>
      <c r="E1485" s="25" t="s">
        <v>1886</v>
      </c>
      <c r="F1485" s="25" t="s">
        <v>1883</v>
      </c>
      <c r="G1485" s="59" t="s">
        <v>1887</v>
      </c>
      <c r="H1485" s="60">
        <v>17.690000000000001</v>
      </c>
      <c r="I1485" s="60">
        <v>20.64</v>
      </c>
      <c r="J1485" s="60">
        <v>21.9</v>
      </c>
      <c r="K1485" s="60">
        <v>0</v>
      </c>
      <c r="L1485" s="60">
        <v>0</v>
      </c>
      <c r="M1485" s="60">
        <v>0</v>
      </c>
      <c r="N1485" s="60">
        <v>0</v>
      </c>
      <c r="O1485" s="60">
        <v>0</v>
      </c>
      <c r="P1485" s="60">
        <v>0</v>
      </c>
      <c r="Q1485" s="60">
        <v>0</v>
      </c>
      <c r="R1485" s="60">
        <v>0</v>
      </c>
      <c r="S1485" s="60">
        <v>0</v>
      </c>
      <c r="T1485" s="60">
        <v>0</v>
      </c>
      <c r="U1485" s="60">
        <v>0</v>
      </c>
      <c r="V1485" s="60">
        <v>0</v>
      </c>
      <c r="W1485" s="60">
        <v>0</v>
      </c>
      <c r="X1485" s="60">
        <v>0</v>
      </c>
      <c r="Y1485" s="60">
        <v>0</v>
      </c>
      <c r="Z1485" s="60">
        <v>0</v>
      </c>
      <c r="AA1485" s="60">
        <v>0</v>
      </c>
      <c r="AB1485" s="60">
        <v>0</v>
      </c>
      <c r="AC1485" s="60">
        <v>0</v>
      </c>
      <c r="AD1485" s="60">
        <v>0</v>
      </c>
      <c r="AE1485" s="60">
        <v>0</v>
      </c>
      <c r="AF1485" s="60">
        <v>0</v>
      </c>
      <c r="AG1485" s="60">
        <v>0</v>
      </c>
      <c r="AH1485" s="60">
        <v>0</v>
      </c>
      <c r="AI1485" s="60">
        <v>17.690000000000001</v>
      </c>
      <c r="AJ1485" s="60">
        <v>20.64</v>
      </c>
      <c r="AK1485" s="60">
        <v>21.9</v>
      </c>
      <c r="AL1485" s="60">
        <v>0</v>
      </c>
      <c r="AM1485" s="60">
        <v>0</v>
      </c>
      <c r="AN1485" s="60">
        <v>0</v>
      </c>
      <c r="AO1485" s="60">
        <v>17.690000000000001</v>
      </c>
      <c r="AP1485" s="60">
        <v>20.64</v>
      </c>
      <c r="AQ1485" s="60">
        <v>21.9</v>
      </c>
      <c r="AR1485" s="61">
        <v>21.9</v>
      </c>
    </row>
    <row r="1486" spans="1:44" x14ac:dyDescent="0.35">
      <c r="A1486" s="49" t="str">
        <f t="shared" si="119"/>
        <v>35</v>
      </c>
      <c r="B1486" s="27">
        <v>67488</v>
      </c>
      <c r="C1486" s="25" t="str">
        <f t="shared" si="120"/>
        <v>0000000</v>
      </c>
      <c r="D1486" s="26" t="s">
        <v>3663</v>
      </c>
      <c r="E1486" s="25" t="s">
        <v>1892</v>
      </c>
      <c r="F1486" s="25" t="s">
        <v>1883</v>
      </c>
      <c r="G1486" s="59" t="s">
        <v>1893</v>
      </c>
      <c r="H1486" s="60">
        <v>3.15</v>
      </c>
      <c r="I1486" s="60">
        <v>2.83</v>
      </c>
      <c r="J1486" s="60">
        <v>4.03</v>
      </c>
      <c r="K1486" s="60">
        <v>0</v>
      </c>
      <c r="L1486" s="60">
        <v>0</v>
      </c>
      <c r="M1486" s="60">
        <v>0</v>
      </c>
      <c r="N1486" s="60">
        <v>0</v>
      </c>
      <c r="O1486" s="60">
        <v>0</v>
      </c>
      <c r="P1486" s="60">
        <v>0</v>
      </c>
      <c r="Q1486" s="60">
        <v>0</v>
      </c>
      <c r="R1486" s="60">
        <v>0</v>
      </c>
      <c r="S1486" s="60">
        <v>0</v>
      </c>
      <c r="T1486" s="60">
        <v>0</v>
      </c>
      <c r="U1486" s="60">
        <v>0</v>
      </c>
      <c r="V1486" s="60">
        <v>0</v>
      </c>
      <c r="W1486" s="60">
        <v>0</v>
      </c>
      <c r="X1486" s="60">
        <v>0</v>
      </c>
      <c r="Y1486" s="60">
        <v>0</v>
      </c>
      <c r="Z1486" s="60">
        <v>0</v>
      </c>
      <c r="AA1486" s="60">
        <v>0</v>
      </c>
      <c r="AB1486" s="60">
        <v>0</v>
      </c>
      <c r="AC1486" s="60">
        <v>0</v>
      </c>
      <c r="AD1486" s="60">
        <v>0</v>
      </c>
      <c r="AE1486" s="60">
        <v>0</v>
      </c>
      <c r="AF1486" s="60">
        <v>0</v>
      </c>
      <c r="AG1486" s="60">
        <v>0</v>
      </c>
      <c r="AH1486" s="60">
        <v>0</v>
      </c>
      <c r="AI1486" s="60">
        <v>3.15</v>
      </c>
      <c r="AJ1486" s="60">
        <v>2.83</v>
      </c>
      <c r="AK1486" s="60">
        <v>4.03</v>
      </c>
      <c r="AL1486" s="60">
        <v>0</v>
      </c>
      <c r="AM1486" s="60">
        <v>0</v>
      </c>
      <c r="AN1486" s="60">
        <v>0</v>
      </c>
      <c r="AO1486" s="60">
        <v>3.15</v>
      </c>
      <c r="AP1486" s="60">
        <v>2.83</v>
      </c>
      <c r="AQ1486" s="60">
        <v>4.03</v>
      </c>
      <c r="AR1486" s="61">
        <v>4.03</v>
      </c>
    </row>
    <row r="1487" spans="1:44" x14ac:dyDescent="0.35">
      <c r="A1487" s="49" t="str">
        <f t="shared" si="119"/>
        <v>35</v>
      </c>
      <c r="B1487" s="27">
        <v>67520</v>
      </c>
      <c r="C1487" s="25" t="str">
        <f t="shared" si="120"/>
        <v>0000000</v>
      </c>
      <c r="D1487" s="26" t="s">
        <v>3663</v>
      </c>
      <c r="E1487" s="25" t="s">
        <v>1896</v>
      </c>
      <c r="F1487" s="25" t="s">
        <v>1883</v>
      </c>
      <c r="G1487" s="59" t="s">
        <v>1897</v>
      </c>
      <c r="H1487" s="60">
        <v>9.08</v>
      </c>
      <c r="I1487" s="60">
        <v>7.48</v>
      </c>
      <c r="J1487" s="60">
        <v>8.3699999999999992</v>
      </c>
      <c r="K1487" s="60">
        <v>0</v>
      </c>
      <c r="L1487" s="60">
        <v>0</v>
      </c>
      <c r="M1487" s="60">
        <v>0</v>
      </c>
      <c r="N1487" s="60">
        <v>0</v>
      </c>
      <c r="O1487" s="60">
        <v>0</v>
      </c>
      <c r="P1487" s="60">
        <v>0</v>
      </c>
      <c r="Q1487" s="60">
        <v>0</v>
      </c>
      <c r="R1487" s="60">
        <v>0</v>
      </c>
      <c r="S1487" s="60">
        <v>0</v>
      </c>
      <c r="T1487" s="60">
        <v>0</v>
      </c>
      <c r="U1487" s="60">
        <v>0</v>
      </c>
      <c r="V1487" s="60">
        <v>0</v>
      </c>
      <c r="W1487" s="60">
        <v>0</v>
      </c>
      <c r="X1487" s="60">
        <v>0</v>
      </c>
      <c r="Y1487" s="60">
        <v>0</v>
      </c>
      <c r="Z1487" s="60">
        <v>0</v>
      </c>
      <c r="AA1487" s="60">
        <v>0</v>
      </c>
      <c r="AB1487" s="60">
        <v>0</v>
      </c>
      <c r="AC1487" s="60">
        <v>0</v>
      </c>
      <c r="AD1487" s="60">
        <v>0</v>
      </c>
      <c r="AE1487" s="60">
        <v>0</v>
      </c>
      <c r="AF1487" s="60">
        <v>0</v>
      </c>
      <c r="AG1487" s="60">
        <v>0</v>
      </c>
      <c r="AH1487" s="60">
        <v>0</v>
      </c>
      <c r="AI1487" s="60">
        <v>9.08</v>
      </c>
      <c r="AJ1487" s="60">
        <v>7.48</v>
      </c>
      <c r="AK1487" s="60">
        <v>8.3699999999999992</v>
      </c>
      <c r="AL1487" s="60">
        <v>0</v>
      </c>
      <c r="AM1487" s="60">
        <v>0</v>
      </c>
      <c r="AN1487" s="60">
        <v>0</v>
      </c>
      <c r="AO1487" s="60">
        <v>9.08</v>
      </c>
      <c r="AP1487" s="60">
        <v>7.48</v>
      </c>
      <c r="AQ1487" s="60">
        <v>8.3699999999999992</v>
      </c>
      <c r="AR1487" s="61">
        <v>9.08</v>
      </c>
    </row>
    <row r="1488" spans="1:44" x14ac:dyDescent="0.35">
      <c r="A1488" s="49" t="str">
        <f t="shared" si="119"/>
        <v>35</v>
      </c>
      <c r="B1488" s="27">
        <v>67553</v>
      </c>
      <c r="C1488" s="25" t="str">
        <f t="shared" si="120"/>
        <v>0000000</v>
      </c>
      <c r="D1488" s="26" t="s">
        <v>3663</v>
      </c>
      <c r="E1488" s="25" t="s">
        <v>1900</v>
      </c>
      <c r="F1488" s="25" t="s">
        <v>1883</v>
      </c>
      <c r="G1488" s="59" t="s">
        <v>1901</v>
      </c>
      <c r="H1488" s="60">
        <v>204.06</v>
      </c>
      <c r="I1488" s="60">
        <v>199.12</v>
      </c>
      <c r="J1488" s="60">
        <v>194.52</v>
      </c>
      <c r="K1488" s="60">
        <v>0</v>
      </c>
      <c r="L1488" s="60">
        <v>0</v>
      </c>
      <c r="M1488" s="60">
        <v>0</v>
      </c>
      <c r="N1488" s="60">
        <v>0</v>
      </c>
      <c r="O1488" s="60">
        <v>0</v>
      </c>
      <c r="P1488" s="60">
        <v>0</v>
      </c>
      <c r="Q1488" s="60">
        <v>0</v>
      </c>
      <c r="R1488" s="60">
        <v>0</v>
      </c>
      <c r="S1488" s="60">
        <v>0</v>
      </c>
      <c r="T1488" s="60">
        <v>0</v>
      </c>
      <c r="U1488" s="60">
        <v>0</v>
      </c>
      <c r="V1488" s="60">
        <v>0</v>
      </c>
      <c r="W1488" s="60">
        <v>0</v>
      </c>
      <c r="X1488" s="60">
        <v>0</v>
      </c>
      <c r="Y1488" s="60">
        <v>0</v>
      </c>
      <c r="Z1488" s="60">
        <v>0</v>
      </c>
      <c r="AA1488" s="60">
        <v>0</v>
      </c>
      <c r="AB1488" s="60">
        <v>0</v>
      </c>
      <c r="AC1488" s="60">
        <v>0</v>
      </c>
      <c r="AD1488" s="60">
        <v>0</v>
      </c>
      <c r="AE1488" s="60">
        <v>0</v>
      </c>
      <c r="AF1488" s="60">
        <v>0</v>
      </c>
      <c r="AG1488" s="60">
        <v>0</v>
      </c>
      <c r="AH1488" s="60">
        <v>0</v>
      </c>
      <c r="AI1488" s="60">
        <v>204.06</v>
      </c>
      <c r="AJ1488" s="60">
        <v>199.12</v>
      </c>
      <c r="AK1488" s="60">
        <v>194.52</v>
      </c>
      <c r="AL1488" s="60">
        <v>0</v>
      </c>
      <c r="AM1488" s="60">
        <v>0</v>
      </c>
      <c r="AN1488" s="60">
        <v>0</v>
      </c>
      <c r="AO1488" s="60">
        <v>204.06</v>
      </c>
      <c r="AP1488" s="60">
        <v>199.12</v>
      </c>
      <c r="AQ1488" s="60">
        <v>194.52</v>
      </c>
      <c r="AR1488" s="61">
        <v>204.06</v>
      </c>
    </row>
    <row r="1489" spans="1:44" x14ac:dyDescent="0.35">
      <c r="A1489" s="49" t="str">
        <f t="shared" si="119"/>
        <v>35</v>
      </c>
      <c r="B1489" s="27">
        <v>67561</v>
      </c>
      <c r="C1489" s="25" t="str">
        <f t="shared" si="120"/>
        <v>0000000</v>
      </c>
      <c r="D1489" s="26" t="s">
        <v>3663</v>
      </c>
      <c r="E1489" s="25" t="s">
        <v>1902</v>
      </c>
      <c r="F1489" s="25" t="s">
        <v>1883</v>
      </c>
      <c r="G1489" s="59" t="s">
        <v>1903</v>
      </c>
      <c r="H1489" s="60">
        <v>42.96</v>
      </c>
      <c r="I1489" s="60">
        <v>45.26</v>
      </c>
      <c r="J1489" s="60">
        <v>58.89</v>
      </c>
      <c r="K1489" s="60">
        <v>0</v>
      </c>
      <c r="L1489" s="60">
        <v>0</v>
      </c>
      <c r="M1489" s="60">
        <v>0</v>
      </c>
      <c r="N1489" s="60">
        <v>0</v>
      </c>
      <c r="O1489" s="60">
        <v>0</v>
      </c>
      <c r="P1489" s="60">
        <v>0</v>
      </c>
      <c r="Q1489" s="60">
        <v>0</v>
      </c>
      <c r="R1489" s="60">
        <v>0</v>
      </c>
      <c r="S1489" s="60">
        <v>0</v>
      </c>
      <c r="T1489" s="60">
        <v>0</v>
      </c>
      <c r="U1489" s="60">
        <v>0</v>
      </c>
      <c r="V1489" s="60">
        <v>0</v>
      </c>
      <c r="W1489" s="60">
        <v>0</v>
      </c>
      <c r="X1489" s="60">
        <v>0</v>
      </c>
      <c r="Y1489" s="60">
        <v>0</v>
      </c>
      <c r="Z1489" s="60">
        <v>0</v>
      </c>
      <c r="AA1489" s="60">
        <v>0</v>
      </c>
      <c r="AB1489" s="60">
        <v>0</v>
      </c>
      <c r="AC1489" s="60">
        <v>0</v>
      </c>
      <c r="AD1489" s="60">
        <v>0</v>
      </c>
      <c r="AE1489" s="60">
        <v>0</v>
      </c>
      <c r="AF1489" s="60">
        <v>0</v>
      </c>
      <c r="AG1489" s="60">
        <v>0</v>
      </c>
      <c r="AH1489" s="60">
        <v>0</v>
      </c>
      <c r="AI1489" s="60">
        <v>42.96</v>
      </c>
      <c r="AJ1489" s="60">
        <v>45.26</v>
      </c>
      <c r="AK1489" s="60">
        <v>58.89</v>
      </c>
      <c r="AL1489" s="60">
        <v>0</v>
      </c>
      <c r="AM1489" s="60">
        <v>0</v>
      </c>
      <c r="AN1489" s="60">
        <v>0</v>
      </c>
      <c r="AO1489" s="60">
        <v>42.96</v>
      </c>
      <c r="AP1489" s="60">
        <v>45.26</v>
      </c>
      <c r="AQ1489" s="60">
        <v>58.89</v>
      </c>
      <c r="AR1489" s="61">
        <v>58.89</v>
      </c>
    </row>
    <row r="1490" spans="1:44" x14ac:dyDescent="0.35">
      <c r="A1490" s="49" t="str">
        <f t="shared" si="119"/>
        <v>35</v>
      </c>
      <c r="B1490" s="27">
        <v>67579</v>
      </c>
      <c r="C1490" s="25" t="str">
        <f t="shared" si="120"/>
        <v>0000000</v>
      </c>
      <c r="D1490" s="26" t="s">
        <v>3663</v>
      </c>
      <c r="E1490" s="25" t="s">
        <v>1904</v>
      </c>
      <c r="F1490" s="25" t="s">
        <v>1883</v>
      </c>
      <c r="G1490" s="59" t="s">
        <v>1905</v>
      </c>
      <c r="H1490" s="60">
        <v>19.920000000000002</v>
      </c>
      <c r="I1490" s="60">
        <v>15.87</v>
      </c>
      <c r="J1490" s="60">
        <v>14.92</v>
      </c>
      <c r="K1490" s="60">
        <v>0</v>
      </c>
      <c r="L1490" s="60">
        <v>0</v>
      </c>
      <c r="M1490" s="60">
        <v>0</v>
      </c>
      <c r="N1490" s="60">
        <v>0</v>
      </c>
      <c r="O1490" s="60">
        <v>0</v>
      </c>
      <c r="P1490" s="60">
        <v>0</v>
      </c>
      <c r="Q1490" s="60">
        <v>0</v>
      </c>
      <c r="R1490" s="60">
        <v>0</v>
      </c>
      <c r="S1490" s="60">
        <v>0</v>
      </c>
      <c r="T1490" s="60">
        <v>0</v>
      </c>
      <c r="U1490" s="60">
        <v>0</v>
      </c>
      <c r="V1490" s="60">
        <v>0</v>
      </c>
      <c r="W1490" s="60">
        <v>0</v>
      </c>
      <c r="X1490" s="60">
        <v>0</v>
      </c>
      <c r="Y1490" s="60">
        <v>0</v>
      </c>
      <c r="Z1490" s="60">
        <v>0</v>
      </c>
      <c r="AA1490" s="60">
        <v>0</v>
      </c>
      <c r="AB1490" s="60">
        <v>0</v>
      </c>
      <c r="AC1490" s="60">
        <v>0</v>
      </c>
      <c r="AD1490" s="60">
        <v>0</v>
      </c>
      <c r="AE1490" s="60">
        <v>0</v>
      </c>
      <c r="AF1490" s="60">
        <v>0</v>
      </c>
      <c r="AG1490" s="60">
        <v>0</v>
      </c>
      <c r="AH1490" s="60">
        <v>0</v>
      </c>
      <c r="AI1490" s="60">
        <v>19.920000000000002</v>
      </c>
      <c r="AJ1490" s="60">
        <v>15.87</v>
      </c>
      <c r="AK1490" s="60">
        <v>14.92</v>
      </c>
      <c r="AL1490" s="60">
        <v>0</v>
      </c>
      <c r="AM1490" s="60">
        <v>0</v>
      </c>
      <c r="AN1490" s="60">
        <v>0</v>
      </c>
      <c r="AO1490" s="60">
        <v>19.920000000000002</v>
      </c>
      <c r="AP1490" s="60">
        <v>15.87</v>
      </c>
      <c r="AQ1490" s="60">
        <v>14.92</v>
      </c>
      <c r="AR1490" s="61">
        <v>19.920000000000002</v>
      </c>
    </row>
    <row r="1491" spans="1:44" x14ac:dyDescent="0.35">
      <c r="A1491" s="49" t="str">
        <f t="shared" ref="A1491:A1503" si="121">TEXT(44,"00")</f>
        <v>44</v>
      </c>
      <c r="B1491" s="27">
        <v>10447</v>
      </c>
      <c r="C1491" s="25" t="str">
        <f t="shared" si="120"/>
        <v>0000000</v>
      </c>
      <c r="D1491" s="26" t="s">
        <v>3663</v>
      </c>
      <c r="E1491" s="25" t="s">
        <v>2850</v>
      </c>
      <c r="F1491" s="25" t="s">
        <v>2851</v>
      </c>
      <c r="G1491" s="59" t="s">
        <v>2851</v>
      </c>
      <c r="H1491" s="60">
        <v>0</v>
      </c>
      <c r="I1491" s="60">
        <v>0</v>
      </c>
      <c r="J1491" s="60">
        <v>0</v>
      </c>
      <c r="K1491" s="60">
        <v>0</v>
      </c>
      <c r="L1491" s="60">
        <v>0</v>
      </c>
      <c r="M1491" s="60">
        <v>0</v>
      </c>
      <c r="N1491" s="60">
        <v>0</v>
      </c>
      <c r="O1491" s="60">
        <v>0</v>
      </c>
      <c r="P1491" s="60">
        <v>0</v>
      </c>
      <c r="Q1491" s="60">
        <v>0</v>
      </c>
      <c r="R1491" s="60">
        <v>0</v>
      </c>
      <c r="S1491" s="60">
        <v>0</v>
      </c>
      <c r="T1491" s="60">
        <v>881.08</v>
      </c>
      <c r="U1491" s="60">
        <v>938.58</v>
      </c>
      <c r="V1491" s="60">
        <v>870.25</v>
      </c>
      <c r="W1491" s="60">
        <v>91.41</v>
      </c>
      <c r="X1491" s="60">
        <v>83.79</v>
      </c>
      <c r="Y1491" s="60">
        <v>86.52</v>
      </c>
      <c r="Z1491" s="60">
        <v>153.35</v>
      </c>
      <c r="AA1491" s="60">
        <v>137.97999999999999</v>
      </c>
      <c r="AB1491" s="60">
        <v>117.59</v>
      </c>
      <c r="AC1491" s="60">
        <v>0</v>
      </c>
      <c r="AD1491" s="60">
        <v>0</v>
      </c>
      <c r="AE1491" s="60">
        <v>0</v>
      </c>
      <c r="AF1491" s="60">
        <v>0</v>
      </c>
      <c r="AG1491" s="60">
        <v>0</v>
      </c>
      <c r="AH1491" s="60">
        <v>0</v>
      </c>
      <c r="AI1491" s="60">
        <v>1125.8399999999999</v>
      </c>
      <c r="AJ1491" s="60">
        <v>1160.3499999999999</v>
      </c>
      <c r="AK1491" s="60">
        <v>1074.3599999999999</v>
      </c>
      <c r="AL1491" s="60">
        <v>0</v>
      </c>
      <c r="AM1491" s="60">
        <v>0</v>
      </c>
      <c r="AN1491" s="60">
        <v>0</v>
      </c>
      <c r="AO1491" s="60">
        <v>1125.8399999999999</v>
      </c>
      <c r="AP1491" s="60">
        <v>1160.3499999999999</v>
      </c>
      <c r="AQ1491" s="60">
        <v>1074.3599999999999</v>
      </c>
      <c r="AR1491" s="61">
        <v>1160.3499999999999</v>
      </c>
    </row>
    <row r="1492" spans="1:44" x14ac:dyDescent="0.35">
      <c r="A1492" s="49" t="str">
        <f t="shared" si="121"/>
        <v>44</v>
      </c>
      <c r="B1492" s="27">
        <v>69765</v>
      </c>
      <c r="C1492" s="25" t="str">
        <f t="shared" si="120"/>
        <v>0000000</v>
      </c>
      <c r="D1492" s="26" t="s">
        <v>3663</v>
      </c>
      <c r="E1492" s="25" t="s">
        <v>2859</v>
      </c>
      <c r="F1492" s="25" t="s">
        <v>2851</v>
      </c>
      <c r="G1492" s="59" t="s">
        <v>2860</v>
      </c>
      <c r="H1492" s="60">
        <v>1419.44</v>
      </c>
      <c r="I1492" s="60">
        <v>1403.79</v>
      </c>
      <c r="J1492" s="60">
        <v>1493.23</v>
      </c>
      <c r="K1492" s="60">
        <v>0</v>
      </c>
      <c r="L1492" s="60">
        <v>0</v>
      </c>
      <c r="M1492" s="60">
        <v>0</v>
      </c>
      <c r="N1492" s="60">
        <v>0</v>
      </c>
      <c r="O1492" s="60">
        <v>0</v>
      </c>
      <c r="P1492" s="60">
        <v>0</v>
      </c>
      <c r="Q1492" s="60">
        <v>0</v>
      </c>
      <c r="R1492" s="60">
        <v>0</v>
      </c>
      <c r="S1492" s="60">
        <v>0</v>
      </c>
      <c r="T1492" s="60">
        <v>0</v>
      </c>
      <c r="U1492" s="60">
        <v>0</v>
      </c>
      <c r="V1492" s="60">
        <v>0</v>
      </c>
      <c r="W1492" s="60">
        <v>0</v>
      </c>
      <c r="X1492" s="60">
        <v>0</v>
      </c>
      <c r="Y1492" s="60">
        <v>0</v>
      </c>
      <c r="Z1492" s="60">
        <v>0</v>
      </c>
      <c r="AA1492" s="60">
        <v>0</v>
      </c>
      <c r="AB1492" s="60">
        <v>0</v>
      </c>
      <c r="AC1492" s="60">
        <v>153.34</v>
      </c>
      <c r="AD1492" s="60">
        <v>144.58000000000001</v>
      </c>
      <c r="AE1492" s="60">
        <v>148.59</v>
      </c>
      <c r="AF1492" s="60">
        <v>0</v>
      </c>
      <c r="AG1492" s="60">
        <v>0</v>
      </c>
      <c r="AH1492" s="60">
        <v>0</v>
      </c>
      <c r="AI1492" s="60">
        <v>1572.78</v>
      </c>
      <c r="AJ1492" s="60">
        <v>1548.37</v>
      </c>
      <c r="AK1492" s="60">
        <v>1641.82</v>
      </c>
      <c r="AL1492" s="60">
        <v>0</v>
      </c>
      <c r="AM1492" s="60">
        <v>0</v>
      </c>
      <c r="AN1492" s="60">
        <v>0</v>
      </c>
      <c r="AO1492" s="60">
        <v>1572.78</v>
      </c>
      <c r="AP1492" s="60">
        <v>1548.37</v>
      </c>
      <c r="AQ1492" s="60">
        <v>1641.82</v>
      </c>
      <c r="AR1492" s="61">
        <v>1641.82</v>
      </c>
    </row>
    <row r="1493" spans="1:44" x14ac:dyDescent="0.35">
      <c r="A1493" s="49" t="str">
        <f t="shared" si="121"/>
        <v>44</v>
      </c>
      <c r="B1493" s="27">
        <v>69849</v>
      </c>
      <c r="C1493" s="25" t="str">
        <f t="shared" si="120"/>
        <v>0000000</v>
      </c>
      <c r="D1493" s="26" t="s">
        <v>3663</v>
      </c>
      <c r="E1493" s="25" t="s">
        <v>2877</v>
      </c>
      <c r="F1493" s="25" t="s">
        <v>2851</v>
      </c>
      <c r="G1493" s="59" t="s">
        <v>2878</v>
      </c>
      <c r="H1493" s="60">
        <v>1446.89</v>
      </c>
      <c r="I1493" s="60">
        <v>1497.79</v>
      </c>
      <c r="J1493" s="60">
        <v>1546.7</v>
      </c>
      <c r="K1493" s="60">
        <v>0</v>
      </c>
      <c r="L1493" s="60">
        <v>0</v>
      </c>
      <c r="M1493" s="60">
        <v>0</v>
      </c>
      <c r="N1493" s="60">
        <v>0</v>
      </c>
      <c r="O1493" s="60">
        <v>0</v>
      </c>
      <c r="P1493" s="60">
        <v>0</v>
      </c>
      <c r="Q1493" s="60">
        <v>0</v>
      </c>
      <c r="R1493" s="60">
        <v>0</v>
      </c>
      <c r="S1493" s="60">
        <v>0</v>
      </c>
      <c r="T1493" s="60">
        <v>0</v>
      </c>
      <c r="U1493" s="60">
        <v>0</v>
      </c>
      <c r="V1493" s="60">
        <v>0</v>
      </c>
      <c r="W1493" s="60">
        <v>0</v>
      </c>
      <c r="X1493" s="60">
        <v>0</v>
      </c>
      <c r="Y1493" s="60">
        <v>0</v>
      </c>
      <c r="Z1493" s="60">
        <v>0</v>
      </c>
      <c r="AA1493" s="60">
        <v>0</v>
      </c>
      <c r="AB1493" s="60">
        <v>0</v>
      </c>
      <c r="AC1493" s="60">
        <v>0</v>
      </c>
      <c r="AD1493" s="60">
        <v>0</v>
      </c>
      <c r="AE1493" s="60">
        <v>0</v>
      </c>
      <c r="AF1493" s="60">
        <v>0</v>
      </c>
      <c r="AG1493" s="60">
        <v>0</v>
      </c>
      <c r="AH1493" s="60">
        <v>0</v>
      </c>
      <c r="AI1493" s="60">
        <v>1446.89</v>
      </c>
      <c r="AJ1493" s="60">
        <v>1497.79</v>
      </c>
      <c r="AK1493" s="60">
        <v>1546.7</v>
      </c>
      <c r="AL1493" s="60">
        <v>0</v>
      </c>
      <c r="AM1493" s="60">
        <v>0</v>
      </c>
      <c r="AN1493" s="60">
        <v>0</v>
      </c>
      <c r="AO1493" s="60">
        <v>1446.89</v>
      </c>
      <c r="AP1493" s="60">
        <v>1497.79</v>
      </c>
      <c r="AQ1493" s="60">
        <v>1546.7</v>
      </c>
      <c r="AR1493" s="61">
        <v>1546.7</v>
      </c>
    </row>
    <row r="1494" spans="1:44" x14ac:dyDescent="0.35">
      <c r="A1494" s="49" t="str">
        <f t="shared" si="121"/>
        <v>44</v>
      </c>
      <c r="B1494" s="27">
        <v>69807</v>
      </c>
      <c r="C1494" s="25" t="str">
        <f t="shared" si="120"/>
        <v>0000000</v>
      </c>
      <c r="D1494" s="26" t="s">
        <v>3663</v>
      </c>
      <c r="E1494" s="25" t="s">
        <v>2869</v>
      </c>
      <c r="F1494" s="25" t="s">
        <v>2851</v>
      </c>
      <c r="G1494" s="59" t="s">
        <v>2870</v>
      </c>
      <c r="H1494" s="60">
        <v>1856.39</v>
      </c>
      <c r="I1494" s="60">
        <v>1864.64</v>
      </c>
      <c r="J1494" s="60">
        <v>1916.13</v>
      </c>
      <c r="K1494" s="60">
        <v>0</v>
      </c>
      <c r="L1494" s="60">
        <v>0</v>
      </c>
      <c r="M1494" s="60">
        <v>0</v>
      </c>
      <c r="N1494" s="60">
        <v>0</v>
      </c>
      <c r="O1494" s="60">
        <v>0</v>
      </c>
      <c r="P1494" s="60">
        <v>0</v>
      </c>
      <c r="Q1494" s="60">
        <v>0</v>
      </c>
      <c r="R1494" s="60">
        <v>0</v>
      </c>
      <c r="S1494" s="60">
        <v>0</v>
      </c>
      <c r="T1494" s="60">
        <v>0</v>
      </c>
      <c r="U1494" s="60">
        <v>0</v>
      </c>
      <c r="V1494" s="60">
        <v>0</v>
      </c>
      <c r="W1494" s="60">
        <v>0</v>
      </c>
      <c r="X1494" s="60">
        <v>0</v>
      </c>
      <c r="Y1494" s="60">
        <v>0</v>
      </c>
      <c r="Z1494" s="60">
        <v>0</v>
      </c>
      <c r="AA1494" s="60">
        <v>0</v>
      </c>
      <c r="AB1494" s="60">
        <v>0</v>
      </c>
      <c r="AC1494" s="60">
        <v>3470.98</v>
      </c>
      <c r="AD1494" s="60">
        <v>3286.01</v>
      </c>
      <c r="AE1494" s="60">
        <v>3350.44</v>
      </c>
      <c r="AF1494" s="60">
        <v>0</v>
      </c>
      <c r="AG1494" s="60">
        <v>0</v>
      </c>
      <c r="AH1494" s="60">
        <v>0</v>
      </c>
      <c r="AI1494" s="60">
        <v>5327.37</v>
      </c>
      <c r="AJ1494" s="60">
        <v>5150.6499999999996</v>
      </c>
      <c r="AK1494" s="60">
        <v>5266.57</v>
      </c>
      <c r="AL1494" s="60">
        <v>0</v>
      </c>
      <c r="AM1494" s="60">
        <v>0</v>
      </c>
      <c r="AN1494" s="60">
        <v>0</v>
      </c>
      <c r="AO1494" s="60">
        <v>5327.37</v>
      </c>
      <c r="AP1494" s="60">
        <v>5150.6499999999996</v>
      </c>
      <c r="AQ1494" s="60">
        <v>5266.57</v>
      </c>
      <c r="AR1494" s="61">
        <v>5327.37</v>
      </c>
    </row>
    <row r="1495" spans="1:44" x14ac:dyDescent="0.35">
      <c r="A1495" s="49" t="str">
        <f t="shared" si="121"/>
        <v>44</v>
      </c>
      <c r="B1495" s="27">
        <v>69823</v>
      </c>
      <c r="C1495" s="25" t="str">
        <f t="shared" si="120"/>
        <v>0000000</v>
      </c>
      <c r="D1495" s="26" t="s">
        <v>3663</v>
      </c>
      <c r="E1495" s="25" t="s">
        <v>2873</v>
      </c>
      <c r="F1495" s="25" t="s">
        <v>2851</v>
      </c>
      <c r="G1495" s="59" t="s">
        <v>2874</v>
      </c>
      <c r="H1495" s="60">
        <v>4030.68</v>
      </c>
      <c r="I1495" s="60">
        <v>3860.32</v>
      </c>
      <c r="J1495" s="60">
        <v>4072.42</v>
      </c>
      <c r="K1495" s="60">
        <v>0</v>
      </c>
      <c r="L1495" s="60">
        <v>0</v>
      </c>
      <c r="M1495" s="60">
        <v>0</v>
      </c>
      <c r="N1495" s="60">
        <v>0</v>
      </c>
      <c r="O1495" s="60">
        <v>0</v>
      </c>
      <c r="P1495" s="60">
        <v>0</v>
      </c>
      <c r="Q1495" s="60">
        <v>0</v>
      </c>
      <c r="R1495" s="60">
        <v>0</v>
      </c>
      <c r="S1495" s="60">
        <v>0</v>
      </c>
      <c r="T1495" s="60">
        <v>0</v>
      </c>
      <c r="U1495" s="60">
        <v>0</v>
      </c>
      <c r="V1495" s="60">
        <v>0</v>
      </c>
      <c r="W1495" s="60">
        <v>0</v>
      </c>
      <c r="X1495" s="60">
        <v>0</v>
      </c>
      <c r="Y1495" s="60">
        <v>0</v>
      </c>
      <c r="Z1495" s="60">
        <v>0</v>
      </c>
      <c r="AA1495" s="60">
        <v>0</v>
      </c>
      <c r="AB1495" s="60">
        <v>0</v>
      </c>
      <c r="AC1495" s="60">
        <v>0</v>
      </c>
      <c r="AD1495" s="60">
        <v>0</v>
      </c>
      <c r="AE1495" s="60">
        <v>624.57000000000005</v>
      </c>
      <c r="AF1495" s="60">
        <v>0</v>
      </c>
      <c r="AG1495" s="60">
        <v>0</v>
      </c>
      <c r="AH1495" s="60">
        <v>0</v>
      </c>
      <c r="AI1495" s="60">
        <v>4030.68</v>
      </c>
      <c r="AJ1495" s="60">
        <v>3860.32</v>
      </c>
      <c r="AK1495" s="60">
        <v>4696.99</v>
      </c>
      <c r="AL1495" s="60">
        <v>0</v>
      </c>
      <c r="AM1495" s="60">
        <v>0</v>
      </c>
      <c r="AN1495" s="60">
        <v>-624.57000000000005</v>
      </c>
      <c r="AO1495" s="60">
        <v>4030.68</v>
      </c>
      <c r="AP1495" s="60">
        <v>3860.32</v>
      </c>
      <c r="AQ1495" s="60">
        <v>4072.42</v>
      </c>
      <c r="AR1495" s="61">
        <v>4072.42</v>
      </c>
    </row>
    <row r="1496" spans="1:44" x14ac:dyDescent="0.35">
      <c r="A1496" s="49" t="str">
        <f t="shared" si="121"/>
        <v>44</v>
      </c>
      <c r="B1496" s="27">
        <v>69815</v>
      </c>
      <c r="C1496" s="25" t="str">
        <f t="shared" si="120"/>
        <v>0000000</v>
      </c>
      <c r="D1496" s="26" t="s">
        <v>3663</v>
      </c>
      <c r="E1496" s="25" t="s">
        <v>2871</v>
      </c>
      <c r="F1496" s="25" t="s">
        <v>2851</v>
      </c>
      <c r="G1496" s="59" t="s">
        <v>2872</v>
      </c>
      <c r="H1496" s="60">
        <v>1672.45</v>
      </c>
      <c r="I1496" s="60">
        <v>1632.8</v>
      </c>
      <c r="J1496" s="60">
        <v>1624.1</v>
      </c>
      <c r="K1496" s="60">
        <v>0</v>
      </c>
      <c r="L1496" s="60">
        <v>0</v>
      </c>
      <c r="M1496" s="60">
        <v>0</v>
      </c>
      <c r="N1496" s="60">
        <v>0</v>
      </c>
      <c r="O1496" s="60">
        <v>0</v>
      </c>
      <c r="P1496" s="60">
        <v>0</v>
      </c>
      <c r="Q1496" s="60">
        <v>0</v>
      </c>
      <c r="R1496" s="60">
        <v>0</v>
      </c>
      <c r="S1496" s="60">
        <v>0</v>
      </c>
      <c r="T1496" s="60">
        <v>0</v>
      </c>
      <c r="U1496" s="60">
        <v>0</v>
      </c>
      <c r="V1496" s="60">
        <v>0</v>
      </c>
      <c r="W1496" s="60">
        <v>0</v>
      </c>
      <c r="X1496" s="60">
        <v>0</v>
      </c>
      <c r="Y1496" s="60">
        <v>0</v>
      </c>
      <c r="Z1496" s="60">
        <v>0</v>
      </c>
      <c r="AA1496" s="60">
        <v>0</v>
      </c>
      <c r="AB1496" s="60">
        <v>0</v>
      </c>
      <c r="AC1496" s="60">
        <v>0</v>
      </c>
      <c r="AD1496" s="60">
        <v>0</v>
      </c>
      <c r="AE1496" s="60">
        <v>0</v>
      </c>
      <c r="AF1496" s="60">
        <v>0</v>
      </c>
      <c r="AG1496" s="60">
        <v>0</v>
      </c>
      <c r="AH1496" s="60">
        <v>0</v>
      </c>
      <c r="AI1496" s="60">
        <v>1672.45</v>
      </c>
      <c r="AJ1496" s="60">
        <v>1632.8</v>
      </c>
      <c r="AK1496" s="60">
        <v>1624.1</v>
      </c>
      <c r="AL1496" s="60">
        <v>0</v>
      </c>
      <c r="AM1496" s="60">
        <v>0</v>
      </c>
      <c r="AN1496" s="60">
        <v>0</v>
      </c>
      <c r="AO1496" s="60">
        <v>1672.45</v>
      </c>
      <c r="AP1496" s="60">
        <v>1632.8</v>
      </c>
      <c r="AQ1496" s="60">
        <v>1624.1</v>
      </c>
      <c r="AR1496" s="61">
        <v>1672.45</v>
      </c>
    </row>
    <row r="1497" spans="1:44" x14ac:dyDescent="0.35">
      <c r="A1497" s="49" t="str">
        <f t="shared" si="121"/>
        <v>44</v>
      </c>
      <c r="B1497" s="27">
        <v>75432</v>
      </c>
      <c r="C1497" s="25" t="str">
        <f t="shared" si="120"/>
        <v>0000000</v>
      </c>
      <c r="D1497" s="26" t="s">
        <v>3663</v>
      </c>
      <c r="E1497" s="25" t="s">
        <v>2879</v>
      </c>
      <c r="F1497" s="25" t="s">
        <v>2851</v>
      </c>
      <c r="G1497" s="59" t="s">
        <v>2880</v>
      </c>
      <c r="H1497" s="60">
        <v>1974.62</v>
      </c>
      <c r="I1497" s="60">
        <v>1980.23</v>
      </c>
      <c r="J1497" s="60">
        <v>2049.88</v>
      </c>
      <c r="K1497" s="60">
        <v>0</v>
      </c>
      <c r="L1497" s="60">
        <v>0</v>
      </c>
      <c r="M1497" s="60">
        <v>0</v>
      </c>
      <c r="N1497" s="60">
        <v>0</v>
      </c>
      <c r="O1497" s="60">
        <v>0</v>
      </c>
      <c r="P1497" s="60">
        <v>0</v>
      </c>
      <c r="Q1497" s="60">
        <v>0</v>
      </c>
      <c r="R1497" s="60">
        <v>0</v>
      </c>
      <c r="S1497" s="60">
        <v>0</v>
      </c>
      <c r="T1497" s="60">
        <v>0</v>
      </c>
      <c r="U1497" s="60">
        <v>0</v>
      </c>
      <c r="V1497" s="60">
        <v>0</v>
      </c>
      <c r="W1497" s="60">
        <v>0</v>
      </c>
      <c r="X1497" s="60">
        <v>0</v>
      </c>
      <c r="Y1497" s="60">
        <v>0</v>
      </c>
      <c r="Z1497" s="60">
        <v>0</v>
      </c>
      <c r="AA1497" s="60">
        <v>0</v>
      </c>
      <c r="AB1497" s="60">
        <v>0</v>
      </c>
      <c r="AC1497" s="60">
        <v>0</v>
      </c>
      <c r="AD1497" s="60">
        <v>0</v>
      </c>
      <c r="AE1497" s="60">
        <v>0</v>
      </c>
      <c r="AF1497" s="60">
        <v>0</v>
      </c>
      <c r="AG1497" s="60">
        <v>0</v>
      </c>
      <c r="AH1497" s="60">
        <v>0</v>
      </c>
      <c r="AI1497" s="60">
        <v>1974.62</v>
      </c>
      <c r="AJ1497" s="60">
        <v>1980.23</v>
      </c>
      <c r="AK1497" s="60">
        <v>2049.88</v>
      </c>
      <c r="AL1497" s="60">
        <v>0</v>
      </c>
      <c r="AM1497" s="60">
        <v>0</v>
      </c>
      <c r="AN1497" s="60">
        <v>0</v>
      </c>
      <c r="AO1497" s="60">
        <v>1974.62</v>
      </c>
      <c r="AP1497" s="60">
        <v>1980.23</v>
      </c>
      <c r="AQ1497" s="60">
        <v>2049.88</v>
      </c>
      <c r="AR1497" s="61">
        <v>2049.88</v>
      </c>
    </row>
    <row r="1498" spans="1:44" x14ac:dyDescent="0.35">
      <c r="A1498" s="49" t="str">
        <f t="shared" si="121"/>
        <v>44</v>
      </c>
      <c r="B1498" s="27">
        <v>69732</v>
      </c>
      <c r="C1498" s="25" t="str">
        <f t="shared" si="120"/>
        <v>0000000</v>
      </c>
      <c r="D1498" s="26" t="s">
        <v>3663</v>
      </c>
      <c r="E1498" s="25" t="s">
        <v>2855</v>
      </c>
      <c r="F1498" s="25" t="s">
        <v>2851</v>
      </c>
      <c r="G1498" s="59" t="s">
        <v>2856</v>
      </c>
      <c r="H1498" s="60">
        <v>87.86</v>
      </c>
      <c r="I1498" s="60">
        <v>102.31</v>
      </c>
      <c r="J1498" s="60">
        <v>107.58</v>
      </c>
      <c r="K1498" s="60">
        <v>0</v>
      </c>
      <c r="L1498" s="60">
        <v>0</v>
      </c>
      <c r="M1498" s="60">
        <v>0</v>
      </c>
      <c r="N1498" s="60">
        <v>0</v>
      </c>
      <c r="O1498" s="60">
        <v>0</v>
      </c>
      <c r="P1498" s="60">
        <v>0</v>
      </c>
      <c r="Q1498" s="60">
        <v>0</v>
      </c>
      <c r="R1498" s="60">
        <v>0</v>
      </c>
      <c r="S1498" s="60">
        <v>0</v>
      </c>
      <c r="T1498" s="60">
        <v>0</v>
      </c>
      <c r="U1498" s="60">
        <v>0</v>
      </c>
      <c r="V1498" s="60">
        <v>0</v>
      </c>
      <c r="W1498" s="60">
        <v>0</v>
      </c>
      <c r="X1498" s="60">
        <v>0</v>
      </c>
      <c r="Y1498" s="60">
        <v>0</v>
      </c>
      <c r="Z1498" s="60">
        <v>0</v>
      </c>
      <c r="AA1498" s="60">
        <v>0</v>
      </c>
      <c r="AB1498" s="60">
        <v>0</v>
      </c>
      <c r="AC1498" s="60">
        <v>0</v>
      </c>
      <c r="AD1498" s="60">
        <v>0</v>
      </c>
      <c r="AE1498" s="60">
        <v>0</v>
      </c>
      <c r="AF1498" s="60">
        <v>0</v>
      </c>
      <c r="AG1498" s="60">
        <v>0</v>
      </c>
      <c r="AH1498" s="60">
        <v>0</v>
      </c>
      <c r="AI1498" s="60">
        <v>87.86</v>
      </c>
      <c r="AJ1498" s="60">
        <v>102.31</v>
      </c>
      <c r="AK1498" s="60">
        <v>107.58</v>
      </c>
      <c r="AL1498" s="60">
        <v>0</v>
      </c>
      <c r="AM1498" s="60">
        <v>0</v>
      </c>
      <c r="AN1498" s="60">
        <v>0</v>
      </c>
      <c r="AO1498" s="60">
        <v>87.86</v>
      </c>
      <c r="AP1498" s="60">
        <v>102.31</v>
      </c>
      <c r="AQ1498" s="60">
        <v>107.58</v>
      </c>
      <c r="AR1498" s="61">
        <v>107.58</v>
      </c>
    </row>
    <row r="1499" spans="1:44" x14ac:dyDescent="0.35">
      <c r="A1499" s="49" t="str">
        <f t="shared" si="121"/>
        <v>44</v>
      </c>
      <c r="B1499" s="27">
        <v>69757</v>
      </c>
      <c r="C1499" s="25" t="str">
        <f t="shared" si="120"/>
        <v>0000000</v>
      </c>
      <c r="D1499" s="26" t="s">
        <v>3663</v>
      </c>
      <c r="E1499" s="25" t="s">
        <v>2857</v>
      </c>
      <c r="F1499" s="25" t="s">
        <v>2851</v>
      </c>
      <c r="G1499" s="59" t="s">
        <v>2858</v>
      </c>
      <c r="H1499" s="60">
        <v>115.48</v>
      </c>
      <c r="I1499" s="60">
        <v>109.38</v>
      </c>
      <c r="J1499" s="60">
        <v>102.07</v>
      </c>
      <c r="K1499" s="60">
        <v>0</v>
      </c>
      <c r="L1499" s="60">
        <v>0</v>
      </c>
      <c r="M1499" s="60">
        <v>0</v>
      </c>
      <c r="N1499" s="60">
        <v>0</v>
      </c>
      <c r="O1499" s="60">
        <v>0</v>
      </c>
      <c r="P1499" s="60">
        <v>0</v>
      </c>
      <c r="Q1499" s="60">
        <v>0</v>
      </c>
      <c r="R1499" s="60">
        <v>0</v>
      </c>
      <c r="S1499" s="60">
        <v>0</v>
      </c>
      <c r="T1499" s="60">
        <v>0</v>
      </c>
      <c r="U1499" s="60">
        <v>0</v>
      </c>
      <c r="V1499" s="60">
        <v>0</v>
      </c>
      <c r="W1499" s="60">
        <v>0</v>
      </c>
      <c r="X1499" s="60">
        <v>0</v>
      </c>
      <c r="Y1499" s="60">
        <v>0</v>
      </c>
      <c r="Z1499" s="60">
        <v>0</v>
      </c>
      <c r="AA1499" s="60">
        <v>0</v>
      </c>
      <c r="AB1499" s="60">
        <v>0</v>
      </c>
      <c r="AC1499" s="60">
        <v>0</v>
      </c>
      <c r="AD1499" s="60">
        <v>0</v>
      </c>
      <c r="AE1499" s="60">
        <v>0</v>
      </c>
      <c r="AF1499" s="60">
        <v>0</v>
      </c>
      <c r="AG1499" s="60">
        <v>0</v>
      </c>
      <c r="AH1499" s="60">
        <v>0</v>
      </c>
      <c r="AI1499" s="60">
        <v>115.48</v>
      </c>
      <c r="AJ1499" s="60">
        <v>109.38</v>
      </c>
      <c r="AK1499" s="60">
        <v>102.07</v>
      </c>
      <c r="AL1499" s="60">
        <v>0</v>
      </c>
      <c r="AM1499" s="60">
        <v>0</v>
      </c>
      <c r="AN1499" s="60">
        <v>0</v>
      </c>
      <c r="AO1499" s="60">
        <v>115.48</v>
      </c>
      <c r="AP1499" s="60">
        <v>109.38</v>
      </c>
      <c r="AQ1499" s="60">
        <v>102.07</v>
      </c>
      <c r="AR1499" s="61">
        <v>115.48</v>
      </c>
    </row>
    <row r="1500" spans="1:44" x14ac:dyDescent="0.35">
      <c r="A1500" s="49" t="str">
        <f t="shared" si="121"/>
        <v>44</v>
      </c>
      <c r="B1500" s="27">
        <v>69773</v>
      </c>
      <c r="C1500" s="25" t="str">
        <f t="shared" si="120"/>
        <v>0000000</v>
      </c>
      <c r="D1500" s="26" t="s">
        <v>3663</v>
      </c>
      <c r="E1500" s="25" t="s">
        <v>2861</v>
      </c>
      <c r="F1500" s="25" t="s">
        <v>2851</v>
      </c>
      <c r="G1500" s="59" t="s">
        <v>2862</v>
      </c>
      <c r="H1500" s="60">
        <v>152.16999999999999</v>
      </c>
      <c r="I1500" s="60">
        <v>146.05000000000001</v>
      </c>
      <c r="J1500" s="60">
        <v>130.1</v>
      </c>
      <c r="K1500" s="60">
        <v>0</v>
      </c>
      <c r="L1500" s="60">
        <v>0</v>
      </c>
      <c r="M1500" s="60">
        <v>0</v>
      </c>
      <c r="N1500" s="60">
        <v>0</v>
      </c>
      <c r="O1500" s="60">
        <v>0</v>
      </c>
      <c r="P1500" s="60">
        <v>0</v>
      </c>
      <c r="Q1500" s="60">
        <v>0</v>
      </c>
      <c r="R1500" s="60">
        <v>0</v>
      </c>
      <c r="S1500" s="60">
        <v>0</v>
      </c>
      <c r="T1500" s="60">
        <v>0</v>
      </c>
      <c r="U1500" s="60">
        <v>0</v>
      </c>
      <c r="V1500" s="60">
        <v>0</v>
      </c>
      <c r="W1500" s="60">
        <v>0</v>
      </c>
      <c r="X1500" s="60">
        <v>0</v>
      </c>
      <c r="Y1500" s="60">
        <v>0</v>
      </c>
      <c r="Z1500" s="60">
        <v>0</v>
      </c>
      <c r="AA1500" s="60">
        <v>0</v>
      </c>
      <c r="AB1500" s="60">
        <v>0</v>
      </c>
      <c r="AC1500" s="60">
        <v>0</v>
      </c>
      <c r="AD1500" s="60">
        <v>0</v>
      </c>
      <c r="AE1500" s="60">
        <v>0</v>
      </c>
      <c r="AF1500" s="60">
        <v>0</v>
      </c>
      <c r="AG1500" s="60">
        <v>0</v>
      </c>
      <c r="AH1500" s="60">
        <v>0</v>
      </c>
      <c r="AI1500" s="60">
        <v>152.16999999999999</v>
      </c>
      <c r="AJ1500" s="60">
        <v>146.05000000000001</v>
      </c>
      <c r="AK1500" s="60">
        <v>130.1</v>
      </c>
      <c r="AL1500" s="60">
        <v>0</v>
      </c>
      <c r="AM1500" s="60">
        <v>0</v>
      </c>
      <c r="AN1500" s="60">
        <v>0</v>
      </c>
      <c r="AO1500" s="60">
        <v>152.16999999999999</v>
      </c>
      <c r="AP1500" s="60">
        <v>146.05000000000001</v>
      </c>
      <c r="AQ1500" s="60">
        <v>130.1</v>
      </c>
      <c r="AR1500" s="61">
        <v>152.16999999999999</v>
      </c>
    </row>
    <row r="1501" spans="1:44" x14ac:dyDescent="0.35">
      <c r="A1501" s="49" t="str">
        <f t="shared" si="121"/>
        <v>44</v>
      </c>
      <c r="B1501" s="27">
        <v>69781</v>
      </c>
      <c r="C1501" s="25" t="str">
        <f t="shared" si="120"/>
        <v>0000000</v>
      </c>
      <c r="D1501" s="26" t="s">
        <v>3663</v>
      </c>
      <c r="E1501" s="25" t="s">
        <v>2863</v>
      </c>
      <c r="F1501" s="25" t="s">
        <v>2851</v>
      </c>
      <c r="G1501" s="59" t="s">
        <v>2864</v>
      </c>
      <c r="H1501" s="60">
        <v>153.62</v>
      </c>
      <c r="I1501" s="60">
        <v>140.83000000000001</v>
      </c>
      <c r="J1501" s="60">
        <v>132.06</v>
      </c>
      <c r="K1501" s="60">
        <v>0</v>
      </c>
      <c r="L1501" s="60">
        <v>0</v>
      </c>
      <c r="M1501" s="60">
        <v>0</v>
      </c>
      <c r="N1501" s="60">
        <v>0</v>
      </c>
      <c r="O1501" s="60">
        <v>0</v>
      </c>
      <c r="P1501" s="60">
        <v>0</v>
      </c>
      <c r="Q1501" s="60">
        <v>0</v>
      </c>
      <c r="R1501" s="60">
        <v>0</v>
      </c>
      <c r="S1501" s="60">
        <v>0</v>
      </c>
      <c r="T1501" s="60">
        <v>0</v>
      </c>
      <c r="U1501" s="60">
        <v>0</v>
      </c>
      <c r="V1501" s="60">
        <v>0</v>
      </c>
      <c r="W1501" s="60">
        <v>0</v>
      </c>
      <c r="X1501" s="60">
        <v>0</v>
      </c>
      <c r="Y1501" s="60">
        <v>0</v>
      </c>
      <c r="Z1501" s="60">
        <v>0</v>
      </c>
      <c r="AA1501" s="60">
        <v>0</v>
      </c>
      <c r="AB1501" s="60">
        <v>0</v>
      </c>
      <c r="AC1501" s="60">
        <v>0</v>
      </c>
      <c r="AD1501" s="60">
        <v>0</v>
      </c>
      <c r="AE1501" s="60">
        <v>0</v>
      </c>
      <c r="AF1501" s="60">
        <v>0</v>
      </c>
      <c r="AG1501" s="60">
        <v>0</v>
      </c>
      <c r="AH1501" s="60">
        <v>0</v>
      </c>
      <c r="AI1501" s="60">
        <v>153.62</v>
      </c>
      <c r="AJ1501" s="60">
        <v>140.83000000000001</v>
      </c>
      <c r="AK1501" s="60">
        <v>132.06</v>
      </c>
      <c r="AL1501" s="60">
        <v>0</v>
      </c>
      <c r="AM1501" s="60">
        <v>0</v>
      </c>
      <c r="AN1501" s="60">
        <v>0</v>
      </c>
      <c r="AO1501" s="60">
        <v>153.62</v>
      </c>
      <c r="AP1501" s="60">
        <v>140.83000000000001</v>
      </c>
      <c r="AQ1501" s="60">
        <v>132.06</v>
      </c>
      <c r="AR1501" s="61">
        <v>153.62</v>
      </c>
    </row>
    <row r="1502" spans="1:44" x14ac:dyDescent="0.35">
      <c r="A1502" s="49" t="str">
        <f t="shared" si="121"/>
        <v>44</v>
      </c>
      <c r="B1502" s="27">
        <v>10447</v>
      </c>
      <c r="C1502" s="25" t="str">
        <f>TEXT(4430252,"0000000")</f>
        <v>4430252</v>
      </c>
      <c r="D1502" s="26" t="s">
        <v>2854</v>
      </c>
      <c r="E1502" s="25" t="s">
        <v>2852</v>
      </c>
      <c r="F1502" s="25" t="s">
        <v>2851</v>
      </c>
      <c r="G1502" s="59" t="s">
        <v>2853</v>
      </c>
      <c r="H1502" s="60">
        <v>0</v>
      </c>
      <c r="I1502" s="60">
        <v>0</v>
      </c>
      <c r="J1502" s="60">
        <v>0</v>
      </c>
      <c r="K1502" s="60">
        <v>0</v>
      </c>
      <c r="L1502" s="60">
        <v>0</v>
      </c>
      <c r="M1502" s="60">
        <v>0</v>
      </c>
      <c r="N1502" s="60">
        <v>0</v>
      </c>
      <c r="O1502" s="60">
        <v>0</v>
      </c>
      <c r="P1502" s="60">
        <v>0</v>
      </c>
      <c r="Q1502" s="60">
        <v>0</v>
      </c>
      <c r="R1502" s="60">
        <v>0</v>
      </c>
      <c r="S1502" s="60">
        <v>0</v>
      </c>
      <c r="T1502" s="60">
        <v>0</v>
      </c>
      <c r="U1502" s="60">
        <v>0</v>
      </c>
      <c r="V1502" s="60">
        <v>0</v>
      </c>
      <c r="W1502" s="60">
        <v>0</v>
      </c>
      <c r="X1502" s="60">
        <v>0</v>
      </c>
      <c r="Y1502" s="60">
        <v>0</v>
      </c>
      <c r="Z1502" s="60">
        <v>0</v>
      </c>
      <c r="AA1502" s="60">
        <v>0</v>
      </c>
      <c r="AB1502" s="60">
        <v>0</v>
      </c>
      <c r="AC1502" s="60">
        <v>510.93</v>
      </c>
      <c r="AD1502" s="60">
        <v>499.81</v>
      </c>
      <c r="AE1502" s="60">
        <v>0</v>
      </c>
      <c r="AF1502" s="60">
        <v>0</v>
      </c>
      <c r="AG1502" s="60">
        <v>0</v>
      </c>
      <c r="AH1502" s="60">
        <v>0</v>
      </c>
      <c r="AI1502" s="60">
        <v>510.93</v>
      </c>
      <c r="AJ1502" s="60">
        <v>499.81</v>
      </c>
      <c r="AK1502" s="60">
        <v>0</v>
      </c>
      <c r="AL1502" s="60">
        <v>0</v>
      </c>
      <c r="AM1502" s="60">
        <v>0</v>
      </c>
      <c r="AN1502" s="60">
        <v>527.07000000000005</v>
      </c>
      <c r="AO1502" s="60">
        <v>510.93</v>
      </c>
      <c r="AP1502" s="60">
        <v>499.81</v>
      </c>
      <c r="AQ1502" s="60">
        <v>527.07000000000005</v>
      </c>
      <c r="AR1502" s="61">
        <v>527.07000000000005</v>
      </c>
    </row>
    <row r="1503" spans="1:44" x14ac:dyDescent="0.35">
      <c r="A1503" s="49" t="str">
        <f t="shared" si="121"/>
        <v>44</v>
      </c>
      <c r="B1503" s="27">
        <v>69823</v>
      </c>
      <c r="C1503" s="25" t="str">
        <f>TEXT(4430187,"0000000")</f>
        <v>4430187</v>
      </c>
      <c r="D1503" s="26" t="s">
        <v>2876</v>
      </c>
      <c r="E1503" s="25" t="s">
        <v>2875</v>
      </c>
      <c r="F1503" s="25" t="s">
        <v>2851</v>
      </c>
      <c r="G1503" s="59" t="s">
        <v>2459</v>
      </c>
      <c r="H1503" s="60">
        <v>0</v>
      </c>
      <c r="I1503" s="60">
        <v>0</v>
      </c>
      <c r="J1503" s="60">
        <v>0</v>
      </c>
      <c r="K1503" s="60">
        <v>0</v>
      </c>
      <c r="L1503" s="60">
        <v>0</v>
      </c>
      <c r="M1503" s="60">
        <v>0</v>
      </c>
      <c r="N1503" s="60">
        <v>0</v>
      </c>
      <c r="O1503" s="60">
        <v>0</v>
      </c>
      <c r="P1503" s="60">
        <v>0</v>
      </c>
      <c r="Q1503" s="60">
        <v>0</v>
      </c>
      <c r="R1503" s="60">
        <v>0</v>
      </c>
      <c r="S1503" s="60">
        <v>0</v>
      </c>
      <c r="T1503" s="60">
        <v>0</v>
      </c>
      <c r="U1503" s="60">
        <v>0</v>
      </c>
      <c r="V1503" s="60">
        <v>0</v>
      </c>
      <c r="W1503" s="60">
        <v>0</v>
      </c>
      <c r="X1503" s="60">
        <v>0</v>
      </c>
      <c r="Y1503" s="60">
        <v>0</v>
      </c>
      <c r="Z1503" s="60">
        <v>0</v>
      </c>
      <c r="AA1503" s="60">
        <v>0</v>
      </c>
      <c r="AB1503" s="60">
        <v>0</v>
      </c>
      <c r="AC1503" s="60">
        <v>107.08</v>
      </c>
      <c r="AD1503" s="60">
        <v>103.47</v>
      </c>
      <c r="AE1503" s="60">
        <v>0</v>
      </c>
      <c r="AF1503" s="60">
        <v>0</v>
      </c>
      <c r="AG1503" s="60">
        <v>0</v>
      </c>
      <c r="AH1503" s="60">
        <v>0</v>
      </c>
      <c r="AI1503" s="60">
        <v>107.08</v>
      </c>
      <c r="AJ1503" s="60">
        <v>103.47</v>
      </c>
      <c r="AK1503" s="60">
        <v>0</v>
      </c>
      <c r="AL1503" s="60">
        <v>0</v>
      </c>
      <c r="AM1503" s="60">
        <v>0</v>
      </c>
      <c r="AN1503" s="60">
        <v>97.5</v>
      </c>
      <c r="AO1503" s="60">
        <v>107.08</v>
      </c>
      <c r="AP1503" s="60">
        <v>103.47</v>
      </c>
      <c r="AQ1503" s="60">
        <v>97.5</v>
      </c>
      <c r="AR1503" s="61">
        <v>107.08</v>
      </c>
    </row>
    <row r="1504" spans="1:44" x14ac:dyDescent="0.35">
      <c r="A1504" s="49" t="str">
        <f>TEXT(15,"00")</f>
        <v>15</v>
      </c>
      <c r="B1504" s="27">
        <v>73742</v>
      </c>
      <c r="C1504" s="25" t="str">
        <f>TEXT(,"0000000")</f>
        <v>0000000</v>
      </c>
      <c r="D1504" s="26" t="s">
        <v>3663</v>
      </c>
      <c r="E1504" s="25" t="s">
        <v>747</v>
      </c>
      <c r="F1504" s="25" t="s">
        <v>748</v>
      </c>
      <c r="G1504" s="59" t="s">
        <v>748</v>
      </c>
      <c r="H1504" s="60">
        <v>4699.3999999999996</v>
      </c>
      <c r="I1504" s="60">
        <v>4679.5200000000004</v>
      </c>
      <c r="J1504" s="60">
        <v>4598.4399999999996</v>
      </c>
      <c r="K1504" s="60">
        <v>0</v>
      </c>
      <c r="L1504" s="60">
        <v>0</v>
      </c>
      <c r="M1504" s="60">
        <v>0</v>
      </c>
      <c r="N1504" s="60">
        <v>0</v>
      </c>
      <c r="O1504" s="60">
        <v>0</v>
      </c>
      <c r="P1504" s="60">
        <v>0</v>
      </c>
      <c r="Q1504" s="60">
        <v>0</v>
      </c>
      <c r="R1504" s="60">
        <v>0</v>
      </c>
      <c r="S1504" s="60">
        <v>0</v>
      </c>
      <c r="T1504" s="60">
        <v>0</v>
      </c>
      <c r="U1504" s="60">
        <v>0</v>
      </c>
      <c r="V1504" s="60">
        <v>0</v>
      </c>
      <c r="W1504" s="60">
        <v>0</v>
      </c>
      <c r="X1504" s="60">
        <v>0</v>
      </c>
      <c r="Y1504" s="60">
        <v>0</v>
      </c>
      <c r="Z1504" s="60">
        <v>0</v>
      </c>
      <c r="AA1504" s="60">
        <v>0</v>
      </c>
      <c r="AB1504" s="60">
        <v>0</v>
      </c>
      <c r="AC1504" s="60">
        <v>0</v>
      </c>
      <c r="AD1504" s="60">
        <v>0</v>
      </c>
      <c r="AE1504" s="60">
        <v>0</v>
      </c>
      <c r="AF1504" s="60">
        <v>0</v>
      </c>
      <c r="AG1504" s="60">
        <v>0</v>
      </c>
      <c r="AH1504" s="60">
        <v>0</v>
      </c>
      <c r="AI1504" s="60">
        <v>4699.3999999999996</v>
      </c>
      <c r="AJ1504" s="60">
        <v>4679.5200000000004</v>
      </c>
      <c r="AK1504" s="60">
        <v>4598.4399999999996</v>
      </c>
      <c r="AL1504" s="60">
        <v>0</v>
      </c>
      <c r="AM1504" s="60">
        <v>0</v>
      </c>
      <c r="AN1504" s="60">
        <v>0</v>
      </c>
      <c r="AO1504" s="60">
        <v>4699.3999999999996</v>
      </c>
      <c r="AP1504" s="60">
        <v>4679.5200000000004</v>
      </c>
      <c r="AQ1504" s="60">
        <v>4598.4399999999996</v>
      </c>
      <c r="AR1504" s="61">
        <v>4699.3999999999996</v>
      </c>
    </row>
    <row r="1505" spans="1:44" x14ac:dyDescent="0.35">
      <c r="A1505" s="49" t="str">
        <f>TEXT(49,"00")</f>
        <v>49</v>
      </c>
      <c r="B1505" s="27">
        <v>10496</v>
      </c>
      <c r="C1505" s="25" t="str">
        <f>TEXT(,"0000000")</f>
        <v>0000000</v>
      </c>
      <c r="D1505" s="26" t="s">
        <v>3663</v>
      </c>
      <c r="E1505" s="25" t="s">
        <v>20</v>
      </c>
      <c r="F1505" s="25" t="s">
        <v>21</v>
      </c>
      <c r="G1505" s="59" t="s">
        <v>21</v>
      </c>
      <c r="H1505" s="60">
        <v>0</v>
      </c>
      <c r="I1505" s="60">
        <v>0</v>
      </c>
      <c r="J1505" s="60">
        <v>0</v>
      </c>
      <c r="K1505" s="60">
        <v>0</v>
      </c>
      <c r="L1505" s="60">
        <v>0</v>
      </c>
      <c r="M1505" s="60">
        <v>0</v>
      </c>
      <c r="N1505" s="60">
        <v>0</v>
      </c>
      <c r="O1505" s="60">
        <v>0</v>
      </c>
      <c r="P1505" s="60">
        <v>0</v>
      </c>
      <c r="Q1505" s="60">
        <v>0</v>
      </c>
      <c r="R1505" s="60">
        <v>0</v>
      </c>
      <c r="S1505" s="60">
        <v>0</v>
      </c>
      <c r="T1505" s="60">
        <v>0</v>
      </c>
      <c r="U1505" s="60">
        <v>0</v>
      </c>
      <c r="V1505" s="60">
        <v>0</v>
      </c>
      <c r="W1505" s="60">
        <v>0</v>
      </c>
      <c r="X1505" s="60">
        <v>0</v>
      </c>
      <c r="Y1505" s="60">
        <v>0</v>
      </c>
      <c r="Z1505" s="60">
        <v>0</v>
      </c>
      <c r="AA1505" s="60">
        <v>0</v>
      </c>
      <c r="AB1505" s="60">
        <v>0</v>
      </c>
      <c r="AC1505" s="60">
        <v>0</v>
      </c>
      <c r="AD1505" s="60">
        <v>0</v>
      </c>
      <c r="AE1505" s="60">
        <v>0</v>
      </c>
      <c r="AF1505" s="60">
        <v>0</v>
      </c>
      <c r="AG1505" s="60">
        <v>0</v>
      </c>
      <c r="AH1505" s="60">
        <v>0</v>
      </c>
      <c r="AI1505" s="60">
        <v>0</v>
      </c>
      <c r="AJ1505" s="60">
        <v>0</v>
      </c>
      <c r="AK1505" s="60">
        <v>0</v>
      </c>
      <c r="AL1505" s="60">
        <v>0</v>
      </c>
      <c r="AM1505" s="60">
        <v>0</v>
      </c>
      <c r="AN1505" s="60">
        <v>0</v>
      </c>
      <c r="AO1505" s="60">
        <v>0</v>
      </c>
      <c r="AP1505" s="60">
        <v>0</v>
      </c>
      <c r="AQ1505" s="60">
        <v>0</v>
      </c>
      <c r="AR1505" s="61">
        <v>0</v>
      </c>
    </row>
    <row r="1506" spans="1:44" x14ac:dyDescent="0.35">
      <c r="A1506" s="49" t="str">
        <f>TEXT(1,"00")</f>
        <v>01</v>
      </c>
      <c r="B1506" s="27">
        <v>10017</v>
      </c>
      <c r="C1506" s="25" t="str">
        <f>TEXT(131581,"0000000")</f>
        <v>0131581</v>
      </c>
      <c r="D1506" s="27">
        <v>1707</v>
      </c>
      <c r="E1506" s="25" t="s">
        <v>22</v>
      </c>
      <c r="F1506" s="25" t="s">
        <v>21</v>
      </c>
      <c r="G1506" s="59" t="s">
        <v>23</v>
      </c>
      <c r="H1506" s="60">
        <v>0</v>
      </c>
      <c r="I1506" s="60">
        <v>0</v>
      </c>
      <c r="J1506" s="60">
        <v>0</v>
      </c>
      <c r="K1506" s="60">
        <v>0</v>
      </c>
      <c r="L1506" s="60">
        <v>0</v>
      </c>
      <c r="M1506" s="60">
        <v>0</v>
      </c>
      <c r="N1506" s="60">
        <v>0</v>
      </c>
      <c r="O1506" s="60">
        <v>0</v>
      </c>
      <c r="P1506" s="60">
        <v>0</v>
      </c>
      <c r="Q1506" s="60">
        <v>0</v>
      </c>
      <c r="R1506" s="60">
        <v>0</v>
      </c>
      <c r="S1506" s="60">
        <v>0</v>
      </c>
      <c r="T1506" s="60">
        <v>0</v>
      </c>
      <c r="U1506" s="60">
        <v>0</v>
      </c>
      <c r="V1506" s="60">
        <v>0</v>
      </c>
      <c r="W1506" s="60">
        <v>0</v>
      </c>
      <c r="X1506" s="60">
        <v>0</v>
      </c>
      <c r="Y1506" s="60">
        <v>0</v>
      </c>
      <c r="Z1506" s="60">
        <v>0</v>
      </c>
      <c r="AA1506" s="60">
        <v>0</v>
      </c>
      <c r="AB1506" s="60">
        <v>0</v>
      </c>
      <c r="AC1506" s="60">
        <v>117.92</v>
      </c>
      <c r="AD1506" s="60">
        <v>96.3</v>
      </c>
      <c r="AE1506" s="60">
        <v>101.56</v>
      </c>
      <c r="AF1506" s="60">
        <v>0</v>
      </c>
      <c r="AG1506" s="60">
        <v>0</v>
      </c>
      <c r="AH1506" s="60">
        <v>0</v>
      </c>
      <c r="AI1506" s="60">
        <v>117.92</v>
      </c>
      <c r="AJ1506" s="60">
        <v>96.3</v>
      </c>
      <c r="AK1506" s="60">
        <v>101.56</v>
      </c>
      <c r="AL1506" s="60">
        <v>0</v>
      </c>
      <c r="AM1506" s="60">
        <v>0</v>
      </c>
      <c r="AN1506" s="60">
        <v>0</v>
      </c>
      <c r="AO1506" s="60">
        <v>117.92</v>
      </c>
      <c r="AP1506" s="60">
        <v>96.3</v>
      </c>
      <c r="AQ1506" s="60">
        <v>101.56</v>
      </c>
      <c r="AR1506" s="61">
        <v>117.92</v>
      </c>
    </row>
    <row r="1507" spans="1:44" x14ac:dyDescent="0.35">
      <c r="A1507" s="49" t="str">
        <f>TEXT(1,"00")</f>
        <v>01</v>
      </c>
      <c r="B1507" s="27">
        <v>61119</v>
      </c>
      <c r="C1507" s="25" t="str">
        <f>TEXT(122085,"0000000")</f>
        <v>0122085</v>
      </c>
      <c r="D1507" s="27">
        <v>1181</v>
      </c>
      <c r="E1507" s="25" t="s">
        <v>41</v>
      </c>
      <c r="F1507" s="25" t="s">
        <v>21</v>
      </c>
      <c r="G1507" s="59" t="s">
        <v>42</v>
      </c>
      <c r="H1507" s="60">
        <v>0</v>
      </c>
      <c r="I1507" s="60">
        <v>0</v>
      </c>
      <c r="J1507" s="60">
        <v>0</v>
      </c>
      <c r="K1507" s="60">
        <v>0</v>
      </c>
      <c r="L1507" s="60">
        <v>0</v>
      </c>
      <c r="M1507" s="60">
        <v>0</v>
      </c>
      <c r="N1507" s="60">
        <v>0</v>
      </c>
      <c r="O1507" s="60">
        <v>0</v>
      </c>
      <c r="P1507" s="60">
        <v>0</v>
      </c>
      <c r="Q1507" s="60">
        <v>0</v>
      </c>
      <c r="R1507" s="60">
        <v>0</v>
      </c>
      <c r="S1507" s="60">
        <v>0</v>
      </c>
      <c r="T1507" s="60">
        <v>0</v>
      </c>
      <c r="U1507" s="60">
        <v>0</v>
      </c>
      <c r="V1507" s="60">
        <v>0</v>
      </c>
      <c r="W1507" s="60">
        <v>0</v>
      </c>
      <c r="X1507" s="60">
        <v>0</v>
      </c>
      <c r="Y1507" s="60">
        <v>0</v>
      </c>
      <c r="Z1507" s="60">
        <v>0</v>
      </c>
      <c r="AA1507" s="60">
        <v>0</v>
      </c>
      <c r="AB1507" s="60">
        <v>0</v>
      </c>
      <c r="AC1507" s="60">
        <v>578.39</v>
      </c>
      <c r="AD1507" s="60">
        <v>564.72</v>
      </c>
      <c r="AE1507" s="60">
        <v>342.15</v>
      </c>
      <c r="AF1507" s="60">
        <v>0</v>
      </c>
      <c r="AG1507" s="60">
        <v>0</v>
      </c>
      <c r="AH1507" s="60">
        <v>0</v>
      </c>
      <c r="AI1507" s="60">
        <v>578.39</v>
      </c>
      <c r="AJ1507" s="60">
        <v>564.72</v>
      </c>
      <c r="AK1507" s="60">
        <v>342.15</v>
      </c>
      <c r="AL1507" s="60">
        <v>0</v>
      </c>
      <c r="AM1507" s="60">
        <v>0</v>
      </c>
      <c r="AN1507" s="60">
        <v>0</v>
      </c>
      <c r="AO1507" s="60">
        <v>578.39</v>
      </c>
      <c r="AP1507" s="60">
        <v>564.72</v>
      </c>
      <c r="AQ1507" s="60">
        <v>342.15</v>
      </c>
      <c r="AR1507" s="61">
        <v>578.39</v>
      </c>
    </row>
    <row r="1508" spans="1:44" x14ac:dyDescent="0.35">
      <c r="A1508" s="49" t="str">
        <f>TEXT(1,"00")</f>
        <v>01</v>
      </c>
      <c r="B1508" s="27">
        <v>61192</v>
      </c>
      <c r="C1508" s="25" t="str">
        <f>TEXT(127944,"0000000")</f>
        <v>0127944</v>
      </c>
      <c r="D1508" s="27">
        <v>1543</v>
      </c>
      <c r="E1508" s="25" t="s">
        <v>61</v>
      </c>
      <c r="F1508" s="25" t="s">
        <v>21</v>
      </c>
      <c r="G1508" s="59" t="s">
        <v>62</v>
      </c>
      <c r="H1508" s="60">
        <v>0</v>
      </c>
      <c r="I1508" s="60">
        <v>0</v>
      </c>
      <c r="J1508" s="60">
        <v>0</v>
      </c>
      <c r="K1508" s="60">
        <v>0</v>
      </c>
      <c r="L1508" s="60">
        <v>0</v>
      </c>
      <c r="M1508" s="60">
        <v>0</v>
      </c>
      <c r="N1508" s="60">
        <v>0</v>
      </c>
      <c r="O1508" s="60">
        <v>0</v>
      </c>
      <c r="P1508" s="60">
        <v>0</v>
      </c>
      <c r="Q1508" s="60">
        <v>0</v>
      </c>
      <c r="R1508" s="60">
        <v>0</v>
      </c>
      <c r="S1508" s="60">
        <v>0</v>
      </c>
      <c r="T1508" s="60">
        <v>0</v>
      </c>
      <c r="U1508" s="60">
        <v>0</v>
      </c>
      <c r="V1508" s="60">
        <v>0</v>
      </c>
      <c r="W1508" s="60">
        <v>0</v>
      </c>
      <c r="X1508" s="60">
        <v>0</v>
      </c>
      <c r="Y1508" s="60">
        <v>0</v>
      </c>
      <c r="Z1508" s="60">
        <v>0</v>
      </c>
      <c r="AA1508" s="60">
        <v>0</v>
      </c>
      <c r="AB1508" s="60">
        <v>0</v>
      </c>
      <c r="AC1508" s="60">
        <v>557.20000000000005</v>
      </c>
      <c r="AD1508" s="60">
        <v>510.28</v>
      </c>
      <c r="AE1508" s="60">
        <v>450.71</v>
      </c>
      <c r="AF1508" s="60">
        <v>0</v>
      </c>
      <c r="AG1508" s="60">
        <v>0</v>
      </c>
      <c r="AH1508" s="60">
        <v>0</v>
      </c>
      <c r="AI1508" s="60">
        <v>557.20000000000005</v>
      </c>
      <c r="AJ1508" s="60">
        <v>510.28</v>
      </c>
      <c r="AK1508" s="60">
        <v>450.71</v>
      </c>
      <c r="AL1508" s="60">
        <v>0</v>
      </c>
      <c r="AM1508" s="60">
        <v>0</v>
      </c>
      <c r="AN1508" s="60">
        <v>0</v>
      </c>
      <c r="AO1508" s="60">
        <v>557.20000000000005</v>
      </c>
      <c r="AP1508" s="60">
        <v>510.28</v>
      </c>
      <c r="AQ1508" s="60">
        <v>450.71</v>
      </c>
      <c r="AR1508" s="61">
        <v>557.20000000000005</v>
      </c>
    </row>
    <row r="1509" spans="1:44" x14ac:dyDescent="0.35">
      <c r="A1509" s="49" t="str">
        <f>TEXT(1,"00")</f>
        <v>01</v>
      </c>
      <c r="B1509" s="27">
        <v>61259</v>
      </c>
      <c r="C1509" s="25" t="str">
        <f>TEXT(100065,"0000000")</f>
        <v>0100065</v>
      </c>
      <c r="D1509" s="26" t="s">
        <v>78</v>
      </c>
      <c r="E1509" s="25" t="s">
        <v>76</v>
      </c>
      <c r="F1509" s="25" t="s">
        <v>21</v>
      </c>
      <c r="G1509" s="59" t="s">
        <v>77</v>
      </c>
      <c r="H1509" s="60">
        <v>0</v>
      </c>
      <c r="I1509" s="60">
        <v>0</v>
      </c>
      <c r="J1509" s="60">
        <v>0</v>
      </c>
      <c r="K1509" s="60">
        <v>0</v>
      </c>
      <c r="L1509" s="60">
        <v>0</v>
      </c>
      <c r="M1509" s="60">
        <v>0</v>
      </c>
      <c r="N1509" s="60">
        <v>0</v>
      </c>
      <c r="O1509" s="60">
        <v>0</v>
      </c>
      <c r="P1509" s="60">
        <v>0</v>
      </c>
      <c r="Q1509" s="60">
        <v>0</v>
      </c>
      <c r="R1509" s="60">
        <v>0</v>
      </c>
      <c r="S1509" s="60">
        <v>0</v>
      </c>
      <c r="T1509" s="60">
        <v>0</v>
      </c>
      <c r="U1509" s="60">
        <v>0</v>
      </c>
      <c r="V1509" s="60">
        <v>0</v>
      </c>
      <c r="W1509" s="60">
        <v>0</v>
      </c>
      <c r="X1509" s="60">
        <v>0</v>
      </c>
      <c r="Y1509" s="60">
        <v>0</v>
      </c>
      <c r="Z1509" s="60">
        <v>0</v>
      </c>
      <c r="AA1509" s="60">
        <v>0</v>
      </c>
      <c r="AB1509" s="60">
        <v>0</v>
      </c>
      <c r="AC1509" s="60">
        <v>277.27</v>
      </c>
      <c r="AD1509" s="60">
        <v>311.56</v>
      </c>
      <c r="AE1509" s="60">
        <v>325.07</v>
      </c>
      <c r="AF1509" s="60">
        <v>0</v>
      </c>
      <c r="AG1509" s="60">
        <v>0</v>
      </c>
      <c r="AH1509" s="60">
        <v>0</v>
      </c>
      <c r="AI1509" s="60">
        <v>277.27</v>
      </c>
      <c r="AJ1509" s="60">
        <v>311.56</v>
      </c>
      <c r="AK1509" s="60">
        <v>325.07</v>
      </c>
      <c r="AL1509" s="60">
        <v>0</v>
      </c>
      <c r="AM1509" s="60">
        <v>0</v>
      </c>
      <c r="AN1509" s="60">
        <v>0</v>
      </c>
      <c r="AO1509" s="60">
        <v>277.27</v>
      </c>
      <c r="AP1509" s="60">
        <v>311.56</v>
      </c>
      <c r="AQ1509" s="60">
        <v>325.07</v>
      </c>
      <c r="AR1509" s="61">
        <v>325.07</v>
      </c>
    </row>
    <row r="1510" spans="1:44" ht="31" x14ac:dyDescent="0.35">
      <c r="A1510" s="49" t="str">
        <f>TEXT(7,"00")</f>
        <v>07</v>
      </c>
      <c r="B1510" s="27">
        <v>61796</v>
      </c>
      <c r="C1510" s="25" t="str">
        <f>TEXT(136903,"0000000")</f>
        <v>0136903</v>
      </c>
      <c r="D1510" s="27">
        <v>1906</v>
      </c>
      <c r="E1510" s="25" t="s">
        <v>330</v>
      </c>
      <c r="F1510" s="25" t="s">
        <v>21</v>
      </c>
      <c r="G1510" s="59" t="s">
        <v>331</v>
      </c>
      <c r="H1510" s="60">
        <v>0</v>
      </c>
      <c r="I1510" s="60">
        <v>0</v>
      </c>
      <c r="J1510" s="60">
        <v>0</v>
      </c>
      <c r="K1510" s="60">
        <v>0</v>
      </c>
      <c r="L1510" s="60">
        <v>0</v>
      </c>
      <c r="M1510" s="60">
        <v>0</v>
      </c>
      <c r="N1510" s="60">
        <v>0</v>
      </c>
      <c r="O1510" s="60">
        <v>0</v>
      </c>
      <c r="P1510" s="60">
        <v>0</v>
      </c>
      <c r="Q1510" s="60">
        <v>0</v>
      </c>
      <c r="R1510" s="60">
        <v>0</v>
      </c>
      <c r="S1510" s="60">
        <v>0</v>
      </c>
      <c r="T1510" s="60">
        <v>0</v>
      </c>
      <c r="U1510" s="60">
        <v>0</v>
      </c>
      <c r="V1510" s="60">
        <v>0</v>
      </c>
      <c r="W1510" s="60">
        <v>0</v>
      </c>
      <c r="X1510" s="60">
        <v>0</v>
      </c>
      <c r="Y1510" s="60">
        <v>0</v>
      </c>
      <c r="Z1510" s="60">
        <v>0</v>
      </c>
      <c r="AA1510" s="60">
        <v>0</v>
      </c>
      <c r="AB1510" s="60">
        <v>0</v>
      </c>
      <c r="AC1510" s="60">
        <v>256.7</v>
      </c>
      <c r="AD1510" s="60">
        <v>213.15</v>
      </c>
      <c r="AE1510" s="60">
        <v>195.05</v>
      </c>
      <c r="AF1510" s="60">
        <v>0</v>
      </c>
      <c r="AG1510" s="60">
        <v>0</v>
      </c>
      <c r="AH1510" s="60">
        <v>0</v>
      </c>
      <c r="AI1510" s="60">
        <v>256.7</v>
      </c>
      <c r="AJ1510" s="60">
        <v>213.15</v>
      </c>
      <c r="AK1510" s="60">
        <v>195.05</v>
      </c>
      <c r="AL1510" s="60">
        <v>0</v>
      </c>
      <c r="AM1510" s="60">
        <v>0</v>
      </c>
      <c r="AN1510" s="60">
        <v>0</v>
      </c>
      <c r="AO1510" s="60">
        <v>256.7</v>
      </c>
      <c r="AP1510" s="60">
        <v>213.15</v>
      </c>
      <c r="AQ1510" s="60">
        <v>195.05</v>
      </c>
      <c r="AR1510" s="61">
        <v>256.7</v>
      </c>
    </row>
    <row r="1511" spans="1:44" x14ac:dyDescent="0.35">
      <c r="A1511" s="49" t="str">
        <f>TEXT(19,"00")</f>
        <v>19</v>
      </c>
      <c r="B1511" s="27">
        <v>64642</v>
      </c>
      <c r="C1511" s="25" t="str">
        <f>TEXT(136127,"0000000")</f>
        <v>0136127</v>
      </c>
      <c r="D1511" s="27">
        <v>1886</v>
      </c>
      <c r="E1511" s="25" t="s">
        <v>996</v>
      </c>
      <c r="F1511" s="25" t="s">
        <v>21</v>
      </c>
      <c r="G1511" s="59" t="s">
        <v>997</v>
      </c>
      <c r="H1511" s="60">
        <v>0</v>
      </c>
      <c r="I1511" s="60">
        <v>0</v>
      </c>
      <c r="J1511" s="60">
        <v>0</v>
      </c>
      <c r="K1511" s="60">
        <v>0</v>
      </c>
      <c r="L1511" s="60">
        <v>0</v>
      </c>
      <c r="M1511" s="60">
        <v>0</v>
      </c>
      <c r="N1511" s="60">
        <v>0</v>
      </c>
      <c r="O1511" s="60">
        <v>0</v>
      </c>
      <c r="P1511" s="60">
        <v>0</v>
      </c>
      <c r="Q1511" s="60">
        <v>0</v>
      </c>
      <c r="R1511" s="60">
        <v>0</v>
      </c>
      <c r="S1511" s="60">
        <v>0</v>
      </c>
      <c r="T1511" s="60">
        <v>0</v>
      </c>
      <c r="U1511" s="60">
        <v>0</v>
      </c>
      <c r="V1511" s="60">
        <v>0</v>
      </c>
      <c r="W1511" s="60">
        <v>0</v>
      </c>
      <c r="X1511" s="60">
        <v>0</v>
      </c>
      <c r="Y1511" s="60">
        <v>0</v>
      </c>
      <c r="Z1511" s="60">
        <v>0</v>
      </c>
      <c r="AA1511" s="60">
        <v>0</v>
      </c>
      <c r="AB1511" s="60">
        <v>0</v>
      </c>
      <c r="AC1511" s="60">
        <v>370.7</v>
      </c>
      <c r="AD1511" s="60">
        <v>426.06</v>
      </c>
      <c r="AE1511" s="60">
        <v>282.54000000000002</v>
      </c>
      <c r="AF1511" s="60">
        <v>0</v>
      </c>
      <c r="AG1511" s="60">
        <v>0</v>
      </c>
      <c r="AH1511" s="60">
        <v>0</v>
      </c>
      <c r="AI1511" s="60">
        <v>370.7</v>
      </c>
      <c r="AJ1511" s="60">
        <v>426.06</v>
      </c>
      <c r="AK1511" s="60">
        <v>282.54000000000002</v>
      </c>
      <c r="AL1511" s="60">
        <v>0</v>
      </c>
      <c r="AM1511" s="60">
        <v>0</v>
      </c>
      <c r="AN1511" s="60">
        <v>0</v>
      </c>
      <c r="AO1511" s="60">
        <v>370.7</v>
      </c>
      <c r="AP1511" s="60">
        <v>426.06</v>
      </c>
      <c r="AQ1511" s="60">
        <v>282.54000000000002</v>
      </c>
      <c r="AR1511" s="61">
        <v>426.06</v>
      </c>
    </row>
    <row r="1512" spans="1:44" x14ac:dyDescent="0.35">
      <c r="A1512" s="49" t="str">
        <f>TEXT(19,"00")</f>
        <v>19</v>
      </c>
      <c r="B1512" s="27">
        <v>75309</v>
      </c>
      <c r="C1512" s="25" t="str">
        <f>TEXT(132654,"0000000")</f>
        <v>0132654</v>
      </c>
      <c r="D1512" s="27">
        <v>1751</v>
      </c>
      <c r="E1512" s="25" t="s">
        <v>1174</v>
      </c>
      <c r="F1512" s="25" t="s">
        <v>21</v>
      </c>
      <c r="G1512" s="59" t="s">
        <v>1175</v>
      </c>
      <c r="H1512" s="60">
        <v>0</v>
      </c>
      <c r="I1512" s="60">
        <v>0</v>
      </c>
      <c r="J1512" s="60">
        <v>0</v>
      </c>
      <c r="K1512" s="60">
        <v>0</v>
      </c>
      <c r="L1512" s="60">
        <v>0</v>
      </c>
      <c r="M1512" s="60">
        <v>0</v>
      </c>
      <c r="N1512" s="60">
        <v>0</v>
      </c>
      <c r="O1512" s="60">
        <v>0</v>
      </c>
      <c r="P1512" s="60">
        <v>0</v>
      </c>
      <c r="Q1512" s="60">
        <v>0</v>
      </c>
      <c r="R1512" s="60">
        <v>0</v>
      </c>
      <c r="S1512" s="60">
        <v>0</v>
      </c>
      <c r="T1512" s="60">
        <v>0</v>
      </c>
      <c r="U1512" s="60">
        <v>0</v>
      </c>
      <c r="V1512" s="60">
        <v>0</v>
      </c>
      <c r="W1512" s="60">
        <v>0</v>
      </c>
      <c r="X1512" s="60">
        <v>0</v>
      </c>
      <c r="Y1512" s="60">
        <v>0</v>
      </c>
      <c r="Z1512" s="60">
        <v>0</v>
      </c>
      <c r="AA1512" s="60">
        <v>0</v>
      </c>
      <c r="AB1512" s="60">
        <v>0</v>
      </c>
      <c r="AC1512" s="60">
        <v>405.51</v>
      </c>
      <c r="AD1512" s="60">
        <v>369.98</v>
      </c>
      <c r="AE1512" s="60">
        <v>332.01</v>
      </c>
      <c r="AF1512" s="60">
        <v>0</v>
      </c>
      <c r="AG1512" s="60">
        <v>0</v>
      </c>
      <c r="AH1512" s="60">
        <v>0</v>
      </c>
      <c r="AI1512" s="60">
        <v>405.51</v>
      </c>
      <c r="AJ1512" s="60">
        <v>369.98</v>
      </c>
      <c r="AK1512" s="60">
        <v>332.01</v>
      </c>
      <c r="AL1512" s="60">
        <v>0</v>
      </c>
      <c r="AM1512" s="60">
        <v>0</v>
      </c>
      <c r="AN1512" s="60">
        <v>0</v>
      </c>
      <c r="AO1512" s="60">
        <v>405.51</v>
      </c>
      <c r="AP1512" s="60">
        <v>369.98</v>
      </c>
      <c r="AQ1512" s="60">
        <v>332.01</v>
      </c>
      <c r="AR1512" s="61">
        <v>405.51</v>
      </c>
    </row>
    <row r="1513" spans="1:44" x14ac:dyDescent="0.35">
      <c r="A1513" s="49" t="str">
        <f>TEXT(27,"00")</f>
        <v>27</v>
      </c>
      <c r="B1513" s="27">
        <v>10272</v>
      </c>
      <c r="C1513" s="25" t="str">
        <f>TEXT(112177,"0000000")</f>
        <v>0112177</v>
      </c>
      <c r="D1513" s="26" t="s">
        <v>1383</v>
      </c>
      <c r="E1513" s="25" t="s">
        <v>1381</v>
      </c>
      <c r="F1513" s="25" t="s">
        <v>21</v>
      </c>
      <c r="G1513" s="59" t="s">
        <v>1382</v>
      </c>
      <c r="H1513" s="60">
        <v>0</v>
      </c>
      <c r="I1513" s="60">
        <v>0</v>
      </c>
      <c r="J1513" s="60">
        <v>0</v>
      </c>
      <c r="K1513" s="60">
        <v>0</v>
      </c>
      <c r="L1513" s="60">
        <v>0</v>
      </c>
      <c r="M1513" s="60">
        <v>0</v>
      </c>
      <c r="N1513" s="60">
        <v>0</v>
      </c>
      <c r="O1513" s="60">
        <v>0</v>
      </c>
      <c r="P1513" s="60">
        <v>0</v>
      </c>
      <c r="Q1513" s="60">
        <v>0</v>
      </c>
      <c r="R1513" s="60">
        <v>0</v>
      </c>
      <c r="S1513" s="60">
        <v>0</v>
      </c>
      <c r="T1513" s="60">
        <v>0</v>
      </c>
      <c r="U1513" s="60">
        <v>0</v>
      </c>
      <c r="V1513" s="60">
        <v>0</v>
      </c>
      <c r="W1513" s="60">
        <v>0</v>
      </c>
      <c r="X1513" s="60">
        <v>0</v>
      </c>
      <c r="Y1513" s="60">
        <v>0</v>
      </c>
      <c r="Z1513" s="60">
        <v>0</v>
      </c>
      <c r="AA1513" s="60">
        <v>0</v>
      </c>
      <c r="AB1513" s="60">
        <v>0</v>
      </c>
      <c r="AC1513" s="60">
        <v>453.88</v>
      </c>
      <c r="AD1513" s="60">
        <v>446.85</v>
      </c>
      <c r="AE1513" s="60">
        <v>425.36</v>
      </c>
      <c r="AF1513" s="60">
        <v>0</v>
      </c>
      <c r="AG1513" s="60">
        <v>0</v>
      </c>
      <c r="AH1513" s="60">
        <v>0</v>
      </c>
      <c r="AI1513" s="60">
        <v>453.88</v>
      </c>
      <c r="AJ1513" s="60">
        <v>446.85</v>
      </c>
      <c r="AK1513" s="60">
        <v>425.36</v>
      </c>
      <c r="AL1513" s="60">
        <v>0</v>
      </c>
      <c r="AM1513" s="60">
        <v>0</v>
      </c>
      <c r="AN1513" s="60">
        <v>0</v>
      </c>
      <c r="AO1513" s="60">
        <v>453.88</v>
      </c>
      <c r="AP1513" s="60">
        <v>446.85</v>
      </c>
      <c r="AQ1513" s="60">
        <v>425.36</v>
      </c>
      <c r="AR1513" s="61">
        <v>453.88</v>
      </c>
    </row>
    <row r="1514" spans="1:44" x14ac:dyDescent="0.35">
      <c r="A1514" s="49" t="str">
        <f>TEXT(27,"00")</f>
        <v>27</v>
      </c>
      <c r="B1514" s="27">
        <v>10272</v>
      </c>
      <c r="C1514" s="25" t="str">
        <f>TEXT(124297,"0000000")</f>
        <v>0124297</v>
      </c>
      <c r="D1514" s="27">
        <v>1306</v>
      </c>
      <c r="E1514" s="25" t="s">
        <v>1384</v>
      </c>
      <c r="F1514" s="25" t="s">
        <v>21</v>
      </c>
      <c r="G1514" s="59" t="s">
        <v>1385</v>
      </c>
      <c r="H1514" s="60">
        <v>0</v>
      </c>
      <c r="I1514" s="60">
        <v>0</v>
      </c>
      <c r="J1514" s="60">
        <v>0</v>
      </c>
      <c r="K1514" s="60">
        <v>0</v>
      </c>
      <c r="L1514" s="60">
        <v>0</v>
      </c>
      <c r="M1514" s="60">
        <v>0</v>
      </c>
      <c r="N1514" s="60">
        <v>0</v>
      </c>
      <c r="O1514" s="60">
        <v>0</v>
      </c>
      <c r="P1514" s="60">
        <v>0</v>
      </c>
      <c r="Q1514" s="60">
        <v>0</v>
      </c>
      <c r="R1514" s="60">
        <v>0</v>
      </c>
      <c r="S1514" s="60">
        <v>0</v>
      </c>
      <c r="T1514" s="60">
        <v>0</v>
      </c>
      <c r="U1514" s="60">
        <v>0</v>
      </c>
      <c r="V1514" s="60">
        <v>0</v>
      </c>
      <c r="W1514" s="60">
        <v>0</v>
      </c>
      <c r="X1514" s="60">
        <v>0</v>
      </c>
      <c r="Y1514" s="60">
        <v>0</v>
      </c>
      <c r="Z1514" s="60">
        <v>0</v>
      </c>
      <c r="AA1514" s="60">
        <v>0</v>
      </c>
      <c r="AB1514" s="60">
        <v>0</v>
      </c>
      <c r="AC1514" s="60">
        <v>467.61</v>
      </c>
      <c r="AD1514" s="60">
        <v>462.05</v>
      </c>
      <c r="AE1514" s="60">
        <v>461.42</v>
      </c>
      <c r="AF1514" s="60">
        <v>0</v>
      </c>
      <c r="AG1514" s="60">
        <v>0</v>
      </c>
      <c r="AH1514" s="60">
        <v>0</v>
      </c>
      <c r="AI1514" s="60">
        <v>467.61</v>
      </c>
      <c r="AJ1514" s="60">
        <v>462.05</v>
      </c>
      <c r="AK1514" s="60">
        <v>461.42</v>
      </c>
      <c r="AL1514" s="60">
        <v>0</v>
      </c>
      <c r="AM1514" s="60">
        <v>0</v>
      </c>
      <c r="AN1514" s="60">
        <v>0</v>
      </c>
      <c r="AO1514" s="60">
        <v>467.61</v>
      </c>
      <c r="AP1514" s="60">
        <v>462.05</v>
      </c>
      <c r="AQ1514" s="60">
        <v>461.42</v>
      </c>
      <c r="AR1514" s="61">
        <v>467.61</v>
      </c>
    </row>
    <row r="1515" spans="1:44" x14ac:dyDescent="0.35">
      <c r="A1515" s="49" t="str">
        <f>TEXT(27,"00")</f>
        <v>27</v>
      </c>
      <c r="B1515" s="27">
        <v>10272</v>
      </c>
      <c r="C1515" s="25" t="str">
        <f>TEXT(6119663,"0000000")</f>
        <v>6119663</v>
      </c>
      <c r="D1515" s="26" t="s">
        <v>1388</v>
      </c>
      <c r="E1515" s="25" t="s">
        <v>1386</v>
      </c>
      <c r="F1515" s="25" t="s">
        <v>21</v>
      </c>
      <c r="G1515" s="59" t="s">
        <v>1387</v>
      </c>
      <c r="H1515" s="60">
        <v>0</v>
      </c>
      <c r="I1515" s="60">
        <v>0</v>
      </c>
      <c r="J1515" s="60">
        <v>0</v>
      </c>
      <c r="K1515" s="60">
        <v>0</v>
      </c>
      <c r="L1515" s="60">
        <v>0</v>
      </c>
      <c r="M1515" s="60">
        <v>0</v>
      </c>
      <c r="N1515" s="60">
        <v>0</v>
      </c>
      <c r="O1515" s="60">
        <v>0</v>
      </c>
      <c r="P1515" s="60">
        <v>0</v>
      </c>
      <c r="Q1515" s="60">
        <v>0</v>
      </c>
      <c r="R1515" s="60">
        <v>0</v>
      </c>
      <c r="S1515" s="60">
        <v>0</v>
      </c>
      <c r="T1515" s="60">
        <v>0</v>
      </c>
      <c r="U1515" s="60">
        <v>0</v>
      </c>
      <c r="V1515" s="60">
        <v>0</v>
      </c>
      <c r="W1515" s="60">
        <v>0</v>
      </c>
      <c r="X1515" s="60">
        <v>0</v>
      </c>
      <c r="Y1515" s="60">
        <v>0</v>
      </c>
      <c r="Z1515" s="60">
        <v>0</v>
      </c>
      <c r="AA1515" s="60">
        <v>0</v>
      </c>
      <c r="AB1515" s="60">
        <v>0</v>
      </c>
      <c r="AC1515" s="60">
        <v>151.77000000000001</v>
      </c>
      <c r="AD1515" s="60">
        <v>146.19999999999999</v>
      </c>
      <c r="AE1515" s="60">
        <v>152.35</v>
      </c>
      <c r="AF1515" s="60">
        <v>0</v>
      </c>
      <c r="AG1515" s="60">
        <v>0</v>
      </c>
      <c r="AH1515" s="60">
        <v>0</v>
      </c>
      <c r="AI1515" s="60">
        <v>151.77000000000001</v>
      </c>
      <c r="AJ1515" s="60">
        <v>146.19999999999999</v>
      </c>
      <c r="AK1515" s="60">
        <v>152.35</v>
      </c>
      <c r="AL1515" s="60">
        <v>0</v>
      </c>
      <c r="AM1515" s="60">
        <v>0</v>
      </c>
      <c r="AN1515" s="60">
        <v>0</v>
      </c>
      <c r="AO1515" s="60">
        <v>151.77000000000001</v>
      </c>
      <c r="AP1515" s="60">
        <v>146.19999999999999</v>
      </c>
      <c r="AQ1515" s="60">
        <v>152.35</v>
      </c>
      <c r="AR1515" s="61">
        <v>152.35</v>
      </c>
    </row>
    <row r="1516" spans="1:44" x14ac:dyDescent="0.35">
      <c r="A1516" s="49" t="str">
        <f>TEXT(27,"00")</f>
        <v>27</v>
      </c>
      <c r="B1516" s="27">
        <v>66092</v>
      </c>
      <c r="C1516" s="25" t="str">
        <f>TEXT(2730240,"0000000")</f>
        <v>2730240</v>
      </c>
      <c r="D1516" s="26" t="s">
        <v>1413</v>
      </c>
      <c r="E1516" s="25" t="s">
        <v>1411</v>
      </c>
      <c r="F1516" s="25" t="s">
        <v>21</v>
      </c>
      <c r="G1516" s="59" t="s">
        <v>1412</v>
      </c>
      <c r="H1516" s="60">
        <v>0</v>
      </c>
      <c r="I1516" s="60">
        <v>0</v>
      </c>
      <c r="J1516" s="60">
        <v>0</v>
      </c>
      <c r="K1516" s="60">
        <v>0</v>
      </c>
      <c r="L1516" s="60">
        <v>0</v>
      </c>
      <c r="M1516" s="60">
        <v>0</v>
      </c>
      <c r="N1516" s="60">
        <v>0</v>
      </c>
      <c r="O1516" s="60">
        <v>0</v>
      </c>
      <c r="P1516" s="60">
        <v>0</v>
      </c>
      <c r="Q1516" s="60">
        <v>0</v>
      </c>
      <c r="R1516" s="60">
        <v>0</v>
      </c>
      <c r="S1516" s="60">
        <v>0</v>
      </c>
      <c r="T1516" s="60">
        <v>0</v>
      </c>
      <c r="U1516" s="60">
        <v>0</v>
      </c>
      <c r="V1516" s="60">
        <v>0</v>
      </c>
      <c r="W1516" s="60">
        <v>0</v>
      </c>
      <c r="X1516" s="60">
        <v>0</v>
      </c>
      <c r="Y1516" s="60">
        <v>0</v>
      </c>
      <c r="Z1516" s="60">
        <v>0</v>
      </c>
      <c r="AA1516" s="60">
        <v>0</v>
      </c>
      <c r="AB1516" s="60">
        <v>0</v>
      </c>
      <c r="AC1516" s="60">
        <v>149.07</v>
      </c>
      <c r="AD1516" s="60">
        <v>134.5</v>
      </c>
      <c r="AE1516" s="60">
        <v>123.29</v>
      </c>
      <c r="AF1516" s="60">
        <v>0</v>
      </c>
      <c r="AG1516" s="60">
        <v>0</v>
      </c>
      <c r="AH1516" s="60">
        <v>0</v>
      </c>
      <c r="AI1516" s="60">
        <v>149.07</v>
      </c>
      <c r="AJ1516" s="60">
        <v>134.5</v>
      </c>
      <c r="AK1516" s="60">
        <v>123.29</v>
      </c>
      <c r="AL1516" s="60">
        <v>0</v>
      </c>
      <c r="AM1516" s="60">
        <v>0</v>
      </c>
      <c r="AN1516" s="60">
        <v>0</v>
      </c>
      <c r="AO1516" s="60">
        <v>149.07</v>
      </c>
      <c r="AP1516" s="60">
        <v>134.5</v>
      </c>
      <c r="AQ1516" s="60">
        <v>123.29</v>
      </c>
      <c r="AR1516" s="61">
        <v>149.07</v>
      </c>
    </row>
    <row r="1517" spans="1:44" x14ac:dyDescent="0.35">
      <c r="A1517" s="49" t="str">
        <f>TEXT(27,"00")</f>
        <v>27</v>
      </c>
      <c r="B1517" s="27">
        <v>75150</v>
      </c>
      <c r="C1517" s="25" t="str">
        <f>TEXT(118349,"0000000")</f>
        <v>0118349</v>
      </c>
      <c r="D1517" s="27">
        <v>1000</v>
      </c>
      <c r="E1517" s="25" t="s">
        <v>1439</v>
      </c>
      <c r="F1517" s="25" t="s">
        <v>21</v>
      </c>
      <c r="G1517" s="59" t="s">
        <v>1440</v>
      </c>
      <c r="H1517" s="60">
        <v>0</v>
      </c>
      <c r="I1517" s="60">
        <v>0</v>
      </c>
      <c r="J1517" s="60">
        <v>0</v>
      </c>
      <c r="K1517" s="60">
        <v>0</v>
      </c>
      <c r="L1517" s="60">
        <v>0</v>
      </c>
      <c r="M1517" s="60">
        <v>0</v>
      </c>
      <c r="N1517" s="60">
        <v>0</v>
      </c>
      <c r="O1517" s="60">
        <v>0</v>
      </c>
      <c r="P1517" s="60">
        <v>0</v>
      </c>
      <c r="Q1517" s="60">
        <v>0</v>
      </c>
      <c r="R1517" s="60">
        <v>0</v>
      </c>
      <c r="S1517" s="60">
        <v>0</v>
      </c>
      <c r="T1517" s="60">
        <v>0</v>
      </c>
      <c r="U1517" s="60">
        <v>0</v>
      </c>
      <c r="V1517" s="60">
        <v>0</v>
      </c>
      <c r="W1517" s="60">
        <v>0</v>
      </c>
      <c r="X1517" s="60">
        <v>0</v>
      </c>
      <c r="Y1517" s="60">
        <v>0</v>
      </c>
      <c r="Z1517" s="60">
        <v>0</v>
      </c>
      <c r="AA1517" s="60">
        <v>0</v>
      </c>
      <c r="AB1517" s="60">
        <v>0</v>
      </c>
      <c r="AC1517" s="60">
        <v>85.84</v>
      </c>
      <c r="AD1517" s="60">
        <v>84.26</v>
      </c>
      <c r="AE1517" s="60">
        <v>85.58</v>
      </c>
      <c r="AF1517" s="60">
        <v>0</v>
      </c>
      <c r="AG1517" s="60">
        <v>0</v>
      </c>
      <c r="AH1517" s="60">
        <v>0</v>
      </c>
      <c r="AI1517" s="60">
        <v>85.84</v>
      </c>
      <c r="AJ1517" s="60">
        <v>84.26</v>
      </c>
      <c r="AK1517" s="60">
        <v>85.58</v>
      </c>
      <c r="AL1517" s="60">
        <v>0</v>
      </c>
      <c r="AM1517" s="60">
        <v>0</v>
      </c>
      <c r="AN1517" s="60">
        <v>0</v>
      </c>
      <c r="AO1517" s="60">
        <v>85.84</v>
      </c>
      <c r="AP1517" s="60">
        <v>84.26</v>
      </c>
      <c r="AQ1517" s="60">
        <v>85.58</v>
      </c>
      <c r="AR1517" s="61">
        <v>85.84</v>
      </c>
    </row>
    <row r="1518" spans="1:44" x14ac:dyDescent="0.35">
      <c r="A1518" s="49" t="str">
        <f>TEXT(36,"00")</f>
        <v>36</v>
      </c>
      <c r="B1518" s="27">
        <v>67736</v>
      </c>
      <c r="C1518" s="25" t="str">
        <f>TEXT(136069,"0000000")</f>
        <v>0136069</v>
      </c>
      <c r="D1518" s="27">
        <v>1885</v>
      </c>
      <c r="E1518" s="25" t="s">
        <v>1953</v>
      </c>
      <c r="F1518" s="25" t="s">
        <v>21</v>
      </c>
      <c r="G1518" s="59" t="s">
        <v>1954</v>
      </c>
      <c r="H1518" s="60">
        <v>0</v>
      </c>
      <c r="I1518" s="60">
        <v>0</v>
      </c>
      <c r="J1518" s="60">
        <v>0</v>
      </c>
      <c r="K1518" s="60">
        <v>0</v>
      </c>
      <c r="L1518" s="60">
        <v>0</v>
      </c>
      <c r="M1518" s="60">
        <v>0</v>
      </c>
      <c r="N1518" s="60">
        <v>0</v>
      </c>
      <c r="O1518" s="60">
        <v>0</v>
      </c>
      <c r="P1518" s="60">
        <v>0</v>
      </c>
      <c r="Q1518" s="60">
        <v>0</v>
      </c>
      <c r="R1518" s="60">
        <v>0</v>
      </c>
      <c r="S1518" s="60">
        <v>0</v>
      </c>
      <c r="T1518" s="60">
        <v>0</v>
      </c>
      <c r="U1518" s="60">
        <v>0</v>
      </c>
      <c r="V1518" s="60">
        <v>0</v>
      </c>
      <c r="W1518" s="60">
        <v>0</v>
      </c>
      <c r="X1518" s="60">
        <v>0</v>
      </c>
      <c r="Y1518" s="60">
        <v>0</v>
      </c>
      <c r="Z1518" s="60">
        <v>0</v>
      </c>
      <c r="AA1518" s="60">
        <v>0</v>
      </c>
      <c r="AB1518" s="60">
        <v>0</v>
      </c>
      <c r="AC1518" s="60">
        <v>3331.37</v>
      </c>
      <c r="AD1518" s="60">
        <v>2959.7</v>
      </c>
      <c r="AE1518" s="60">
        <v>3090.69</v>
      </c>
      <c r="AF1518" s="60">
        <v>0</v>
      </c>
      <c r="AG1518" s="60">
        <v>0</v>
      </c>
      <c r="AH1518" s="60">
        <v>0</v>
      </c>
      <c r="AI1518" s="60">
        <v>3331.37</v>
      </c>
      <c r="AJ1518" s="60">
        <v>2959.7</v>
      </c>
      <c r="AK1518" s="60">
        <v>3090.69</v>
      </c>
      <c r="AL1518" s="60">
        <v>0</v>
      </c>
      <c r="AM1518" s="60">
        <v>0</v>
      </c>
      <c r="AN1518" s="60">
        <v>0</v>
      </c>
      <c r="AO1518" s="60">
        <v>3331.37</v>
      </c>
      <c r="AP1518" s="60">
        <v>2959.7</v>
      </c>
      <c r="AQ1518" s="60">
        <v>3090.69</v>
      </c>
      <c r="AR1518" s="61">
        <v>3331.37</v>
      </c>
    </row>
    <row r="1519" spans="1:44" x14ac:dyDescent="0.35">
      <c r="A1519" s="49" t="str">
        <f>TEXT(36,"00")</f>
        <v>36</v>
      </c>
      <c r="B1519" s="27">
        <v>67736</v>
      </c>
      <c r="C1519" s="25" t="str">
        <f>TEXT(139576,"0000000")</f>
        <v>0139576</v>
      </c>
      <c r="D1519" s="27">
        <v>2073</v>
      </c>
      <c r="E1519" s="25" t="s">
        <v>1957</v>
      </c>
      <c r="F1519" s="25" t="s">
        <v>21</v>
      </c>
      <c r="G1519" s="59" t="s">
        <v>1958</v>
      </c>
      <c r="H1519" s="60">
        <v>0</v>
      </c>
      <c r="I1519" s="60">
        <v>0</v>
      </c>
      <c r="J1519" s="60">
        <v>0</v>
      </c>
      <c r="K1519" s="60">
        <v>0</v>
      </c>
      <c r="L1519" s="60">
        <v>0</v>
      </c>
      <c r="M1519" s="60">
        <v>0</v>
      </c>
      <c r="N1519" s="60">
        <v>0</v>
      </c>
      <c r="O1519" s="60">
        <v>0</v>
      </c>
      <c r="P1519" s="60">
        <v>0</v>
      </c>
      <c r="Q1519" s="60">
        <v>0</v>
      </c>
      <c r="R1519" s="60">
        <v>0</v>
      </c>
      <c r="S1519" s="60">
        <v>0</v>
      </c>
      <c r="T1519" s="60">
        <v>0</v>
      </c>
      <c r="U1519" s="60">
        <v>0</v>
      </c>
      <c r="V1519" s="60">
        <v>0</v>
      </c>
      <c r="W1519" s="60">
        <v>0</v>
      </c>
      <c r="X1519" s="60">
        <v>0</v>
      </c>
      <c r="Y1519" s="60">
        <v>0</v>
      </c>
      <c r="Z1519" s="60">
        <v>0</v>
      </c>
      <c r="AA1519" s="60">
        <v>0</v>
      </c>
      <c r="AB1519" s="60">
        <v>0</v>
      </c>
      <c r="AC1519" s="60">
        <v>607.85</v>
      </c>
      <c r="AD1519" s="60">
        <v>545.91</v>
      </c>
      <c r="AE1519" s="60">
        <v>603.35</v>
      </c>
      <c r="AF1519" s="60">
        <v>0</v>
      </c>
      <c r="AG1519" s="60">
        <v>0</v>
      </c>
      <c r="AH1519" s="60">
        <v>0</v>
      </c>
      <c r="AI1519" s="60">
        <v>607.85</v>
      </c>
      <c r="AJ1519" s="60">
        <v>545.91</v>
      </c>
      <c r="AK1519" s="60">
        <v>603.35</v>
      </c>
      <c r="AL1519" s="60">
        <v>0</v>
      </c>
      <c r="AM1519" s="60">
        <v>0</v>
      </c>
      <c r="AN1519" s="60">
        <v>0</v>
      </c>
      <c r="AO1519" s="60">
        <v>607.85</v>
      </c>
      <c r="AP1519" s="60">
        <v>545.91</v>
      </c>
      <c r="AQ1519" s="60">
        <v>603.35</v>
      </c>
      <c r="AR1519" s="61">
        <v>607.85</v>
      </c>
    </row>
    <row r="1520" spans="1:44" x14ac:dyDescent="0.35">
      <c r="A1520" s="49" t="str">
        <f>TEXT(36,"00")</f>
        <v>36</v>
      </c>
      <c r="B1520" s="27">
        <v>75051</v>
      </c>
      <c r="C1520" s="25" t="str">
        <f>TEXT(115089,"0000000")</f>
        <v>0115089</v>
      </c>
      <c r="D1520" s="26" t="s">
        <v>2028</v>
      </c>
      <c r="E1520" s="25" t="s">
        <v>2026</v>
      </c>
      <c r="F1520" s="25" t="s">
        <v>21</v>
      </c>
      <c r="G1520" s="59" t="s">
        <v>2027</v>
      </c>
      <c r="H1520" s="60">
        <v>0</v>
      </c>
      <c r="I1520" s="60">
        <v>0</v>
      </c>
      <c r="J1520" s="60">
        <v>0</v>
      </c>
      <c r="K1520" s="60">
        <v>0</v>
      </c>
      <c r="L1520" s="60">
        <v>0</v>
      </c>
      <c r="M1520" s="60">
        <v>0</v>
      </c>
      <c r="N1520" s="60">
        <v>0</v>
      </c>
      <c r="O1520" s="60">
        <v>0</v>
      </c>
      <c r="P1520" s="60">
        <v>0</v>
      </c>
      <c r="Q1520" s="60">
        <v>0</v>
      </c>
      <c r="R1520" s="60">
        <v>0</v>
      </c>
      <c r="S1520" s="60">
        <v>0</v>
      </c>
      <c r="T1520" s="60">
        <v>0</v>
      </c>
      <c r="U1520" s="60">
        <v>0</v>
      </c>
      <c r="V1520" s="60">
        <v>0</v>
      </c>
      <c r="W1520" s="60">
        <v>0</v>
      </c>
      <c r="X1520" s="60">
        <v>0</v>
      </c>
      <c r="Y1520" s="60">
        <v>0</v>
      </c>
      <c r="Z1520" s="60">
        <v>0</v>
      </c>
      <c r="AA1520" s="60">
        <v>0</v>
      </c>
      <c r="AB1520" s="60">
        <v>0</v>
      </c>
      <c r="AC1520" s="60">
        <v>2338.25</v>
      </c>
      <c r="AD1520" s="60">
        <v>2147.6799999999998</v>
      </c>
      <c r="AE1520" s="60">
        <v>2133.15</v>
      </c>
      <c r="AF1520" s="60">
        <v>0</v>
      </c>
      <c r="AG1520" s="60">
        <v>0</v>
      </c>
      <c r="AH1520" s="60">
        <v>0</v>
      </c>
      <c r="AI1520" s="60">
        <v>2338.25</v>
      </c>
      <c r="AJ1520" s="60">
        <v>2147.6799999999998</v>
      </c>
      <c r="AK1520" s="60">
        <v>2133.15</v>
      </c>
      <c r="AL1520" s="60">
        <v>0</v>
      </c>
      <c r="AM1520" s="60">
        <v>0</v>
      </c>
      <c r="AN1520" s="60">
        <v>0</v>
      </c>
      <c r="AO1520" s="60">
        <v>2338.25</v>
      </c>
      <c r="AP1520" s="60">
        <v>2147.6799999999998</v>
      </c>
      <c r="AQ1520" s="60">
        <v>2133.15</v>
      </c>
      <c r="AR1520" s="61">
        <v>2338.25</v>
      </c>
    </row>
    <row r="1521" spans="1:44" x14ac:dyDescent="0.35">
      <c r="A1521" s="49" t="str">
        <f>TEXT(37,"00")</f>
        <v>37</v>
      </c>
      <c r="B1521" s="27">
        <v>68213</v>
      </c>
      <c r="C1521" s="25" t="str">
        <f>TEXT(129668,"0000000")</f>
        <v>0129668</v>
      </c>
      <c r="D1521" s="27">
        <v>1628</v>
      </c>
      <c r="E1521" s="25" t="s">
        <v>2161</v>
      </c>
      <c r="F1521" s="25" t="s">
        <v>21</v>
      </c>
      <c r="G1521" s="59" t="s">
        <v>2162</v>
      </c>
      <c r="H1521" s="60">
        <v>0</v>
      </c>
      <c r="I1521" s="60">
        <v>0</v>
      </c>
      <c r="J1521" s="60">
        <v>0</v>
      </c>
      <c r="K1521" s="60">
        <v>0</v>
      </c>
      <c r="L1521" s="60">
        <v>0</v>
      </c>
      <c r="M1521" s="60">
        <v>0</v>
      </c>
      <c r="N1521" s="60">
        <v>0</v>
      </c>
      <c r="O1521" s="60">
        <v>0</v>
      </c>
      <c r="P1521" s="60">
        <v>0</v>
      </c>
      <c r="Q1521" s="60">
        <v>0</v>
      </c>
      <c r="R1521" s="60">
        <v>0</v>
      </c>
      <c r="S1521" s="60">
        <v>0</v>
      </c>
      <c r="T1521" s="60">
        <v>0</v>
      </c>
      <c r="U1521" s="60">
        <v>0</v>
      </c>
      <c r="V1521" s="60">
        <v>0</v>
      </c>
      <c r="W1521" s="60">
        <v>0</v>
      </c>
      <c r="X1521" s="60">
        <v>0</v>
      </c>
      <c r="Y1521" s="60">
        <v>0</v>
      </c>
      <c r="Z1521" s="60">
        <v>0</v>
      </c>
      <c r="AA1521" s="60">
        <v>0</v>
      </c>
      <c r="AB1521" s="60">
        <v>0</v>
      </c>
      <c r="AC1521" s="60">
        <v>231.91</v>
      </c>
      <c r="AD1521" s="60">
        <v>207.74</v>
      </c>
      <c r="AE1521" s="60">
        <v>178.4</v>
      </c>
      <c r="AF1521" s="60">
        <v>0</v>
      </c>
      <c r="AG1521" s="60">
        <v>0</v>
      </c>
      <c r="AH1521" s="60">
        <v>0</v>
      </c>
      <c r="AI1521" s="60">
        <v>231.91</v>
      </c>
      <c r="AJ1521" s="60">
        <v>207.74</v>
      </c>
      <c r="AK1521" s="60">
        <v>178.4</v>
      </c>
      <c r="AL1521" s="60">
        <v>0</v>
      </c>
      <c r="AM1521" s="60">
        <v>0</v>
      </c>
      <c r="AN1521" s="60">
        <v>0</v>
      </c>
      <c r="AO1521" s="60">
        <v>231.91</v>
      </c>
      <c r="AP1521" s="60">
        <v>207.74</v>
      </c>
      <c r="AQ1521" s="60">
        <v>178.4</v>
      </c>
      <c r="AR1521" s="61">
        <v>231.91</v>
      </c>
    </row>
    <row r="1522" spans="1:44" x14ac:dyDescent="0.35">
      <c r="A1522" s="49" t="str">
        <f>TEXT(37,"00")</f>
        <v>37</v>
      </c>
      <c r="B1522" s="27">
        <v>75416</v>
      </c>
      <c r="C1522" s="25" t="str">
        <f>TEXT(132472,"0000000")</f>
        <v>0132472</v>
      </c>
      <c r="D1522" s="27">
        <v>1758</v>
      </c>
      <c r="E1522" s="25" t="s">
        <v>2335</v>
      </c>
      <c r="F1522" s="25" t="s">
        <v>21</v>
      </c>
      <c r="G1522" s="59" t="s">
        <v>2336</v>
      </c>
      <c r="H1522" s="60">
        <v>0</v>
      </c>
      <c r="I1522" s="60">
        <v>0</v>
      </c>
      <c r="J1522" s="60">
        <v>0</v>
      </c>
      <c r="K1522" s="60">
        <v>0</v>
      </c>
      <c r="L1522" s="60">
        <v>0</v>
      </c>
      <c r="M1522" s="60">
        <v>0</v>
      </c>
      <c r="N1522" s="60">
        <v>0</v>
      </c>
      <c r="O1522" s="60">
        <v>0</v>
      </c>
      <c r="P1522" s="60">
        <v>0</v>
      </c>
      <c r="Q1522" s="60">
        <v>0</v>
      </c>
      <c r="R1522" s="60">
        <v>0</v>
      </c>
      <c r="S1522" s="60">
        <v>0</v>
      </c>
      <c r="T1522" s="60">
        <v>0</v>
      </c>
      <c r="U1522" s="60">
        <v>0</v>
      </c>
      <c r="V1522" s="60">
        <v>0</v>
      </c>
      <c r="W1522" s="60">
        <v>0</v>
      </c>
      <c r="X1522" s="60">
        <v>0</v>
      </c>
      <c r="Y1522" s="60">
        <v>0</v>
      </c>
      <c r="Z1522" s="60">
        <v>0</v>
      </c>
      <c r="AA1522" s="60">
        <v>0</v>
      </c>
      <c r="AB1522" s="60">
        <v>0</v>
      </c>
      <c r="AC1522" s="60">
        <v>252.17</v>
      </c>
      <c r="AD1522" s="60">
        <v>245.73</v>
      </c>
      <c r="AE1522" s="60">
        <v>263.44</v>
      </c>
      <c r="AF1522" s="60">
        <v>0</v>
      </c>
      <c r="AG1522" s="60">
        <v>0</v>
      </c>
      <c r="AH1522" s="60">
        <v>0</v>
      </c>
      <c r="AI1522" s="60">
        <v>252.17</v>
      </c>
      <c r="AJ1522" s="60">
        <v>245.73</v>
      </c>
      <c r="AK1522" s="60">
        <v>263.44</v>
      </c>
      <c r="AL1522" s="60">
        <v>0</v>
      </c>
      <c r="AM1522" s="60">
        <v>0</v>
      </c>
      <c r="AN1522" s="60">
        <v>0</v>
      </c>
      <c r="AO1522" s="60">
        <v>252.17</v>
      </c>
      <c r="AP1522" s="60">
        <v>245.73</v>
      </c>
      <c r="AQ1522" s="60">
        <v>263.44</v>
      </c>
      <c r="AR1522" s="61">
        <v>263.44</v>
      </c>
    </row>
    <row r="1523" spans="1:44" x14ac:dyDescent="0.35">
      <c r="A1523" s="49" t="str">
        <f>TEXT(37,"00")</f>
        <v>37</v>
      </c>
      <c r="B1523" s="27">
        <v>75416</v>
      </c>
      <c r="C1523" s="25" t="str">
        <f>TEXT(139378,"0000000")</f>
        <v>0139378</v>
      </c>
      <c r="D1523" s="27">
        <v>2051</v>
      </c>
      <c r="E1523" s="25" t="s">
        <v>2339</v>
      </c>
      <c r="F1523" s="25" t="s">
        <v>21</v>
      </c>
      <c r="G1523" s="59" t="s">
        <v>2340</v>
      </c>
      <c r="H1523" s="60">
        <v>0</v>
      </c>
      <c r="I1523" s="60">
        <v>0</v>
      </c>
      <c r="J1523" s="60">
        <v>0</v>
      </c>
      <c r="K1523" s="60">
        <v>0</v>
      </c>
      <c r="L1523" s="60">
        <v>0</v>
      </c>
      <c r="M1523" s="60">
        <v>0</v>
      </c>
      <c r="N1523" s="60">
        <v>0</v>
      </c>
      <c r="O1523" s="60">
        <v>0</v>
      </c>
      <c r="P1523" s="60">
        <v>0</v>
      </c>
      <c r="Q1523" s="60">
        <v>0</v>
      </c>
      <c r="R1523" s="60">
        <v>0</v>
      </c>
      <c r="S1523" s="60">
        <v>0</v>
      </c>
      <c r="T1523" s="60">
        <v>0</v>
      </c>
      <c r="U1523" s="60">
        <v>0</v>
      </c>
      <c r="V1523" s="60">
        <v>0</v>
      </c>
      <c r="W1523" s="60">
        <v>0</v>
      </c>
      <c r="X1523" s="60">
        <v>0</v>
      </c>
      <c r="Y1523" s="60">
        <v>0</v>
      </c>
      <c r="Z1523" s="60">
        <v>0</v>
      </c>
      <c r="AA1523" s="60">
        <v>0</v>
      </c>
      <c r="AB1523" s="60">
        <v>0</v>
      </c>
      <c r="AC1523" s="60">
        <v>436.95</v>
      </c>
      <c r="AD1523" s="60">
        <v>358.16</v>
      </c>
      <c r="AE1523" s="60">
        <v>409.07</v>
      </c>
      <c r="AF1523" s="60">
        <v>0</v>
      </c>
      <c r="AG1523" s="60">
        <v>0</v>
      </c>
      <c r="AH1523" s="60">
        <v>0</v>
      </c>
      <c r="AI1523" s="60">
        <v>436.95</v>
      </c>
      <c r="AJ1523" s="60">
        <v>358.16</v>
      </c>
      <c r="AK1523" s="60">
        <v>409.07</v>
      </c>
      <c r="AL1523" s="60">
        <v>0</v>
      </c>
      <c r="AM1523" s="60">
        <v>0</v>
      </c>
      <c r="AN1523" s="60">
        <v>0</v>
      </c>
      <c r="AO1523" s="60">
        <v>436.95</v>
      </c>
      <c r="AP1523" s="60">
        <v>358.16</v>
      </c>
      <c r="AQ1523" s="60">
        <v>409.07</v>
      </c>
      <c r="AR1523" s="61">
        <v>436.95</v>
      </c>
    </row>
    <row r="1524" spans="1:44" x14ac:dyDescent="0.35">
      <c r="A1524" s="49" t="str">
        <f>TEXT(37,"00")</f>
        <v>37</v>
      </c>
      <c r="B1524" s="27">
        <v>75416</v>
      </c>
      <c r="C1524" s="25" t="str">
        <f>TEXT(139386,"0000000")</f>
        <v>0139386</v>
      </c>
      <c r="D1524" s="27">
        <v>2053</v>
      </c>
      <c r="E1524" s="25" t="s">
        <v>2341</v>
      </c>
      <c r="F1524" s="25" t="s">
        <v>21</v>
      </c>
      <c r="G1524" s="59" t="s">
        <v>1958</v>
      </c>
      <c r="H1524" s="60">
        <v>0</v>
      </c>
      <c r="I1524" s="60">
        <v>0</v>
      </c>
      <c r="J1524" s="60">
        <v>0</v>
      </c>
      <c r="K1524" s="60">
        <v>0</v>
      </c>
      <c r="L1524" s="60">
        <v>0</v>
      </c>
      <c r="M1524" s="60">
        <v>0</v>
      </c>
      <c r="N1524" s="60">
        <v>0</v>
      </c>
      <c r="O1524" s="60">
        <v>0</v>
      </c>
      <c r="P1524" s="60">
        <v>0</v>
      </c>
      <c r="Q1524" s="60">
        <v>0</v>
      </c>
      <c r="R1524" s="60">
        <v>0</v>
      </c>
      <c r="S1524" s="60">
        <v>0</v>
      </c>
      <c r="T1524" s="60">
        <v>0</v>
      </c>
      <c r="U1524" s="60">
        <v>0</v>
      </c>
      <c r="V1524" s="60">
        <v>0</v>
      </c>
      <c r="W1524" s="60">
        <v>0</v>
      </c>
      <c r="X1524" s="60">
        <v>0</v>
      </c>
      <c r="Y1524" s="60">
        <v>0</v>
      </c>
      <c r="Z1524" s="60">
        <v>0</v>
      </c>
      <c r="AA1524" s="60">
        <v>0</v>
      </c>
      <c r="AB1524" s="60">
        <v>0</v>
      </c>
      <c r="AC1524" s="60">
        <v>979.67</v>
      </c>
      <c r="AD1524" s="60">
        <v>1055.01</v>
      </c>
      <c r="AE1524" s="60">
        <v>1229.17</v>
      </c>
      <c r="AF1524" s="60">
        <v>0</v>
      </c>
      <c r="AG1524" s="60">
        <v>0</v>
      </c>
      <c r="AH1524" s="60">
        <v>0</v>
      </c>
      <c r="AI1524" s="60">
        <v>979.67</v>
      </c>
      <c r="AJ1524" s="60">
        <v>1055.01</v>
      </c>
      <c r="AK1524" s="60">
        <v>1229.17</v>
      </c>
      <c r="AL1524" s="60">
        <v>0</v>
      </c>
      <c r="AM1524" s="60">
        <v>0</v>
      </c>
      <c r="AN1524" s="60">
        <v>0</v>
      </c>
      <c r="AO1524" s="60">
        <v>979.67</v>
      </c>
      <c r="AP1524" s="60">
        <v>1055.01</v>
      </c>
      <c r="AQ1524" s="60">
        <v>1229.17</v>
      </c>
      <c r="AR1524" s="61">
        <v>1229.17</v>
      </c>
    </row>
    <row r="1525" spans="1:44" x14ac:dyDescent="0.35">
      <c r="A1525" s="49" t="str">
        <f>TEXT(37,"00")</f>
        <v>37</v>
      </c>
      <c r="B1525" s="27">
        <v>75416</v>
      </c>
      <c r="C1525" s="25" t="str">
        <f>TEXT(139451,"0000000")</f>
        <v>0139451</v>
      </c>
      <c r="D1525" s="27">
        <v>2052</v>
      </c>
      <c r="E1525" s="25" t="s">
        <v>2342</v>
      </c>
      <c r="F1525" s="25" t="s">
        <v>21</v>
      </c>
      <c r="G1525" s="59" t="s">
        <v>2343</v>
      </c>
      <c r="H1525" s="60">
        <v>0</v>
      </c>
      <c r="I1525" s="60">
        <v>0</v>
      </c>
      <c r="J1525" s="60">
        <v>0</v>
      </c>
      <c r="K1525" s="60">
        <v>0</v>
      </c>
      <c r="L1525" s="60">
        <v>0</v>
      </c>
      <c r="M1525" s="60">
        <v>0</v>
      </c>
      <c r="N1525" s="60">
        <v>0</v>
      </c>
      <c r="O1525" s="60">
        <v>0</v>
      </c>
      <c r="P1525" s="60">
        <v>0</v>
      </c>
      <c r="Q1525" s="60">
        <v>0</v>
      </c>
      <c r="R1525" s="60">
        <v>0</v>
      </c>
      <c r="S1525" s="60">
        <v>0</v>
      </c>
      <c r="T1525" s="60">
        <v>0</v>
      </c>
      <c r="U1525" s="60">
        <v>0</v>
      </c>
      <c r="V1525" s="60">
        <v>0</v>
      </c>
      <c r="W1525" s="60">
        <v>0</v>
      </c>
      <c r="X1525" s="60">
        <v>0</v>
      </c>
      <c r="Y1525" s="60">
        <v>0</v>
      </c>
      <c r="Z1525" s="60">
        <v>0</v>
      </c>
      <c r="AA1525" s="60">
        <v>0</v>
      </c>
      <c r="AB1525" s="60">
        <v>0</v>
      </c>
      <c r="AC1525" s="60">
        <v>287.85000000000002</v>
      </c>
      <c r="AD1525" s="60">
        <v>125.67</v>
      </c>
      <c r="AE1525" s="60">
        <v>68.900000000000006</v>
      </c>
      <c r="AF1525" s="60">
        <v>0</v>
      </c>
      <c r="AG1525" s="60">
        <v>0</v>
      </c>
      <c r="AH1525" s="60">
        <v>0</v>
      </c>
      <c r="AI1525" s="60">
        <v>287.85000000000002</v>
      </c>
      <c r="AJ1525" s="60">
        <v>125.67</v>
      </c>
      <c r="AK1525" s="60">
        <v>68.900000000000006</v>
      </c>
      <c r="AL1525" s="60">
        <v>0</v>
      </c>
      <c r="AM1525" s="60">
        <v>0</v>
      </c>
      <c r="AN1525" s="60">
        <v>0</v>
      </c>
      <c r="AO1525" s="60">
        <v>287.85000000000002</v>
      </c>
      <c r="AP1525" s="60">
        <v>125.67</v>
      </c>
      <c r="AQ1525" s="60">
        <v>68.900000000000006</v>
      </c>
      <c r="AR1525" s="61">
        <v>287.85000000000002</v>
      </c>
    </row>
    <row r="1526" spans="1:44" ht="31" x14ac:dyDescent="0.35">
      <c r="A1526" s="49" t="str">
        <f>TEXT(39,"00")</f>
        <v>39</v>
      </c>
      <c r="B1526" s="27">
        <v>68676</v>
      </c>
      <c r="C1526" s="25" t="str">
        <f>TEXT(139907,"0000000")</f>
        <v>0139907</v>
      </c>
      <c r="D1526" s="27">
        <v>2077</v>
      </c>
      <c r="E1526" s="25" t="s">
        <v>2488</v>
      </c>
      <c r="F1526" s="25" t="s">
        <v>21</v>
      </c>
      <c r="G1526" s="59" t="s">
        <v>2489</v>
      </c>
      <c r="H1526" s="60">
        <v>0</v>
      </c>
      <c r="I1526" s="60">
        <v>0</v>
      </c>
      <c r="J1526" s="60">
        <v>0</v>
      </c>
      <c r="K1526" s="60">
        <v>0</v>
      </c>
      <c r="L1526" s="60">
        <v>0</v>
      </c>
      <c r="M1526" s="60">
        <v>0</v>
      </c>
      <c r="N1526" s="60">
        <v>0</v>
      </c>
      <c r="O1526" s="60">
        <v>0</v>
      </c>
      <c r="P1526" s="60">
        <v>0</v>
      </c>
      <c r="Q1526" s="60">
        <v>0</v>
      </c>
      <c r="R1526" s="60">
        <v>0</v>
      </c>
      <c r="S1526" s="60">
        <v>0</v>
      </c>
      <c r="T1526" s="60">
        <v>0</v>
      </c>
      <c r="U1526" s="60">
        <v>0</v>
      </c>
      <c r="V1526" s="60">
        <v>0</v>
      </c>
      <c r="W1526" s="60">
        <v>0</v>
      </c>
      <c r="X1526" s="60">
        <v>0</v>
      </c>
      <c r="Y1526" s="60">
        <v>0</v>
      </c>
      <c r="Z1526" s="60">
        <v>0</v>
      </c>
      <c r="AA1526" s="60">
        <v>0</v>
      </c>
      <c r="AB1526" s="60">
        <v>0</v>
      </c>
      <c r="AC1526" s="60">
        <v>103.01</v>
      </c>
      <c r="AD1526" s="60">
        <v>86.23</v>
      </c>
      <c r="AE1526" s="60">
        <v>60.8</v>
      </c>
      <c r="AF1526" s="60">
        <v>0</v>
      </c>
      <c r="AG1526" s="60">
        <v>0</v>
      </c>
      <c r="AH1526" s="60">
        <v>0</v>
      </c>
      <c r="AI1526" s="60">
        <v>103.01</v>
      </c>
      <c r="AJ1526" s="60">
        <v>86.23</v>
      </c>
      <c r="AK1526" s="60">
        <v>60.8</v>
      </c>
      <c r="AL1526" s="60">
        <v>0</v>
      </c>
      <c r="AM1526" s="60">
        <v>0</v>
      </c>
      <c r="AN1526" s="60">
        <v>0</v>
      </c>
      <c r="AO1526" s="60">
        <v>103.01</v>
      </c>
      <c r="AP1526" s="60">
        <v>86.23</v>
      </c>
      <c r="AQ1526" s="60">
        <v>60.8</v>
      </c>
      <c r="AR1526" s="61">
        <v>103.01</v>
      </c>
    </row>
    <row r="1527" spans="1:44" ht="31" x14ac:dyDescent="0.35">
      <c r="A1527" s="49" t="str">
        <f t="shared" ref="A1527:A1533" si="122">TEXT(43,"00")</f>
        <v>43</v>
      </c>
      <c r="B1527" s="27">
        <v>10439</v>
      </c>
      <c r="C1527" s="25" t="str">
        <f>TEXT(131748,"0000000")</f>
        <v>0131748</v>
      </c>
      <c r="D1527" s="27">
        <v>1716</v>
      </c>
      <c r="E1527" s="25" t="s">
        <v>2727</v>
      </c>
      <c r="F1527" s="25" t="s">
        <v>21</v>
      </c>
      <c r="G1527" s="59" t="s">
        <v>2728</v>
      </c>
      <c r="H1527" s="60">
        <v>0</v>
      </c>
      <c r="I1527" s="60">
        <v>0</v>
      </c>
      <c r="J1527" s="60">
        <v>0</v>
      </c>
      <c r="K1527" s="60">
        <v>0</v>
      </c>
      <c r="L1527" s="60">
        <v>0</v>
      </c>
      <c r="M1527" s="60">
        <v>0</v>
      </c>
      <c r="N1527" s="60">
        <v>0</v>
      </c>
      <c r="O1527" s="60">
        <v>0</v>
      </c>
      <c r="P1527" s="60">
        <v>0</v>
      </c>
      <c r="Q1527" s="60">
        <v>0</v>
      </c>
      <c r="R1527" s="60">
        <v>0</v>
      </c>
      <c r="S1527" s="60">
        <v>0</v>
      </c>
      <c r="T1527" s="60">
        <v>0</v>
      </c>
      <c r="U1527" s="60">
        <v>0</v>
      </c>
      <c r="V1527" s="60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v>262.81</v>
      </c>
      <c r="AD1527" s="60">
        <v>256.94</v>
      </c>
      <c r="AE1527" s="60">
        <v>341.05</v>
      </c>
      <c r="AF1527" s="60">
        <v>0</v>
      </c>
      <c r="AG1527" s="60">
        <v>0</v>
      </c>
      <c r="AH1527" s="60">
        <v>0</v>
      </c>
      <c r="AI1527" s="60">
        <v>262.81</v>
      </c>
      <c r="AJ1527" s="60">
        <v>256.94</v>
      </c>
      <c r="AK1527" s="60">
        <v>341.05</v>
      </c>
      <c r="AL1527" s="60">
        <v>0</v>
      </c>
      <c r="AM1527" s="60">
        <v>0</v>
      </c>
      <c r="AN1527" s="60">
        <v>0</v>
      </c>
      <c r="AO1527" s="60">
        <v>262.81</v>
      </c>
      <c r="AP1527" s="60">
        <v>256.94</v>
      </c>
      <c r="AQ1527" s="60">
        <v>341.05</v>
      </c>
      <c r="AR1527" s="61">
        <v>341.05</v>
      </c>
    </row>
    <row r="1528" spans="1:44" ht="31" x14ac:dyDescent="0.35">
      <c r="A1528" s="49" t="str">
        <f t="shared" si="122"/>
        <v>43</v>
      </c>
      <c r="B1528" s="27">
        <v>10439</v>
      </c>
      <c r="C1528" s="25" t="str">
        <f>TEXT(132530,"0000000")</f>
        <v>0132530</v>
      </c>
      <c r="D1528" s="27">
        <v>1743</v>
      </c>
      <c r="E1528" s="25" t="s">
        <v>2729</v>
      </c>
      <c r="F1528" s="25" t="s">
        <v>21</v>
      </c>
      <c r="G1528" s="59" t="s">
        <v>2730</v>
      </c>
      <c r="H1528" s="60">
        <v>0</v>
      </c>
      <c r="I1528" s="60">
        <v>0</v>
      </c>
      <c r="J1528" s="60">
        <v>0</v>
      </c>
      <c r="K1528" s="60">
        <v>0</v>
      </c>
      <c r="L1528" s="60">
        <v>0</v>
      </c>
      <c r="M1528" s="60">
        <v>0</v>
      </c>
      <c r="N1528" s="60">
        <v>0</v>
      </c>
      <c r="O1528" s="60">
        <v>0</v>
      </c>
      <c r="P1528" s="60">
        <v>0</v>
      </c>
      <c r="Q1528" s="60">
        <v>0</v>
      </c>
      <c r="R1528" s="60">
        <v>0</v>
      </c>
      <c r="S1528" s="60">
        <v>0</v>
      </c>
      <c r="T1528" s="60">
        <v>0</v>
      </c>
      <c r="U1528" s="60">
        <v>0</v>
      </c>
      <c r="V1528" s="60">
        <v>0</v>
      </c>
      <c r="W1528" s="60">
        <v>0</v>
      </c>
      <c r="X1528" s="60">
        <v>0</v>
      </c>
      <c r="Y1528" s="60">
        <v>0</v>
      </c>
      <c r="Z1528" s="60">
        <v>0</v>
      </c>
      <c r="AA1528" s="60">
        <v>0</v>
      </c>
      <c r="AB1528" s="60">
        <v>0</v>
      </c>
      <c r="AC1528" s="60">
        <v>205.64</v>
      </c>
      <c r="AD1528" s="60">
        <v>252.34</v>
      </c>
      <c r="AE1528" s="60">
        <v>265.52999999999997</v>
      </c>
      <c r="AF1528" s="60">
        <v>0</v>
      </c>
      <c r="AG1528" s="60">
        <v>0</v>
      </c>
      <c r="AH1528" s="60">
        <v>0</v>
      </c>
      <c r="AI1528" s="60">
        <v>205.64</v>
      </c>
      <c r="AJ1528" s="60">
        <v>252.34</v>
      </c>
      <c r="AK1528" s="60">
        <v>265.52999999999997</v>
      </c>
      <c r="AL1528" s="60">
        <v>0</v>
      </c>
      <c r="AM1528" s="60">
        <v>0</v>
      </c>
      <c r="AN1528" s="60">
        <v>0</v>
      </c>
      <c r="AO1528" s="60">
        <v>205.64</v>
      </c>
      <c r="AP1528" s="60">
        <v>252.34</v>
      </c>
      <c r="AQ1528" s="60">
        <v>265.52999999999997</v>
      </c>
      <c r="AR1528" s="61">
        <v>265.52999999999997</v>
      </c>
    </row>
    <row r="1529" spans="1:44" x14ac:dyDescent="0.35">
      <c r="A1529" s="49" t="str">
        <f t="shared" si="122"/>
        <v>43</v>
      </c>
      <c r="B1529" s="27">
        <v>69427</v>
      </c>
      <c r="C1529" s="25" t="str">
        <f>TEXT(130856,"0000000")</f>
        <v>0130856</v>
      </c>
      <c r="D1529" s="27">
        <v>1681</v>
      </c>
      <c r="E1529" s="25" t="s">
        <v>2762</v>
      </c>
      <c r="F1529" s="25" t="s">
        <v>21</v>
      </c>
      <c r="G1529" s="59" t="s">
        <v>2763</v>
      </c>
      <c r="H1529" s="60">
        <v>0</v>
      </c>
      <c r="I1529" s="60">
        <v>0</v>
      </c>
      <c r="J1529" s="60">
        <v>0</v>
      </c>
      <c r="K1529" s="60">
        <v>0</v>
      </c>
      <c r="L1529" s="60">
        <v>0</v>
      </c>
      <c r="M1529" s="60">
        <v>0</v>
      </c>
      <c r="N1529" s="60">
        <v>0</v>
      </c>
      <c r="O1529" s="60">
        <v>0</v>
      </c>
      <c r="P1529" s="60">
        <v>0</v>
      </c>
      <c r="Q1529" s="60">
        <v>0</v>
      </c>
      <c r="R1529" s="60">
        <v>0</v>
      </c>
      <c r="S1529" s="60">
        <v>0</v>
      </c>
      <c r="T1529" s="60">
        <v>0</v>
      </c>
      <c r="U1529" s="60">
        <v>0</v>
      </c>
      <c r="V1529" s="60">
        <v>0</v>
      </c>
      <c r="W1529" s="60">
        <v>0</v>
      </c>
      <c r="X1529" s="60">
        <v>0</v>
      </c>
      <c r="Y1529" s="60">
        <v>0</v>
      </c>
      <c r="Z1529" s="60">
        <v>0</v>
      </c>
      <c r="AA1529" s="60">
        <v>0</v>
      </c>
      <c r="AB1529" s="60">
        <v>0</v>
      </c>
      <c r="AC1529" s="60">
        <v>211.86</v>
      </c>
      <c r="AD1529" s="60">
        <v>251.57</v>
      </c>
      <c r="AE1529" s="60">
        <v>270.39999999999998</v>
      </c>
      <c r="AF1529" s="60">
        <v>0</v>
      </c>
      <c r="AG1529" s="60">
        <v>0</v>
      </c>
      <c r="AH1529" s="60">
        <v>0</v>
      </c>
      <c r="AI1529" s="60">
        <v>211.86</v>
      </c>
      <c r="AJ1529" s="60">
        <v>251.57</v>
      </c>
      <c r="AK1529" s="60">
        <v>270.39999999999998</v>
      </c>
      <c r="AL1529" s="60">
        <v>0</v>
      </c>
      <c r="AM1529" s="60">
        <v>0</v>
      </c>
      <c r="AN1529" s="60">
        <v>0</v>
      </c>
      <c r="AO1529" s="60">
        <v>211.86</v>
      </c>
      <c r="AP1529" s="60">
        <v>251.57</v>
      </c>
      <c r="AQ1529" s="60">
        <v>270.39999999999998</v>
      </c>
      <c r="AR1529" s="61">
        <v>270.39999999999998</v>
      </c>
    </row>
    <row r="1530" spans="1:44" x14ac:dyDescent="0.35">
      <c r="A1530" s="49" t="str">
        <f t="shared" si="122"/>
        <v>43</v>
      </c>
      <c r="B1530" s="27">
        <v>69427</v>
      </c>
      <c r="C1530" s="25" t="str">
        <f>TEXT(131995,"0000000")</f>
        <v>0131995</v>
      </c>
      <c r="D1530" s="27">
        <v>1675</v>
      </c>
      <c r="E1530" s="25" t="s">
        <v>2764</v>
      </c>
      <c r="F1530" s="25" t="s">
        <v>21</v>
      </c>
      <c r="G1530" s="59" t="s">
        <v>2765</v>
      </c>
      <c r="H1530" s="60">
        <v>0</v>
      </c>
      <c r="I1530" s="60">
        <v>0</v>
      </c>
      <c r="J1530" s="60">
        <v>0</v>
      </c>
      <c r="K1530" s="60">
        <v>0</v>
      </c>
      <c r="L1530" s="60">
        <v>0</v>
      </c>
      <c r="M1530" s="60">
        <v>0</v>
      </c>
      <c r="N1530" s="60">
        <v>0</v>
      </c>
      <c r="O1530" s="60">
        <v>0</v>
      </c>
      <c r="P1530" s="60">
        <v>0</v>
      </c>
      <c r="Q1530" s="60">
        <v>0</v>
      </c>
      <c r="R1530" s="60">
        <v>0</v>
      </c>
      <c r="S1530" s="60">
        <v>0</v>
      </c>
      <c r="T1530" s="60">
        <v>0</v>
      </c>
      <c r="U1530" s="60">
        <v>0</v>
      </c>
      <c r="V1530" s="60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0</v>
      </c>
      <c r="AB1530" s="60">
        <v>0</v>
      </c>
      <c r="AC1530" s="60">
        <v>219.48</v>
      </c>
      <c r="AD1530" s="60">
        <v>234.92</v>
      </c>
      <c r="AE1530" s="60">
        <v>230.01</v>
      </c>
      <c r="AF1530" s="60">
        <v>0</v>
      </c>
      <c r="AG1530" s="60">
        <v>0</v>
      </c>
      <c r="AH1530" s="60">
        <v>0</v>
      </c>
      <c r="AI1530" s="60">
        <v>219.48</v>
      </c>
      <c r="AJ1530" s="60">
        <v>234.92</v>
      </c>
      <c r="AK1530" s="60">
        <v>230.01</v>
      </c>
      <c r="AL1530" s="60">
        <v>0</v>
      </c>
      <c r="AM1530" s="60">
        <v>0</v>
      </c>
      <c r="AN1530" s="60">
        <v>0</v>
      </c>
      <c r="AO1530" s="60">
        <v>219.48</v>
      </c>
      <c r="AP1530" s="60">
        <v>234.92</v>
      </c>
      <c r="AQ1530" s="60">
        <v>230.01</v>
      </c>
      <c r="AR1530" s="61">
        <v>234.92</v>
      </c>
    </row>
    <row r="1531" spans="1:44" x14ac:dyDescent="0.35">
      <c r="A1531" s="49" t="str">
        <f t="shared" si="122"/>
        <v>43</v>
      </c>
      <c r="B1531" s="27">
        <v>69427</v>
      </c>
      <c r="C1531" s="25" t="str">
        <f>TEXT(4330668,"0000000")</f>
        <v>4330668</v>
      </c>
      <c r="D1531" s="26" t="s">
        <v>2770</v>
      </c>
      <c r="E1531" s="25" t="s">
        <v>2768</v>
      </c>
      <c r="F1531" s="25" t="s">
        <v>21</v>
      </c>
      <c r="G1531" s="59" t="s">
        <v>2769</v>
      </c>
      <c r="H1531" s="60">
        <v>0</v>
      </c>
      <c r="I1531" s="60">
        <v>0</v>
      </c>
      <c r="J1531" s="60">
        <v>0</v>
      </c>
      <c r="K1531" s="60">
        <v>0</v>
      </c>
      <c r="L1531" s="60">
        <v>0</v>
      </c>
      <c r="M1531" s="60">
        <v>0</v>
      </c>
      <c r="N1531" s="60">
        <v>0</v>
      </c>
      <c r="O1531" s="60">
        <v>0</v>
      </c>
      <c r="P1531" s="60">
        <v>0</v>
      </c>
      <c r="Q1531" s="60">
        <v>0</v>
      </c>
      <c r="R1531" s="60">
        <v>0</v>
      </c>
      <c r="S1531" s="60">
        <v>0</v>
      </c>
      <c r="T1531" s="60">
        <v>0</v>
      </c>
      <c r="U1531" s="60">
        <v>0</v>
      </c>
      <c r="V1531" s="60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v>384.57</v>
      </c>
      <c r="AD1531" s="60">
        <v>374.6</v>
      </c>
      <c r="AE1531" s="60">
        <v>375.96</v>
      </c>
      <c r="AF1531" s="60">
        <v>0</v>
      </c>
      <c r="AG1531" s="60">
        <v>0</v>
      </c>
      <c r="AH1531" s="60">
        <v>0</v>
      </c>
      <c r="AI1531" s="60">
        <v>384.57</v>
      </c>
      <c r="AJ1531" s="60">
        <v>374.6</v>
      </c>
      <c r="AK1531" s="60">
        <v>375.96</v>
      </c>
      <c r="AL1531" s="60">
        <v>0</v>
      </c>
      <c r="AM1531" s="60">
        <v>0</v>
      </c>
      <c r="AN1531" s="60">
        <v>0</v>
      </c>
      <c r="AO1531" s="60">
        <v>384.57</v>
      </c>
      <c r="AP1531" s="60">
        <v>374.6</v>
      </c>
      <c r="AQ1531" s="60">
        <v>375.96</v>
      </c>
      <c r="AR1531" s="61">
        <v>384.57</v>
      </c>
    </row>
    <row r="1532" spans="1:44" x14ac:dyDescent="0.35">
      <c r="A1532" s="49" t="str">
        <f t="shared" si="122"/>
        <v>43</v>
      </c>
      <c r="B1532" s="27">
        <v>69450</v>
      </c>
      <c r="C1532" s="25" t="str">
        <f>TEXT(113662,"0000000")</f>
        <v>0113662</v>
      </c>
      <c r="D1532" s="26" t="s">
        <v>2783</v>
      </c>
      <c r="E1532" s="25" t="s">
        <v>2781</v>
      </c>
      <c r="F1532" s="25" t="s">
        <v>21</v>
      </c>
      <c r="G1532" s="59" t="s">
        <v>2782</v>
      </c>
      <c r="H1532" s="60">
        <v>0</v>
      </c>
      <c r="I1532" s="60">
        <v>0</v>
      </c>
      <c r="J1532" s="60">
        <v>0</v>
      </c>
      <c r="K1532" s="60">
        <v>0</v>
      </c>
      <c r="L1532" s="60">
        <v>0</v>
      </c>
      <c r="M1532" s="60">
        <v>0</v>
      </c>
      <c r="N1532" s="60">
        <v>0</v>
      </c>
      <c r="O1532" s="60">
        <v>0</v>
      </c>
      <c r="P1532" s="60">
        <v>0</v>
      </c>
      <c r="Q1532" s="60">
        <v>0</v>
      </c>
      <c r="R1532" s="60">
        <v>0</v>
      </c>
      <c r="S1532" s="60">
        <v>0</v>
      </c>
      <c r="T1532" s="60">
        <v>0</v>
      </c>
      <c r="U1532" s="60">
        <v>0</v>
      </c>
      <c r="V1532" s="60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0</v>
      </c>
      <c r="AC1532" s="60">
        <v>303.39</v>
      </c>
      <c r="AD1532" s="60">
        <v>329.93</v>
      </c>
      <c r="AE1532" s="60">
        <v>350</v>
      </c>
      <c r="AF1532" s="60">
        <v>0</v>
      </c>
      <c r="AG1532" s="60">
        <v>0</v>
      </c>
      <c r="AH1532" s="60">
        <v>0</v>
      </c>
      <c r="AI1532" s="60">
        <v>303.39</v>
      </c>
      <c r="AJ1532" s="60">
        <v>329.93</v>
      </c>
      <c r="AK1532" s="60">
        <v>350</v>
      </c>
      <c r="AL1532" s="60">
        <v>0</v>
      </c>
      <c r="AM1532" s="60">
        <v>0</v>
      </c>
      <c r="AN1532" s="60">
        <v>0</v>
      </c>
      <c r="AO1532" s="60">
        <v>303.39</v>
      </c>
      <c r="AP1532" s="60">
        <v>329.93</v>
      </c>
      <c r="AQ1532" s="60">
        <v>350</v>
      </c>
      <c r="AR1532" s="61">
        <v>350</v>
      </c>
    </row>
    <row r="1533" spans="1:44" x14ac:dyDescent="0.35">
      <c r="A1533" s="49" t="str">
        <f t="shared" si="122"/>
        <v>43</v>
      </c>
      <c r="B1533" s="27">
        <v>69583</v>
      </c>
      <c r="C1533" s="25" t="str">
        <f>TEXT(6118541,"0000000")</f>
        <v>6118541</v>
      </c>
      <c r="D1533" s="26" t="s">
        <v>2816</v>
      </c>
      <c r="E1533" s="25" t="s">
        <v>2814</v>
      </c>
      <c r="F1533" s="25" t="s">
        <v>21</v>
      </c>
      <c r="G1533" s="59" t="s">
        <v>2815</v>
      </c>
      <c r="H1533" s="60">
        <v>0</v>
      </c>
      <c r="I1533" s="60">
        <v>0</v>
      </c>
      <c r="J1533" s="60">
        <v>0</v>
      </c>
      <c r="K1533" s="60">
        <v>0</v>
      </c>
      <c r="L1533" s="60">
        <v>0</v>
      </c>
      <c r="M1533" s="60">
        <v>0</v>
      </c>
      <c r="N1533" s="60">
        <v>0</v>
      </c>
      <c r="O1533" s="60">
        <v>0</v>
      </c>
      <c r="P1533" s="60">
        <v>0</v>
      </c>
      <c r="Q1533" s="60">
        <v>0</v>
      </c>
      <c r="R1533" s="60">
        <v>0</v>
      </c>
      <c r="S1533" s="60">
        <v>0</v>
      </c>
      <c r="T1533" s="60">
        <v>0</v>
      </c>
      <c r="U1533" s="60">
        <v>0</v>
      </c>
      <c r="V1533" s="60">
        <v>0</v>
      </c>
      <c r="W1533" s="60">
        <v>0</v>
      </c>
      <c r="X1533" s="60">
        <v>0</v>
      </c>
      <c r="Y1533" s="60">
        <v>0</v>
      </c>
      <c r="Z1533" s="60">
        <v>0</v>
      </c>
      <c r="AA1533" s="60">
        <v>0</v>
      </c>
      <c r="AB1533" s="60">
        <v>0</v>
      </c>
      <c r="AC1533" s="60">
        <v>632.35</v>
      </c>
      <c r="AD1533" s="60">
        <v>627.20000000000005</v>
      </c>
      <c r="AE1533" s="60">
        <v>630.46</v>
      </c>
      <c r="AF1533" s="60">
        <v>0</v>
      </c>
      <c r="AG1533" s="60">
        <v>0</v>
      </c>
      <c r="AH1533" s="60">
        <v>0</v>
      </c>
      <c r="AI1533" s="60">
        <v>632.35</v>
      </c>
      <c r="AJ1533" s="60">
        <v>627.20000000000005</v>
      </c>
      <c r="AK1533" s="60">
        <v>630.46</v>
      </c>
      <c r="AL1533" s="60">
        <v>0</v>
      </c>
      <c r="AM1533" s="60">
        <v>0</v>
      </c>
      <c r="AN1533" s="60">
        <v>0</v>
      </c>
      <c r="AO1533" s="60">
        <v>632.35</v>
      </c>
      <c r="AP1533" s="60">
        <v>627.20000000000005</v>
      </c>
      <c r="AQ1533" s="60">
        <v>630.46</v>
      </c>
      <c r="AR1533" s="61">
        <v>632.35</v>
      </c>
    </row>
    <row r="1534" spans="1:44" x14ac:dyDescent="0.35">
      <c r="A1534" s="49" t="str">
        <f>TEXT(48,"00")</f>
        <v>48</v>
      </c>
      <c r="B1534" s="27">
        <v>70581</v>
      </c>
      <c r="C1534" s="25" t="str">
        <f>TEXT(137380,"0000000")</f>
        <v>0137380</v>
      </c>
      <c r="D1534" s="27">
        <v>1912</v>
      </c>
      <c r="E1534" s="25" t="s">
        <v>3041</v>
      </c>
      <c r="F1534" s="25" t="s">
        <v>21</v>
      </c>
      <c r="G1534" s="59" t="s">
        <v>3042</v>
      </c>
      <c r="H1534" s="60">
        <v>0</v>
      </c>
      <c r="I1534" s="60">
        <v>0</v>
      </c>
      <c r="J1534" s="60">
        <v>0</v>
      </c>
      <c r="K1534" s="60">
        <v>0</v>
      </c>
      <c r="L1534" s="60">
        <v>0</v>
      </c>
      <c r="M1534" s="60">
        <v>0</v>
      </c>
      <c r="N1534" s="60">
        <v>0</v>
      </c>
      <c r="O1534" s="60">
        <v>0</v>
      </c>
      <c r="P1534" s="60">
        <v>0</v>
      </c>
      <c r="Q1534" s="60">
        <v>0</v>
      </c>
      <c r="R1534" s="60">
        <v>0</v>
      </c>
      <c r="S1534" s="60">
        <v>0</v>
      </c>
      <c r="T1534" s="60">
        <v>0</v>
      </c>
      <c r="U1534" s="60">
        <v>0</v>
      </c>
      <c r="V1534" s="60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v>60.08</v>
      </c>
      <c r="AD1534" s="60">
        <v>92.59</v>
      </c>
      <c r="AE1534" s="60">
        <v>133.29</v>
      </c>
      <c r="AF1534" s="60">
        <v>0</v>
      </c>
      <c r="AG1534" s="60">
        <v>0</v>
      </c>
      <c r="AH1534" s="60">
        <v>0</v>
      </c>
      <c r="AI1534" s="60">
        <v>60.08</v>
      </c>
      <c r="AJ1534" s="60">
        <v>92.59</v>
      </c>
      <c r="AK1534" s="60">
        <v>133.29</v>
      </c>
      <c r="AL1534" s="60">
        <v>0</v>
      </c>
      <c r="AM1534" s="60">
        <v>0</v>
      </c>
      <c r="AN1534" s="60">
        <v>0</v>
      </c>
      <c r="AO1534" s="60">
        <v>60.08</v>
      </c>
      <c r="AP1534" s="60">
        <v>92.59</v>
      </c>
      <c r="AQ1534" s="60">
        <v>133.29</v>
      </c>
      <c r="AR1534" s="61">
        <v>133.29</v>
      </c>
    </row>
    <row r="1535" spans="1:44" x14ac:dyDescent="0.35">
      <c r="A1535" s="49" t="str">
        <f>TEXT(48,"00")</f>
        <v>48</v>
      </c>
      <c r="B1535" s="27">
        <v>70581</v>
      </c>
      <c r="C1535" s="25" t="str">
        <f>TEXT(139816,"0000000")</f>
        <v>0139816</v>
      </c>
      <c r="D1535" s="27">
        <v>2083</v>
      </c>
      <c r="E1535" s="25" t="s">
        <v>3043</v>
      </c>
      <c r="F1535" s="25" t="s">
        <v>21</v>
      </c>
      <c r="G1535" s="59" t="s">
        <v>3044</v>
      </c>
      <c r="H1535" s="60">
        <v>0</v>
      </c>
      <c r="I1535" s="60">
        <v>0</v>
      </c>
      <c r="J1535" s="60">
        <v>0</v>
      </c>
      <c r="K1535" s="60">
        <v>0</v>
      </c>
      <c r="L1535" s="60">
        <v>0</v>
      </c>
      <c r="M1535" s="60">
        <v>0</v>
      </c>
      <c r="N1535" s="60">
        <v>0</v>
      </c>
      <c r="O1535" s="60">
        <v>0</v>
      </c>
      <c r="P1535" s="60">
        <v>0</v>
      </c>
      <c r="Q1535" s="60">
        <v>0</v>
      </c>
      <c r="R1535" s="60">
        <v>0</v>
      </c>
      <c r="S1535" s="60">
        <v>0</v>
      </c>
      <c r="T1535" s="60">
        <v>0</v>
      </c>
      <c r="U1535" s="60">
        <v>0</v>
      </c>
      <c r="V1535" s="60">
        <v>0</v>
      </c>
      <c r="W1535" s="60">
        <v>0</v>
      </c>
      <c r="X1535" s="60">
        <v>0</v>
      </c>
      <c r="Y1535" s="60">
        <v>0</v>
      </c>
      <c r="Z1535" s="60">
        <v>0</v>
      </c>
      <c r="AA1535" s="60">
        <v>0</v>
      </c>
      <c r="AB1535" s="60">
        <v>0</v>
      </c>
      <c r="AC1535" s="60">
        <v>165.11</v>
      </c>
      <c r="AD1535" s="60">
        <v>136.16</v>
      </c>
      <c r="AE1535" s="60">
        <v>157.86000000000001</v>
      </c>
      <c r="AF1535" s="60">
        <v>0</v>
      </c>
      <c r="AG1535" s="60">
        <v>0</v>
      </c>
      <c r="AH1535" s="60">
        <v>0</v>
      </c>
      <c r="AI1535" s="60">
        <v>165.11</v>
      </c>
      <c r="AJ1535" s="60">
        <v>136.16</v>
      </c>
      <c r="AK1535" s="60">
        <v>157.86000000000001</v>
      </c>
      <c r="AL1535" s="60">
        <v>0</v>
      </c>
      <c r="AM1535" s="60">
        <v>0</v>
      </c>
      <c r="AN1535" s="60">
        <v>0</v>
      </c>
      <c r="AO1535" s="60">
        <v>165.11</v>
      </c>
      <c r="AP1535" s="60">
        <v>136.16</v>
      </c>
      <c r="AQ1535" s="60">
        <v>157.86000000000001</v>
      </c>
      <c r="AR1535" s="61">
        <v>165.11</v>
      </c>
    </row>
    <row r="1536" spans="1:44" x14ac:dyDescent="0.35">
      <c r="A1536" s="49" t="str">
        <f>TEXT(48,"00")</f>
        <v>48</v>
      </c>
      <c r="B1536" s="27">
        <v>70581</v>
      </c>
      <c r="C1536" s="25" t="str">
        <f>TEXT(4830196,"0000000")</f>
        <v>4830196</v>
      </c>
      <c r="D1536" s="26" t="s">
        <v>3047</v>
      </c>
      <c r="E1536" s="25" t="s">
        <v>3045</v>
      </c>
      <c r="F1536" s="25" t="s">
        <v>21</v>
      </c>
      <c r="G1536" s="59" t="s">
        <v>3046</v>
      </c>
      <c r="H1536" s="60">
        <v>0</v>
      </c>
      <c r="I1536" s="60">
        <v>0</v>
      </c>
      <c r="J1536" s="60">
        <v>0</v>
      </c>
      <c r="K1536" s="60">
        <v>0</v>
      </c>
      <c r="L1536" s="60">
        <v>0</v>
      </c>
      <c r="M1536" s="60">
        <v>0</v>
      </c>
      <c r="N1536" s="60">
        <v>0</v>
      </c>
      <c r="O1536" s="60">
        <v>0</v>
      </c>
      <c r="P1536" s="60">
        <v>0</v>
      </c>
      <c r="Q1536" s="60">
        <v>0</v>
      </c>
      <c r="R1536" s="60">
        <v>0</v>
      </c>
      <c r="S1536" s="60">
        <v>0</v>
      </c>
      <c r="T1536" s="60">
        <v>0</v>
      </c>
      <c r="U1536" s="60">
        <v>0</v>
      </c>
      <c r="V1536" s="60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v>445.19</v>
      </c>
      <c r="AD1536" s="60">
        <v>397.89</v>
      </c>
      <c r="AE1536" s="60">
        <v>451.13</v>
      </c>
      <c r="AF1536" s="60">
        <v>0</v>
      </c>
      <c r="AG1536" s="60">
        <v>0</v>
      </c>
      <c r="AH1536" s="60">
        <v>0</v>
      </c>
      <c r="AI1536" s="60">
        <v>445.19</v>
      </c>
      <c r="AJ1536" s="60">
        <v>397.89</v>
      </c>
      <c r="AK1536" s="60">
        <v>451.13</v>
      </c>
      <c r="AL1536" s="60">
        <v>0</v>
      </c>
      <c r="AM1536" s="60">
        <v>0</v>
      </c>
      <c r="AN1536" s="60">
        <v>0</v>
      </c>
      <c r="AO1536" s="60">
        <v>445.19</v>
      </c>
      <c r="AP1536" s="60">
        <v>397.89</v>
      </c>
      <c r="AQ1536" s="60">
        <v>451.13</v>
      </c>
      <c r="AR1536" s="61">
        <v>451.13</v>
      </c>
    </row>
    <row r="1537" spans="1:44" x14ac:dyDescent="0.35">
      <c r="A1537" s="49" t="str">
        <f>TEXT(48,"00")</f>
        <v>48</v>
      </c>
      <c r="B1537" s="27">
        <v>70581</v>
      </c>
      <c r="C1537" s="25" t="str">
        <f>TEXT(6116255,"0000000")</f>
        <v>6116255</v>
      </c>
      <c r="D1537" s="26" t="s">
        <v>3050</v>
      </c>
      <c r="E1537" s="25" t="s">
        <v>3048</v>
      </c>
      <c r="F1537" s="25" t="s">
        <v>21</v>
      </c>
      <c r="G1537" s="59" t="s">
        <v>3049</v>
      </c>
      <c r="H1537" s="60">
        <v>0</v>
      </c>
      <c r="I1537" s="60">
        <v>0</v>
      </c>
      <c r="J1537" s="60">
        <v>0</v>
      </c>
      <c r="K1537" s="60">
        <v>0</v>
      </c>
      <c r="L1537" s="60">
        <v>0</v>
      </c>
      <c r="M1537" s="60">
        <v>0</v>
      </c>
      <c r="N1537" s="60">
        <v>0</v>
      </c>
      <c r="O1537" s="60">
        <v>0</v>
      </c>
      <c r="P1537" s="60">
        <v>0</v>
      </c>
      <c r="Q1537" s="60">
        <v>0</v>
      </c>
      <c r="R1537" s="60">
        <v>0</v>
      </c>
      <c r="S1537" s="60">
        <v>0</v>
      </c>
      <c r="T1537" s="60">
        <v>0</v>
      </c>
      <c r="U1537" s="60">
        <v>0</v>
      </c>
      <c r="V1537" s="60">
        <v>0</v>
      </c>
      <c r="W1537" s="60">
        <v>0</v>
      </c>
      <c r="X1537" s="60">
        <v>0</v>
      </c>
      <c r="Y1537" s="60">
        <v>0</v>
      </c>
      <c r="Z1537" s="60">
        <v>0</v>
      </c>
      <c r="AA1537" s="60">
        <v>0</v>
      </c>
      <c r="AB1537" s="60">
        <v>0</v>
      </c>
      <c r="AC1537" s="60">
        <v>237.4</v>
      </c>
      <c r="AD1537" s="60">
        <v>259.10000000000002</v>
      </c>
      <c r="AE1537" s="60">
        <v>333.91</v>
      </c>
      <c r="AF1537" s="60">
        <v>0</v>
      </c>
      <c r="AG1537" s="60">
        <v>0</v>
      </c>
      <c r="AH1537" s="60">
        <v>0</v>
      </c>
      <c r="AI1537" s="60">
        <v>237.4</v>
      </c>
      <c r="AJ1537" s="60">
        <v>259.10000000000002</v>
      </c>
      <c r="AK1537" s="60">
        <v>333.91</v>
      </c>
      <c r="AL1537" s="60">
        <v>0</v>
      </c>
      <c r="AM1537" s="60">
        <v>0</v>
      </c>
      <c r="AN1537" s="60">
        <v>0</v>
      </c>
      <c r="AO1537" s="60">
        <v>237.4</v>
      </c>
      <c r="AP1537" s="60">
        <v>259.10000000000002</v>
      </c>
      <c r="AQ1537" s="60">
        <v>333.91</v>
      </c>
      <c r="AR1537" s="61">
        <v>333.91</v>
      </c>
    </row>
    <row r="1538" spans="1:44" x14ac:dyDescent="0.35">
      <c r="A1538" s="49" t="str">
        <f>TEXT(49,"00")</f>
        <v>49</v>
      </c>
      <c r="B1538" s="27">
        <v>70722</v>
      </c>
      <c r="C1538" s="25" t="str">
        <f>TEXT(139048,"0000000")</f>
        <v>0139048</v>
      </c>
      <c r="D1538" s="27">
        <v>2037</v>
      </c>
      <c r="E1538" s="25" t="s">
        <v>3077</v>
      </c>
      <c r="F1538" s="25" t="s">
        <v>21</v>
      </c>
      <c r="G1538" s="59" t="s">
        <v>3078</v>
      </c>
      <c r="H1538" s="60">
        <v>0</v>
      </c>
      <c r="I1538" s="60">
        <v>0</v>
      </c>
      <c r="J1538" s="60">
        <v>0</v>
      </c>
      <c r="K1538" s="60">
        <v>0</v>
      </c>
      <c r="L1538" s="60">
        <v>0</v>
      </c>
      <c r="M1538" s="60">
        <v>0</v>
      </c>
      <c r="N1538" s="60">
        <v>0</v>
      </c>
      <c r="O1538" s="60">
        <v>0</v>
      </c>
      <c r="P1538" s="60">
        <v>0</v>
      </c>
      <c r="Q1538" s="60">
        <v>0</v>
      </c>
      <c r="R1538" s="60">
        <v>0</v>
      </c>
      <c r="S1538" s="60">
        <v>0</v>
      </c>
      <c r="T1538" s="60">
        <v>0</v>
      </c>
      <c r="U1538" s="60">
        <v>0</v>
      </c>
      <c r="V1538" s="60">
        <v>0</v>
      </c>
      <c r="W1538" s="60">
        <v>0</v>
      </c>
      <c r="X1538" s="60">
        <v>0</v>
      </c>
      <c r="Y1538" s="60">
        <v>0</v>
      </c>
      <c r="Z1538" s="60">
        <v>0</v>
      </c>
      <c r="AA1538" s="60">
        <v>0</v>
      </c>
      <c r="AB1538" s="60">
        <v>0</v>
      </c>
      <c r="AC1538" s="60">
        <v>150.49</v>
      </c>
      <c r="AD1538" s="60">
        <v>129.49</v>
      </c>
      <c r="AE1538" s="60">
        <v>151.44999999999999</v>
      </c>
      <c r="AF1538" s="60">
        <v>0</v>
      </c>
      <c r="AG1538" s="60">
        <v>0</v>
      </c>
      <c r="AH1538" s="60">
        <v>0</v>
      </c>
      <c r="AI1538" s="60">
        <v>150.49</v>
      </c>
      <c r="AJ1538" s="60">
        <v>129.49</v>
      </c>
      <c r="AK1538" s="60">
        <v>151.44999999999999</v>
      </c>
      <c r="AL1538" s="60">
        <v>0</v>
      </c>
      <c r="AM1538" s="60">
        <v>0</v>
      </c>
      <c r="AN1538" s="60">
        <v>0</v>
      </c>
      <c r="AO1538" s="60">
        <v>150.49</v>
      </c>
      <c r="AP1538" s="60">
        <v>129.49</v>
      </c>
      <c r="AQ1538" s="60">
        <v>151.44999999999999</v>
      </c>
      <c r="AR1538" s="61">
        <v>151.44999999999999</v>
      </c>
    </row>
    <row r="1539" spans="1:44" x14ac:dyDescent="0.35">
      <c r="A1539" s="49" t="str">
        <f>TEXT(51,"00")</f>
        <v>51</v>
      </c>
      <c r="B1539" s="27">
        <v>71407</v>
      </c>
      <c r="C1539" s="25" t="str">
        <f>TEXT(109793,"0000000")</f>
        <v>0109793</v>
      </c>
      <c r="D1539" s="26" t="s">
        <v>3239</v>
      </c>
      <c r="E1539" s="25" t="s">
        <v>3237</v>
      </c>
      <c r="F1539" s="25" t="s">
        <v>21</v>
      </c>
      <c r="G1539" s="59" t="s">
        <v>3238</v>
      </c>
      <c r="H1539" s="60">
        <v>0</v>
      </c>
      <c r="I1539" s="60">
        <v>0</v>
      </c>
      <c r="J1539" s="60">
        <v>0</v>
      </c>
      <c r="K1539" s="60">
        <v>0</v>
      </c>
      <c r="L1539" s="60">
        <v>0</v>
      </c>
      <c r="M1539" s="60">
        <v>0</v>
      </c>
      <c r="N1539" s="60">
        <v>0</v>
      </c>
      <c r="O1539" s="60">
        <v>0</v>
      </c>
      <c r="P1539" s="60">
        <v>0</v>
      </c>
      <c r="Q1539" s="60">
        <v>0</v>
      </c>
      <c r="R1539" s="60">
        <v>0</v>
      </c>
      <c r="S1539" s="60">
        <v>0</v>
      </c>
      <c r="T1539" s="60">
        <v>0</v>
      </c>
      <c r="U1539" s="60">
        <v>0</v>
      </c>
      <c r="V1539" s="60">
        <v>0</v>
      </c>
      <c r="W1539" s="60">
        <v>0</v>
      </c>
      <c r="X1539" s="60">
        <v>0</v>
      </c>
      <c r="Y1539" s="60">
        <v>0</v>
      </c>
      <c r="Z1539" s="60">
        <v>0</v>
      </c>
      <c r="AA1539" s="60">
        <v>0</v>
      </c>
      <c r="AB1539" s="60">
        <v>0</v>
      </c>
      <c r="AC1539" s="60">
        <v>2453.1799999999998</v>
      </c>
      <c r="AD1539" s="60">
        <v>2261.15</v>
      </c>
      <c r="AE1539" s="60">
        <v>2443.4899999999998</v>
      </c>
      <c r="AF1539" s="60">
        <v>0</v>
      </c>
      <c r="AG1539" s="60">
        <v>0</v>
      </c>
      <c r="AH1539" s="60">
        <v>0</v>
      </c>
      <c r="AI1539" s="60">
        <v>2453.1799999999998</v>
      </c>
      <c r="AJ1539" s="60">
        <v>2261.15</v>
      </c>
      <c r="AK1539" s="60">
        <v>2443.4899999999998</v>
      </c>
      <c r="AL1539" s="60">
        <v>0</v>
      </c>
      <c r="AM1539" s="60">
        <v>0</v>
      </c>
      <c r="AN1539" s="60">
        <v>0</v>
      </c>
      <c r="AO1539" s="60">
        <v>2453.1799999999998</v>
      </c>
      <c r="AP1539" s="60">
        <v>2261.15</v>
      </c>
      <c r="AQ1539" s="60">
        <v>2443.4899999999998</v>
      </c>
      <c r="AR1539" s="61">
        <v>2453.1799999999998</v>
      </c>
    </row>
    <row r="1540" spans="1:44" x14ac:dyDescent="0.35">
      <c r="A1540" s="49" t="str">
        <f>TEXT(7,"00")</f>
        <v>07</v>
      </c>
      <c r="B1540" s="27">
        <v>61804</v>
      </c>
      <c r="C1540" s="25" t="str">
        <f t="shared" ref="C1540:C1552" si="123">TEXT(,"0000000")</f>
        <v>0000000</v>
      </c>
      <c r="D1540" s="26" t="s">
        <v>3663</v>
      </c>
      <c r="E1540" s="25" t="s">
        <v>332</v>
      </c>
      <c r="F1540" s="25" t="s">
        <v>333</v>
      </c>
      <c r="G1540" s="59" t="s">
        <v>333</v>
      </c>
      <c r="H1540" s="60">
        <v>27991.08</v>
      </c>
      <c r="I1540" s="60">
        <v>28204.29</v>
      </c>
      <c r="J1540" s="60">
        <v>28780.17</v>
      </c>
      <c r="K1540" s="60">
        <v>0</v>
      </c>
      <c r="L1540" s="60">
        <v>0</v>
      </c>
      <c r="M1540" s="60">
        <v>0</v>
      </c>
      <c r="N1540" s="60">
        <v>0</v>
      </c>
      <c r="O1540" s="60">
        <v>0</v>
      </c>
      <c r="P1540" s="60">
        <v>0</v>
      </c>
      <c r="Q1540" s="60">
        <v>0</v>
      </c>
      <c r="R1540" s="60">
        <v>0</v>
      </c>
      <c r="S1540" s="60">
        <v>0</v>
      </c>
      <c r="T1540" s="60">
        <v>0</v>
      </c>
      <c r="U1540" s="60">
        <v>0</v>
      </c>
      <c r="V1540" s="60">
        <v>0</v>
      </c>
      <c r="W1540" s="60">
        <v>0</v>
      </c>
      <c r="X1540" s="60">
        <v>0</v>
      </c>
      <c r="Y1540" s="60">
        <v>0</v>
      </c>
      <c r="Z1540" s="60">
        <v>0</v>
      </c>
      <c r="AA1540" s="60">
        <v>0</v>
      </c>
      <c r="AB1540" s="60">
        <v>0</v>
      </c>
      <c r="AC1540" s="60">
        <v>0</v>
      </c>
      <c r="AD1540" s="60">
        <v>0</v>
      </c>
      <c r="AE1540" s="60">
        <v>0</v>
      </c>
      <c r="AF1540" s="60">
        <v>0</v>
      </c>
      <c r="AG1540" s="60">
        <v>0</v>
      </c>
      <c r="AH1540" s="60">
        <v>0</v>
      </c>
      <c r="AI1540" s="60">
        <v>27991.08</v>
      </c>
      <c r="AJ1540" s="60">
        <v>28204.29</v>
      </c>
      <c r="AK1540" s="60">
        <v>28780.17</v>
      </c>
      <c r="AL1540" s="60">
        <v>0</v>
      </c>
      <c r="AM1540" s="60">
        <v>0</v>
      </c>
      <c r="AN1540" s="60">
        <v>0</v>
      </c>
      <c r="AO1540" s="60">
        <v>27991.08</v>
      </c>
      <c r="AP1540" s="60">
        <v>28204.29</v>
      </c>
      <c r="AQ1540" s="60">
        <v>28780.17</v>
      </c>
      <c r="AR1540" s="61">
        <v>28780.17</v>
      </c>
    </row>
    <row r="1541" spans="1:44" x14ac:dyDescent="0.35">
      <c r="A1541" s="49" t="str">
        <f t="shared" ref="A1541:A1560" si="124">TEXT(36,"00")</f>
        <v>36</v>
      </c>
      <c r="B1541" s="27">
        <v>10363</v>
      </c>
      <c r="C1541" s="25" t="str">
        <f t="shared" si="123"/>
        <v>0000000</v>
      </c>
      <c r="D1541" s="26" t="s">
        <v>3663</v>
      </c>
      <c r="E1541" s="25" t="s">
        <v>1908</v>
      </c>
      <c r="F1541" s="25" t="s">
        <v>1909</v>
      </c>
      <c r="G1541" s="59" t="s">
        <v>1909</v>
      </c>
      <c r="H1541" s="60">
        <v>0</v>
      </c>
      <c r="I1541" s="60">
        <v>0</v>
      </c>
      <c r="J1541" s="60">
        <v>0</v>
      </c>
      <c r="K1541" s="60">
        <v>0</v>
      </c>
      <c r="L1541" s="60">
        <v>0</v>
      </c>
      <c r="M1541" s="60">
        <v>0</v>
      </c>
      <c r="N1541" s="60">
        <v>0</v>
      </c>
      <c r="O1541" s="60">
        <v>0</v>
      </c>
      <c r="P1541" s="60">
        <v>0</v>
      </c>
      <c r="Q1541" s="60">
        <v>0</v>
      </c>
      <c r="R1541" s="60">
        <v>0</v>
      </c>
      <c r="S1541" s="60">
        <v>0</v>
      </c>
      <c r="T1541" s="60">
        <v>99.04</v>
      </c>
      <c r="U1541" s="60">
        <v>101.6</v>
      </c>
      <c r="V1541" s="60">
        <v>68.260000000000005</v>
      </c>
      <c r="W1541" s="60">
        <v>379.84</v>
      </c>
      <c r="X1541" s="60">
        <v>370.22</v>
      </c>
      <c r="Y1541" s="60">
        <v>402.11</v>
      </c>
      <c r="Z1541" s="60">
        <v>0</v>
      </c>
      <c r="AA1541" s="60">
        <v>0</v>
      </c>
      <c r="AB1541" s="60">
        <v>0</v>
      </c>
      <c r="AC1541" s="60">
        <v>0</v>
      </c>
      <c r="AD1541" s="60">
        <v>0</v>
      </c>
      <c r="AE1541" s="60">
        <v>0</v>
      </c>
      <c r="AF1541" s="60">
        <v>0</v>
      </c>
      <c r="AG1541" s="60">
        <v>0</v>
      </c>
      <c r="AH1541" s="60">
        <v>0</v>
      </c>
      <c r="AI1541" s="60">
        <v>478.88</v>
      </c>
      <c r="AJ1541" s="60">
        <v>471.82</v>
      </c>
      <c r="AK1541" s="60">
        <v>470.37</v>
      </c>
      <c r="AL1541" s="60">
        <v>0</v>
      </c>
      <c r="AM1541" s="60">
        <v>0</v>
      </c>
      <c r="AN1541" s="60">
        <v>0</v>
      </c>
      <c r="AO1541" s="60">
        <v>478.88</v>
      </c>
      <c r="AP1541" s="60">
        <v>471.82</v>
      </c>
      <c r="AQ1541" s="60">
        <v>470.37</v>
      </c>
      <c r="AR1541" s="61">
        <v>478.88</v>
      </c>
    </row>
    <row r="1542" spans="1:44" x14ac:dyDescent="0.35">
      <c r="A1542" s="49" t="str">
        <f t="shared" si="124"/>
        <v>36</v>
      </c>
      <c r="B1542" s="27">
        <v>67595</v>
      </c>
      <c r="C1542" s="25" t="str">
        <f t="shared" si="123"/>
        <v>0000000</v>
      </c>
      <c r="D1542" s="26" t="s">
        <v>3663</v>
      </c>
      <c r="E1542" s="25" t="s">
        <v>1927</v>
      </c>
      <c r="F1542" s="25" t="s">
        <v>1909</v>
      </c>
      <c r="G1542" s="59" t="s">
        <v>1928</v>
      </c>
      <c r="H1542" s="60">
        <v>5309.33</v>
      </c>
      <c r="I1542" s="60">
        <v>5201.05</v>
      </c>
      <c r="J1542" s="60">
        <v>5133.42</v>
      </c>
      <c r="K1542" s="60">
        <v>0</v>
      </c>
      <c r="L1542" s="60">
        <v>0</v>
      </c>
      <c r="M1542" s="60">
        <v>0</v>
      </c>
      <c r="N1542" s="60">
        <v>0</v>
      </c>
      <c r="O1542" s="60">
        <v>0</v>
      </c>
      <c r="P1542" s="60">
        <v>0</v>
      </c>
      <c r="Q1542" s="60">
        <v>0</v>
      </c>
      <c r="R1542" s="60">
        <v>0</v>
      </c>
      <c r="S1542" s="60">
        <v>0</v>
      </c>
      <c r="T1542" s="60">
        <v>0</v>
      </c>
      <c r="U1542" s="60">
        <v>0</v>
      </c>
      <c r="V1542" s="60">
        <v>0</v>
      </c>
      <c r="W1542" s="60">
        <v>0</v>
      </c>
      <c r="X1542" s="60">
        <v>0</v>
      </c>
      <c r="Y1542" s="60">
        <v>0</v>
      </c>
      <c r="Z1542" s="60">
        <v>0</v>
      </c>
      <c r="AA1542" s="60">
        <v>0</v>
      </c>
      <c r="AB1542" s="60">
        <v>0</v>
      </c>
      <c r="AC1542" s="60">
        <v>0</v>
      </c>
      <c r="AD1542" s="60">
        <v>0</v>
      </c>
      <c r="AE1542" s="60">
        <v>0</v>
      </c>
      <c r="AF1542" s="60">
        <v>0</v>
      </c>
      <c r="AG1542" s="60">
        <v>0</v>
      </c>
      <c r="AH1542" s="60">
        <v>0</v>
      </c>
      <c r="AI1542" s="60">
        <v>5309.33</v>
      </c>
      <c r="AJ1542" s="60">
        <v>5201.05</v>
      </c>
      <c r="AK1542" s="60">
        <v>5133.42</v>
      </c>
      <c r="AL1542" s="60">
        <v>0</v>
      </c>
      <c r="AM1542" s="60">
        <v>0</v>
      </c>
      <c r="AN1542" s="60">
        <v>0</v>
      </c>
      <c r="AO1542" s="60">
        <v>5309.33</v>
      </c>
      <c r="AP1542" s="60">
        <v>5201.05</v>
      </c>
      <c r="AQ1542" s="60">
        <v>5133.42</v>
      </c>
      <c r="AR1542" s="61">
        <v>5309.33</v>
      </c>
    </row>
    <row r="1543" spans="1:44" x14ac:dyDescent="0.35">
      <c r="A1543" s="49" t="str">
        <f t="shared" si="124"/>
        <v>36</v>
      </c>
      <c r="B1543" s="27">
        <v>67645</v>
      </c>
      <c r="C1543" s="25" t="str">
        <f t="shared" si="123"/>
        <v>0000000</v>
      </c>
      <c r="D1543" s="26" t="s">
        <v>3663</v>
      </c>
      <c r="E1543" s="25" t="s">
        <v>1933</v>
      </c>
      <c r="F1543" s="25" t="s">
        <v>1909</v>
      </c>
      <c r="G1543" s="59" t="s">
        <v>1934</v>
      </c>
      <c r="H1543" s="60">
        <v>4057.81</v>
      </c>
      <c r="I1543" s="60">
        <v>3961.51</v>
      </c>
      <c r="J1543" s="60">
        <v>3985.34</v>
      </c>
      <c r="K1543" s="60">
        <v>0</v>
      </c>
      <c r="L1543" s="60">
        <v>0</v>
      </c>
      <c r="M1543" s="60">
        <v>0</v>
      </c>
      <c r="N1543" s="60">
        <v>0</v>
      </c>
      <c r="O1543" s="60">
        <v>0</v>
      </c>
      <c r="P1543" s="60">
        <v>0</v>
      </c>
      <c r="Q1543" s="60">
        <v>0</v>
      </c>
      <c r="R1543" s="60">
        <v>0</v>
      </c>
      <c r="S1543" s="60">
        <v>0</v>
      </c>
      <c r="T1543" s="60">
        <v>0</v>
      </c>
      <c r="U1543" s="60">
        <v>0</v>
      </c>
      <c r="V1543" s="60">
        <v>0</v>
      </c>
      <c r="W1543" s="60">
        <v>0</v>
      </c>
      <c r="X1543" s="60">
        <v>0</v>
      </c>
      <c r="Y1543" s="60">
        <v>0</v>
      </c>
      <c r="Z1543" s="60">
        <v>0</v>
      </c>
      <c r="AA1543" s="60">
        <v>0</v>
      </c>
      <c r="AB1543" s="60">
        <v>0</v>
      </c>
      <c r="AC1543" s="60">
        <v>0</v>
      </c>
      <c r="AD1543" s="60">
        <v>0</v>
      </c>
      <c r="AE1543" s="60">
        <v>0</v>
      </c>
      <c r="AF1543" s="60">
        <v>0</v>
      </c>
      <c r="AG1543" s="60">
        <v>0</v>
      </c>
      <c r="AH1543" s="60">
        <v>0</v>
      </c>
      <c r="AI1543" s="60">
        <v>4057.81</v>
      </c>
      <c r="AJ1543" s="60">
        <v>3961.51</v>
      </c>
      <c r="AK1543" s="60">
        <v>3985.34</v>
      </c>
      <c r="AL1543" s="60">
        <v>0</v>
      </c>
      <c r="AM1543" s="60">
        <v>0</v>
      </c>
      <c r="AN1543" s="60">
        <v>0</v>
      </c>
      <c r="AO1543" s="60">
        <v>4057.81</v>
      </c>
      <c r="AP1543" s="60">
        <v>3961.51</v>
      </c>
      <c r="AQ1543" s="60">
        <v>3985.34</v>
      </c>
      <c r="AR1543" s="61">
        <v>4057.81</v>
      </c>
    </row>
    <row r="1544" spans="1:44" x14ac:dyDescent="0.35">
      <c r="A1544" s="49" t="str">
        <f t="shared" si="124"/>
        <v>36</v>
      </c>
      <c r="B1544" s="27">
        <v>67652</v>
      </c>
      <c r="C1544" s="25" t="str">
        <f t="shared" si="123"/>
        <v>0000000</v>
      </c>
      <c r="D1544" s="26" t="s">
        <v>3663</v>
      </c>
      <c r="E1544" s="25" t="s">
        <v>1935</v>
      </c>
      <c r="F1544" s="25" t="s">
        <v>1909</v>
      </c>
      <c r="G1544" s="59" t="s">
        <v>1936</v>
      </c>
      <c r="H1544" s="60">
        <v>20902.939999999999</v>
      </c>
      <c r="I1544" s="60">
        <v>21200.9</v>
      </c>
      <c r="J1544" s="60">
        <v>21209.17</v>
      </c>
      <c r="K1544" s="60">
        <v>0</v>
      </c>
      <c r="L1544" s="60">
        <v>0</v>
      </c>
      <c r="M1544" s="60">
        <v>0</v>
      </c>
      <c r="N1544" s="60">
        <v>0</v>
      </c>
      <c r="O1544" s="60">
        <v>0</v>
      </c>
      <c r="P1544" s="60">
        <v>0</v>
      </c>
      <c r="Q1544" s="60">
        <v>0</v>
      </c>
      <c r="R1544" s="60">
        <v>0</v>
      </c>
      <c r="S1544" s="60">
        <v>0</v>
      </c>
      <c r="T1544" s="60">
        <v>0</v>
      </c>
      <c r="U1544" s="60">
        <v>0</v>
      </c>
      <c r="V1544" s="60">
        <v>0</v>
      </c>
      <c r="W1544" s="60">
        <v>0</v>
      </c>
      <c r="X1544" s="60">
        <v>0</v>
      </c>
      <c r="Y1544" s="60">
        <v>0</v>
      </c>
      <c r="Z1544" s="60">
        <v>0</v>
      </c>
      <c r="AA1544" s="60">
        <v>0</v>
      </c>
      <c r="AB1544" s="60">
        <v>0</v>
      </c>
      <c r="AC1544" s="60">
        <v>0</v>
      </c>
      <c r="AD1544" s="60">
        <v>0</v>
      </c>
      <c r="AE1544" s="60">
        <v>0</v>
      </c>
      <c r="AF1544" s="60">
        <v>0</v>
      </c>
      <c r="AG1544" s="60">
        <v>0</v>
      </c>
      <c r="AH1544" s="60">
        <v>0</v>
      </c>
      <c r="AI1544" s="60">
        <v>20902.939999999999</v>
      </c>
      <c r="AJ1544" s="60">
        <v>21200.9</v>
      </c>
      <c r="AK1544" s="60">
        <v>21209.17</v>
      </c>
      <c r="AL1544" s="60">
        <v>0</v>
      </c>
      <c r="AM1544" s="60">
        <v>0</v>
      </c>
      <c r="AN1544" s="60">
        <v>0</v>
      </c>
      <c r="AO1544" s="60">
        <v>20902.939999999999</v>
      </c>
      <c r="AP1544" s="60">
        <v>21200.9</v>
      </c>
      <c r="AQ1544" s="60">
        <v>21209.17</v>
      </c>
      <c r="AR1544" s="61">
        <v>21209.17</v>
      </c>
    </row>
    <row r="1545" spans="1:44" x14ac:dyDescent="0.35">
      <c r="A1545" s="49" t="str">
        <f t="shared" si="124"/>
        <v>36</v>
      </c>
      <c r="B1545" s="27">
        <v>67678</v>
      </c>
      <c r="C1545" s="25" t="str">
        <f t="shared" si="123"/>
        <v>0000000</v>
      </c>
      <c r="D1545" s="26" t="s">
        <v>3663</v>
      </c>
      <c r="E1545" s="25" t="s">
        <v>1937</v>
      </c>
      <c r="F1545" s="25" t="s">
        <v>1909</v>
      </c>
      <c r="G1545" s="59" t="s">
        <v>1938</v>
      </c>
      <c r="H1545" s="60">
        <v>24111.63</v>
      </c>
      <c r="I1545" s="60">
        <v>23957.89</v>
      </c>
      <c r="J1545" s="60">
        <v>23836.85</v>
      </c>
      <c r="K1545" s="60">
        <v>0</v>
      </c>
      <c r="L1545" s="60">
        <v>0</v>
      </c>
      <c r="M1545" s="60">
        <v>0</v>
      </c>
      <c r="N1545" s="60">
        <v>0</v>
      </c>
      <c r="O1545" s="60">
        <v>0</v>
      </c>
      <c r="P1545" s="60">
        <v>0</v>
      </c>
      <c r="Q1545" s="60">
        <v>0</v>
      </c>
      <c r="R1545" s="60">
        <v>0</v>
      </c>
      <c r="S1545" s="60">
        <v>0</v>
      </c>
      <c r="T1545" s="60">
        <v>0</v>
      </c>
      <c r="U1545" s="60">
        <v>0</v>
      </c>
      <c r="V1545" s="60">
        <v>0</v>
      </c>
      <c r="W1545" s="60">
        <v>0</v>
      </c>
      <c r="X1545" s="60">
        <v>0</v>
      </c>
      <c r="Y1545" s="60">
        <v>0</v>
      </c>
      <c r="Z1545" s="60">
        <v>0</v>
      </c>
      <c r="AA1545" s="60">
        <v>0</v>
      </c>
      <c r="AB1545" s="60">
        <v>0</v>
      </c>
      <c r="AC1545" s="60">
        <v>0</v>
      </c>
      <c r="AD1545" s="60">
        <v>0</v>
      </c>
      <c r="AE1545" s="60">
        <v>0</v>
      </c>
      <c r="AF1545" s="60">
        <v>0</v>
      </c>
      <c r="AG1545" s="60">
        <v>0</v>
      </c>
      <c r="AH1545" s="60">
        <v>0</v>
      </c>
      <c r="AI1545" s="60">
        <v>24111.63</v>
      </c>
      <c r="AJ1545" s="60">
        <v>23957.89</v>
      </c>
      <c r="AK1545" s="60">
        <v>23836.85</v>
      </c>
      <c r="AL1545" s="60">
        <v>0</v>
      </c>
      <c r="AM1545" s="60">
        <v>0</v>
      </c>
      <c r="AN1545" s="60">
        <v>0</v>
      </c>
      <c r="AO1545" s="60">
        <v>24111.63</v>
      </c>
      <c r="AP1545" s="60">
        <v>23957.89</v>
      </c>
      <c r="AQ1545" s="60">
        <v>23836.85</v>
      </c>
      <c r="AR1545" s="61">
        <v>24111.63</v>
      </c>
    </row>
    <row r="1546" spans="1:44" x14ac:dyDescent="0.35">
      <c r="A1546" s="49" t="str">
        <f t="shared" si="124"/>
        <v>36</v>
      </c>
      <c r="B1546" s="27">
        <v>67694</v>
      </c>
      <c r="C1546" s="25" t="str">
        <f t="shared" si="123"/>
        <v>0000000</v>
      </c>
      <c r="D1546" s="26" t="s">
        <v>3663</v>
      </c>
      <c r="E1546" s="25" t="s">
        <v>1943</v>
      </c>
      <c r="F1546" s="25" t="s">
        <v>1909</v>
      </c>
      <c r="G1546" s="59" t="s">
        <v>1944</v>
      </c>
      <c r="H1546" s="60">
        <v>2144.7399999999998</v>
      </c>
      <c r="I1546" s="60">
        <v>2208.89</v>
      </c>
      <c r="J1546" s="60">
        <v>2166.0700000000002</v>
      </c>
      <c r="K1546" s="60">
        <v>0</v>
      </c>
      <c r="L1546" s="60">
        <v>0</v>
      </c>
      <c r="M1546" s="60">
        <v>0</v>
      </c>
      <c r="N1546" s="60">
        <v>0</v>
      </c>
      <c r="O1546" s="60">
        <v>0</v>
      </c>
      <c r="P1546" s="60">
        <v>0</v>
      </c>
      <c r="Q1546" s="60">
        <v>0</v>
      </c>
      <c r="R1546" s="60">
        <v>0</v>
      </c>
      <c r="S1546" s="60">
        <v>0</v>
      </c>
      <c r="T1546" s="60">
        <v>0</v>
      </c>
      <c r="U1546" s="60">
        <v>0</v>
      </c>
      <c r="V1546" s="60">
        <v>0</v>
      </c>
      <c r="W1546" s="60">
        <v>0</v>
      </c>
      <c r="X1546" s="60">
        <v>0</v>
      </c>
      <c r="Y1546" s="60">
        <v>0</v>
      </c>
      <c r="Z1546" s="60">
        <v>0</v>
      </c>
      <c r="AA1546" s="60">
        <v>0</v>
      </c>
      <c r="AB1546" s="60">
        <v>0</v>
      </c>
      <c r="AC1546" s="60">
        <v>0</v>
      </c>
      <c r="AD1546" s="60">
        <v>0</v>
      </c>
      <c r="AE1546" s="60">
        <v>0</v>
      </c>
      <c r="AF1546" s="60">
        <v>0</v>
      </c>
      <c r="AG1546" s="60">
        <v>0</v>
      </c>
      <c r="AH1546" s="60">
        <v>0</v>
      </c>
      <c r="AI1546" s="60">
        <v>2144.7399999999998</v>
      </c>
      <c r="AJ1546" s="60">
        <v>2208.89</v>
      </c>
      <c r="AK1546" s="60">
        <v>2166.0700000000002</v>
      </c>
      <c r="AL1546" s="60">
        <v>0</v>
      </c>
      <c r="AM1546" s="60">
        <v>0</v>
      </c>
      <c r="AN1546" s="60">
        <v>0</v>
      </c>
      <c r="AO1546" s="60">
        <v>2144.7399999999998</v>
      </c>
      <c r="AP1546" s="60">
        <v>2208.89</v>
      </c>
      <c r="AQ1546" s="60">
        <v>2166.0700000000002</v>
      </c>
      <c r="AR1546" s="61">
        <v>2208.89</v>
      </c>
    </row>
    <row r="1547" spans="1:44" x14ac:dyDescent="0.35">
      <c r="A1547" s="49" t="str">
        <f t="shared" si="124"/>
        <v>36</v>
      </c>
      <c r="B1547" s="27">
        <v>67702</v>
      </c>
      <c r="C1547" s="25" t="str">
        <f t="shared" si="123"/>
        <v>0000000</v>
      </c>
      <c r="D1547" s="26" t="s">
        <v>3663</v>
      </c>
      <c r="E1547" s="25" t="s">
        <v>1945</v>
      </c>
      <c r="F1547" s="25" t="s">
        <v>1909</v>
      </c>
      <c r="G1547" s="59" t="s">
        <v>1946</v>
      </c>
      <c r="H1547" s="60">
        <v>12957.54</v>
      </c>
      <c r="I1547" s="60">
        <v>12632.19</v>
      </c>
      <c r="J1547" s="60">
        <v>12508.12</v>
      </c>
      <c r="K1547" s="60">
        <v>0</v>
      </c>
      <c r="L1547" s="60">
        <v>0</v>
      </c>
      <c r="M1547" s="60">
        <v>0</v>
      </c>
      <c r="N1547" s="60">
        <v>0</v>
      </c>
      <c r="O1547" s="60">
        <v>0</v>
      </c>
      <c r="P1547" s="60">
        <v>0</v>
      </c>
      <c r="Q1547" s="60">
        <v>0</v>
      </c>
      <c r="R1547" s="60">
        <v>0</v>
      </c>
      <c r="S1547" s="60">
        <v>0</v>
      </c>
      <c r="T1547" s="60">
        <v>0</v>
      </c>
      <c r="U1547" s="60">
        <v>0</v>
      </c>
      <c r="V1547" s="60">
        <v>0</v>
      </c>
      <c r="W1547" s="60">
        <v>0</v>
      </c>
      <c r="X1547" s="60">
        <v>0</v>
      </c>
      <c r="Y1547" s="60">
        <v>0</v>
      </c>
      <c r="Z1547" s="60">
        <v>0</v>
      </c>
      <c r="AA1547" s="60">
        <v>0</v>
      </c>
      <c r="AB1547" s="60">
        <v>0</v>
      </c>
      <c r="AC1547" s="60">
        <v>0</v>
      </c>
      <c r="AD1547" s="60">
        <v>0</v>
      </c>
      <c r="AE1547" s="60">
        <v>0</v>
      </c>
      <c r="AF1547" s="60">
        <v>0</v>
      </c>
      <c r="AG1547" s="60">
        <v>0</v>
      </c>
      <c r="AH1547" s="60">
        <v>0</v>
      </c>
      <c r="AI1547" s="60">
        <v>12957.54</v>
      </c>
      <c r="AJ1547" s="60">
        <v>12632.19</v>
      </c>
      <c r="AK1547" s="60">
        <v>12508.12</v>
      </c>
      <c r="AL1547" s="60">
        <v>0</v>
      </c>
      <c r="AM1547" s="60">
        <v>0</v>
      </c>
      <c r="AN1547" s="60">
        <v>0</v>
      </c>
      <c r="AO1547" s="60">
        <v>12957.54</v>
      </c>
      <c r="AP1547" s="60">
        <v>12632.19</v>
      </c>
      <c r="AQ1547" s="60">
        <v>12508.12</v>
      </c>
      <c r="AR1547" s="61">
        <v>12957.54</v>
      </c>
    </row>
    <row r="1548" spans="1:44" x14ac:dyDescent="0.35">
      <c r="A1548" s="49" t="str">
        <f t="shared" si="124"/>
        <v>36</v>
      </c>
      <c r="B1548" s="27">
        <v>67785</v>
      </c>
      <c r="C1548" s="25" t="str">
        <f t="shared" si="123"/>
        <v>0000000</v>
      </c>
      <c r="D1548" s="26" t="s">
        <v>3663</v>
      </c>
      <c r="E1548" s="25" t="s">
        <v>1961</v>
      </c>
      <c r="F1548" s="25" t="s">
        <v>1909</v>
      </c>
      <c r="G1548" s="59" t="s">
        <v>1066</v>
      </c>
      <c r="H1548" s="60">
        <v>2973.6</v>
      </c>
      <c r="I1548" s="60">
        <v>2801.69</v>
      </c>
      <c r="J1548" s="60">
        <v>2481.0100000000002</v>
      </c>
      <c r="K1548" s="60">
        <v>0</v>
      </c>
      <c r="L1548" s="60">
        <v>0</v>
      </c>
      <c r="M1548" s="60">
        <v>0</v>
      </c>
      <c r="N1548" s="60">
        <v>0</v>
      </c>
      <c r="O1548" s="60">
        <v>0</v>
      </c>
      <c r="P1548" s="60">
        <v>0</v>
      </c>
      <c r="Q1548" s="60">
        <v>0</v>
      </c>
      <c r="R1548" s="60">
        <v>0</v>
      </c>
      <c r="S1548" s="60">
        <v>0</v>
      </c>
      <c r="T1548" s="60">
        <v>0</v>
      </c>
      <c r="U1548" s="60">
        <v>0</v>
      </c>
      <c r="V1548" s="60">
        <v>0</v>
      </c>
      <c r="W1548" s="60">
        <v>0</v>
      </c>
      <c r="X1548" s="60">
        <v>0</v>
      </c>
      <c r="Y1548" s="60">
        <v>0</v>
      </c>
      <c r="Z1548" s="60">
        <v>0</v>
      </c>
      <c r="AA1548" s="60">
        <v>0</v>
      </c>
      <c r="AB1548" s="60">
        <v>0</v>
      </c>
      <c r="AC1548" s="60">
        <v>0</v>
      </c>
      <c r="AD1548" s="60">
        <v>0</v>
      </c>
      <c r="AE1548" s="60">
        <v>0</v>
      </c>
      <c r="AF1548" s="60">
        <v>0</v>
      </c>
      <c r="AG1548" s="60">
        <v>0</v>
      </c>
      <c r="AH1548" s="60">
        <v>0</v>
      </c>
      <c r="AI1548" s="60">
        <v>2973.6</v>
      </c>
      <c r="AJ1548" s="60">
        <v>2801.69</v>
      </c>
      <c r="AK1548" s="60">
        <v>2481.0100000000002</v>
      </c>
      <c r="AL1548" s="60">
        <v>0</v>
      </c>
      <c r="AM1548" s="60">
        <v>0</v>
      </c>
      <c r="AN1548" s="60">
        <v>0</v>
      </c>
      <c r="AO1548" s="60">
        <v>2973.6</v>
      </c>
      <c r="AP1548" s="60">
        <v>2801.69</v>
      </c>
      <c r="AQ1548" s="60">
        <v>2481.0100000000002</v>
      </c>
      <c r="AR1548" s="61">
        <v>2973.6</v>
      </c>
    </row>
    <row r="1549" spans="1:44" x14ac:dyDescent="0.35">
      <c r="A1549" s="49" t="str">
        <f t="shared" si="124"/>
        <v>36</v>
      </c>
      <c r="B1549" s="27">
        <v>75069</v>
      </c>
      <c r="C1549" s="25" t="str">
        <f t="shared" si="123"/>
        <v>0000000</v>
      </c>
      <c r="D1549" s="26" t="s">
        <v>3663</v>
      </c>
      <c r="E1549" s="25" t="s">
        <v>2039</v>
      </c>
      <c r="F1549" s="25" t="s">
        <v>1909</v>
      </c>
      <c r="G1549" s="59" t="s">
        <v>2040</v>
      </c>
      <c r="H1549" s="60">
        <v>9204.4500000000007</v>
      </c>
      <c r="I1549" s="60">
        <v>9314.59</v>
      </c>
      <c r="J1549" s="60">
        <v>9431.67</v>
      </c>
      <c r="K1549" s="60">
        <v>0</v>
      </c>
      <c r="L1549" s="60">
        <v>0</v>
      </c>
      <c r="M1549" s="60">
        <v>0</v>
      </c>
      <c r="N1549" s="60">
        <v>0</v>
      </c>
      <c r="O1549" s="60">
        <v>0</v>
      </c>
      <c r="P1549" s="60">
        <v>0</v>
      </c>
      <c r="Q1549" s="60">
        <v>0</v>
      </c>
      <c r="R1549" s="60">
        <v>0</v>
      </c>
      <c r="S1549" s="60">
        <v>0</v>
      </c>
      <c r="T1549" s="60">
        <v>0</v>
      </c>
      <c r="U1549" s="60">
        <v>0</v>
      </c>
      <c r="V1549" s="60">
        <v>0</v>
      </c>
      <c r="W1549" s="60">
        <v>0</v>
      </c>
      <c r="X1549" s="60">
        <v>0</v>
      </c>
      <c r="Y1549" s="60">
        <v>0</v>
      </c>
      <c r="Z1549" s="60">
        <v>0</v>
      </c>
      <c r="AA1549" s="60">
        <v>0</v>
      </c>
      <c r="AB1549" s="60">
        <v>0</v>
      </c>
      <c r="AC1549" s="60">
        <v>0</v>
      </c>
      <c r="AD1549" s="60">
        <v>0</v>
      </c>
      <c r="AE1549" s="60">
        <v>0</v>
      </c>
      <c r="AF1549" s="60">
        <v>0</v>
      </c>
      <c r="AG1549" s="60">
        <v>0</v>
      </c>
      <c r="AH1549" s="60">
        <v>0</v>
      </c>
      <c r="AI1549" s="60">
        <v>9204.4500000000007</v>
      </c>
      <c r="AJ1549" s="60">
        <v>9314.59</v>
      </c>
      <c r="AK1549" s="60">
        <v>9431.67</v>
      </c>
      <c r="AL1549" s="60">
        <v>0</v>
      </c>
      <c r="AM1549" s="60">
        <v>0</v>
      </c>
      <c r="AN1549" s="60">
        <v>0</v>
      </c>
      <c r="AO1549" s="60">
        <v>9204.4500000000007</v>
      </c>
      <c r="AP1549" s="60">
        <v>9314.59</v>
      </c>
      <c r="AQ1549" s="60">
        <v>9431.67</v>
      </c>
      <c r="AR1549" s="61">
        <v>9431.67</v>
      </c>
    </row>
    <row r="1550" spans="1:44" x14ac:dyDescent="0.35">
      <c r="A1550" s="49" t="str">
        <f t="shared" si="124"/>
        <v>36</v>
      </c>
      <c r="B1550" s="27">
        <v>67793</v>
      </c>
      <c r="C1550" s="25" t="str">
        <f t="shared" si="123"/>
        <v>0000000</v>
      </c>
      <c r="D1550" s="26" t="s">
        <v>3663</v>
      </c>
      <c r="E1550" s="25" t="s">
        <v>1962</v>
      </c>
      <c r="F1550" s="25" t="s">
        <v>1909</v>
      </c>
      <c r="G1550" s="59" t="s">
        <v>1963</v>
      </c>
      <c r="H1550" s="60">
        <v>93.4</v>
      </c>
      <c r="I1550" s="60">
        <v>87.96</v>
      </c>
      <c r="J1550" s="60">
        <v>75.790000000000006</v>
      </c>
      <c r="K1550" s="60">
        <v>0</v>
      </c>
      <c r="L1550" s="60">
        <v>0</v>
      </c>
      <c r="M1550" s="60">
        <v>0</v>
      </c>
      <c r="N1550" s="60">
        <v>0</v>
      </c>
      <c r="O1550" s="60">
        <v>0</v>
      </c>
      <c r="P1550" s="60">
        <v>0</v>
      </c>
      <c r="Q1550" s="60">
        <v>0</v>
      </c>
      <c r="R1550" s="60">
        <v>0</v>
      </c>
      <c r="S1550" s="60">
        <v>0</v>
      </c>
      <c r="T1550" s="60">
        <v>0</v>
      </c>
      <c r="U1550" s="60">
        <v>0</v>
      </c>
      <c r="V1550" s="60">
        <v>0</v>
      </c>
      <c r="W1550" s="60">
        <v>0</v>
      </c>
      <c r="X1550" s="60">
        <v>0</v>
      </c>
      <c r="Y1550" s="60">
        <v>0</v>
      </c>
      <c r="Z1550" s="60">
        <v>0</v>
      </c>
      <c r="AA1550" s="60">
        <v>0</v>
      </c>
      <c r="AB1550" s="60">
        <v>0</v>
      </c>
      <c r="AC1550" s="60">
        <v>0</v>
      </c>
      <c r="AD1550" s="60">
        <v>0</v>
      </c>
      <c r="AE1550" s="60">
        <v>0</v>
      </c>
      <c r="AF1550" s="60">
        <v>0</v>
      </c>
      <c r="AG1550" s="60">
        <v>0</v>
      </c>
      <c r="AH1550" s="60">
        <v>0</v>
      </c>
      <c r="AI1550" s="60">
        <v>93.4</v>
      </c>
      <c r="AJ1550" s="60">
        <v>87.96</v>
      </c>
      <c r="AK1550" s="60">
        <v>75.790000000000006</v>
      </c>
      <c r="AL1550" s="60">
        <v>0</v>
      </c>
      <c r="AM1550" s="60">
        <v>0</v>
      </c>
      <c r="AN1550" s="60">
        <v>0</v>
      </c>
      <c r="AO1550" s="60">
        <v>93.4</v>
      </c>
      <c r="AP1550" s="60">
        <v>87.96</v>
      </c>
      <c r="AQ1550" s="60">
        <v>75.790000000000006</v>
      </c>
      <c r="AR1550" s="61">
        <v>93.4</v>
      </c>
    </row>
    <row r="1551" spans="1:44" x14ac:dyDescent="0.35">
      <c r="A1551" s="49" t="str">
        <f t="shared" si="124"/>
        <v>36</v>
      </c>
      <c r="B1551" s="27">
        <v>67819</v>
      </c>
      <c r="C1551" s="25" t="str">
        <f t="shared" si="123"/>
        <v>0000000</v>
      </c>
      <c r="D1551" s="26" t="s">
        <v>3663</v>
      </c>
      <c r="E1551" s="25" t="s">
        <v>1966</v>
      </c>
      <c r="F1551" s="25" t="s">
        <v>1967</v>
      </c>
      <c r="G1551" s="59" t="s">
        <v>1967</v>
      </c>
      <c r="H1551" s="60">
        <v>17150.75</v>
      </c>
      <c r="I1551" s="60">
        <v>17266.34</v>
      </c>
      <c r="J1551" s="60">
        <v>17669.11</v>
      </c>
      <c r="K1551" s="60">
        <v>0</v>
      </c>
      <c r="L1551" s="60">
        <v>0</v>
      </c>
      <c r="M1551" s="60">
        <v>0</v>
      </c>
      <c r="N1551" s="60">
        <v>0</v>
      </c>
      <c r="O1551" s="60">
        <v>0</v>
      </c>
      <c r="P1551" s="60">
        <v>0</v>
      </c>
      <c r="Q1551" s="60">
        <v>0</v>
      </c>
      <c r="R1551" s="60">
        <v>0</v>
      </c>
      <c r="S1551" s="60">
        <v>0</v>
      </c>
      <c r="T1551" s="60">
        <v>0</v>
      </c>
      <c r="U1551" s="60">
        <v>0</v>
      </c>
      <c r="V1551" s="60">
        <v>0</v>
      </c>
      <c r="W1551" s="60">
        <v>0</v>
      </c>
      <c r="X1551" s="60">
        <v>0</v>
      </c>
      <c r="Y1551" s="60">
        <v>0</v>
      </c>
      <c r="Z1551" s="60">
        <v>0</v>
      </c>
      <c r="AA1551" s="60">
        <v>0</v>
      </c>
      <c r="AB1551" s="60">
        <v>0</v>
      </c>
      <c r="AC1551" s="60">
        <v>0</v>
      </c>
      <c r="AD1551" s="60">
        <v>0</v>
      </c>
      <c r="AE1551" s="60">
        <v>0</v>
      </c>
      <c r="AF1551" s="60">
        <v>0</v>
      </c>
      <c r="AG1551" s="60">
        <v>0</v>
      </c>
      <c r="AH1551" s="60">
        <v>0</v>
      </c>
      <c r="AI1551" s="60">
        <v>17150.75</v>
      </c>
      <c r="AJ1551" s="60">
        <v>17266.34</v>
      </c>
      <c r="AK1551" s="60">
        <v>17669.11</v>
      </c>
      <c r="AL1551" s="60">
        <v>0</v>
      </c>
      <c r="AM1551" s="60">
        <v>0</v>
      </c>
      <c r="AN1551" s="60">
        <v>0</v>
      </c>
      <c r="AO1551" s="60">
        <v>17150.75</v>
      </c>
      <c r="AP1551" s="60">
        <v>17266.34</v>
      </c>
      <c r="AQ1551" s="60">
        <v>17669.11</v>
      </c>
      <c r="AR1551" s="61">
        <v>17669.11</v>
      </c>
    </row>
    <row r="1552" spans="1:44" x14ac:dyDescent="0.35">
      <c r="A1552" s="49" t="str">
        <f t="shared" si="124"/>
        <v>36</v>
      </c>
      <c r="B1552" s="27">
        <v>67876</v>
      </c>
      <c r="C1552" s="25" t="str">
        <f t="shared" si="123"/>
        <v>0000000</v>
      </c>
      <c r="D1552" s="26" t="s">
        <v>3663</v>
      </c>
      <c r="E1552" s="25" t="s">
        <v>1976</v>
      </c>
      <c r="F1552" s="25" t="s">
        <v>1977</v>
      </c>
      <c r="G1552" s="59" t="s">
        <v>1977</v>
      </c>
      <c r="H1552" s="60">
        <v>41051.74</v>
      </c>
      <c r="I1552" s="60">
        <v>41323.550000000003</v>
      </c>
      <c r="J1552" s="60">
        <v>39989.919999999998</v>
      </c>
      <c r="K1552" s="60">
        <v>0</v>
      </c>
      <c r="L1552" s="60">
        <v>0</v>
      </c>
      <c r="M1552" s="60">
        <v>0</v>
      </c>
      <c r="N1552" s="60">
        <v>0</v>
      </c>
      <c r="O1552" s="60">
        <v>0</v>
      </c>
      <c r="P1552" s="60">
        <v>0</v>
      </c>
      <c r="Q1552" s="60">
        <v>0</v>
      </c>
      <c r="R1552" s="60">
        <v>0</v>
      </c>
      <c r="S1552" s="60">
        <v>0</v>
      </c>
      <c r="T1552" s="60">
        <v>0</v>
      </c>
      <c r="U1552" s="60">
        <v>0</v>
      </c>
      <c r="V1552" s="60">
        <v>0</v>
      </c>
      <c r="W1552" s="60">
        <v>0</v>
      </c>
      <c r="X1552" s="60">
        <v>0</v>
      </c>
      <c r="Y1552" s="60">
        <v>0</v>
      </c>
      <c r="Z1552" s="60">
        <v>0</v>
      </c>
      <c r="AA1552" s="60">
        <v>0</v>
      </c>
      <c r="AB1552" s="60">
        <v>0</v>
      </c>
      <c r="AC1552" s="60">
        <v>2014.99</v>
      </c>
      <c r="AD1552" s="60">
        <v>2014.48</v>
      </c>
      <c r="AE1552" s="60">
        <v>2701.52</v>
      </c>
      <c r="AF1552" s="60">
        <v>0</v>
      </c>
      <c r="AG1552" s="60">
        <v>0</v>
      </c>
      <c r="AH1552" s="60">
        <v>0</v>
      </c>
      <c r="AI1552" s="60">
        <v>43066.73</v>
      </c>
      <c r="AJ1552" s="60">
        <v>43338.03</v>
      </c>
      <c r="AK1552" s="60">
        <v>42691.44</v>
      </c>
      <c r="AL1552" s="60">
        <v>0</v>
      </c>
      <c r="AM1552" s="60">
        <v>0</v>
      </c>
      <c r="AN1552" s="60">
        <v>-581.61</v>
      </c>
      <c r="AO1552" s="60">
        <v>43066.73</v>
      </c>
      <c r="AP1552" s="60">
        <v>43338.03</v>
      </c>
      <c r="AQ1552" s="60">
        <v>42109.83</v>
      </c>
      <c r="AR1552" s="61">
        <v>43338.03</v>
      </c>
    </row>
    <row r="1553" spans="1:44" x14ac:dyDescent="0.35">
      <c r="A1553" s="49" t="str">
        <f t="shared" si="124"/>
        <v>36</v>
      </c>
      <c r="B1553" s="27">
        <v>67876</v>
      </c>
      <c r="C1553" s="25" t="str">
        <f>TEXT(109850,"0000000")</f>
        <v>0109850</v>
      </c>
      <c r="D1553" s="26" t="s">
        <v>1983</v>
      </c>
      <c r="E1553" s="25" t="s">
        <v>1981</v>
      </c>
      <c r="F1553" s="25" t="s">
        <v>1977</v>
      </c>
      <c r="G1553" s="59" t="s">
        <v>1982</v>
      </c>
      <c r="H1553" s="60">
        <v>0</v>
      </c>
      <c r="I1553" s="60">
        <v>0</v>
      </c>
      <c r="J1553" s="60">
        <v>0</v>
      </c>
      <c r="K1553" s="60">
        <v>0</v>
      </c>
      <c r="L1553" s="60">
        <v>0</v>
      </c>
      <c r="M1553" s="60">
        <v>0</v>
      </c>
      <c r="N1553" s="60">
        <v>0</v>
      </c>
      <c r="O1553" s="60">
        <v>0</v>
      </c>
      <c r="P1553" s="60">
        <v>0</v>
      </c>
      <c r="Q1553" s="60">
        <v>0</v>
      </c>
      <c r="R1553" s="60">
        <v>0</v>
      </c>
      <c r="S1553" s="60">
        <v>0</v>
      </c>
      <c r="T1553" s="60">
        <v>0</v>
      </c>
      <c r="U1553" s="60">
        <v>0</v>
      </c>
      <c r="V1553" s="60">
        <v>0</v>
      </c>
      <c r="W1553" s="60">
        <v>0</v>
      </c>
      <c r="X1553" s="60">
        <v>0</v>
      </c>
      <c r="Y1553" s="60">
        <v>0</v>
      </c>
      <c r="Z1553" s="60">
        <v>0</v>
      </c>
      <c r="AA1553" s="60">
        <v>0</v>
      </c>
      <c r="AB1553" s="60">
        <v>0</v>
      </c>
      <c r="AC1553" s="60">
        <v>351.94</v>
      </c>
      <c r="AD1553" s="60">
        <v>356.67</v>
      </c>
      <c r="AE1553" s="60">
        <v>0</v>
      </c>
      <c r="AF1553" s="60">
        <v>0</v>
      </c>
      <c r="AG1553" s="60">
        <v>0</v>
      </c>
      <c r="AH1553" s="60">
        <v>0</v>
      </c>
      <c r="AI1553" s="60">
        <v>351.94</v>
      </c>
      <c r="AJ1553" s="60">
        <v>356.67</v>
      </c>
      <c r="AK1553" s="60">
        <v>0</v>
      </c>
      <c r="AL1553" s="60">
        <v>0</v>
      </c>
      <c r="AM1553" s="60">
        <v>0</v>
      </c>
      <c r="AN1553" s="60">
        <v>358.72</v>
      </c>
      <c r="AO1553" s="60">
        <v>351.94</v>
      </c>
      <c r="AP1553" s="60">
        <v>356.67</v>
      </c>
      <c r="AQ1553" s="60">
        <v>358.72</v>
      </c>
      <c r="AR1553" s="61">
        <v>358.72</v>
      </c>
    </row>
    <row r="1554" spans="1:44" x14ac:dyDescent="0.35">
      <c r="A1554" s="49" t="str">
        <f t="shared" si="124"/>
        <v>36</v>
      </c>
      <c r="B1554" s="27">
        <v>67876</v>
      </c>
      <c r="C1554" s="25" t="str">
        <f>TEXT(3630993,"0000000")</f>
        <v>3630993</v>
      </c>
      <c r="D1554" s="26" t="s">
        <v>1990</v>
      </c>
      <c r="E1554" s="25" t="s">
        <v>1988</v>
      </c>
      <c r="F1554" s="25" t="s">
        <v>1977</v>
      </c>
      <c r="G1554" s="59" t="s">
        <v>1989</v>
      </c>
      <c r="H1554" s="60">
        <v>0</v>
      </c>
      <c r="I1554" s="60">
        <v>0</v>
      </c>
      <c r="J1554" s="60">
        <v>0</v>
      </c>
      <c r="K1554" s="60">
        <v>0</v>
      </c>
      <c r="L1554" s="60">
        <v>0</v>
      </c>
      <c r="M1554" s="60">
        <v>0</v>
      </c>
      <c r="N1554" s="60">
        <v>0</v>
      </c>
      <c r="O1554" s="60">
        <v>0</v>
      </c>
      <c r="P1554" s="60">
        <v>0</v>
      </c>
      <c r="Q1554" s="60">
        <v>0</v>
      </c>
      <c r="R1554" s="60">
        <v>0</v>
      </c>
      <c r="S1554" s="60">
        <v>0</v>
      </c>
      <c r="T1554" s="60">
        <v>0</v>
      </c>
      <c r="U1554" s="60">
        <v>0</v>
      </c>
      <c r="V1554" s="60">
        <v>0</v>
      </c>
      <c r="W1554" s="60">
        <v>0</v>
      </c>
      <c r="X1554" s="60">
        <v>0</v>
      </c>
      <c r="Y1554" s="60">
        <v>0</v>
      </c>
      <c r="Z1554" s="60">
        <v>0</v>
      </c>
      <c r="AA1554" s="60">
        <v>0</v>
      </c>
      <c r="AB1554" s="60">
        <v>0</v>
      </c>
      <c r="AC1554" s="60">
        <v>267.06</v>
      </c>
      <c r="AD1554" s="60">
        <v>237.43</v>
      </c>
      <c r="AE1554" s="60">
        <v>0</v>
      </c>
      <c r="AF1554" s="60">
        <v>0</v>
      </c>
      <c r="AG1554" s="60">
        <v>0</v>
      </c>
      <c r="AH1554" s="60">
        <v>0</v>
      </c>
      <c r="AI1554" s="60">
        <v>267.06</v>
      </c>
      <c r="AJ1554" s="60">
        <v>237.43</v>
      </c>
      <c r="AK1554" s="60">
        <v>0</v>
      </c>
      <c r="AL1554" s="60">
        <v>0</v>
      </c>
      <c r="AM1554" s="60">
        <v>0</v>
      </c>
      <c r="AN1554" s="60">
        <v>222.89</v>
      </c>
      <c r="AO1554" s="60">
        <v>267.06</v>
      </c>
      <c r="AP1554" s="60">
        <v>237.43</v>
      </c>
      <c r="AQ1554" s="60">
        <v>222.89</v>
      </c>
      <c r="AR1554" s="61">
        <v>267.06</v>
      </c>
    </row>
    <row r="1555" spans="1:44" x14ac:dyDescent="0.35">
      <c r="A1555" s="49" t="str">
        <f t="shared" si="124"/>
        <v>36</v>
      </c>
      <c r="B1555" s="27">
        <v>10363</v>
      </c>
      <c r="C1555" s="25" t="str">
        <f t="shared" ref="C1555:C1586" si="125">TEXT(,"0000000")</f>
        <v>0000000</v>
      </c>
      <c r="D1555" s="26" t="s">
        <v>3663</v>
      </c>
      <c r="E1555" s="25" t="s">
        <v>1910</v>
      </c>
      <c r="F1555" s="25" t="s">
        <v>1911</v>
      </c>
      <c r="G1555" s="59" t="s">
        <v>1911</v>
      </c>
      <c r="H1555" s="60">
        <v>0</v>
      </c>
      <c r="I1555" s="60">
        <v>0</v>
      </c>
      <c r="J1555" s="60">
        <v>0</v>
      </c>
      <c r="K1555" s="60">
        <v>0</v>
      </c>
      <c r="L1555" s="60">
        <v>0</v>
      </c>
      <c r="M1555" s="60">
        <v>0</v>
      </c>
      <c r="N1555" s="60">
        <v>0</v>
      </c>
      <c r="O1555" s="60">
        <v>0</v>
      </c>
      <c r="P1555" s="60">
        <v>0</v>
      </c>
      <c r="Q1555" s="60">
        <v>0</v>
      </c>
      <c r="R1555" s="60">
        <v>0</v>
      </c>
      <c r="S1555" s="60">
        <v>0</v>
      </c>
      <c r="T1555" s="60">
        <v>332.32</v>
      </c>
      <c r="U1555" s="60">
        <v>328.57</v>
      </c>
      <c r="V1555" s="60">
        <v>312.77999999999997</v>
      </c>
      <c r="W1555" s="60">
        <v>86.02</v>
      </c>
      <c r="X1555" s="60">
        <v>89.24</v>
      </c>
      <c r="Y1555" s="60">
        <v>107.06</v>
      </c>
      <c r="Z1555" s="60">
        <v>0</v>
      </c>
      <c r="AA1555" s="60">
        <v>0</v>
      </c>
      <c r="AB1555" s="60">
        <v>0</v>
      </c>
      <c r="AC1555" s="60">
        <v>0</v>
      </c>
      <c r="AD1555" s="60">
        <v>0</v>
      </c>
      <c r="AE1555" s="60">
        <v>0</v>
      </c>
      <c r="AF1555" s="60">
        <v>0</v>
      </c>
      <c r="AG1555" s="60">
        <v>0</v>
      </c>
      <c r="AH1555" s="60">
        <v>0</v>
      </c>
      <c r="AI1555" s="60">
        <v>418.34</v>
      </c>
      <c r="AJ1555" s="60">
        <v>417.81</v>
      </c>
      <c r="AK1555" s="60">
        <v>419.84</v>
      </c>
      <c r="AL1555" s="60">
        <v>0</v>
      </c>
      <c r="AM1555" s="60">
        <v>0</v>
      </c>
      <c r="AN1555" s="60">
        <v>0</v>
      </c>
      <c r="AO1555" s="60">
        <v>418.34</v>
      </c>
      <c r="AP1555" s="60">
        <v>417.81</v>
      </c>
      <c r="AQ1555" s="60">
        <v>419.84</v>
      </c>
      <c r="AR1555" s="61">
        <v>419.84</v>
      </c>
    </row>
    <row r="1556" spans="1:44" x14ac:dyDescent="0.35">
      <c r="A1556" s="49" t="str">
        <f t="shared" si="124"/>
        <v>36</v>
      </c>
      <c r="B1556" s="27">
        <v>67686</v>
      </c>
      <c r="C1556" s="25" t="str">
        <f t="shared" si="125"/>
        <v>0000000</v>
      </c>
      <c r="D1556" s="26" t="s">
        <v>3663</v>
      </c>
      <c r="E1556" s="25" t="s">
        <v>1941</v>
      </c>
      <c r="F1556" s="25" t="s">
        <v>1911</v>
      </c>
      <c r="G1556" s="59" t="s">
        <v>1942</v>
      </c>
      <c r="H1556" s="60">
        <v>17597.169999999998</v>
      </c>
      <c r="I1556" s="60">
        <v>17515.099999999999</v>
      </c>
      <c r="J1556" s="60">
        <v>17853.09</v>
      </c>
      <c r="K1556" s="60">
        <v>0</v>
      </c>
      <c r="L1556" s="60">
        <v>0</v>
      </c>
      <c r="M1556" s="60">
        <v>0</v>
      </c>
      <c r="N1556" s="60">
        <v>0</v>
      </c>
      <c r="O1556" s="60">
        <v>0</v>
      </c>
      <c r="P1556" s="60">
        <v>0</v>
      </c>
      <c r="Q1556" s="60">
        <v>0</v>
      </c>
      <c r="R1556" s="60">
        <v>0</v>
      </c>
      <c r="S1556" s="60">
        <v>0</v>
      </c>
      <c r="T1556" s="60">
        <v>0</v>
      </c>
      <c r="U1556" s="60">
        <v>0</v>
      </c>
      <c r="V1556" s="60">
        <v>0</v>
      </c>
      <c r="W1556" s="60">
        <v>0</v>
      </c>
      <c r="X1556" s="60">
        <v>0</v>
      </c>
      <c r="Y1556" s="60">
        <v>0</v>
      </c>
      <c r="Z1556" s="60">
        <v>0</v>
      </c>
      <c r="AA1556" s="60">
        <v>0</v>
      </c>
      <c r="AB1556" s="60">
        <v>0</v>
      </c>
      <c r="AC1556" s="60">
        <v>0</v>
      </c>
      <c r="AD1556" s="60">
        <v>0</v>
      </c>
      <c r="AE1556" s="60">
        <v>0</v>
      </c>
      <c r="AF1556" s="60">
        <v>0</v>
      </c>
      <c r="AG1556" s="60">
        <v>0</v>
      </c>
      <c r="AH1556" s="60">
        <v>0</v>
      </c>
      <c r="AI1556" s="60">
        <v>17597.169999999998</v>
      </c>
      <c r="AJ1556" s="60">
        <v>17515.099999999999</v>
      </c>
      <c r="AK1556" s="60">
        <v>17853.09</v>
      </c>
      <c r="AL1556" s="60">
        <v>0</v>
      </c>
      <c r="AM1556" s="60">
        <v>0</v>
      </c>
      <c r="AN1556" s="60">
        <v>0</v>
      </c>
      <c r="AO1556" s="60">
        <v>17597.169999999998</v>
      </c>
      <c r="AP1556" s="60">
        <v>17515.099999999999</v>
      </c>
      <c r="AQ1556" s="60">
        <v>17853.09</v>
      </c>
      <c r="AR1556" s="61">
        <v>17853.09</v>
      </c>
    </row>
    <row r="1557" spans="1:44" x14ac:dyDescent="0.35">
      <c r="A1557" s="49" t="str">
        <f t="shared" si="124"/>
        <v>36</v>
      </c>
      <c r="B1557" s="27">
        <v>67843</v>
      </c>
      <c r="C1557" s="25" t="str">
        <f t="shared" si="125"/>
        <v>0000000</v>
      </c>
      <c r="D1557" s="26" t="s">
        <v>3663</v>
      </c>
      <c r="E1557" s="25" t="s">
        <v>1970</v>
      </c>
      <c r="F1557" s="25" t="s">
        <v>1911</v>
      </c>
      <c r="G1557" s="59" t="s">
        <v>1971</v>
      </c>
      <c r="H1557" s="60">
        <v>18256.509999999998</v>
      </c>
      <c r="I1557" s="60">
        <v>18157.64</v>
      </c>
      <c r="J1557" s="60">
        <v>18348.43</v>
      </c>
      <c r="K1557" s="60">
        <v>0</v>
      </c>
      <c r="L1557" s="60">
        <v>0</v>
      </c>
      <c r="M1557" s="60">
        <v>0</v>
      </c>
      <c r="N1557" s="60">
        <v>0</v>
      </c>
      <c r="O1557" s="60">
        <v>0</v>
      </c>
      <c r="P1557" s="60">
        <v>0</v>
      </c>
      <c r="Q1557" s="60">
        <v>0</v>
      </c>
      <c r="R1557" s="60">
        <v>0</v>
      </c>
      <c r="S1557" s="60">
        <v>0</v>
      </c>
      <c r="T1557" s="60">
        <v>0</v>
      </c>
      <c r="U1557" s="60">
        <v>0</v>
      </c>
      <c r="V1557" s="60">
        <v>0</v>
      </c>
      <c r="W1557" s="60">
        <v>0</v>
      </c>
      <c r="X1557" s="60">
        <v>0</v>
      </c>
      <c r="Y1557" s="60">
        <v>0</v>
      </c>
      <c r="Z1557" s="60">
        <v>0</v>
      </c>
      <c r="AA1557" s="60">
        <v>0</v>
      </c>
      <c r="AB1557" s="60">
        <v>0</v>
      </c>
      <c r="AC1557" s="60">
        <v>232.8</v>
      </c>
      <c r="AD1557" s="60">
        <v>229.64</v>
      </c>
      <c r="AE1557" s="60">
        <v>223.37</v>
      </c>
      <c r="AF1557" s="60">
        <v>0</v>
      </c>
      <c r="AG1557" s="60">
        <v>0</v>
      </c>
      <c r="AH1557" s="60">
        <v>0</v>
      </c>
      <c r="AI1557" s="60">
        <v>18489.310000000001</v>
      </c>
      <c r="AJ1557" s="60">
        <v>18387.28</v>
      </c>
      <c r="AK1557" s="60">
        <v>18571.8</v>
      </c>
      <c r="AL1557" s="60">
        <v>0</v>
      </c>
      <c r="AM1557" s="60">
        <v>0</v>
      </c>
      <c r="AN1557" s="60">
        <v>0</v>
      </c>
      <c r="AO1557" s="60">
        <v>18489.310000000001</v>
      </c>
      <c r="AP1557" s="60">
        <v>18387.28</v>
      </c>
      <c r="AQ1557" s="60">
        <v>18571.8</v>
      </c>
      <c r="AR1557" s="61">
        <v>18571.8</v>
      </c>
    </row>
    <row r="1558" spans="1:44" x14ac:dyDescent="0.35">
      <c r="A1558" s="49" t="str">
        <f t="shared" si="124"/>
        <v>36</v>
      </c>
      <c r="B1558" s="27">
        <v>67850</v>
      </c>
      <c r="C1558" s="25" t="str">
        <f t="shared" si="125"/>
        <v>0000000</v>
      </c>
      <c r="D1558" s="26" t="s">
        <v>3663</v>
      </c>
      <c r="E1558" s="25" t="s">
        <v>1972</v>
      </c>
      <c r="F1558" s="25" t="s">
        <v>1911</v>
      </c>
      <c r="G1558" s="59" t="s">
        <v>1973</v>
      </c>
      <c r="H1558" s="60">
        <v>21760.560000000001</v>
      </c>
      <c r="I1558" s="60">
        <v>21792.02</v>
      </c>
      <c r="J1558" s="60">
        <v>21770.09</v>
      </c>
      <c r="K1558" s="60">
        <v>0</v>
      </c>
      <c r="L1558" s="60">
        <v>0</v>
      </c>
      <c r="M1558" s="60">
        <v>0</v>
      </c>
      <c r="N1558" s="60">
        <v>0</v>
      </c>
      <c r="O1558" s="60">
        <v>0</v>
      </c>
      <c r="P1558" s="60">
        <v>0</v>
      </c>
      <c r="Q1558" s="60">
        <v>0</v>
      </c>
      <c r="R1558" s="60">
        <v>0</v>
      </c>
      <c r="S1558" s="60">
        <v>0</v>
      </c>
      <c r="T1558" s="60">
        <v>0</v>
      </c>
      <c r="U1558" s="60">
        <v>0</v>
      </c>
      <c r="V1558" s="60">
        <v>0</v>
      </c>
      <c r="W1558" s="60">
        <v>0</v>
      </c>
      <c r="X1558" s="60">
        <v>0</v>
      </c>
      <c r="Y1558" s="60">
        <v>0</v>
      </c>
      <c r="Z1558" s="60">
        <v>0</v>
      </c>
      <c r="AA1558" s="60">
        <v>0</v>
      </c>
      <c r="AB1558" s="60">
        <v>0</v>
      </c>
      <c r="AC1558" s="60">
        <v>0</v>
      </c>
      <c r="AD1558" s="60">
        <v>0</v>
      </c>
      <c r="AE1558" s="60">
        <v>0</v>
      </c>
      <c r="AF1558" s="60">
        <v>0</v>
      </c>
      <c r="AG1558" s="60">
        <v>0</v>
      </c>
      <c r="AH1558" s="60">
        <v>0</v>
      </c>
      <c r="AI1558" s="60">
        <v>21760.560000000001</v>
      </c>
      <c r="AJ1558" s="60">
        <v>21792.02</v>
      </c>
      <c r="AK1558" s="60">
        <v>21770.09</v>
      </c>
      <c r="AL1558" s="60">
        <v>0</v>
      </c>
      <c r="AM1558" s="60">
        <v>0</v>
      </c>
      <c r="AN1558" s="60">
        <v>0</v>
      </c>
      <c r="AO1558" s="60">
        <v>21760.560000000001</v>
      </c>
      <c r="AP1558" s="60">
        <v>21792.02</v>
      </c>
      <c r="AQ1558" s="60">
        <v>21770.09</v>
      </c>
      <c r="AR1558" s="61">
        <v>21792.02</v>
      </c>
    </row>
    <row r="1559" spans="1:44" x14ac:dyDescent="0.35">
      <c r="A1559" s="49" t="str">
        <f t="shared" si="124"/>
        <v>36</v>
      </c>
      <c r="B1559" s="27">
        <v>67868</v>
      </c>
      <c r="C1559" s="25" t="str">
        <f t="shared" si="125"/>
        <v>0000000</v>
      </c>
      <c r="D1559" s="26" t="s">
        <v>3663</v>
      </c>
      <c r="E1559" s="25" t="s">
        <v>1974</v>
      </c>
      <c r="F1559" s="25" t="s">
        <v>1911</v>
      </c>
      <c r="G1559" s="59" t="s">
        <v>1975</v>
      </c>
      <c r="H1559" s="60">
        <v>2590.0500000000002</v>
      </c>
      <c r="I1559" s="60">
        <v>2546.94</v>
      </c>
      <c r="J1559" s="60">
        <v>2467.62</v>
      </c>
      <c r="K1559" s="60">
        <v>0</v>
      </c>
      <c r="L1559" s="60">
        <v>0</v>
      </c>
      <c r="M1559" s="60">
        <v>0</v>
      </c>
      <c r="N1559" s="60">
        <v>0</v>
      </c>
      <c r="O1559" s="60">
        <v>0</v>
      </c>
      <c r="P1559" s="60">
        <v>0</v>
      </c>
      <c r="Q1559" s="60">
        <v>0</v>
      </c>
      <c r="R1559" s="60">
        <v>0</v>
      </c>
      <c r="S1559" s="60">
        <v>0</v>
      </c>
      <c r="T1559" s="60">
        <v>0</v>
      </c>
      <c r="U1559" s="60">
        <v>0</v>
      </c>
      <c r="V1559" s="60">
        <v>0</v>
      </c>
      <c r="W1559" s="60">
        <v>0</v>
      </c>
      <c r="X1559" s="60">
        <v>0</v>
      </c>
      <c r="Y1559" s="60">
        <v>0</v>
      </c>
      <c r="Z1559" s="60">
        <v>0</v>
      </c>
      <c r="AA1559" s="60">
        <v>0</v>
      </c>
      <c r="AB1559" s="60">
        <v>0</v>
      </c>
      <c r="AC1559" s="60">
        <v>0</v>
      </c>
      <c r="AD1559" s="60">
        <v>0</v>
      </c>
      <c r="AE1559" s="60">
        <v>0</v>
      </c>
      <c r="AF1559" s="60">
        <v>0</v>
      </c>
      <c r="AG1559" s="60">
        <v>0</v>
      </c>
      <c r="AH1559" s="60">
        <v>0</v>
      </c>
      <c r="AI1559" s="60">
        <v>2590.0500000000002</v>
      </c>
      <c r="AJ1559" s="60">
        <v>2546.94</v>
      </c>
      <c r="AK1559" s="60">
        <v>2467.62</v>
      </c>
      <c r="AL1559" s="60">
        <v>0</v>
      </c>
      <c r="AM1559" s="60">
        <v>0</v>
      </c>
      <c r="AN1559" s="60">
        <v>0</v>
      </c>
      <c r="AO1559" s="60">
        <v>2590.0500000000002</v>
      </c>
      <c r="AP1559" s="60">
        <v>2546.94</v>
      </c>
      <c r="AQ1559" s="60">
        <v>2467.62</v>
      </c>
      <c r="AR1559" s="61">
        <v>2590.0500000000002</v>
      </c>
    </row>
    <row r="1560" spans="1:44" x14ac:dyDescent="0.35">
      <c r="A1560" s="49" t="str">
        <f t="shared" si="124"/>
        <v>36</v>
      </c>
      <c r="B1560" s="27">
        <v>67959</v>
      </c>
      <c r="C1560" s="25" t="str">
        <f t="shared" si="125"/>
        <v>0000000</v>
      </c>
      <c r="D1560" s="26" t="s">
        <v>3663</v>
      </c>
      <c r="E1560" s="25" t="s">
        <v>1997</v>
      </c>
      <c r="F1560" s="25" t="s">
        <v>1911</v>
      </c>
      <c r="G1560" s="59" t="s">
        <v>1998</v>
      </c>
      <c r="H1560" s="60">
        <v>7102.7</v>
      </c>
      <c r="I1560" s="60">
        <v>7092.02</v>
      </c>
      <c r="J1560" s="60">
        <v>7212.62</v>
      </c>
      <c r="K1560" s="60">
        <v>0</v>
      </c>
      <c r="L1560" s="60">
        <v>0</v>
      </c>
      <c r="M1560" s="60">
        <v>0</v>
      </c>
      <c r="N1560" s="60">
        <v>0</v>
      </c>
      <c r="O1560" s="60">
        <v>0</v>
      </c>
      <c r="P1560" s="60">
        <v>0</v>
      </c>
      <c r="Q1560" s="60">
        <v>0</v>
      </c>
      <c r="R1560" s="60">
        <v>0</v>
      </c>
      <c r="S1560" s="60">
        <v>0</v>
      </c>
      <c r="T1560" s="60">
        <v>0</v>
      </c>
      <c r="U1560" s="60">
        <v>0</v>
      </c>
      <c r="V1560" s="60">
        <v>0</v>
      </c>
      <c r="W1560" s="60">
        <v>0</v>
      </c>
      <c r="X1560" s="60">
        <v>0</v>
      </c>
      <c r="Y1560" s="60">
        <v>0</v>
      </c>
      <c r="Z1560" s="60">
        <v>0</v>
      </c>
      <c r="AA1560" s="60">
        <v>0</v>
      </c>
      <c r="AB1560" s="60">
        <v>0</v>
      </c>
      <c r="AC1560" s="60">
        <v>668.26</v>
      </c>
      <c r="AD1560" s="60">
        <v>645.05999999999995</v>
      </c>
      <c r="AE1560" s="60">
        <v>628.91999999999996</v>
      </c>
      <c r="AF1560" s="60">
        <v>0</v>
      </c>
      <c r="AG1560" s="60">
        <v>0</v>
      </c>
      <c r="AH1560" s="60">
        <v>0</v>
      </c>
      <c r="AI1560" s="60">
        <v>7770.96</v>
      </c>
      <c r="AJ1560" s="60">
        <v>7737.08</v>
      </c>
      <c r="AK1560" s="60">
        <v>7841.54</v>
      </c>
      <c r="AL1560" s="60">
        <v>0</v>
      </c>
      <c r="AM1560" s="60">
        <v>0</v>
      </c>
      <c r="AN1560" s="60">
        <v>0</v>
      </c>
      <c r="AO1560" s="60">
        <v>7770.96</v>
      </c>
      <c r="AP1560" s="60">
        <v>7737.08</v>
      </c>
      <c r="AQ1560" s="60">
        <v>7841.54</v>
      </c>
      <c r="AR1560" s="61">
        <v>7841.54</v>
      </c>
    </row>
    <row r="1561" spans="1:44" x14ac:dyDescent="0.35">
      <c r="A1561" s="49" t="str">
        <f t="shared" ref="A1561:A1572" si="126">TEXT(55,"00")</f>
        <v>55</v>
      </c>
      <c r="B1561" s="27">
        <v>10553</v>
      </c>
      <c r="C1561" s="25" t="str">
        <f t="shared" si="125"/>
        <v>0000000</v>
      </c>
      <c r="D1561" s="26" t="s">
        <v>3663</v>
      </c>
      <c r="E1561" s="25" t="s">
        <v>3412</v>
      </c>
      <c r="F1561" s="25" t="s">
        <v>3413</v>
      </c>
      <c r="G1561" s="59" t="s">
        <v>3413</v>
      </c>
      <c r="H1561" s="60">
        <v>0</v>
      </c>
      <c r="I1561" s="60">
        <v>0</v>
      </c>
      <c r="J1561" s="60">
        <v>0</v>
      </c>
      <c r="K1561" s="60">
        <v>0</v>
      </c>
      <c r="L1561" s="60">
        <v>0</v>
      </c>
      <c r="M1561" s="60">
        <v>0</v>
      </c>
      <c r="N1561" s="60">
        <v>0</v>
      </c>
      <c r="O1561" s="60">
        <v>0</v>
      </c>
      <c r="P1561" s="60">
        <v>0</v>
      </c>
      <c r="Q1561" s="60">
        <v>0</v>
      </c>
      <c r="R1561" s="60">
        <v>0</v>
      </c>
      <c r="S1561" s="60">
        <v>0</v>
      </c>
      <c r="T1561" s="60">
        <v>16.41</v>
      </c>
      <c r="U1561" s="60">
        <v>15.21</v>
      </c>
      <c r="V1561" s="60">
        <v>20.41</v>
      </c>
      <c r="W1561" s="60">
        <v>59.04</v>
      </c>
      <c r="X1561" s="60">
        <v>69.290000000000006</v>
      </c>
      <c r="Y1561" s="60">
        <v>82.89</v>
      </c>
      <c r="Z1561" s="60">
        <v>0</v>
      </c>
      <c r="AA1561" s="60">
        <v>0</v>
      </c>
      <c r="AB1561" s="60">
        <v>0</v>
      </c>
      <c r="AC1561" s="60">
        <v>0</v>
      </c>
      <c r="AD1561" s="60">
        <v>0</v>
      </c>
      <c r="AE1561" s="60">
        <v>0</v>
      </c>
      <c r="AF1561" s="60">
        <v>0</v>
      </c>
      <c r="AG1561" s="60">
        <v>0</v>
      </c>
      <c r="AH1561" s="60">
        <v>0</v>
      </c>
      <c r="AI1561" s="60">
        <v>75.45</v>
      </c>
      <c r="AJ1561" s="60">
        <v>84.5</v>
      </c>
      <c r="AK1561" s="60">
        <v>103.3</v>
      </c>
      <c r="AL1561" s="60">
        <v>0</v>
      </c>
      <c r="AM1561" s="60">
        <v>0</v>
      </c>
      <c r="AN1561" s="60">
        <v>0</v>
      </c>
      <c r="AO1561" s="60">
        <v>75.45</v>
      </c>
      <c r="AP1561" s="60">
        <v>84.5</v>
      </c>
      <c r="AQ1561" s="60">
        <v>103.3</v>
      </c>
      <c r="AR1561" s="61">
        <v>103.3</v>
      </c>
    </row>
    <row r="1562" spans="1:44" x14ac:dyDescent="0.35">
      <c r="A1562" s="49" t="str">
        <f t="shared" si="126"/>
        <v>55</v>
      </c>
      <c r="B1562" s="27">
        <v>72306</v>
      </c>
      <c r="C1562" s="25" t="str">
        <f t="shared" si="125"/>
        <v>0000000</v>
      </c>
      <c r="D1562" s="26" t="s">
        <v>3663</v>
      </c>
      <c r="E1562" s="25" t="s">
        <v>3414</v>
      </c>
      <c r="F1562" s="25" t="s">
        <v>3413</v>
      </c>
      <c r="G1562" s="59" t="s">
        <v>3415</v>
      </c>
      <c r="H1562" s="60">
        <v>150.18</v>
      </c>
      <c r="I1562" s="60">
        <v>158.41</v>
      </c>
      <c r="J1562" s="60">
        <v>155.93</v>
      </c>
      <c r="K1562" s="60">
        <v>0</v>
      </c>
      <c r="L1562" s="60">
        <v>0</v>
      </c>
      <c r="M1562" s="60">
        <v>0</v>
      </c>
      <c r="N1562" s="60">
        <v>0</v>
      </c>
      <c r="O1562" s="60">
        <v>0</v>
      </c>
      <c r="P1562" s="60">
        <v>0</v>
      </c>
      <c r="Q1562" s="60">
        <v>0</v>
      </c>
      <c r="R1562" s="60">
        <v>0</v>
      </c>
      <c r="S1562" s="60">
        <v>0</v>
      </c>
      <c r="T1562" s="60">
        <v>0</v>
      </c>
      <c r="U1562" s="60">
        <v>0</v>
      </c>
      <c r="V1562" s="60">
        <v>0</v>
      </c>
      <c r="W1562" s="60">
        <v>0</v>
      </c>
      <c r="X1562" s="60">
        <v>0</v>
      </c>
      <c r="Y1562" s="60">
        <v>0</v>
      </c>
      <c r="Z1562" s="60">
        <v>0</v>
      </c>
      <c r="AA1562" s="60">
        <v>0</v>
      </c>
      <c r="AB1562" s="60">
        <v>0</v>
      </c>
      <c r="AC1562" s="60">
        <v>0</v>
      </c>
      <c r="AD1562" s="60">
        <v>0</v>
      </c>
      <c r="AE1562" s="60">
        <v>0</v>
      </c>
      <c r="AF1562" s="60">
        <v>0</v>
      </c>
      <c r="AG1562" s="60">
        <v>0</v>
      </c>
      <c r="AH1562" s="60">
        <v>0</v>
      </c>
      <c r="AI1562" s="60">
        <v>150.18</v>
      </c>
      <c r="AJ1562" s="60">
        <v>158.41</v>
      </c>
      <c r="AK1562" s="60">
        <v>155.93</v>
      </c>
      <c r="AL1562" s="60">
        <v>0</v>
      </c>
      <c r="AM1562" s="60">
        <v>0</v>
      </c>
      <c r="AN1562" s="60">
        <v>0</v>
      </c>
      <c r="AO1562" s="60">
        <v>150.18</v>
      </c>
      <c r="AP1562" s="60">
        <v>158.41</v>
      </c>
      <c r="AQ1562" s="60">
        <v>155.93</v>
      </c>
      <c r="AR1562" s="61">
        <v>158.41</v>
      </c>
    </row>
    <row r="1563" spans="1:44" x14ac:dyDescent="0.35">
      <c r="A1563" s="49" t="str">
        <f t="shared" si="126"/>
        <v>55</v>
      </c>
      <c r="B1563" s="27">
        <v>72348</v>
      </c>
      <c r="C1563" s="25" t="str">
        <f t="shared" si="125"/>
        <v>0000000</v>
      </c>
      <c r="D1563" s="26" t="s">
        <v>3663</v>
      </c>
      <c r="E1563" s="25" t="s">
        <v>3416</v>
      </c>
      <c r="F1563" s="25" t="s">
        <v>3413</v>
      </c>
      <c r="G1563" s="59" t="s">
        <v>3417</v>
      </c>
      <c r="H1563" s="60">
        <v>412.21</v>
      </c>
      <c r="I1563" s="60">
        <v>396.33</v>
      </c>
      <c r="J1563" s="60">
        <v>387.14</v>
      </c>
      <c r="K1563" s="60">
        <v>0</v>
      </c>
      <c r="L1563" s="60">
        <v>0</v>
      </c>
      <c r="M1563" s="60">
        <v>0</v>
      </c>
      <c r="N1563" s="60">
        <v>0</v>
      </c>
      <c r="O1563" s="60">
        <v>0</v>
      </c>
      <c r="P1563" s="60">
        <v>0</v>
      </c>
      <c r="Q1563" s="60">
        <v>0</v>
      </c>
      <c r="R1563" s="60">
        <v>0</v>
      </c>
      <c r="S1563" s="60">
        <v>0</v>
      </c>
      <c r="T1563" s="60">
        <v>0</v>
      </c>
      <c r="U1563" s="60">
        <v>0</v>
      </c>
      <c r="V1563" s="60">
        <v>0</v>
      </c>
      <c r="W1563" s="60">
        <v>0</v>
      </c>
      <c r="X1563" s="60">
        <v>0</v>
      </c>
      <c r="Y1563" s="60">
        <v>0</v>
      </c>
      <c r="Z1563" s="60">
        <v>0</v>
      </c>
      <c r="AA1563" s="60">
        <v>0</v>
      </c>
      <c r="AB1563" s="60">
        <v>0</v>
      </c>
      <c r="AC1563" s="60">
        <v>0</v>
      </c>
      <c r="AD1563" s="60">
        <v>0</v>
      </c>
      <c r="AE1563" s="60">
        <v>0</v>
      </c>
      <c r="AF1563" s="60">
        <v>0</v>
      </c>
      <c r="AG1563" s="60">
        <v>0</v>
      </c>
      <c r="AH1563" s="60">
        <v>0</v>
      </c>
      <c r="AI1563" s="60">
        <v>412.21</v>
      </c>
      <c r="AJ1563" s="60">
        <v>396.33</v>
      </c>
      <c r="AK1563" s="60">
        <v>387.14</v>
      </c>
      <c r="AL1563" s="60">
        <v>0</v>
      </c>
      <c r="AM1563" s="60">
        <v>0</v>
      </c>
      <c r="AN1563" s="60">
        <v>0</v>
      </c>
      <c r="AO1563" s="60">
        <v>412.21</v>
      </c>
      <c r="AP1563" s="60">
        <v>396.33</v>
      </c>
      <c r="AQ1563" s="60">
        <v>387.14</v>
      </c>
      <c r="AR1563" s="61">
        <v>412.21</v>
      </c>
    </row>
    <row r="1564" spans="1:44" x14ac:dyDescent="0.35">
      <c r="A1564" s="49" t="str">
        <f t="shared" si="126"/>
        <v>55</v>
      </c>
      <c r="B1564" s="27">
        <v>72355</v>
      </c>
      <c r="C1564" s="25" t="str">
        <f t="shared" si="125"/>
        <v>0000000</v>
      </c>
      <c r="D1564" s="26" t="s">
        <v>3663</v>
      </c>
      <c r="E1564" s="25" t="s">
        <v>3418</v>
      </c>
      <c r="F1564" s="25" t="s">
        <v>3413</v>
      </c>
      <c r="G1564" s="59" t="s">
        <v>3419</v>
      </c>
      <c r="H1564" s="60">
        <v>394.44</v>
      </c>
      <c r="I1564" s="60">
        <v>400.44</v>
      </c>
      <c r="J1564" s="60">
        <v>413.99</v>
      </c>
      <c r="K1564" s="60">
        <v>0</v>
      </c>
      <c r="L1564" s="60">
        <v>0</v>
      </c>
      <c r="M1564" s="60">
        <v>0</v>
      </c>
      <c r="N1564" s="60">
        <v>0</v>
      </c>
      <c r="O1564" s="60">
        <v>0</v>
      </c>
      <c r="P1564" s="60">
        <v>0</v>
      </c>
      <c r="Q1564" s="60">
        <v>0</v>
      </c>
      <c r="R1564" s="60">
        <v>0</v>
      </c>
      <c r="S1564" s="60">
        <v>0</v>
      </c>
      <c r="T1564" s="60">
        <v>0</v>
      </c>
      <c r="U1564" s="60">
        <v>0</v>
      </c>
      <c r="V1564" s="60">
        <v>0</v>
      </c>
      <c r="W1564" s="60">
        <v>0</v>
      </c>
      <c r="X1564" s="60">
        <v>0</v>
      </c>
      <c r="Y1564" s="60">
        <v>0</v>
      </c>
      <c r="Z1564" s="60">
        <v>0</v>
      </c>
      <c r="AA1564" s="60">
        <v>0</v>
      </c>
      <c r="AB1564" s="60">
        <v>0</v>
      </c>
      <c r="AC1564" s="60">
        <v>0</v>
      </c>
      <c r="AD1564" s="60">
        <v>0</v>
      </c>
      <c r="AE1564" s="60">
        <v>0</v>
      </c>
      <c r="AF1564" s="60">
        <v>0</v>
      </c>
      <c r="AG1564" s="60">
        <v>0</v>
      </c>
      <c r="AH1564" s="60">
        <v>0</v>
      </c>
      <c r="AI1564" s="60">
        <v>394.44</v>
      </c>
      <c r="AJ1564" s="60">
        <v>400.44</v>
      </c>
      <c r="AK1564" s="60">
        <v>413.99</v>
      </c>
      <c r="AL1564" s="60">
        <v>0</v>
      </c>
      <c r="AM1564" s="60">
        <v>0</v>
      </c>
      <c r="AN1564" s="60">
        <v>0</v>
      </c>
      <c r="AO1564" s="60">
        <v>394.44</v>
      </c>
      <c r="AP1564" s="60">
        <v>400.44</v>
      </c>
      <c r="AQ1564" s="60">
        <v>413.99</v>
      </c>
      <c r="AR1564" s="61">
        <v>413.99</v>
      </c>
    </row>
    <row r="1565" spans="1:44" x14ac:dyDescent="0.35">
      <c r="A1565" s="49" t="str">
        <f t="shared" si="126"/>
        <v>55</v>
      </c>
      <c r="B1565" s="27">
        <v>72363</v>
      </c>
      <c r="C1565" s="25" t="str">
        <f t="shared" si="125"/>
        <v>0000000</v>
      </c>
      <c r="D1565" s="26" t="s">
        <v>3663</v>
      </c>
      <c r="E1565" s="25" t="s">
        <v>3420</v>
      </c>
      <c r="F1565" s="25" t="s">
        <v>3413</v>
      </c>
      <c r="G1565" s="59" t="s">
        <v>3421</v>
      </c>
      <c r="H1565" s="60">
        <v>384.62</v>
      </c>
      <c r="I1565" s="60">
        <v>345.95</v>
      </c>
      <c r="J1565" s="60">
        <v>314.48</v>
      </c>
      <c r="K1565" s="60">
        <v>0</v>
      </c>
      <c r="L1565" s="60">
        <v>0</v>
      </c>
      <c r="M1565" s="60">
        <v>0</v>
      </c>
      <c r="N1565" s="60">
        <v>0</v>
      </c>
      <c r="O1565" s="60">
        <v>0</v>
      </c>
      <c r="P1565" s="60">
        <v>0</v>
      </c>
      <c r="Q1565" s="60">
        <v>0</v>
      </c>
      <c r="R1565" s="60">
        <v>0</v>
      </c>
      <c r="S1565" s="60">
        <v>0</v>
      </c>
      <c r="T1565" s="60">
        <v>0</v>
      </c>
      <c r="U1565" s="60">
        <v>0</v>
      </c>
      <c r="V1565" s="60">
        <v>0</v>
      </c>
      <c r="W1565" s="60">
        <v>0</v>
      </c>
      <c r="X1565" s="60">
        <v>0</v>
      </c>
      <c r="Y1565" s="60">
        <v>0</v>
      </c>
      <c r="Z1565" s="60">
        <v>0</v>
      </c>
      <c r="AA1565" s="60">
        <v>0</v>
      </c>
      <c r="AB1565" s="60">
        <v>0</v>
      </c>
      <c r="AC1565" s="60">
        <v>0</v>
      </c>
      <c r="AD1565" s="60">
        <v>0</v>
      </c>
      <c r="AE1565" s="60">
        <v>0</v>
      </c>
      <c r="AF1565" s="60">
        <v>0</v>
      </c>
      <c r="AG1565" s="60">
        <v>0</v>
      </c>
      <c r="AH1565" s="60">
        <v>0</v>
      </c>
      <c r="AI1565" s="60">
        <v>384.62</v>
      </c>
      <c r="AJ1565" s="60">
        <v>345.95</v>
      </c>
      <c r="AK1565" s="60">
        <v>314.48</v>
      </c>
      <c r="AL1565" s="60">
        <v>0</v>
      </c>
      <c r="AM1565" s="60">
        <v>0</v>
      </c>
      <c r="AN1565" s="60">
        <v>0</v>
      </c>
      <c r="AO1565" s="60">
        <v>384.62</v>
      </c>
      <c r="AP1565" s="60">
        <v>345.95</v>
      </c>
      <c r="AQ1565" s="60">
        <v>314.48</v>
      </c>
      <c r="AR1565" s="61">
        <v>384.62</v>
      </c>
    </row>
    <row r="1566" spans="1:44" x14ac:dyDescent="0.35">
      <c r="A1566" s="49" t="str">
        <f t="shared" si="126"/>
        <v>55</v>
      </c>
      <c r="B1566" s="27">
        <v>72371</v>
      </c>
      <c r="C1566" s="25" t="str">
        <f t="shared" si="125"/>
        <v>0000000</v>
      </c>
      <c r="D1566" s="26" t="s">
        <v>3663</v>
      </c>
      <c r="E1566" s="25" t="s">
        <v>3422</v>
      </c>
      <c r="F1566" s="25" t="s">
        <v>3413</v>
      </c>
      <c r="G1566" s="59" t="s">
        <v>3423</v>
      </c>
      <c r="H1566" s="60">
        <v>634.73</v>
      </c>
      <c r="I1566" s="60">
        <v>651.37</v>
      </c>
      <c r="J1566" s="60">
        <v>643.48</v>
      </c>
      <c r="K1566" s="60">
        <v>0</v>
      </c>
      <c r="L1566" s="60">
        <v>0</v>
      </c>
      <c r="M1566" s="60">
        <v>0</v>
      </c>
      <c r="N1566" s="60">
        <v>0</v>
      </c>
      <c r="O1566" s="60">
        <v>0</v>
      </c>
      <c r="P1566" s="60">
        <v>0</v>
      </c>
      <c r="Q1566" s="60">
        <v>0</v>
      </c>
      <c r="R1566" s="60">
        <v>0</v>
      </c>
      <c r="S1566" s="60">
        <v>0</v>
      </c>
      <c r="T1566" s="60">
        <v>0</v>
      </c>
      <c r="U1566" s="60">
        <v>0</v>
      </c>
      <c r="V1566" s="60">
        <v>0</v>
      </c>
      <c r="W1566" s="60">
        <v>0</v>
      </c>
      <c r="X1566" s="60">
        <v>0</v>
      </c>
      <c r="Y1566" s="60">
        <v>0</v>
      </c>
      <c r="Z1566" s="60">
        <v>0</v>
      </c>
      <c r="AA1566" s="60">
        <v>0</v>
      </c>
      <c r="AB1566" s="60">
        <v>0</v>
      </c>
      <c r="AC1566" s="60">
        <v>0</v>
      </c>
      <c r="AD1566" s="60">
        <v>0</v>
      </c>
      <c r="AE1566" s="60">
        <v>0</v>
      </c>
      <c r="AF1566" s="60">
        <v>0</v>
      </c>
      <c r="AG1566" s="60">
        <v>0</v>
      </c>
      <c r="AH1566" s="60">
        <v>0</v>
      </c>
      <c r="AI1566" s="60">
        <v>634.73</v>
      </c>
      <c r="AJ1566" s="60">
        <v>651.37</v>
      </c>
      <c r="AK1566" s="60">
        <v>643.48</v>
      </c>
      <c r="AL1566" s="60">
        <v>0</v>
      </c>
      <c r="AM1566" s="60">
        <v>0</v>
      </c>
      <c r="AN1566" s="60">
        <v>0</v>
      </c>
      <c r="AO1566" s="60">
        <v>634.73</v>
      </c>
      <c r="AP1566" s="60">
        <v>651.37</v>
      </c>
      <c r="AQ1566" s="60">
        <v>643.48</v>
      </c>
      <c r="AR1566" s="61">
        <v>651.37</v>
      </c>
    </row>
    <row r="1567" spans="1:44" x14ac:dyDescent="0.35">
      <c r="A1567" s="49" t="str">
        <f t="shared" si="126"/>
        <v>55</v>
      </c>
      <c r="B1567" s="27">
        <v>72389</v>
      </c>
      <c r="C1567" s="25" t="str">
        <f t="shared" si="125"/>
        <v>0000000</v>
      </c>
      <c r="D1567" s="26" t="s">
        <v>3663</v>
      </c>
      <c r="E1567" s="25" t="s">
        <v>3424</v>
      </c>
      <c r="F1567" s="25" t="s">
        <v>3413</v>
      </c>
      <c r="G1567" s="59" t="s">
        <v>3425</v>
      </c>
      <c r="H1567" s="60">
        <v>956.32</v>
      </c>
      <c r="I1567" s="60">
        <v>947.59</v>
      </c>
      <c r="J1567" s="60">
        <v>892.85</v>
      </c>
      <c r="K1567" s="60">
        <v>0</v>
      </c>
      <c r="L1567" s="60">
        <v>0</v>
      </c>
      <c r="M1567" s="60">
        <v>0</v>
      </c>
      <c r="N1567" s="60">
        <v>0</v>
      </c>
      <c r="O1567" s="60">
        <v>0</v>
      </c>
      <c r="P1567" s="60">
        <v>0</v>
      </c>
      <c r="Q1567" s="60">
        <v>0</v>
      </c>
      <c r="R1567" s="60">
        <v>0</v>
      </c>
      <c r="S1567" s="60">
        <v>0</v>
      </c>
      <c r="T1567" s="60">
        <v>0</v>
      </c>
      <c r="U1567" s="60">
        <v>0</v>
      </c>
      <c r="V1567" s="60">
        <v>0</v>
      </c>
      <c r="W1567" s="60">
        <v>0</v>
      </c>
      <c r="X1567" s="60">
        <v>0</v>
      </c>
      <c r="Y1567" s="60">
        <v>0</v>
      </c>
      <c r="Z1567" s="60">
        <v>0</v>
      </c>
      <c r="AA1567" s="60">
        <v>0</v>
      </c>
      <c r="AB1567" s="60">
        <v>0</v>
      </c>
      <c r="AC1567" s="60">
        <v>0</v>
      </c>
      <c r="AD1567" s="60">
        <v>0</v>
      </c>
      <c r="AE1567" s="60">
        <v>0</v>
      </c>
      <c r="AF1567" s="60">
        <v>0</v>
      </c>
      <c r="AG1567" s="60">
        <v>0</v>
      </c>
      <c r="AH1567" s="60">
        <v>0</v>
      </c>
      <c r="AI1567" s="60">
        <v>956.32</v>
      </c>
      <c r="AJ1567" s="60">
        <v>947.59</v>
      </c>
      <c r="AK1567" s="60">
        <v>892.85</v>
      </c>
      <c r="AL1567" s="60">
        <v>0</v>
      </c>
      <c r="AM1567" s="60">
        <v>0</v>
      </c>
      <c r="AN1567" s="60">
        <v>0</v>
      </c>
      <c r="AO1567" s="60">
        <v>956.32</v>
      </c>
      <c r="AP1567" s="60">
        <v>947.59</v>
      </c>
      <c r="AQ1567" s="60">
        <v>892.85</v>
      </c>
      <c r="AR1567" s="61">
        <v>956.32</v>
      </c>
    </row>
    <row r="1568" spans="1:44" x14ac:dyDescent="0.35">
      <c r="A1568" s="49" t="str">
        <f t="shared" si="126"/>
        <v>55</v>
      </c>
      <c r="B1568" s="27">
        <v>72397</v>
      </c>
      <c r="C1568" s="25" t="str">
        <f t="shared" si="125"/>
        <v>0000000</v>
      </c>
      <c r="D1568" s="26" t="s">
        <v>3663</v>
      </c>
      <c r="E1568" s="25" t="s">
        <v>3426</v>
      </c>
      <c r="F1568" s="25" t="s">
        <v>3413</v>
      </c>
      <c r="G1568" s="59" t="s">
        <v>3427</v>
      </c>
      <c r="H1568" s="60">
        <v>438.46</v>
      </c>
      <c r="I1568" s="60">
        <v>447.6</v>
      </c>
      <c r="J1568" s="60">
        <v>430.1</v>
      </c>
      <c r="K1568" s="60">
        <v>0</v>
      </c>
      <c r="L1568" s="60">
        <v>0</v>
      </c>
      <c r="M1568" s="60">
        <v>0</v>
      </c>
      <c r="N1568" s="60">
        <v>0</v>
      </c>
      <c r="O1568" s="60">
        <v>0</v>
      </c>
      <c r="P1568" s="60">
        <v>0</v>
      </c>
      <c r="Q1568" s="60">
        <v>0</v>
      </c>
      <c r="R1568" s="60">
        <v>0</v>
      </c>
      <c r="S1568" s="60">
        <v>0</v>
      </c>
      <c r="T1568" s="60">
        <v>0</v>
      </c>
      <c r="U1568" s="60">
        <v>0</v>
      </c>
      <c r="V1568" s="60">
        <v>0</v>
      </c>
      <c r="W1568" s="60">
        <v>0</v>
      </c>
      <c r="X1568" s="60">
        <v>0</v>
      </c>
      <c r="Y1568" s="60">
        <v>0</v>
      </c>
      <c r="Z1568" s="60">
        <v>0</v>
      </c>
      <c r="AA1568" s="60">
        <v>0</v>
      </c>
      <c r="AB1568" s="60">
        <v>0</v>
      </c>
      <c r="AC1568" s="60">
        <v>0</v>
      </c>
      <c r="AD1568" s="60">
        <v>0</v>
      </c>
      <c r="AE1568" s="60">
        <v>0</v>
      </c>
      <c r="AF1568" s="60">
        <v>0</v>
      </c>
      <c r="AG1568" s="60">
        <v>0</v>
      </c>
      <c r="AH1568" s="60">
        <v>0</v>
      </c>
      <c r="AI1568" s="60">
        <v>438.46</v>
      </c>
      <c r="AJ1568" s="60">
        <v>447.6</v>
      </c>
      <c r="AK1568" s="60">
        <v>430.1</v>
      </c>
      <c r="AL1568" s="60">
        <v>0</v>
      </c>
      <c r="AM1568" s="60">
        <v>0</v>
      </c>
      <c r="AN1568" s="60">
        <v>0</v>
      </c>
      <c r="AO1568" s="60">
        <v>438.46</v>
      </c>
      <c r="AP1568" s="60">
        <v>447.6</v>
      </c>
      <c r="AQ1568" s="60">
        <v>430.1</v>
      </c>
      <c r="AR1568" s="61">
        <v>447.6</v>
      </c>
    </row>
    <row r="1569" spans="1:44" x14ac:dyDescent="0.35">
      <c r="A1569" s="49" t="str">
        <f t="shared" si="126"/>
        <v>55</v>
      </c>
      <c r="B1569" s="27">
        <v>72405</v>
      </c>
      <c r="C1569" s="25" t="str">
        <f t="shared" si="125"/>
        <v>0000000</v>
      </c>
      <c r="D1569" s="26" t="s">
        <v>3663</v>
      </c>
      <c r="E1569" s="25" t="s">
        <v>3428</v>
      </c>
      <c r="F1569" s="25" t="s">
        <v>3413</v>
      </c>
      <c r="G1569" s="59" t="s">
        <v>3429</v>
      </c>
      <c r="H1569" s="60">
        <v>417.29</v>
      </c>
      <c r="I1569" s="60">
        <v>378.42</v>
      </c>
      <c r="J1569" s="60">
        <v>360.49</v>
      </c>
      <c r="K1569" s="60">
        <v>0</v>
      </c>
      <c r="L1569" s="60">
        <v>0</v>
      </c>
      <c r="M1569" s="60">
        <v>0</v>
      </c>
      <c r="N1569" s="60">
        <v>0</v>
      </c>
      <c r="O1569" s="60">
        <v>0</v>
      </c>
      <c r="P1569" s="60">
        <v>0</v>
      </c>
      <c r="Q1569" s="60">
        <v>0</v>
      </c>
      <c r="R1569" s="60">
        <v>0</v>
      </c>
      <c r="S1569" s="60">
        <v>0</v>
      </c>
      <c r="T1569" s="60">
        <v>0</v>
      </c>
      <c r="U1569" s="60">
        <v>0</v>
      </c>
      <c r="V1569" s="60">
        <v>0</v>
      </c>
      <c r="W1569" s="60">
        <v>0</v>
      </c>
      <c r="X1569" s="60">
        <v>0</v>
      </c>
      <c r="Y1569" s="60">
        <v>0</v>
      </c>
      <c r="Z1569" s="60">
        <v>0</v>
      </c>
      <c r="AA1569" s="60">
        <v>0</v>
      </c>
      <c r="AB1569" s="60">
        <v>0</v>
      </c>
      <c r="AC1569" s="60">
        <v>0</v>
      </c>
      <c r="AD1569" s="60">
        <v>0</v>
      </c>
      <c r="AE1569" s="60">
        <v>0</v>
      </c>
      <c r="AF1569" s="60">
        <v>0</v>
      </c>
      <c r="AG1569" s="60">
        <v>0</v>
      </c>
      <c r="AH1569" s="60">
        <v>0</v>
      </c>
      <c r="AI1569" s="60">
        <v>417.29</v>
      </c>
      <c r="AJ1569" s="60">
        <v>378.42</v>
      </c>
      <c r="AK1569" s="60">
        <v>360.49</v>
      </c>
      <c r="AL1569" s="60">
        <v>0</v>
      </c>
      <c r="AM1569" s="60">
        <v>0</v>
      </c>
      <c r="AN1569" s="60">
        <v>0</v>
      </c>
      <c r="AO1569" s="60">
        <v>417.29</v>
      </c>
      <c r="AP1569" s="60">
        <v>378.42</v>
      </c>
      <c r="AQ1569" s="60">
        <v>360.49</v>
      </c>
      <c r="AR1569" s="61">
        <v>417.29</v>
      </c>
    </row>
    <row r="1570" spans="1:44" x14ac:dyDescent="0.35">
      <c r="A1570" s="49" t="str">
        <f t="shared" si="126"/>
        <v>55</v>
      </c>
      <c r="B1570" s="27">
        <v>72413</v>
      </c>
      <c r="C1570" s="25" t="str">
        <f t="shared" si="125"/>
        <v>0000000</v>
      </c>
      <c r="D1570" s="26" t="s">
        <v>3663</v>
      </c>
      <c r="E1570" s="25" t="s">
        <v>3430</v>
      </c>
      <c r="F1570" s="25" t="s">
        <v>3413</v>
      </c>
      <c r="G1570" s="59" t="s">
        <v>3431</v>
      </c>
      <c r="H1570" s="60">
        <v>457.18</v>
      </c>
      <c r="I1570" s="60">
        <v>426.49</v>
      </c>
      <c r="J1570" s="60">
        <v>392.01</v>
      </c>
      <c r="K1570" s="60">
        <v>0</v>
      </c>
      <c r="L1570" s="60">
        <v>0</v>
      </c>
      <c r="M1570" s="60">
        <v>0</v>
      </c>
      <c r="N1570" s="60">
        <v>0</v>
      </c>
      <c r="O1570" s="60">
        <v>0</v>
      </c>
      <c r="P1570" s="60">
        <v>0</v>
      </c>
      <c r="Q1570" s="60">
        <v>0</v>
      </c>
      <c r="R1570" s="60">
        <v>0</v>
      </c>
      <c r="S1570" s="60">
        <v>0</v>
      </c>
      <c r="T1570" s="60">
        <v>0</v>
      </c>
      <c r="U1570" s="60">
        <v>0</v>
      </c>
      <c r="V1570" s="60">
        <v>0</v>
      </c>
      <c r="W1570" s="60">
        <v>0</v>
      </c>
      <c r="X1570" s="60">
        <v>0</v>
      </c>
      <c r="Y1570" s="60">
        <v>0</v>
      </c>
      <c r="Z1570" s="60">
        <v>0</v>
      </c>
      <c r="AA1570" s="60">
        <v>0</v>
      </c>
      <c r="AB1570" s="60">
        <v>0</v>
      </c>
      <c r="AC1570" s="60">
        <v>565.98</v>
      </c>
      <c r="AD1570" s="60">
        <v>596.73</v>
      </c>
      <c r="AE1570" s="60">
        <v>622.64</v>
      </c>
      <c r="AF1570" s="60">
        <v>0</v>
      </c>
      <c r="AG1570" s="60">
        <v>0</v>
      </c>
      <c r="AH1570" s="60">
        <v>0</v>
      </c>
      <c r="AI1570" s="60">
        <v>1023.16</v>
      </c>
      <c r="AJ1570" s="60">
        <v>1023.22</v>
      </c>
      <c r="AK1570" s="60">
        <v>1014.65</v>
      </c>
      <c r="AL1570" s="60">
        <v>0</v>
      </c>
      <c r="AM1570" s="60">
        <v>0</v>
      </c>
      <c r="AN1570" s="60">
        <v>0</v>
      </c>
      <c r="AO1570" s="60">
        <v>1023.16</v>
      </c>
      <c r="AP1570" s="60">
        <v>1023.22</v>
      </c>
      <c r="AQ1570" s="60">
        <v>1014.65</v>
      </c>
      <c r="AR1570" s="61">
        <v>1023.22</v>
      </c>
    </row>
    <row r="1571" spans="1:44" x14ac:dyDescent="0.35">
      <c r="A1571" s="49" t="str">
        <f t="shared" si="126"/>
        <v>55</v>
      </c>
      <c r="B1571" s="27">
        <v>72421</v>
      </c>
      <c r="C1571" s="25" t="str">
        <f t="shared" si="125"/>
        <v>0000000</v>
      </c>
      <c r="D1571" s="26" t="s">
        <v>3663</v>
      </c>
      <c r="E1571" s="25" t="s">
        <v>3432</v>
      </c>
      <c r="F1571" s="25" t="s">
        <v>3413</v>
      </c>
      <c r="G1571" s="59" t="s">
        <v>3433</v>
      </c>
      <c r="H1571" s="60">
        <v>225.56</v>
      </c>
      <c r="I1571" s="60">
        <v>234.54</v>
      </c>
      <c r="J1571" s="60">
        <v>221.46</v>
      </c>
      <c r="K1571" s="60">
        <v>0</v>
      </c>
      <c r="L1571" s="60">
        <v>0</v>
      </c>
      <c r="M1571" s="60">
        <v>0</v>
      </c>
      <c r="N1571" s="60">
        <v>0</v>
      </c>
      <c r="O1571" s="60">
        <v>0</v>
      </c>
      <c r="P1571" s="60">
        <v>0</v>
      </c>
      <c r="Q1571" s="60">
        <v>0</v>
      </c>
      <c r="R1571" s="60">
        <v>0</v>
      </c>
      <c r="S1571" s="60">
        <v>0</v>
      </c>
      <c r="T1571" s="60">
        <v>0</v>
      </c>
      <c r="U1571" s="60">
        <v>0</v>
      </c>
      <c r="V1571" s="60">
        <v>0</v>
      </c>
      <c r="W1571" s="60">
        <v>0</v>
      </c>
      <c r="X1571" s="60">
        <v>0</v>
      </c>
      <c r="Y1571" s="60">
        <v>0</v>
      </c>
      <c r="Z1571" s="60">
        <v>0</v>
      </c>
      <c r="AA1571" s="60">
        <v>0</v>
      </c>
      <c r="AB1571" s="60">
        <v>0</v>
      </c>
      <c r="AC1571" s="60">
        <v>0</v>
      </c>
      <c r="AD1571" s="60">
        <v>0</v>
      </c>
      <c r="AE1571" s="60">
        <v>0</v>
      </c>
      <c r="AF1571" s="60">
        <v>0</v>
      </c>
      <c r="AG1571" s="60">
        <v>0</v>
      </c>
      <c r="AH1571" s="60">
        <v>0</v>
      </c>
      <c r="AI1571" s="60">
        <v>225.56</v>
      </c>
      <c r="AJ1571" s="60">
        <v>234.54</v>
      </c>
      <c r="AK1571" s="60">
        <v>221.46</v>
      </c>
      <c r="AL1571" s="60">
        <v>0</v>
      </c>
      <c r="AM1571" s="60">
        <v>0</v>
      </c>
      <c r="AN1571" s="60">
        <v>0</v>
      </c>
      <c r="AO1571" s="60">
        <v>225.56</v>
      </c>
      <c r="AP1571" s="60">
        <v>234.54</v>
      </c>
      <c r="AQ1571" s="60">
        <v>221.46</v>
      </c>
      <c r="AR1571" s="61">
        <v>234.54</v>
      </c>
    </row>
    <row r="1572" spans="1:44" x14ac:dyDescent="0.35">
      <c r="A1572" s="49" t="str">
        <f t="shared" si="126"/>
        <v>55</v>
      </c>
      <c r="B1572" s="27">
        <v>75184</v>
      </c>
      <c r="C1572" s="25" t="str">
        <f t="shared" si="125"/>
        <v>0000000</v>
      </c>
      <c r="D1572" s="26" t="s">
        <v>3663</v>
      </c>
      <c r="E1572" s="25" t="s">
        <v>3434</v>
      </c>
      <c r="F1572" s="25" t="s">
        <v>3413</v>
      </c>
      <c r="G1572" s="59" t="s">
        <v>3435</v>
      </c>
      <c r="H1572" s="60">
        <v>239.18</v>
      </c>
      <c r="I1572" s="60">
        <v>239.28</v>
      </c>
      <c r="J1572" s="60">
        <v>251.21</v>
      </c>
      <c r="K1572" s="60">
        <v>0</v>
      </c>
      <c r="L1572" s="60">
        <v>0</v>
      </c>
      <c r="M1572" s="60">
        <v>0</v>
      </c>
      <c r="N1572" s="60">
        <v>0</v>
      </c>
      <c r="O1572" s="60">
        <v>0</v>
      </c>
      <c r="P1572" s="60">
        <v>0</v>
      </c>
      <c r="Q1572" s="60">
        <v>0</v>
      </c>
      <c r="R1572" s="60">
        <v>0</v>
      </c>
      <c r="S1572" s="60">
        <v>0</v>
      </c>
      <c r="T1572" s="60">
        <v>0</v>
      </c>
      <c r="U1572" s="60">
        <v>0</v>
      </c>
      <c r="V1572" s="60">
        <v>0</v>
      </c>
      <c r="W1572" s="60">
        <v>0</v>
      </c>
      <c r="X1572" s="60">
        <v>0</v>
      </c>
      <c r="Y1572" s="60">
        <v>0</v>
      </c>
      <c r="Z1572" s="60">
        <v>0</v>
      </c>
      <c r="AA1572" s="60">
        <v>0</v>
      </c>
      <c r="AB1572" s="60">
        <v>0</v>
      </c>
      <c r="AC1572" s="60">
        <v>0</v>
      </c>
      <c r="AD1572" s="60">
        <v>0</v>
      </c>
      <c r="AE1572" s="60">
        <v>0</v>
      </c>
      <c r="AF1572" s="60">
        <v>0</v>
      </c>
      <c r="AG1572" s="60">
        <v>0</v>
      </c>
      <c r="AH1572" s="60">
        <v>0</v>
      </c>
      <c r="AI1572" s="60">
        <v>239.18</v>
      </c>
      <c r="AJ1572" s="60">
        <v>239.28</v>
      </c>
      <c r="AK1572" s="60">
        <v>251.21</v>
      </c>
      <c r="AL1572" s="60">
        <v>0</v>
      </c>
      <c r="AM1572" s="60">
        <v>0</v>
      </c>
      <c r="AN1572" s="60">
        <v>0</v>
      </c>
      <c r="AO1572" s="60">
        <v>239.18</v>
      </c>
      <c r="AP1572" s="60">
        <v>239.28</v>
      </c>
      <c r="AQ1572" s="60">
        <v>251.21</v>
      </c>
      <c r="AR1572" s="61">
        <v>251.21</v>
      </c>
    </row>
    <row r="1573" spans="1:44" x14ac:dyDescent="0.35">
      <c r="A1573" s="49" t="str">
        <f t="shared" ref="A1573:A1596" si="127">TEXT(12,"00")</f>
        <v>12</v>
      </c>
      <c r="B1573" s="27">
        <v>10124</v>
      </c>
      <c r="C1573" s="25" t="str">
        <f t="shared" si="125"/>
        <v>0000000</v>
      </c>
      <c r="D1573" s="26" t="s">
        <v>3663</v>
      </c>
      <c r="E1573" s="25" t="s">
        <v>338</v>
      </c>
      <c r="F1573" s="25" t="s">
        <v>339</v>
      </c>
      <c r="G1573" s="59" t="s">
        <v>339</v>
      </c>
      <c r="H1573" s="60">
        <v>0</v>
      </c>
      <c r="I1573" s="60">
        <v>0</v>
      </c>
      <c r="J1573" s="60">
        <v>0</v>
      </c>
      <c r="K1573" s="60">
        <v>0</v>
      </c>
      <c r="L1573" s="60">
        <v>0</v>
      </c>
      <c r="M1573" s="60">
        <v>0</v>
      </c>
      <c r="N1573" s="60">
        <v>0</v>
      </c>
      <c r="O1573" s="60">
        <v>0</v>
      </c>
      <c r="P1573" s="60">
        <v>0</v>
      </c>
      <c r="Q1573" s="60">
        <v>0</v>
      </c>
      <c r="R1573" s="60">
        <v>0</v>
      </c>
      <c r="S1573" s="60">
        <v>0</v>
      </c>
      <c r="T1573" s="60">
        <v>35.32</v>
      </c>
      <c r="U1573" s="60">
        <v>114.49</v>
      </c>
      <c r="V1573" s="60">
        <v>107.32</v>
      </c>
      <c r="W1573" s="60">
        <v>220.08</v>
      </c>
      <c r="X1573" s="60">
        <v>148.78</v>
      </c>
      <c r="Y1573" s="60">
        <v>149.38999999999999</v>
      </c>
      <c r="Z1573" s="60">
        <v>0</v>
      </c>
      <c r="AA1573" s="60">
        <v>0</v>
      </c>
      <c r="AB1573" s="60">
        <v>0</v>
      </c>
      <c r="AC1573" s="60">
        <v>0</v>
      </c>
      <c r="AD1573" s="60">
        <v>0</v>
      </c>
      <c r="AE1573" s="60">
        <v>0</v>
      </c>
      <c r="AF1573" s="60">
        <v>0</v>
      </c>
      <c r="AG1573" s="60">
        <v>0</v>
      </c>
      <c r="AH1573" s="60">
        <v>0</v>
      </c>
      <c r="AI1573" s="60">
        <v>255.4</v>
      </c>
      <c r="AJ1573" s="60">
        <v>263.27</v>
      </c>
      <c r="AK1573" s="60">
        <v>256.70999999999998</v>
      </c>
      <c r="AL1573" s="60">
        <v>0</v>
      </c>
      <c r="AM1573" s="60">
        <v>0</v>
      </c>
      <c r="AN1573" s="60">
        <v>0</v>
      </c>
      <c r="AO1573" s="60">
        <v>255.4</v>
      </c>
      <c r="AP1573" s="60">
        <v>263.27</v>
      </c>
      <c r="AQ1573" s="60">
        <v>256.70999999999998</v>
      </c>
      <c r="AR1573" s="61">
        <v>263.27</v>
      </c>
    </row>
    <row r="1574" spans="1:44" x14ac:dyDescent="0.35">
      <c r="A1574" s="49" t="str">
        <f t="shared" si="127"/>
        <v>12</v>
      </c>
      <c r="B1574" s="27">
        <v>62679</v>
      </c>
      <c r="C1574" s="25" t="str">
        <f t="shared" si="125"/>
        <v>0000000</v>
      </c>
      <c r="D1574" s="26" t="s">
        <v>3663</v>
      </c>
      <c r="E1574" s="25" t="s">
        <v>524</v>
      </c>
      <c r="F1574" s="25" t="s">
        <v>339</v>
      </c>
      <c r="G1574" s="59" t="s">
        <v>525</v>
      </c>
      <c r="H1574" s="60">
        <v>452.02</v>
      </c>
      <c r="I1574" s="60">
        <v>443.87</v>
      </c>
      <c r="J1574" s="60">
        <v>427.05</v>
      </c>
      <c r="K1574" s="60">
        <v>0</v>
      </c>
      <c r="L1574" s="60">
        <v>0</v>
      </c>
      <c r="M1574" s="60">
        <v>0</v>
      </c>
      <c r="N1574" s="60">
        <v>0</v>
      </c>
      <c r="O1574" s="60">
        <v>0</v>
      </c>
      <c r="P1574" s="60">
        <v>0</v>
      </c>
      <c r="Q1574" s="60">
        <v>0</v>
      </c>
      <c r="R1574" s="60">
        <v>0</v>
      </c>
      <c r="S1574" s="60">
        <v>0</v>
      </c>
      <c r="T1574" s="60">
        <v>0</v>
      </c>
      <c r="U1574" s="60">
        <v>0</v>
      </c>
      <c r="V1574" s="60">
        <v>0</v>
      </c>
      <c r="W1574" s="60">
        <v>0</v>
      </c>
      <c r="X1574" s="60">
        <v>0</v>
      </c>
      <c r="Y1574" s="60">
        <v>0</v>
      </c>
      <c r="Z1574" s="60">
        <v>0</v>
      </c>
      <c r="AA1574" s="60">
        <v>0</v>
      </c>
      <c r="AB1574" s="60">
        <v>0</v>
      </c>
      <c r="AC1574" s="60">
        <v>605.48</v>
      </c>
      <c r="AD1574" s="60">
        <v>592.59</v>
      </c>
      <c r="AE1574" s="60">
        <v>606.76</v>
      </c>
      <c r="AF1574" s="60">
        <v>0</v>
      </c>
      <c r="AG1574" s="60">
        <v>0</v>
      </c>
      <c r="AH1574" s="60">
        <v>0</v>
      </c>
      <c r="AI1574" s="60">
        <v>1057.5</v>
      </c>
      <c r="AJ1574" s="60">
        <v>1036.46</v>
      </c>
      <c r="AK1574" s="60">
        <v>1033.81</v>
      </c>
      <c r="AL1574" s="60">
        <v>0</v>
      </c>
      <c r="AM1574" s="60">
        <v>0</v>
      </c>
      <c r="AN1574" s="60">
        <v>0</v>
      </c>
      <c r="AO1574" s="60">
        <v>1057.5</v>
      </c>
      <c r="AP1574" s="60">
        <v>1036.46</v>
      </c>
      <c r="AQ1574" s="60">
        <v>1033.81</v>
      </c>
      <c r="AR1574" s="61">
        <v>1057.5</v>
      </c>
    </row>
    <row r="1575" spans="1:44" x14ac:dyDescent="0.35">
      <c r="A1575" s="49" t="str">
        <f t="shared" si="127"/>
        <v>12</v>
      </c>
      <c r="B1575" s="27">
        <v>62695</v>
      </c>
      <c r="C1575" s="25" t="str">
        <f t="shared" si="125"/>
        <v>0000000</v>
      </c>
      <c r="D1575" s="26" t="s">
        <v>3663</v>
      </c>
      <c r="E1575" s="25" t="s">
        <v>528</v>
      </c>
      <c r="F1575" s="25" t="s">
        <v>339</v>
      </c>
      <c r="G1575" s="59" t="s">
        <v>529</v>
      </c>
      <c r="H1575" s="60">
        <v>17.28</v>
      </c>
      <c r="I1575" s="60">
        <v>13.39</v>
      </c>
      <c r="J1575" s="60">
        <v>15.82</v>
      </c>
      <c r="K1575" s="60">
        <v>0</v>
      </c>
      <c r="L1575" s="60">
        <v>0</v>
      </c>
      <c r="M1575" s="60">
        <v>0</v>
      </c>
      <c r="N1575" s="60">
        <v>0</v>
      </c>
      <c r="O1575" s="60">
        <v>0</v>
      </c>
      <c r="P1575" s="60">
        <v>0</v>
      </c>
      <c r="Q1575" s="60">
        <v>0</v>
      </c>
      <c r="R1575" s="60">
        <v>0</v>
      </c>
      <c r="S1575" s="60">
        <v>0</v>
      </c>
      <c r="T1575" s="60">
        <v>0</v>
      </c>
      <c r="U1575" s="60">
        <v>0</v>
      </c>
      <c r="V1575" s="60">
        <v>0</v>
      </c>
      <c r="W1575" s="60">
        <v>0</v>
      </c>
      <c r="X1575" s="60">
        <v>0</v>
      </c>
      <c r="Y1575" s="60">
        <v>0</v>
      </c>
      <c r="Z1575" s="60">
        <v>0</v>
      </c>
      <c r="AA1575" s="60">
        <v>0</v>
      </c>
      <c r="AB1575" s="60">
        <v>0</v>
      </c>
      <c r="AC1575" s="60">
        <v>0</v>
      </c>
      <c r="AD1575" s="60">
        <v>0</v>
      </c>
      <c r="AE1575" s="60">
        <v>0</v>
      </c>
      <c r="AF1575" s="60">
        <v>0</v>
      </c>
      <c r="AG1575" s="60">
        <v>0</v>
      </c>
      <c r="AH1575" s="60">
        <v>0</v>
      </c>
      <c r="AI1575" s="60">
        <v>17.28</v>
      </c>
      <c r="AJ1575" s="60">
        <v>13.39</v>
      </c>
      <c r="AK1575" s="60">
        <v>15.82</v>
      </c>
      <c r="AL1575" s="60">
        <v>0</v>
      </c>
      <c r="AM1575" s="60">
        <v>0</v>
      </c>
      <c r="AN1575" s="60">
        <v>0</v>
      </c>
      <c r="AO1575" s="60">
        <v>17.28</v>
      </c>
      <c r="AP1575" s="60">
        <v>13.39</v>
      </c>
      <c r="AQ1575" s="60">
        <v>15.82</v>
      </c>
      <c r="AR1575" s="61">
        <v>17.28</v>
      </c>
    </row>
    <row r="1576" spans="1:44" x14ac:dyDescent="0.35">
      <c r="A1576" s="49" t="str">
        <f t="shared" si="127"/>
        <v>12</v>
      </c>
      <c r="B1576" s="27">
        <v>62703</v>
      </c>
      <c r="C1576" s="25" t="str">
        <f t="shared" si="125"/>
        <v>0000000</v>
      </c>
      <c r="D1576" s="26" t="s">
        <v>3663</v>
      </c>
      <c r="E1576" s="25" t="s">
        <v>530</v>
      </c>
      <c r="F1576" s="25" t="s">
        <v>339</v>
      </c>
      <c r="G1576" s="59" t="s">
        <v>531</v>
      </c>
      <c r="H1576" s="60">
        <v>143.32</v>
      </c>
      <c r="I1576" s="60">
        <v>159.30000000000001</v>
      </c>
      <c r="J1576" s="60">
        <v>164.01</v>
      </c>
      <c r="K1576" s="60">
        <v>0</v>
      </c>
      <c r="L1576" s="60">
        <v>0</v>
      </c>
      <c r="M1576" s="60">
        <v>0</v>
      </c>
      <c r="N1576" s="60">
        <v>0</v>
      </c>
      <c r="O1576" s="60">
        <v>0</v>
      </c>
      <c r="P1576" s="60">
        <v>0</v>
      </c>
      <c r="Q1576" s="60">
        <v>0</v>
      </c>
      <c r="R1576" s="60">
        <v>0</v>
      </c>
      <c r="S1576" s="60">
        <v>0</v>
      </c>
      <c r="T1576" s="60">
        <v>0</v>
      </c>
      <c r="U1576" s="60">
        <v>0</v>
      </c>
      <c r="V1576" s="60">
        <v>0</v>
      </c>
      <c r="W1576" s="60">
        <v>0</v>
      </c>
      <c r="X1576" s="60">
        <v>0</v>
      </c>
      <c r="Y1576" s="60">
        <v>0</v>
      </c>
      <c r="Z1576" s="60">
        <v>0</v>
      </c>
      <c r="AA1576" s="60">
        <v>0</v>
      </c>
      <c r="AB1576" s="60">
        <v>0</v>
      </c>
      <c r="AC1576" s="60">
        <v>0</v>
      </c>
      <c r="AD1576" s="60">
        <v>0</v>
      </c>
      <c r="AE1576" s="60">
        <v>0</v>
      </c>
      <c r="AF1576" s="60">
        <v>0</v>
      </c>
      <c r="AG1576" s="60">
        <v>0</v>
      </c>
      <c r="AH1576" s="60">
        <v>0</v>
      </c>
      <c r="AI1576" s="60">
        <v>143.32</v>
      </c>
      <c r="AJ1576" s="60">
        <v>159.30000000000001</v>
      </c>
      <c r="AK1576" s="60">
        <v>164.01</v>
      </c>
      <c r="AL1576" s="60">
        <v>0</v>
      </c>
      <c r="AM1576" s="60">
        <v>0</v>
      </c>
      <c r="AN1576" s="60">
        <v>0</v>
      </c>
      <c r="AO1576" s="60">
        <v>143.32</v>
      </c>
      <c r="AP1576" s="60">
        <v>159.30000000000001</v>
      </c>
      <c r="AQ1576" s="60">
        <v>164.01</v>
      </c>
      <c r="AR1576" s="61">
        <v>164.01</v>
      </c>
    </row>
    <row r="1577" spans="1:44" x14ac:dyDescent="0.35">
      <c r="A1577" s="49" t="str">
        <f t="shared" si="127"/>
        <v>12</v>
      </c>
      <c r="B1577" s="27">
        <v>62737</v>
      </c>
      <c r="C1577" s="25" t="str">
        <f t="shared" si="125"/>
        <v>0000000</v>
      </c>
      <c r="D1577" s="26" t="s">
        <v>3663</v>
      </c>
      <c r="E1577" s="25" t="s">
        <v>534</v>
      </c>
      <c r="F1577" s="25" t="s">
        <v>339</v>
      </c>
      <c r="G1577" s="59" t="s">
        <v>535</v>
      </c>
      <c r="H1577" s="60">
        <v>148.41</v>
      </c>
      <c r="I1577" s="60">
        <v>145.88</v>
      </c>
      <c r="J1577" s="60">
        <v>136.49</v>
      </c>
      <c r="K1577" s="60">
        <v>0</v>
      </c>
      <c r="L1577" s="60">
        <v>0</v>
      </c>
      <c r="M1577" s="60">
        <v>0</v>
      </c>
      <c r="N1577" s="60">
        <v>0</v>
      </c>
      <c r="O1577" s="60">
        <v>0</v>
      </c>
      <c r="P1577" s="60">
        <v>0</v>
      </c>
      <c r="Q1577" s="60">
        <v>0</v>
      </c>
      <c r="R1577" s="60">
        <v>0</v>
      </c>
      <c r="S1577" s="60">
        <v>0</v>
      </c>
      <c r="T1577" s="60">
        <v>0</v>
      </c>
      <c r="U1577" s="60">
        <v>0</v>
      </c>
      <c r="V1577" s="60">
        <v>0</v>
      </c>
      <c r="W1577" s="60">
        <v>0</v>
      </c>
      <c r="X1577" s="60">
        <v>0</v>
      </c>
      <c r="Y1577" s="60">
        <v>0</v>
      </c>
      <c r="Z1577" s="60">
        <v>0</v>
      </c>
      <c r="AA1577" s="60">
        <v>0</v>
      </c>
      <c r="AB1577" s="60">
        <v>0</v>
      </c>
      <c r="AC1577" s="60">
        <v>0</v>
      </c>
      <c r="AD1577" s="60">
        <v>0</v>
      </c>
      <c r="AE1577" s="60">
        <v>0</v>
      </c>
      <c r="AF1577" s="60">
        <v>0</v>
      </c>
      <c r="AG1577" s="60">
        <v>0</v>
      </c>
      <c r="AH1577" s="60">
        <v>0</v>
      </c>
      <c r="AI1577" s="60">
        <v>148.41</v>
      </c>
      <c r="AJ1577" s="60">
        <v>145.88</v>
      </c>
      <c r="AK1577" s="60">
        <v>136.49</v>
      </c>
      <c r="AL1577" s="60">
        <v>0</v>
      </c>
      <c r="AM1577" s="60">
        <v>0</v>
      </c>
      <c r="AN1577" s="60">
        <v>0</v>
      </c>
      <c r="AO1577" s="60">
        <v>148.41</v>
      </c>
      <c r="AP1577" s="60">
        <v>145.88</v>
      </c>
      <c r="AQ1577" s="60">
        <v>136.49</v>
      </c>
      <c r="AR1577" s="61">
        <v>148.41</v>
      </c>
    </row>
    <row r="1578" spans="1:44" x14ac:dyDescent="0.35">
      <c r="A1578" s="49" t="str">
        <f t="shared" si="127"/>
        <v>12</v>
      </c>
      <c r="B1578" s="27">
        <v>62745</v>
      </c>
      <c r="C1578" s="25" t="str">
        <f t="shared" si="125"/>
        <v>0000000</v>
      </c>
      <c r="D1578" s="26" t="s">
        <v>3663</v>
      </c>
      <c r="E1578" s="25" t="s">
        <v>536</v>
      </c>
      <c r="F1578" s="25" t="s">
        <v>339</v>
      </c>
      <c r="G1578" s="59" t="s">
        <v>537</v>
      </c>
      <c r="H1578" s="60">
        <v>528.20000000000005</v>
      </c>
      <c r="I1578" s="60">
        <v>524.45000000000005</v>
      </c>
      <c r="J1578" s="60">
        <v>529.23</v>
      </c>
      <c r="K1578" s="60">
        <v>0</v>
      </c>
      <c r="L1578" s="60">
        <v>0</v>
      </c>
      <c r="M1578" s="60">
        <v>0</v>
      </c>
      <c r="N1578" s="60">
        <v>0</v>
      </c>
      <c r="O1578" s="60">
        <v>0</v>
      </c>
      <c r="P1578" s="60">
        <v>0</v>
      </c>
      <c r="Q1578" s="60">
        <v>0</v>
      </c>
      <c r="R1578" s="60">
        <v>0</v>
      </c>
      <c r="S1578" s="60">
        <v>0</v>
      </c>
      <c r="T1578" s="60">
        <v>0</v>
      </c>
      <c r="U1578" s="60">
        <v>0</v>
      </c>
      <c r="V1578" s="60">
        <v>0</v>
      </c>
      <c r="W1578" s="60">
        <v>0</v>
      </c>
      <c r="X1578" s="60">
        <v>0</v>
      </c>
      <c r="Y1578" s="60">
        <v>0</v>
      </c>
      <c r="Z1578" s="60">
        <v>0</v>
      </c>
      <c r="AA1578" s="60">
        <v>0</v>
      </c>
      <c r="AB1578" s="60">
        <v>0</v>
      </c>
      <c r="AC1578" s="60">
        <v>0</v>
      </c>
      <c r="AD1578" s="60">
        <v>0</v>
      </c>
      <c r="AE1578" s="60">
        <v>0</v>
      </c>
      <c r="AF1578" s="60">
        <v>0</v>
      </c>
      <c r="AG1578" s="60">
        <v>0</v>
      </c>
      <c r="AH1578" s="60">
        <v>0</v>
      </c>
      <c r="AI1578" s="60">
        <v>528.20000000000005</v>
      </c>
      <c r="AJ1578" s="60">
        <v>524.45000000000005</v>
      </c>
      <c r="AK1578" s="60">
        <v>529.23</v>
      </c>
      <c r="AL1578" s="60">
        <v>0</v>
      </c>
      <c r="AM1578" s="60">
        <v>0</v>
      </c>
      <c r="AN1578" s="60">
        <v>0</v>
      </c>
      <c r="AO1578" s="60">
        <v>528.20000000000005</v>
      </c>
      <c r="AP1578" s="60">
        <v>524.45000000000005</v>
      </c>
      <c r="AQ1578" s="60">
        <v>529.23</v>
      </c>
      <c r="AR1578" s="61">
        <v>529.23</v>
      </c>
    </row>
    <row r="1579" spans="1:44" x14ac:dyDescent="0.35">
      <c r="A1579" s="49" t="str">
        <f t="shared" si="127"/>
        <v>12</v>
      </c>
      <c r="B1579" s="27">
        <v>62794</v>
      </c>
      <c r="C1579" s="25" t="str">
        <f t="shared" si="125"/>
        <v>0000000</v>
      </c>
      <c r="D1579" s="26" t="s">
        <v>3663</v>
      </c>
      <c r="E1579" s="25" t="s">
        <v>538</v>
      </c>
      <c r="F1579" s="25" t="s">
        <v>339</v>
      </c>
      <c r="G1579" s="59" t="s">
        <v>539</v>
      </c>
      <c r="H1579" s="60">
        <v>100.48</v>
      </c>
      <c r="I1579" s="60">
        <v>100.48</v>
      </c>
      <c r="J1579" s="60">
        <v>106.44</v>
      </c>
      <c r="K1579" s="60">
        <v>0</v>
      </c>
      <c r="L1579" s="60">
        <v>0</v>
      </c>
      <c r="M1579" s="60">
        <v>0</v>
      </c>
      <c r="N1579" s="60">
        <v>0</v>
      </c>
      <c r="O1579" s="60">
        <v>0</v>
      </c>
      <c r="P1579" s="60">
        <v>0</v>
      </c>
      <c r="Q1579" s="60">
        <v>0</v>
      </c>
      <c r="R1579" s="60">
        <v>0</v>
      </c>
      <c r="S1579" s="60">
        <v>0</v>
      </c>
      <c r="T1579" s="60">
        <v>0</v>
      </c>
      <c r="U1579" s="60">
        <v>0</v>
      </c>
      <c r="V1579" s="60">
        <v>0</v>
      </c>
      <c r="W1579" s="60">
        <v>0</v>
      </c>
      <c r="X1579" s="60">
        <v>0</v>
      </c>
      <c r="Y1579" s="60">
        <v>0</v>
      </c>
      <c r="Z1579" s="60">
        <v>0</v>
      </c>
      <c r="AA1579" s="60">
        <v>0</v>
      </c>
      <c r="AB1579" s="60">
        <v>0</v>
      </c>
      <c r="AC1579" s="60">
        <v>0</v>
      </c>
      <c r="AD1579" s="60">
        <v>0</v>
      </c>
      <c r="AE1579" s="60">
        <v>0</v>
      </c>
      <c r="AF1579" s="60">
        <v>0</v>
      </c>
      <c r="AG1579" s="60">
        <v>0</v>
      </c>
      <c r="AH1579" s="60">
        <v>0</v>
      </c>
      <c r="AI1579" s="60">
        <v>100.48</v>
      </c>
      <c r="AJ1579" s="60">
        <v>100.48</v>
      </c>
      <c r="AK1579" s="60">
        <v>106.44</v>
      </c>
      <c r="AL1579" s="60">
        <v>0</v>
      </c>
      <c r="AM1579" s="60">
        <v>0</v>
      </c>
      <c r="AN1579" s="60">
        <v>0</v>
      </c>
      <c r="AO1579" s="60">
        <v>100.48</v>
      </c>
      <c r="AP1579" s="60">
        <v>100.48</v>
      </c>
      <c r="AQ1579" s="60">
        <v>106.44</v>
      </c>
      <c r="AR1579" s="61">
        <v>106.44</v>
      </c>
    </row>
    <row r="1580" spans="1:44" x14ac:dyDescent="0.35">
      <c r="A1580" s="49" t="str">
        <f t="shared" si="127"/>
        <v>12</v>
      </c>
      <c r="B1580" s="27">
        <v>62810</v>
      </c>
      <c r="C1580" s="25" t="str">
        <f t="shared" si="125"/>
        <v>0000000</v>
      </c>
      <c r="D1580" s="26" t="s">
        <v>3663</v>
      </c>
      <c r="E1580" s="25" t="s">
        <v>540</v>
      </c>
      <c r="F1580" s="25" t="s">
        <v>339</v>
      </c>
      <c r="G1580" s="59" t="s">
        <v>541</v>
      </c>
      <c r="H1580" s="60">
        <v>980.96</v>
      </c>
      <c r="I1580" s="60">
        <v>965.49</v>
      </c>
      <c r="J1580" s="60">
        <v>964.6</v>
      </c>
      <c r="K1580" s="60">
        <v>0</v>
      </c>
      <c r="L1580" s="60">
        <v>0</v>
      </c>
      <c r="M1580" s="60">
        <v>0</v>
      </c>
      <c r="N1580" s="60">
        <v>0</v>
      </c>
      <c r="O1580" s="60">
        <v>0</v>
      </c>
      <c r="P1580" s="60">
        <v>0</v>
      </c>
      <c r="Q1580" s="60">
        <v>0</v>
      </c>
      <c r="R1580" s="60">
        <v>0</v>
      </c>
      <c r="S1580" s="60">
        <v>0</v>
      </c>
      <c r="T1580" s="60">
        <v>0</v>
      </c>
      <c r="U1580" s="60">
        <v>0</v>
      </c>
      <c r="V1580" s="60">
        <v>0</v>
      </c>
      <c r="W1580" s="60">
        <v>0</v>
      </c>
      <c r="X1580" s="60">
        <v>0</v>
      </c>
      <c r="Y1580" s="60">
        <v>0</v>
      </c>
      <c r="Z1580" s="60">
        <v>0</v>
      </c>
      <c r="AA1580" s="60">
        <v>0</v>
      </c>
      <c r="AB1580" s="60">
        <v>0</v>
      </c>
      <c r="AC1580" s="60">
        <v>0</v>
      </c>
      <c r="AD1580" s="60">
        <v>0</v>
      </c>
      <c r="AE1580" s="60">
        <v>0</v>
      </c>
      <c r="AF1580" s="60">
        <v>0</v>
      </c>
      <c r="AG1580" s="60">
        <v>0</v>
      </c>
      <c r="AH1580" s="60">
        <v>0</v>
      </c>
      <c r="AI1580" s="60">
        <v>980.96</v>
      </c>
      <c r="AJ1580" s="60">
        <v>965.49</v>
      </c>
      <c r="AK1580" s="60">
        <v>964.6</v>
      </c>
      <c r="AL1580" s="60">
        <v>0</v>
      </c>
      <c r="AM1580" s="60">
        <v>0</v>
      </c>
      <c r="AN1580" s="60">
        <v>0</v>
      </c>
      <c r="AO1580" s="60">
        <v>980.96</v>
      </c>
      <c r="AP1580" s="60">
        <v>965.49</v>
      </c>
      <c r="AQ1580" s="60">
        <v>964.6</v>
      </c>
      <c r="AR1580" s="61">
        <v>980.96</v>
      </c>
    </row>
    <row r="1581" spans="1:44" x14ac:dyDescent="0.35">
      <c r="A1581" s="49" t="str">
        <f t="shared" si="127"/>
        <v>12</v>
      </c>
      <c r="B1581" s="27">
        <v>62828</v>
      </c>
      <c r="C1581" s="25" t="str">
        <f t="shared" si="125"/>
        <v>0000000</v>
      </c>
      <c r="D1581" s="26" t="s">
        <v>3663</v>
      </c>
      <c r="E1581" s="25" t="s">
        <v>542</v>
      </c>
      <c r="F1581" s="25" t="s">
        <v>339</v>
      </c>
      <c r="G1581" s="59" t="s">
        <v>543</v>
      </c>
      <c r="H1581" s="60">
        <v>247.7</v>
      </c>
      <c r="I1581" s="60">
        <v>243.87</v>
      </c>
      <c r="J1581" s="60">
        <v>239.47</v>
      </c>
      <c r="K1581" s="60">
        <v>0</v>
      </c>
      <c r="L1581" s="60">
        <v>0</v>
      </c>
      <c r="M1581" s="60">
        <v>0</v>
      </c>
      <c r="N1581" s="60">
        <v>0</v>
      </c>
      <c r="O1581" s="60">
        <v>0</v>
      </c>
      <c r="P1581" s="60">
        <v>0</v>
      </c>
      <c r="Q1581" s="60">
        <v>0</v>
      </c>
      <c r="R1581" s="60">
        <v>0</v>
      </c>
      <c r="S1581" s="60">
        <v>0</v>
      </c>
      <c r="T1581" s="60">
        <v>0</v>
      </c>
      <c r="U1581" s="60">
        <v>0</v>
      </c>
      <c r="V1581" s="60">
        <v>0</v>
      </c>
      <c r="W1581" s="60">
        <v>0</v>
      </c>
      <c r="X1581" s="60">
        <v>0</v>
      </c>
      <c r="Y1581" s="60">
        <v>0</v>
      </c>
      <c r="Z1581" s="60">
        <v>0</v>
      </c>
      <c r="AA1581" s="60">
        <v>0</v>
      </c>
      <c r="AB1581" s="60">
        <v>0</v>
      </c>
      <c r="AC1581" s="60">
        <v>45</v>
      </c>
      <c r="AD1581" s="60">
        <v>45.51</v>
      </c>
      <c r="AE1581" s="60">
        <v>44.17</v>
      </c>
      <c r="AF1581" s="60">
        <v>0</v>
      </c>
      <c r="AG1581" s="60">
        <v>0</v>
      </c>
      <c r="AH1581" s="60">
        <v>0</v>
      </c>
      <c r="AI1581" s="60">
        <v>292.7</v>
      </c>
      <c r="AJ1581" s="60">
        <v>289.38</v>
      </c>
      <c r="AK1581" s="60">
        <v>283.64</v>
      </c>
      <c r="AL1581" s="60">
        <v>0</v>
      </c>
      <c r="AM1581" s="60">
        <v>0</v>
      </c>
      <c r="AN1581" s="60">
        <v>0</v>
      </c>
      <c r="AO1581" s="60">
        <v>292.7</v>
      </c>
      <c r="AP1581" s="60">
        <v>289.38</v>
      </c>
      <c r="AQ1581" s="60">
        <v>283.64</v>
      </c>
      <c r="AR1581" s="61">
        <v>292.7</v>
      </c>
    </row>
    <row r="1582" spans="1:44" x14ac:dyDescent="0.35">
      <c r="A1582" s="49" t="str">
        <f t="shared" si="127"/>
        <v>12</v>
      </c>
      <c r="B1582" s="27">
        <v>62836</v>
      </c>
      <c r="C1582" s="25" t="str">
        <f t="shared" si="125"/>
        <v>0000000</v>
      </c>
      <c r="D1582" s="26" t="s">
        <v>3663</v>
      </c>
      <c r="E1582" s="25" t="s">
        <v>544</v>
      </c>
      <c r="F1582" s="25" t="s">
        <v>339</v>
      </c>
      <c r="G1582" s="59" t="s">
        <v>545</v>
      </c>
      <c r="H1582" s="60">
        <v>63.64</v>
      </c>
      <c r="I1582" s="60">
        <v>65.81</v>
      </c>
      <c r="J1582" s="60">
        <v>60.71</v>
      </c>
      <c r="K1582" s="60">
        <v>0</v>
      </c>
      <c r="L1582" s="60">
        <v>0</v>
      </c>
      <c r="M1582" s="60">
        <v>0</v>
      </c>
      <c r="N1582" s="60">
        <v>0</v>
      </c>
      <c r="O1582" s="60">
        <v>0</v>
      </c>
      <c r="P1582" s="60">
        <v>0</v>
      </c>
      <c r="Q1582" s="60">
        <v>0</v>
      </c>
      <c r="R1582" s="60">
        <v>0</v>
      </c>
      <c r="S1582" s="60">
        <v>0</v>
      </c>
      <c r="T1582" s="60">
        <v>0</v>
      </c>
      <c r="U1582" s="60">
        <v>0</v>
      </c>
      <c r="V1582" s="60">
        <v>0</v>
      </c>
      <c r="W1582" s="60">
        <v>0</v>
      </c>
      <c r="X1582" s="60">
        <v>0</v>
      </c>
      <c r="Y1582" s="60">
        <v>0</v>
      </c>
      <c r="Z1582" s="60">
        <v>0</v>
      </c>
      <c r="AA1582" s="60">
        <v>0</v>
      </c>
      <c r="AB1582" s="60">
        <v>0</v>
      </c>
      <c r="AC1582" s="60">
        <v>0</v>
      </c>
      <c r="AD1582" s="60">
        <v>0</v>
      </c>
      <c r="AE1582" s="60">
        <v>0</v>
      </c>
      <c r="AF1582" s="60">
        <v>0</v>
      </c>
      <c r="AG1582" s="60">
        <v>0</v>
      </c>
      <c r="AH1582" s="60">
        <v>0</v>
      </c>
      <c r="AI1582" s="60">
        <v>63.64</v>
      </c>
      <c r="AJ1582" s="60">
        <v>65.81</v>
      </c>
      <c r="AK1582" s="60">
        <v>60.71</v>
      </c>
      <c r="AL1582" s="60">
        <v>0</v>
      </c>
      <c r="AM1582" s="60">
        <v>0</v>
      </c>
      <c r="AN1582" s="60">
        <v>0</v>
      </c>
      <c r="AO1582" s="60">
        <v>63.64</v>
      </c>
      <c r="AP1582" s="60">
        <v>65.81</v>
      </c>
      <c r="AQ1582" s="60">
        <v>60.71</v>
      </c>
      <c r="AR1582" s="61">
        <v>65.81</v>
      </c>
    </row>
    <row r="1583" spans="1:44" x14ac:dyDescent="0.35">
      <c r="A1583" s="49" t="str">
        <f t="shared" si="127"/>
        <v>12</v>
      </c>
      <c r="B1583" s="27">
        <v>62885</v>
      </c>
      <c r="C1583" s="25" t="str">
        <f t="shared" si="125"/>
        <v>0000000</v>
      </c>
      <c r="D1583" s="26" t="s">
        <v>3663</v>
      </c>
      <c r="E1583" s="25" t="s">
        <v>548</v>
      </c>
      <c r="F1583" s="25" t="s">
        <v>339</v>
      </c>
      <c r="G1583" s="59" t="s">
        <v>549</v>
      </c>
      <c r="H1583" s="60">
        <v>212.03</v>
      </c>
      <c r="I1583" s="60">
        <v>200.24</v>
      </c>
      <c r="J1583" s="60">
        <v>177.36</v>
      </c>
      <c r="K1583" s="60">
        <v>0</v>
      </c>
      <c r="L1583" s="60">
        <v>0</v>
      </c>
      <c r="M1583" s="60">
        <v>0</v>
      </c>
      <c r="N1583" s="60">
        <v>0</v>
      </c>
      <c r="O1583" s="60">
        <v>0</v>
      </c>
      <c r="P1583" s="60">
        <v>0</v>
      </c>
      <c r="Q1583" s="60">
        <v>0</v>
      </c>
      <c r="R1583" s="60">
        <v>0</v>
      </c>
      <c r="S1583" s="60">
        <v>0</v>
      </c>
      <c r="T1583" s="60">
        <v>0</v>
      </c>
      <c r="U1583" s="60">
        <v>0</v>
      </c>
      <c r="V1583" s="60">
        <v>0</v>
      </c>
      <c r="W1583" s="60">
        <v>0</v>
      </c>
      <c r="X1583" s="60">
        <v>0</v>
      </c>
      <c r="Y1583" s="60">
        <v>0</v>
      </c>
      <c r="Z1583" s="60">
        <v>0</v>
      </c>
      <c r="AA1583" s="60">
        <v>0</v>
      </c>
      <c r="AB1583" s="60">
        <v>0</v>
      </c>
      <c r="AC1583" s="60">
        <v>0</v>
      </c>
      <c r="AD1583" s="60">
        <v>0</v>
      </c>
      <c r="AE1583" s="60">
        <v>0</v>
      </c>
      <c r="AF1583" s="60">
        <v>0</v>
      </c>
      <c r="AG1583" s="60">
        <v>0</v>
      </c>
      <c r="AH1583" s="60">
        <v>0</v>
      </c>
      <c r="AI1583" s="60">
        <v>212.03</v>
      </c>
      <c r="AJ1583" s="60">
        <v>200.24</v>
      </c>
      <c r="AK1583" s="60">
        <v>177.36</v>
      </c>
      <c r="AL1583" s="60">
        <v>0</v>
      </c>
      <c r="AM1583" s="60">
        <v>0</v>
      </c>
      <c r="AN1583" s="60">
        <v>0</v>
      </c>
      <c r="AO1583" s="60">
        <v>212.03</v>
      </c>
      <c r="AP1583" s="60">
        <v>200.24</v>
      </c>
      <c r="AQ1583" s="60">
        <v>177.36</v>
      </c>
      <c r="AR1583" s="61">
        <v>212.03</v>
      </c>
    </row>
    <row r="1584" spans="1:44" x14ac:dyDescent="0.35">
      <c r="A1584" s="49" t="str">
        <f t="shared" si="127"/>
        <v>12</v>
      </c>
      <c r="B1584" s="27">
        <v>62893</v>
      </c>
      <c r="C1584" s="25" t="str">
        <f t="shared" si="125"/>
        <v>0000000</v>
      </c>
      <c r="D1584" s="26" t="s">
        <v>3663</v>
      </c>
      <c r="E1584" s="25" t="s">
        <v>550</v>
      </c>
      <c r="F1584" s="25" t="s">
        <v>339</v>
      </c>
      <c r="G1584" s="59" t="s">
        <v>551</v>
      </c>
      <c r="H1584" s="60">
        <v>436.12</v>
      </c>
      <c r="I1584" s="60">
        <v>428.79</v>
      </c>
      <c r="J1584" s="60">
        <v>433.27</v>
      </c>
      <c r="K1584" s="60">
        <v>0</v>
      </c>
      <c r="L1584" s="60">
        <v>0</v>
      </c>
      <c r="M1584" s="60">
        <v>0</v>
      </c>
      <c r="N1584" s="60">
        <v>0</v>
      </c>
      <c r="O1584" s="60">
        <v>0</v>
      </c>
      <c r="P1584" s="60">
        <v>0</v>
      </c>
      <c r="Q1584" s="60">
        <v>0</v>
      </c>
      <c r="R1584" s="60">
        <v>0</v>
      </c>
      <c r="S1584" s="60">
        <v>0</v>
      </c>
      <c r="T1584" s="60">
        <v>0</v>
      </c>
      <c r="U1584" s="60">
        <v>0</v>
      </c>
      <c r="V1584" s="60">
        <v>0</v>
      </c>
      <c r="W1584" s="60">
        <v>0</v>
      </c>
      <c r="X1584" s="60">
        <v>0</v>
      </c>
      <c r="Y1584" s="60">
        <v>0</v>
      </c>
      <c r="Z1584" s="60">
        <v>0</v>
      </c>
      <c r="AA1584" s="60">
        <v>0</v>
      </c>
      <c r="AB1584" s="60">
        <v>0</v>
      </c>
      <c r="AC1584" s="60">
        <v>0</v>
      </c>
      <c r="AD1584" s="60">
        <v>0</v>
      </c>
      <c r="AE1584" s="60">
        <v>0</v>
      </c>
      <c r="AF1584" s="60">
        <v>0</v>
      </c>
      <c r="AG1584" s="60">
        <v>0</v>
      </c>
      <c r="AH1584" s="60">
        <v>0</v>
      </c>
      <c r="AI1584" s="60">
        <v>436.12</v>
      </c>
      <c r="AJ1584" s="60">
        <v>428.79</v>
      </c>
      <c r="AK1584" s="60">
        <v>433.27</v>
      </c>
      <c r="AL1584" s="60">
        <v>0</v>
      </c>
      <c r="AM1584" s="60">
        <v>0</v>
      </c>
      <c r="AN1584" s="60">
        <v>0</v>
      </c>
      <c r="AO1584" s="60">
        <v>436.12</v>
      </c>
      <c r="AP1584" s="60">
        <v>428.79</v>
      </c>
      <c r="AQ1584" s="60">
        <v>433.27</v>
      </c>
      <c r="AR1584" s="61">
        <v>436.12</v>
      </c>
    </row>
    <row r="1585" spans="1:44" x14ac:dyDescent="0.35">
      <c r="A1585" s="49" t="str">
        <f t="shared" si="127"/>
        <v>12</v>
      </c>
      <c r="B1585" s="27">
        <v>62901</v>
      </c>
      <c r="C1585" s="25" t="str">
        <f t="shared" si="125"/>
        <v>0000000</v>
      </c>
      <c r="D1585" s="26" t="s">
        <v>3663</v>
      </c>
      <c r="E1585" s="25" t="s">
        <v>552</v>
      </c>
      <c r="F1585" s="25" t="s">
        <v>339</v>
      </c>
      <c r="G1585" s="59" t="s">
        <v>553</v>
      </c>
      <c r="H1585" s="60">
        <v>774.11</v>
      </c>
      <c r="I1585" s="60">
        <v>779.22</v>
      </c>
      <c r="J1585" s="60">
        <v>714.77</v>
      </c>
      <c r="K1585" s="60">
        <v>0</v>
      </c>
      <c r="L1585" s="60">
        <v>0</v>
      </c>
      <c r="M1585" s="60">
        <v>0</v>
      </c>
      <c r="N1585" s="60">
        <v>0</v>
      </c>
      <c r="O1585" s="60">
        <v>0</v>
      </c>
      <c r="P1585" s="60">
        <v>0</v>
      </c>
      <c r="Q1585" s="60">
        <v>0</v>
      </c>
      <c r="R1585" s="60">
        <v>0</v>
      </c>
      <c r="S1585" s="60">
        <v>0</v>
      </c>
      <c r="T1585" s="60">
        <v>0</v>
      </c>
      <c r="U1585" s="60">
        <v>0</v>
      </c>
      <c r="V1585" s="60">
        <v>0</v>
      </c>
      <c r="W1585" s="60">
        <v>0</v>
      </c>
      <c r="X1585" s="60">
        <v>0</v>
      </c>
      <c r="Y1585" s="60">
        <v>0</v>
      </c>
      <c r="Z1585" s="60">
        <v>0</v>
      </c>
      <c r="AA1585" s="60">
        <v>0</v>
      </c>
      <c r="AB1585" s="60">
        <v>0</v>
      </c>
      <c r="AC1585" s="60">
        <v>0</v>
      </c>
      <c r="AD1585" s="60">
        <v>0</v>
      </c>
      <c r="AE1585" s="60">
        <v>0</v>
      </c>
      <c r="AF1585" s="60">
        <v>0</v>
      </c>
      <c r="AG1585" s="60">
        <v>0</v>
      </c>
      <c r="AH1585" s="60">
        <v>0</v>
      </c>
      <c r="AI1585" s="60">
        <v>774.11</v>
      </c>
      <c r="AJ1585" s="60">
        <v>779.22</v>
      </c>
      <c r="AK1585" s="60">
        <v>714.77</v>
      </c>
      <c r="AL1585" s="60">
        <v>0</v>
      </c>
      <c r="AM1585" s="60">
        <v>0</v>
      </c>
      <c r="AN1585" s="60">
        <v>0</v>
      </c>
      <c r="AO1585" s="60">
        <v>774.11</v>
      </c>
      <c r="AP1585" s="60">
        <v>779.22</v>
      </c>
      <c r="AQ1585" s="60">
        <v>714.77</v>
      </c>
      <c r="AR1585" s="61">
        <v>779.22</v>
      </c>
    </row>
    <row r="1586" spans="1:44" x14ac:dyDescent="0.35">
      <c r="A1586" s="49" t="str">
        <f t="shared" si="127"/>
        <v>12</v>
      </c>
      <c r="B1586" s="27">
        <v>62927</v>
      </c>
      <c r="C1586" s="25" t="str">
        <f t="shared" si="125"/>
        <v>0000000</v>
      </c>
      <c r="D1586" s="26" t="s">
        <v>3663</v>
      </c>
      <c r="E1586" s="25" t="s">
        <v>556</v>
      </c>
      <c r="F1586" s="25" t="s">
        <v>339</v>
      </c>
      <c r="G1586" s="59" t="s">
        <v>557</v>
      </c>
      <c r="H1586" s="60">
        <v>66.349999999999994</v>
      </c>
      <c r="I1586" s="60">
        <v>77.209999999999994</v>
      </c>
      <c r="J1586" s="60">
        <v>99.58</v>
      </c>
      <c r="K1586" s="60">
        <v>0</v>
      </c>
      <c r="L1586" s="60">
        <v>0</v>
      </c>
      <c r="M1586" s="60">
        <v>0</v>
      </c>
      <c r="N1586" s="60">
        <v>0</v>
      </c>
      <c r="O1586" s="60">
        <v>0</v>
      </c>
      <c r="P1586" s="60">
        <v>0</v>
      </c>
      <c r="Q1586" s="60">
        <v>0</v>
      </c>
      <c r="R1586" s="60">
        <v>0</v>
      </c>
      <c r="S1586" s="60">
        <v>0</v>
      </c>
      <c r="T1586" s="60">
        <v>0</v>
      </c>
      <c r="U1586" s="60">
        <v>0</v>
      </c>
      <c r="V1586" s="60">
        <v>0</v>
      </c>
      <c r="W1586" s="60">
        <v>0</v>
      </c>
      <c r="X1586" s="60">
        <v>0</v>
      </c>
      <c r="Y1586" s="60">
        <v>0</v>
      </c>
      <c r="Z1586" s="60">
        <v>0</v>
      </c>
      <c r="AA1586" s="60">
        <v>0</v>
      </c>
      <c r="AB1586" s="60">
        <v>0</v>
      </c>
      <c r="AC1586" s="60">
        <v>0</v>
      </c>
      <c r="AD1586" s="60">
        <v>0</v>
      </c>
      <c r="AE1586" s="60">
        <v>0</v>
      </c>
      <c r="AF1586" s="60">
        <v>0</v>
      </c>
      <c r="AG1586" s="60">
        <v>0</v>
      </c>
      <c r="AH1586" s="60">
        <v>0</v>
      </c>
      <c r="AI1586" s="60">
        <v>66.349999999999994</v>
      </c>
      <c r="AJ1586" s="60">
        <v>77.209999999999994</v>
      </c>
      <c r="AK1586" s="60">
        <v>99.58</v>
      </c>
      <c r="AL1586" s="60">
        <v>0</v>
      </c>
      <c r="AM1586" s="60">
        <v>0</v>
      </c>
      <c r="AN1586" s="60">
        <v>0</v>
      </c>
      <c r="AO1586" s="60">
        <v>66.349999999999994</v>
      </c>
      <c r="AP1586" s="60">
        <v>77.209999999999994</v>
      </c>
      <c r="AQ1586" s="60">
        <v>99.58</v>
      </c>
      <c r="AR1586" s="61">
        <v>99.58</v>
      </c>
    </row>
    <row r="1587" spans="1:44" x14ac:dyDescent="0.35">
      <c r="A1587" s="49" t="str">
        <f t="shared" si="127"/>
        <v>12</v>
      </c>
      <c r="B1587" s="27">
        <v>62950</v>
      </c>
      <c r="C1587" s="25" t="str">
        <f t="shared" ref="C1587:C1606" si="128">TEXT(,"0000000")</f>
        <v>0000000</v>
      </c>
      <c r="D1587" s="26" t="s">
        <v>3663</v>
      </c>
      <c r="E1587" s="25" t="s">
        <v>560</v>
      </c>
      <c r="F1587" s="25" t="s">
        <v>339</v>
      </c>
      <c r="G1587" s="59" t="s">
        <v>561</v>
      </c>
      <c r="H1587" s="60">
        <v>811.45</v>
      </c>
      <c r="I1587" s="60">
        <v>820.45</v>
      </c>
      <c r="J1587" s="60">
        <v>830.74</v>
      </c>
      <c r="K1587" s="60">
        <v>0</v>
      </c>
      <c r="L1587" s="60">
        <v>0</v>
      </c>
      <c r="M1587" s="60">
        <v>0</v>
      </c>
      <c r="N1587" s="60">
        <v>0</v>
      </c>
      <c r="O1587" s="60">
        <v>0</v>
      </c>
      <c r="P1587" s="60">
        <v>0</v>
      </c>
      <c r="Q1587" s="60">
        <v>0</v>
      </c>
      <c r="R1587" s="60">
        <v>0</v>
      </c>
      <c r="S1587" s="60">
        <v>0</v>
      </c>
      <c r="T1587" s="60">
        <v>0</v>
      </c>
      <c r="U1587" s="60">
        <v>0</v>
      </c>
      <c r="V1587" s="60">
        <v>0</v>
      </c>
      <c r="W1587" s="60">
        <v>0</v>
      </c>
      <c r="X1587" s="60">
        <v>0</v>
      </c>
      <c r="Y1587" s="60">
        <v>0</v>
      </c>
      <c r="Z1587" s="60">
        <v>0</v>
      </c>
      <c r="AA1587" s="60">
        <v>0</v>
      </c>
      <c r="AB1587" s="60">
        <v>0</v>
      </c>
      <c r="AC1587" s="60">
        <v>0</v>
      </c>
      <c r="AD1587" s="60">
        <v>0</v>
      </c>
      <c r="AE1587" s="60">
        <v>0</v>
      </c>
      <c r="AF1587" s="60">
        <v>0</v>
      </c>
      <c r="AG1587" s="60">
        <v>0</v>
      </c>
      <c r="AH1587" s="60">
        <v>0</v>
      </c>
      <c r="AI1587" s="60">
        <v>811.45</v>
      </c>
      <c r="AJ1587" s="60">
        <v>820.45</v>
      </c>
      <c r="AK1587" s="60">
        <v>830.74</v>
      </c>
      <c r="AL1587" s="60">
        <v>0</v>
      </c>
      <c r="AM1587" s="60">
        <v>0</v>
      </c>
      <c r="AN1587" s="60">
        <v>0</v>
      </c>
      <c r="AO1587" s="60">
        <v>811.45</v>
      </c>
      <c r="AP1587" s="60">
        <v>820.45</v>
      </c>
      <c r="AQ1587" s="60">
        <v>830.74</v>
      </c>
      <c r="AR1587" s="61">
        <v>830.74</v>
      </c>
    </row>
    <row r="1588" spans="1:44" x14ac:dyDescent="0.35">
      <c r="A1588" s="49" t="str">
        <f t="shared" si="127"/>
        <v>12</v>
      </c>
      <c r="B1588" s="27">
        <v>62687</v>
      </c>
      <c r="C1588" s="25" t="str">
        <f t="shared" si="128"/>
        <v>0000000</v>
      </c>
      <c r="D1588" s="26" t="s">
        <v>3663</v>
      </c>
      <c r="E1588" s="25" t="s">
        <v>526</v>
      </c>
      <c r="F1588" s="25" t="s">
        <v>339</v>
      </c>
      <c r="G1588" s="59" t="s">
        <v>527</v>
      </c>
      <c r="H1588" s="60">
        <v>1464.86</v>
      </c>
      <c r="I1588" s="60">
        <v>1462.23</v>
      </c>
      <c r="J1588" s="60">
        <v>1427.84</v>
      </c>
      <c r="K1588" s="60">
        <v>0</v>
      </c>
      <c r="L1588" s="60">
        <v>0</v>
      </c>
      <c r="M1588" s="60">
        <v>0</v>
      </c>
      <c r="N1588" s="60">
        <v>0</v>
      </c>
      <c r="O1588" s="60">
        <v>0</v>
      </c>
      <c r="P1588" s="60">
        <v>0</v>
      </c>
      <c r="Q1588" s="60">
        <v>0</v>
      </c>
      <c r="R1588" s="60">
        <v>0</v>
      </c>
      <c r="S1588" s="60">
        <v>0</v>
      </c>
      <c r="T1588" s="60">
        <v>0</v>
      </c>
      <c r="U1588" s="60">
        <v>0</v>
      </c>
      <c r="V1588" s="60">
        <v>0</v>
      </c>
      <c r="W1588" s="60">
        <v>0</v>
      </c>
      <c r="X1588" s="60">
        <v>0</v>
      </c>
      <c r="Y1588" s="60">
        <v>0</v>
      </c>
      <c r="Z1588" s="60">
        <v>0</v>
      </c>
      <c r="AA1588" s="60">
        <v>0</v>
      </c>
      <c r="AB1588" s="60">
        <v>0</v>
      </c>
      <c r="AC1588" s="60">
        <v>380.13</v>
      </c>
      <c r="AD1588" s="60">
        <v>400.98</v>
      </c>
      <c r="AE1588" s="60">
        <v>406.7</v>
      </c>
      <c r="AF1588" s="60">
        <v>0</v>
      </c>
      <c r="AG1588" s="60">
        <v>0</v>
      </c>
      <c r="AH1588" s="60">
        <v>0</v>
      </c>
      <c r="AI1588" s="60">
        <v>1844.99</v>
      </c>
      <c r="AJ1588" s="60">
        <v>1863.21</v>
      </c>
      <c r="AK1588" s="60">
        <v>1834.54</v>
      </c>
      <c r="AL1588" s="60">
        <v>0</v>
      </c>
      <c r="AM1588" s="60">
        <v>0</v>
      </c>
      <c r="AN1588" s="60">
        <v>0</v>
      </c>
      <c r="AO1588" s="60">
        <v>1844.99</v>
      </c>
      <c r="AP1588" s="60">
        <v>1863.21</v>
      </c>
      <c r="AQ1588" s="60">
        <v>1834.54</v>
      </c>
      <c r="AR1588" s="61">
        <v>1863.21</v>
      </c>
    </row>
    <row r="1589" spans="1:44" x14ac:dyDescent="0.35">
      <c r="A1589" s="49" t="str">
        <f t="shared" si="127"/>
        <v>12</v>
      </c>
      <c r="B1589" s="27">
        <v>62968</v>
      </c>
      <c r="C1589" s="25" t="str">
        <f t="shared" si="128"/>
        <v>0000000</v>
      </c>
      <c r="D1589" s="26" t="s">
        <v>3663</v>
      </c>
      <c r="E1589" s="25" t="s">
        <v>562</v>
      </c>
      <c r="F1589" s="25" t="s">
        <v>339</v>
      </c>
      <c r="G1589" s="59" t="s">
        <v>563</v>
      </c>
      <c r="H1589" s="60">
        <v>8.01</v>
      </c>
      <c r="I1589" s="60">
        <v>8.35</v>
      </c>
      <c r="J1589" s="60">
        <v>16.68</v>
      </c>
      <c r="K1589" s="60">
        <v>0</v>
      </c>
      <c r="L1589" s="60">
        <v>0</v>
      </c>
      <c r="M1589" s="60">
        <v>0</v>
      </c>
      <c r="N1589" s="60">
        <v>0</v>
      </c>
      <c r="O1589" s="60">
        <v>0</v>
      </c>
      <c r="P1589" s="60">
        <v>0</v>
      </c>
      <c r="Q1589" s="60">
        <v>0</v>
      </c>
      <c r="R1589" s="60">
        <v>0</v>
      </c>
      <c r="S1589" s="60">
        <v>0</v>
      </c>
      <c r="T1589" s="60">
        <v>0</v>
      </c>
      <c r="U1589" s="60">
        <v>0</v>
      </c>
      <c r="V1589" s="60">
        <v>0</v>
      </c>
      <c r="W1589" s="60">
        <v>0</v>
      </c>
      <c r="X1589" s="60">
        <v>0</v>
      </c>
      <c r="Y1589" s="60">
        <v>0</v>
      </c>
      <c r="Z1589" s="60">
        <v>0</v>
      </c>
      <c r="AA1589" s="60">
        <v>0</v>
      </c>
      <c r="AB1589" s="60">
        <v>0</v>
      </c>
      <c r="AC1589" s="60">
        <v>0</v>
      </c>
      <c r="AD1589" s="60">
        <v>0</v>
      </c>
      <c r="AE1589" s="60">
        <v>0</v>
      </c>
      <c r="AF1589" s="60">
        <v>0</v>
      </c>
      <c r="AG1589" s="60">
        <v>0</v>
      </c>
      <c r="AH1589" s="60">
        <v>0</v>
      </c>
      <c r="AI1589" s="60">
        <v>8.01</v>
      </c>
      <c r="AJ1589" s="60">
        <v>8.35</v>
      </c>
      <c r="AK1589" s="60">
        <v>16.68</v>
      </c>
      <c r="AL1589" s="60">
        <v>0</v>
      </c>
      <c r="AM1589" s="60">
        <v>0</v>
      </c>
      <c r="AN1589" s="60">
        <v>0</v>
      </c>
      <c r="AO1589" s="60">
        <v>8.01</v>
      </c>
      <c r="AP1589" s="60">
        <v>8.35</v>
      </c>
      <c r="AQ1589" s="60">
        <v>16.68</v>
      </c>
      <c r="AR1589" s="61">
        <v>16.68</v>
      </c>
    </row>
    <row r="1590" spans="1:44" x14ac:dyDescent="0.35">
      <c r="A1590" s="49" t="str">
        <f t="shared" si="127"/>
        <v>12</v>
      </c>
      <c r="B1590" s="27">
        <v>62976</v>
      </c>
      <c r="C1590" s="25" t="str">
        <f t="shared" si="128"/>
        <v>0000000</v>
      </c>
      <c r="D1590" s="26" t="s">
        <v>3663</v>
      </c>
      <c r="E1590" s="25" t="s">
        <v>564</v>
      </c>
      <c r="F1590" s="25" t="s">
        <v>339</v>
      </c>
      <c r="G1590" s="59" t="s">
        <v>455</v>
      </c>
      <c r="H1590" s="60">
        <v>492.68</v>
      </c>
      <c r="I1590" s="60">
        <v>500.15</v>
      </c>
      <c r="J1590" s="60">
        <v>493.81</v>
      </c>
      <c r="K1590" s="60">
        <v>0</v>
      </c>
      <c r="L1590" s="60">
        <v>0</v>
      </c>
      <c r="M1590" s="60">
        <v>0</v>
      </c>
      <c r="N1590" s="60">
        <v>0</v>
      </c>
      <c r="O1590" s="60">
        <v>0</v>
      </c>
      <c r="P1590" s="60">
        <v>0</v>
      </c>
      <c r="Q1590" s="60">
        <v>0</v>
      </c>
      <c r="R1590" s="60">
        <v>0</v>
      </c>
      <c r="S1590" s="60">
        <v>0</v>
      </c>
      <c r="T1590" s="60">
        <v>0</v>
      </c>
      <c r="U1590" s="60">
        <v>0</v>
      </c>
      <c r="V1590" s="60">
        <v>0</v>
      </c>
      <c r="W1590" s="60">
        <v>0</v>
      </c>
      <c r="X1590" s="60">
        <v>0</v>
      </c>
      <c r="Y1590" s="60">
        <v>0</v>
      </c>
      <c r="Z1590" s="60">
        <v>0</v>
      </c>
      <c r="AA1590" s="60">
        <v>0</v>
      </c>
      <c r="AB1590" s="60">
        <v>0</v>
      </c>
      <c r="AC1590" s="60">
        <v>36.46</v>
      </c>
      <c r="AD1590" s="60">
        <v>30.85</v>
      </c>
      <c r="AE1590" s="60">
        <v>39.69</v>
      </c>
      <c r="AF1590" s="60">
        <v>0</v>
      </c>
      <c r="AG1590" s="60">
        <v>0</v>
      </c>
      <c r="AH1590" s="60">
        <v>0</v>
      </c>
      <c r="AI1590" s="60">
        <v>529.14</v>
      </c>
      <c r="AJ1590" s="60">
        <v>531</v>
      </c>
      <c r="AK1590" s="60">
        <v>533.5</v>
      </c>
      <c r="AL1590" s="60">
        <v>0</v>
      </c>
      <c r="AM1590" s="60">
        <v>0</v>
      </c>
      <c r="AN1590" s="60">
        <v>0</v>
      </c>
      <c r="AO1590" s="60">
        <v>529.14</v>
      </c>
      <c r="AP1590" s="60">
        <v>531</v>
      </c>
      <c r="AQ1590" s="60">
        <v>533.5</v>
      </c>
      <c r="AR1590" s="61">
        <v>533.5</v>
      </c>
    </row>
    <row r="1591" spans="1:44" x14ac:dyDescent="0.35">
      <c r="A1591" s="49" t="str">
        <f t="shared" si="127"/>
        <v>12</v>
      </c>
      <c r="B1591" s="27">
        <v>62984</v>
      </c>
      <c r="C1591" s="25" t="str">
        <f t="shared" si="128"/>
        <v>0000000</v>
      </c>
      <c r="D1591" s="26" t="s">
        <v>3663</v>
      </c>
      <c r="E1591" s="25" t="s">
        <v>565</v>
      </c>
      <c r="F1591" s="25" t="s">
        <v>339</v>
      </c>
      <c r="G1591" s="59" t="s">
        <v>566</v>
      </c>
      <c r="H1591" s="60">
        <v>55.37</v>
      </c>
      <c r="I1591" s="60">
        <v>59.3</v>
      </c>
      <c r="J1591" s="60">
        <v>45.66</v>
      </c>
      <c r="K1591" s="60">
        <v>0</v>
      </c>
      <c r="L1591" s="60">
        <v>0</v>
      </c>
      <c r="M1591" s="60">
        <v>0</v>
      </c>
      <c r="N1591" s="60">
        <v>0</v>
      </c>
      <c r="O1591" s="60">
        <v>0</v>
      </c>
      <c r="P1591" s="60">
        <v>0</v>
      </c>
      <c r="Q1591" s="60">
        <v>0</v>
      </c>
      <c r="R1591" s="60">
        <v>0</v>
      </c>
      <c r="S1591" s="60">
        <v>0</v>
      </c>
      <c r="T1591" s="60">
        <v>0</v>
      </c>
      <c r="U1591" s="60">
        <v>0</v>
      </c>
      <c r="V1591" s="60">
        <v>0</v>
      </c>
      <c r="W1591" s="60">
        <v>0</v>
      </c>
      <c r="X1591" s="60">
        <v>0</v>
      </c>
      <c r="Y1591" s="60">
        <v>0</v>
      </c>
      <c r="Z1591" s="60">
        <v>0</v>
      </c>
      <c r="AA1591" s="60">
        <v>0</v>
      </c>
      <c r="AB1591" s="60">
        <v>0</v>
      </c>
      <c r="AC1591" s="60">
        <v>0</v>
      </c>
      <c r="AD1591" s="60">
        <v>0</v>
      </c>
      <c r="AE1591" s="60">
        <v>0</v>
      </c>
      <c r="AF1591" s="60">
        <v>0</v>
      </c>
      <c r="AG1591" s="60">
        <v>0</v>
      </c>
      <c r="AH1591" s="60">
        <v>0</v>
      </c>
      <c r="AI1591" s="60">
        <v>55.37</v>
      </c>
      <c r="AJ1591" s="60">
        <v>59.3</v>
      </c>
      <c r="AK1591" s="60">
        <v>45.66</v>
      </c>
      <c r="AL1591" s="60">
        <v>0</v>
      </c>
      <c r="AM1591" s="60">
        <v>0</v>
      </c>
      <c r="AN1591" s="60">
        <v>0</v>
      </c>
      <c r="AO1591" s="60">
        <v>55.37</v>
      </c>
      <c r="AP1591" s="60">
        <v>59.3</v>
      </c>
      <c r="AQ1591" s="60">
        <v>45.66</v>
      </c>
      <c r="AR1591" s="61">
        <v>59.3</v>
      </c>
    </row>
    <row r="1592" spans="1:44" x14ac:dyDescent="0.35">
      <c r="A1592" s="49" t="str">
        <f t="shared" si="127"/>
        <v>12</v>
      </c>
      <c r="B1592" s="27">
        <v>63008</v>
      </c>
      <c r="C1592" s="25" t="str">
        <f t="shared" si="128"/>
        <v>0000000</v>
      </c>
      <c r="D1592" s="26" t="s">
        <v>3663</v>
      </c>
      <c r="E1592" s="25" t="s">
        <v>567</v>
      </c>
      <c r="F1592" s="25" t="s">
        <v>339</v>
      </c>
      <c r="G1592" s="59" t="s">
        <v>568</v>
      </c>
      <c r="H1592" s="60">
        <v>287.86</v>
      </c>
      <c r="I1592" s="60">
        <v>309.10000000000002</v>
      </c>
      <c r="J1592" s="60">
        <v>261.39</v>
      </c>
      <c r="K1592" s="60">
        <v>0</v>
      </c>
      <c r="L1592" s="60">
        <v>0</v>
      </c>
      <c r="M1592" s="60">
        <v>0</v>
      </c>
      <c r="N1592" s="60">
        <v>0</v>
      </c>
      <c r="O1592" s="60">
        <v>0</v>
      </c>
      <c r="P1592" s="60">
        <v>0</v>
      </c>
      <c r="Q1592" s="60">
        <v>0</v>
      </c>
      <c r="R1592" s="60">
        <v>0</v>
      </c>
      <c r="S1592" s="60">
        <v>0</v>
      </c>
      <c r="T1592" s="60">
        <v>0</v>
      </c>
      <c r="U1592" s="60">
        <v>0</v>
      </c>
      <c r="V1592" s="60">
        <v>0</v>
      </c>
      <c r="W1592" s="60">
        <v>0</v>
      </c>
      <c r="X1592" s="60">
        <v>0</v>
      </c>
      <c r="Y1592" s="60">
        <v>0</v>
      </c>
      <c r="Z1592" s="60">
        <v>0</v>
      </c>
      <c r="AA1592" s="60">
        <v>0</v>
      </c>
      <c r="AB1592" s="60">
        <v>0</v>
      </c>
      <c r="AC1592" s="60">
        <v>0</v>
      </c>
      <c r="AD1592" s="60">
        <v>0</v>
      </c>
      <c r="AE1592" s="60">
        <v>0</v>
      </c>
      <c r="AF1592" s="60">
        <v>0</v>
      </c>
      <c r="AG1592" s="60">
        <v>0</v>
      </c>
      <c r="AH1592" s="60">
        <v>0</v>
      </c>
      <c r="AI1592" s="60">
        <v>287.86</v>
      </c>
      <c r="AJ1592" s="60">
        <v>309.10000000000002</v>
      </c>
      <c r="AK1592" s="60">
        <v>261.39</v>
      </c>
      <c r="AL1592" s="60">
        <v>0</v>
      </c>
      <c r="AM1592" s="60">
        <v>0</v>
      </c>
      <c r="AN1592" s="60">
        <v>0</v>
      </c>
      <c r="AO1592" s="60">
        <v>287.86</v>
      </c>
      <c r="AP1592" s="60">
        <v>309.10000000000002</v>
      </c>
      <c r="AQ1592" s="60">
        <v>261.39</v>
      </c>
      <c r="AR1592" s="61">
        <v>309.10000000000002</v>
      </c>
    </row>
    <row r="1593" spans="1:44" x14ac:dyDescent="0.35">
      <c r="A1593" s="49" t="str">
        <f t="shared" si="127"/>
        <v>12</v>
      </c>
      <c r="B1593" s="27">
        <v>63024</v>
      </c>
      <c r="C1593" s="25" t="str">
        <f t="shared" si="128"/>
        <v>0000000</v>
      </c>
      <c r="D1593" s="26" t="s">
        <v>3663</v>
      </c>
      <c r="E1593" s="25" t="s">
        <v>569</v>
      </c>
      <c r="F1593" s="25" t="s">
        <v>339</v>
      </c>
      <c r="G1593" s="59" t="s">
        <v>570</v>
      </c>
      <c r="H1593" s="60">
        <v>173.01</v>
      </c>
      <c r="I1593" s="60">
        <v>158.04</v>
      </c>
      <c r="J1593" s="60">
        <v>160.44</v>
      </c>
      <c r="K1593" s="60">
        <v>0</v>
      </c>
      <c r="L1593" s="60">
        <v>0</v>
      </c>
      <c r="M1593" s="60">
        <v>0</v>
      </c>
      <c r="N1593" s="60">
        <v>0</v>
      </c>
      <c r="O1593" s="60">
        <v>0</v>
      </c>
      <c r="P1593" s="60">
        <v>0</v>
      </c>
      <c r="Q1593" s="60">
        <v>0</v>
      </c>
      <c r="R1593" s="60">
        <v>0</v>
      </c>
      <c r="S1593" s="60">
        <v>0</v>
      </c>
      <c r="T1593" s="60">
        <v>0</v>
      </c>
      <c r="U1593" s="60">
        <v>0</v>
      </c>
      <c r="V1593" s="60">
        <v>0</v>
      </c>
      <c r="W1593" s="60">
        <v>0</v>
      </c>
      <c r="X1593" s="60">
        <v>0</v>
      </c>
      <c r="Y1593" s="60">
        <v>0</v>
      </c>
      <c r="Z1593" s="60">
        <v>0</v>
      </c>
      <c r="AA1593" s="60">
        <v>0</v>
      </c>
      <c r="AB1593" s="60">
        <v>0</v>
      </c>
      <c r="AC1593" s="60">
        <v>0</v>
      </c>
      <c r="AD1593" s="60">
        <v>0</v>
      </c>
      <c r="AE1593" s="60">
        <v>0</v>
      </c>
      <c r="AF1593" s="60">
        <v>0</v>
      </c>
      <c r="AG1593" s="60">
        <v>0</v>
      </c>
      <c r="AH1593" s="60">
        <v>0</v>
      </c>
      <c r="AI1593" s="60">
        <v>173.01</v>
      </c>
      <c r="AJ1593" s="60">
        <v>158.04</v>
      </c>
      <c r="AK1593" s="60">
        <v>160.44</v>
      </c>
      <c r="AL1593" s="60">
        <v>0</v>
      </c>
      <c r="AM1593" s="60">
        <v>0</v>
      </c>
      <c r="AN1593" s="60">
        <v>0</v>
      </c>
      <c r="AO1593" s="60">
        <v>173.01</v>
      </c>
      <c r="AP1593" s="60">
        <v>158.04</v>
      </c>
      <c r="AQ1593" s="60">
        <v>160.44</v>
      </c>
      <c r="AR1593" s="61">
        <v>173.01</v>
      </c>
    </row>
    <row r="1594" spans="1:44" x14ac:dyDescent="0.35">
      <c r="A1594" s="49" t="str">
        <f t="shared" si="127"/>
        <v>12</v>
      </c>
      <c r="B1594" s="27">
        <v>63032</v>
      </c>
      <c r="C1594" s="25" t="str">
        <f t="shared" si="128"/>
        <v>0000000</v>
      </c>
      <c r="D1594" s="26" t="s">
        <v>3663</v>
      </c>
      <c r="E1594" s="25" t="s">
        <v>571</v>
      </c>
      <c r="F1594" s="25" t="s">
        <v>339</v>
      </c>
      <c r="G1594" s="59" t="s">
        <v>572</v>
      </c>
      <c r="H1594" s="60">
        <v>300.01</v>
      </c>
      <c r="I1594" s="60">
        <v>315.49</v>
      </c>
      <c r="J1594" s="60">
        <v>308.69</v>
      </c>
      <c r="K1594" s="60">
        <v>0</v>
      </c>
      <c r="L1594" s="60">
        <v>0</v>
      </c>
      <c r="M1594" s="60">
        <v>0</v>
      </c>
      <c r="N1594" s="60">
        <v>0</v>
      </c>
      <c r="O1594" s="60">
        <v>0</v>
      </c>
      <c r="P1594" s="60">
        <v>0</v>
      </c>
      <c r="Q1594" s="60">
        <v>0</v>
      </c>
      <c r="R1594" s="60">
        <v>0</v>
      </c>
      <c r="S1594" s="60">
        <v>0</v>
      </c>
      <c r="T1594" s="60">
        <v>0</v>
      </c>
      <c r="U1594" s="60">
        <v>0</v>
      </c>
      <c r="V1594" s="60">
        <v>0</v>
      </c>
      <c r="W1594" s="60">
        <v>0</v>
      </c>
      <c r="X1594" s="60">
        <v>0</v>
      </c>
      <c r="Y1594" s="60">
        <v>0</v>
      </c>
      <c r="Z1594" s="60">
        <v>0</v>
      </c>
      <c r="AA1594" s="60">
        <v>0</v>
      </c>
      <c r="AB1594" s="60">
        <v>0</v>
      </c>
      <c r="AC1594" s="60">
        <v>505.71</v>
      </c>
      <c r="AD1594" s="60">
        <v>505.91</v>
      </c>
      <c r="AE1594" s="60">
        <v>559.33000000000004</v>
      </c>
      <c r="AF1594" s="60">
        <v>0</v>
      </c>
      <c r="AG1594" s="60">
        <v>0</v>
      </c>
      <c r="AH1594" s="60">
        <v>0</v>
      </c>
      <c r="AI1594" s="60">
        <v>805.72</v>
      </c>
      <c r="AJ1594" s="60">
        <v>821.4</v>
      </c>
      <c r="AK1594" s="60">
        <v>868.02</v>
      </c>
      <c r="AL1594" s="60">
        <v>0</v>
      </c>
      <c r="AM1594" s="60">
        <v>0</v>
      </c>
      <c r="AN1594" s="60">
        <v>0</v>
      </c>
      <c r="AO1594" s="60">
        <v>805.72</v>
      </c>
      <c r="AP1594" s="60">
        <v>821.4</v>
      </c>
      <c r="AQ1594" s="60">
        <v>868.02</v>
      </c>
      <c r="AR1594" s="61">
        <v>868.02</v>
      </c>
    </row>
    <row r="1595" spans="1:44" x14ac:dyDescent="0.35">
      <c r="A1595" s="49" t="str">
        <f t="shared" si="127"/>
        <v>12</v>
      </c>
      <c r="B1595" s="27">
        <v>63040</v>
      </c>
      <c r="C1595" s="25" t="str">
        <f t="shared" si="128"/>
        <v>0000000</v>
      </c>
      <c r="D1595" s="26" t="s">
        <v>3663</v>
      </c>
      <c r="E1595" s="25" t="s">
        <v>573</v>
      </c>
      <c r="F1595" s="25" t="s">
        <v>339</v>
      </c>
      <c r="G1595" s="59" t="s">
        <v>574</v>
      </c>
      <c r="H1595" s="60">
        <v>569.84</v>
      </c>
      <c r="I1595" s="60">
        <v>572.94000000000005</v>
      </c>
      <c r="J1595" s="60">
        <v>597.54999999999995</v>
      </c>
      <c r="K1595" s="60">
        <v>0</v>
      </c>
      <c r="L1595" s="60">
        <v>0</v>
      </c>
      <c r="M1595" s="60">
        <v>0</v>
      </c>
      <c r="N1595" s="60">
        <v>0</v>
      </c>
      <c r="O1595" s="60">
        <v>0</v>
      </c>
      <c r="P1595" s="60">
        <v>0</v>
      </c>
      <c r="Q1595" s="60">
        <v>0</v>
      </c>
      <c r="R1595" s="60">
        <v>0</v>
      </c>
      <c r="S1595" s="60">
        <v>0</v>
      </c>
      <c r="T1595" s="60">
        <v>0</v>
      </c>
      <c r="U1595" s="60">
        <v>0</v>
      </c>
      <c r="V1595" s="60">
        <v>0</v>
      </c>
      <c r="W1595" s="60">
        <v>0</v>
      </c>
      <c r="X1595" s="60">
        <v>0</v>
      </c>
      <c r="Y1595" s="60">
        <v>0</v>
      </c>
      <c r="Z1595" s="60">
        <v>0</v>
      </c>
      <c r="AA1595" s="60">
        <v>0</v>
      </c>
      <c r="AB1595" s="60">
        <v>0</v>
      </c>
      <c r="AC1595" s="60">
        <v>0</v>
      </c>
      <c r="AD1595" s="60">
        <v>0</v>
      </c>
      <c r="AE1595" s="60">
        <v>0</v>
      </c>
      <c r="AF1595" s="60">
        <v>0</v>
      </c>
      <c r="AG1595" s="60">
        <v>0</v>
      </c>
      <c r="AH1595" s="60">
        <v>0</v>
      </c>
      <c r="AI1595" s="60">
        <v>569.84</v>
      </c>
      <c r="AJ1595" s="60">
        <v>572.94000000000005</v>
      </c>
      <c r="AK1595" s="60">
        <v>597.54999999999995</v>
      </c>
      <c r="AL1595" s="60">
        <v>0</v>
      </c>
      <c r="AM1595" s="60">
        <v>0</v>
      </c>
      <c r="AN1595" s="60">
        <v>0</v>
      </c>
      <c r="AO1595" s="60">
        <v>569.84</v>
      </c>
      <c r="AP1595" s="60">
        <v>572.94000000000005</v>
      </c>
      <c r="AQ1595" s="60">
        <v>597.54999999999995</v>
      </c>
      <c r="AR1595" s="61">
        <v>597.54999999999995</v>
      </c>
    </row>
    <row r="1596" spans="1:44" x14ac:dyDescent="0.35">
      <c r="A1596" s="49" t="str">
        <f t="shared" si="127"/>
        <v>12</v>
      </c>
      <c r="B1596" s="27">
        <v>63057</v>
      </c>
      <c r="C1596" s="25" t="str">
        <f t="shared" si="128"/>
        <v>0000000</v>
      </c>
      <c r="D1596" s="26" t="s">
        <v>3663</v>
      </c>
      <c r="E1596" s="25" t="s">
        <v>575</v>
      </c>
      <c r="F1596" s="25" t="s">
        <v>339</v>
      </c>
      <c r="G1596" s="59" t="s">
        <v>576</v>
      </c>
      <c r="H1596" s="60">
        <v>160.13</v>
      </c>
      <c r="I1596" s="60">
        <v>153.58000000000001</v>
      </c>
      <c r="J1596" s="60">
        <v>177.52</v>
      </c>
      <c r="K1596" s="60">
        <v>0</v>
      </c>
      <c r="L1596" s="60">
        <v>0</v>
      </c>
      <c r="M1596" s="60">
        <v>0</v>
      </c>
      <c r="N1596" s="60">
        <v>0</v>
      </c>
      <c r="O1596" s="60">
        <v>0</v>
      </c>
      <c r="P1596" s="60">
        <v>0</v>
      </c>
      <c r="Q1596" s="60">
        <v>0</v>
      </c>
      <c r="R1596" s="60">
        <v>0</v>
      </c>
      <c r="S1596" s="60">
        <v>0</v>
      </c>
      <c r="T1596" s="60">
        <v>0</v>
      </c>
      <c r="U1596" s="60">
        <v>0</v>
      </c>
      <c r="V1596" s="60">
        <v>0</v>
      </c>
      <c r="W1596" s="60">
        <v>0</v>
      </c>
      <c r="X1596" s="60">
        <v>0</v>
      </c>
      <c r="Y1596" s="60">
        <v>0</v>
      </c>
      <c r="Z1596" s="60">
        <v>0</v>
      </c>
      <c r="AA1596" s="60">
        <v>0</v>
      </c>
      <c r="AB1596" s="60">
        <v>0</v>
      </c>
      <c r="AC1596" s="60">
        <v>0</v>
      </c>
      <c r="AD1596" s="60">
        <v>0</v>
      </c>
      <c r="AE1596" s="60">
        <v>0</v>
      </c>
      <c r="AF1596" s="60">
        <v>0</v>
      </c>
      <c r="AG1596" s="60">
        <v>0</v>
      </c>
      <c r="AH1596" s="60">
        <v>0</v>
      </c>
      <c r="AI1596" s="60">
        <v>160.13</v>
      </c>
      <c r="AJ1596" s="60">
        <v>153.58000000000001</v>
      </c>
      <c r="AK1596" s="60">
        <v>177.52</v>
      </c>
      <c r="AL1596" s="60">
        <v>0</v>
      </c>
      <c r="AM1596" s="60">
        <v>0</v>
      </c>
      <c r="AN1596" s="60">
        <v>0</v>
      </c>
      <c r="AO1596" s="60">
        <v>160.13</v>
      </c>
      <c r="AP1596" s="60">
        <v>153.58000000000001</v>
      </c>
      <c r="AQ1596" s="60">
        <v>177.52</v>
      </c>
      <c r="AR1596" s="61">
        <v>177.52</v>
      </c>
    </row>
    <row r="1597" spans="1:44" x14ac:dyDescent="0.35">
      <c r="A1597" s="49" t="str">
        <f>TEXT(8,"00")</f>
        <v>08</v>
      </c>
      <c r="B1597" s="27">
        <v>61820</v>
      </c>
      <c r="C1597" s="25" t="str">
        <f t="shared" si="128"/>
        <v>0000000</v>
      </c>
      <c r="D1597" s="26" t="s">
        <v>3663</v>
      </c>
      <c r="E1597" s="25" t="s">
        <v>342</v>
      </c>
      <c r="F1597" s="25" t="s">
        <v>339</v>
      </c>
      <c r="G1597" s="59" t="s">
        <v>343</v>
      </c>
      <c r="H1597" s="60">
        <v>3095.9</v>
      </c>
      <c r="I1597" s="60">
        <v>3156.55</v>
      </c>
      <c r="J1597" s="60">
        <v>3004.05</v>
      </c>
      <c r="K1597" s="60">
        <v>0</v>
      </c>
      <c r="L1597" s="60">
        <v>0</v>
      </c>
      <c r="M1597" s="60">
        <v>0</v>
      </c>
      <c r="N1597" s="60">
        <v>0</v>
      </c>
      <c r="O1597" s="60">
        <v>0</v>
      </c>
      <c r="P1597" s="60">
        <v>0</v>
      </c>
      <c r="Q1597" s="60">
        <v>0</v>
      </c>
      <c r="R1597" s="60">
        <v>0</v>
      </c>
      <c r="S1597" s="60">
        <v>0</v>
      </c>
      <c r="T1597" s="60">
        <v>0</v>
      </c>
      <c r="U1597" s="60">
        <v>0</v>
      </c>
      <c r="V1597" s="60">
        <v>0</v>
      </c>
      <c r="W1597" s="60">
        <v>0</v>
      </c>
      <c r="X1597" s="60">
        <v>0</v>
      </c>
      <c r="Y1597" s="60">
        <v>0</v>
      </c>
      <c r="Z1597" s="60">
        <v>0</v>
      </c>
      <c r="AA1597" s="60">
        <v>0</v>
      </c>
      <c r="AB1597" s="60">
        <v>0</v>
      </c>
      <c r="AC1597" s="60">
        <v>291.63</v>
      </c>
      <c r="AD1597" s="60">
        <v>270.87</v>
      </c>
      <c r="AE1597" s="60">
        <v>280.04000000000002</v>
      </c>
      <c r="AF1597" s="60">
        <v>0</v>
      </c>
      <c r="AG1597" s="60">
        <v>0</v>
      </c>
      <c r="AH1597" s="60">
        <v>0</v>
      </c>
      <c r="AI1597" s="60">
        <v>3387.53</v>
      </c>
      <c r="AJ1597" s="60">
        <v>3427.42</v>
      </c>
      <c r="AK1597" s="60">
        <v>3284.09</v>
      </c>
      <c r="AL1597" s="60">
        <v>0</v>
      </c>
      <c r="AM1597" s="60">
        <v>0</v>
      </c>
      <c r="AN1597" s="60">
        <v>0</v>
      </c>
      <c r="AO1597" s="60">
        <v>3387.53</v>
      </c>
      <c r="AP1597" s="60">
        <v>3427.42</v>
      </c>
      <c r="AQ1597" s="60">
        <v>3284.09</v>
      </c>
      <c r="AR1597" s="61">
        <v>3427.42</v>
      </c>
    </row>
    <row r="1598" spans="1:44" x14ac:dyDescent="0.35">
      <c r="A1598" s="49" t="str">
        <f t="shared" ref="A1598:A1604" si="129">TEXT(12,"00")</f>
        <v>12</v>
      </c>
      <c r="B1598" s="27">
        <v>62729</v>
      </c>
      <c r="C1598" s="25" t="str">
        <f t="shared" si="128"/>
        <v>0000000</v>
      </c>
      <c r="D1598" s="26" t="s">
        <v>3663</v>
      </c>
      <c r="E1598" s="25" t="s">
        <v>532</v>
      </c>
      <c r="F1598" s="25" t="s">
        <v>339</v>
      </c>
      <c r="G1598" s="59" t="s">
        <v>533</v>
      </c>
      <c r="H1598" s="60">
        <v>34.71</v>
      </c>
      <c r="I1598" s="60">
        <v>35.75</v>
      </c>
      <c r="J1598" s="60">
        <v>36.29</v>
      </c>
      <c r="K1598" s="60">
        <v>0</v>
      </c>
      <c r="L1598" s="60">
        <v>0</v>
      </c>
      <c r="M1598" s="60">
        <v>0</v>
      </c>
      <c r="N1598" s="60">
        <v>0</v>
      </c>
      <c r="O1598" s="60">
        <v>0</v>
      </c>
      <c r="P1598" s="60">
        <v>0</v>
      </c>
      <c r="Q1598" s="60">
        <v>0</v>
      </c>
      <c r="R1598" s="60">
        <v>0</v>
      </c>
      <c r="S1598" s="60">
        <v>0</v>
      </c>
      <c r="T1598" s="60">
        <v>0</v>
      </c>
      <c r="U1598" s="60">
        <v>0</v>
      </c>
      <c r="V1598" s="60">
        <v>0</v>
      </c>
      <c r="W1598" s="60">
        <v>0</v>
      </c>
      <c r="X1598" s="60">
        <v>0</v>
      </c>
      <c r="Y1598" s="60">
        <v>0</v>
      </c>
      <c r="Z1598" s="60">
        <v>0</v>
      </c>
      <c r="AA1598" s="60">
        <v>0</v>
      </c>
      <c r="AB1598" s="60">
        <v>0</v>
      </c>
      <c r="AC1598" s="60">
        <v>0</v>
      </c>
      <c r="AD1598" s="60">
        <v>0</v>
      </c>
      <c r="AE1598" s="60">
        <v>0</v>
      </c>
      <c r="AF1598" s="60">
        <v>0</v>
      </c>
      <c r="AG1598" s="60">
        <v>0</v>
      </c>
      <c r="AH1598" s="60">
        <v>0</v>
      </c>
      <c r="AI1598" s="60">
        <v>34.71</v>
      </c>
      <c r="AJ1598" s="60">
        <v>35.75</v>
      </c>
      <c r="AK1598" s="60">
        <v>36.29</v>
      </c>
      <c r="AL1598" s="60">
        <v>0</v>
      </c>
      <c r="AM1598" s="60">
        <v>0</v>
      </c>
      <c r="AN1598" s="60">
        <v>0</v>
      </c>
      <c r="AO1598" s="60">
        <v>34.71</v>
      </c>
      <c r="AP1598" s="60">
        <v>35.75</v>
      </c>
      <c r="AQ1598" s="60">
        <v>36.29</v>
      </c>
      <c r="AR1598" s="61">
        <v>36.29</v>
      </c>
    </row>
    <row r="1599" spans="1:44" x14ac:dyDescent="0.35">
      <c r="A1599" s="49" t="str">
        <f t="shared" si="129"/>
        <v>12</v>
      </c>
      <c r="B1599" s="27">
        <v>62919</v>
      </c>
      <c r="C1599" s="25" t="str">
        <f t="shared" si="128"/>
        <v>0000000</v>
      </c>
      <c r="D1599" s="26" t="s">
        <v>3663</v>
      </c>
      <c r="E1599" s="25" t="s">
        <v>554</v>
      </c>
      <c r="F1599" s="25" t="s">
        <v>339</v>
      </c>
      <c r="G1599" s="59" t="s">
        <v>555</v>
      </c>
      <c r="H1599" s="60">
        <v>26.42</v>
      </c>
      <c r="I1599" s="60">
        <v>29.81</v>
      </c>
      <c r="J1599" s="60">
        <v>31.91</v>
      </c>
      <c r="K1599" s="60">
        <v>0</v>
      </c>
      <c r="L1599" s="60">
        <v>0</v>
      </c>
      <c r="M1599" s="60">
        <v>0</v>
      </c>
      <c r="N1599" s="60">
        <v>0</v>
      </c>
      <c r="O1599" s="60">
        <v>0</v>
      </c>
      <c r="P1599" s="60">
        <v>0</v>
      </c>
      <c r="Q1599" s="60">
        <v>0</v>
      </c>
      <c r="R1599" s="60">
        <v>0</v>
      </c>
      <c r="S1599" s="60">
        <v>0</v>
      </c>
      <c r="T1599" s="60">
        <v>0</v>
      </c>
      <c r="U1599" s="60">
        <v>0</v>
      </c>
      <c r="V1599" s="60">
        <v>0</v>
      </c>
      <c r="W1599" s="60">
        <v>0</v>
      </c>
      <c r="X1599" s="60">
        <v>0</v>
      </c>
      <c r="Y1599" s="60">
        <v>0</v>
      </c>
      <c r="Z1599" s="60">
        <v>0</v>
      </c>
      <c r="AA1599" s="60">
        <v>0</v>
      </c>
      <c r="AB1599" s="60">
        <v>0</v>
      </c>
      <c r="AC1599" s="60">
        <v>0</v>
      </c>
      <c r="AD1599" s="60">
        <v>0</v>
      </c>
      <c r="AE1599" s="60">
        <v>0</v>
      </c>
      <c r="AF1599" s="60">
        <v>0</v>
      </c>
      <c r="AG1599" s="60">
        <v>0</v>
      </c>
      <c r="AH1599" s="60">
        <v>0</v>
      </c>
      <c r="AI1599" s="60">
        <v>26.42</v>
      </c>
      <c r="AJ1599" s="60">
        <v>29.81</v>
      </c>
      <c r="AK1599" s="60">
        <v>31.91</v>
      </c>
      <c r="AL1599" s="60">
        <v>0</v>
      </c>
      <c r="AM1599" s="60">
        <v>0</v>
      </c>
      <c r="AN1599" s="60">
        <v>0</v>
      </c>
      <c r="AO1599" s="60">
        <v>26.42</v>
      </c>
      <c r="AP1599" s="60">
        <v>29.81</v>
      </c>
      <c r="AQ1599" s="60">
        <v>31.91</v>
      </c>
      <c r="AR1599" s="61">
        <v>31.91</v>
      </c>
    </row>
    <row r="1600" spans="1:44" x14ac:dyDescent="0.35">
      <c r="A1600" s="49" t="str">
        <f t="shared" si="129"/>
        <v>12</v>
      </c>
      <c r="B1600" s="27">
        <v>62851</v>
      </c>
      <c r="C1600" s="25" t="str">
        <f t="shared" si="128"/>
        <v>0000000</v>
      </c>
      <c r="D1600" s="26" t="s">
        <v>3663</v>
      </c>
      <c r="E1600" s="25" t="s">
        <v>546</v>
      </c>
      <c r="F1600" s="25" t="s">
        <v>339</v>
      </c>
      <c r="G1600" s="59" t="s">
        <v>547</v>
      </c>
      <c r="H1600" s="60">
        <v>4.58</v>
      </c>
      <c r="I1600" s="60">
        <v>11.15</v>
      </c>
      <c r="J1600" s="60">
        <v>7.37</v>
      </c>
      <c r="K1600" s="60">
        <v>0</v>
      </c>
      <c r="L1600" s="60">
        <v>0</v>
      </c>
      <c r="M1600" s="60">
        <v>0</v>
      </c>
      <c r="N1600" s="60">
        <v>0</v>
      </c>
      <c r="O1600" s="60">
        <v>0</v>
      </c>
      <c r="P1600" s="60">
        <v>0</v>
      </c>
      <c r="Q1600" s="60">
        <v>0</v>
      </c>
      <c r="R1600" s="60">
        <v>0</v>
      </c>
      <c r="S1600" s="60">
        <v>0</v>
      </c>
      <c r="T1600" s="60">
        <v>0</v>
      </c>
      <c r="U1600" s="60">
        <v>0</v>
      </c>
      <c r="V1600" s="60">
        <v>0</v>
      </c>
      <c r="W1600" s="60">
        <v>0</v>
      </c>
      <c r="X1600" s="60">
        <v>0</v>
      </c>
      <c r="Y1600" s="60">
        <v>0</v>
      </c>
      <c r="Z1600" s="60">
        <v>0</v>
      </c>
      <c r="AA1600" s="60">
        <v>0</v>
      </c>
      <c r="AB1600" s="60">
        <v>0</v>
      </c>
      <c r="AC1600" s="60">
        <v>0</v>
      </c>
      <c r="AD1600" s="60">
        <v>0</v>
      </c>
      <c r="AE1600" s="60">
        <v>0</v>
      </c>
      <c r="AF1600" s="60">
        <v>0</v>
      </c>
      <c r="AG1600" s="60">
        <v>0</v>
      </c>
      <c r="AH1600" s="60">
        <v>0</v>
      </c>
      <c r="AI1600" s="60">
        <v>4.58</v>
      </c>
      <c r="AJ1600" s="60">
        <v>11.15</v>
      </c>
      <c r="AK1600" s="60">
        <v>7.37</v>
      </c>
      <c r="AL1600" s="60">
        <v>0</v>
      </c>
      <c r="AM1600" s="60">
        <v>0</v>
      </c>
      <c r="AN1600" s="60">
        <v>0</v>
      </c>
      <c r="AO1600" s="60">
        <v>4.58</v>
      </c>
      <c r="AP1600" s="60">
        <v>11.15</v>
      </c>
      <c r="AQ1600" s="60">
        <v>7.37</v>
      </c>
      <c r="AR1600" s="61">
        <v>11.15</v>
      </c>
    </row>
    <row r="1601" spans="1:44" x14ac:dyDescent="0.35">
      <c r="A1601" s="49" t="str">
        <f t="shared" si="129"/>
        <v>12</v>
      </c>
      <c r="B1601" s="27">
        <v>75374</v>
      </c>
      <c r="C1601" s="25" t="str">
        <f t="shared" si="128"/>
        <v>0000000</v>
      </c>
      <c r="D1601" s="26" t="s">
        <v>3663</v>
      </c>
      <c r="E1601" s="25" t="s">
        <v>577</v>
      </c>
      <c r="F1601" s="25" t="s">
        <v>339</v>
      </c>
      <c r="G1601" s="59" t="s">
        <v>578</v>
      </c>
      <c r="H1601" s="60">
        <v>452.09</v>
      </c>
      <c r="I1601" s="60">
        <v>430.89</v>
      </c>
      <c r="J1601" s="60">
        <v>433.8</v>
      </c>
      <c r="K1601" s="60">
        <v>0</v>
      </c>
      <c r="L1601" s="60">
        <v>0</v>
      </c>
      <c r="M1601" s="60">
        <v>0</v>
      </c>
      <c r="N1601" s="60">
        <v>0</v>
      </c>
      <c r="O1601" s="60">
        <v>0</v>
      </c>
      <c r="P1601" s="60">
        <v>0</v>
      </c>
      <c r="Q1601" s="60">
        <v>0</v>
      </c>
      <c r="R1601" s="60">
        <v>0</v>
      </c>
      <c r="S1601" s="60">
        <v>0</v>
      </c>
      <c r="T1601" s="60">
        <v>0</v>
      </c>
      <c r="U1601" s="60">
        <v>0</v>
      </c>
      <c r="V1601" s="60">
        <v>0</v>
      </c>
      <c r="W1601" s="60">
        <v>0</v>
      </c>
      <c r="X1601" s="60">
        <v>0</v>
      </c>
      <c r="Y1601" s="60">
        <v>0</v>
      </c>
      <c r="Z1601" s="60">
        <v>0</v>
      </c>
      <c r="AA1601" s="60">
        <v>0</v>
      </c>
      <c r="AB1601" s="60">
        <v>0</v>
      </c>
      <c r="AC1601" s="60">
        <v>0</v>
      </c>
      <c r="AD1601" s="60">
        <v>0</v>
      </c>
      <c r="AE1601" s="60">
        <v>0</v>
      </c>
      <c r="AF1601" s="60">
        <v>0</v>
      </c>
      <c r="AG1601" s="60">
        <v>0</v>
      </c>
      <c r="AH1601" s="60">
        <v>0</v>
      </c>
      <c r="AI1601" s="60">
        <v>452.09</v>
      </c>
      <c r="AJ1601" s="60">
        <v>430.89</v>
      </c>
      <c r="AK1601" s="60">
        <v>433.8</v>
      </c>
      <c r="AL1601" s="60">
        <v>0</v>
      </c>
      <c r="AM1601" s="60">
        <v>0</v>
      </c>
      <c r="AN1601" s="60">
        <v>0</v>
      </c>
      <c r="AO1601" s="60">
        <v>452.09</v>
      </c>
      <c r="AP1601" s="60">
        <v>430.89</v>
      </c>
      <c r="AQ1601" s="60">
        <v>433.8</v>
      </c>
      <c r="AR1601" s="61">
        <v>452.09</v>
      </c>
    </row>
    <row r="1602" spans="1:44" x14ac:dyDescent="0.35">
      <c r="A1602" s="49" t="str">
        <f t="shared" si="129"/>
        <v>12</v>
      </c>
      <c r="B1602" s="27">
        <v>75382</v>
      </c>
      <c r="C1602" s="25" t="str">
        <f t="shared" si="128"/>
        <v>0000000</v>
      </c>
      <c r="D1602" s="26" t="s">
        <v>3663</v>
      </c>
      <c r="E1602" s="25" t="s">
        <v>579</v>
      </c>
      <c r="F1602" s="25" t="s">
        <v>339</v>
      </c>
      <c r="G1602" s="59" t="s">
        <v>580</v>
      </c>
      <c r="H1602" s="60">
        <v>32.869999999999997</v>
      </c>
      <c r="I1602" s="60">
        <v>31.77</v>
      </c>
      <c r="J1602" s="60">
        <v>39.130000000000003</v>
      </c>
      <c r="K1602" s="60">
        <v>0</v>
      </c>
      <c r="L1602" s="60">
        <v>0</v>
      </c>
      <c r="M1602" s="60">
        <v>0</v>
      </c>
      <c r="N1602" s="60">
        <v>0</v>
      </c>
      <c r="O1602" s="60">
        <v>0</v>
      </c>
      <c r="P1602" s="60">
        <v>0</v>
      </c>
      <c r="Q1602" s="60">
        <v>0</v>
      </c>
      <c r="R1602" s="60">
        <v>0</v>
      </c>
      <c r="S1602" s="60">
        <v>0</v>
      </c>
      <c r="T1602" s="60">
        <v>0</v>
      </c>
      <c r="U1602" s="60">
        <v>0</v>
      </c>
      <c r="V1602" s="60">
        <v>0</v>
      </c>
      <c r="W1602" s="60">
        <v>0</v>
      </c>
      <c r="X1602" s="60">
        <v>0</v>
      </c>
      <c r="Y1602" s="60">
        <v>0</v>
      </c>
      <c r="Z1602" s="60">
        <v>0</v>
      </c>
      <c r="AA1602" s="60">
        <v>0</v>
      </c>
      <c r="AB1602" s="60">
        <v>0</v>
      </c>
      <c r="AC1602" s="60">
        <v>0</v>
      </c>
      <c r="AD1602" s="60">
        <v>0</v>
      </c>
      <c r="AE1602" s="60">
        <v>0</v>
      </c>
      <c r="AF1602" s="60">
        <v>0</v>
      </c>
      <c r="AG1602" s="60">
        <v>0</v>
      </c>
      <c r="AH1602" s="60">
        <v>0</v>
      </c>
      <c r="AI1602" s="60">
        <v>32.869999999999997</v>
      </c>
      <c r="AJ1602" s="60">
        <v>31.77</v>
      </c>
      <c r="AK1602" s="60">
        <v>39.130000000000003</v>
      </c>
      <c r="AL1602" s="60">
        <v>0</v>
      </c>
      <c r="AM1602" s="60">
        <v>0</v>
      </c>
      <c r="AN1602" s="60">
        <v>0</v>
      </c>
      <c r="AO1602" s="60">
        <v>32.869999999999997</v>
      </c>
      <c r="AP1602" s="60">
        <v>31.77</v>
      </c>
      <c r="AQ1602" s="60">
        <v>39.130000000000003</v>
      </c>
      <c r="AR1602" s="61">
        <v>39.130000000000003</v>
      </c>
    </row>
    <row r="1603" spans="1:44" x14ac:dyDescent="0.35">
      <c r="A1603" s="49" t="str">
        <f t="shared" si="129"/>
        <v>12</v>
      </c>
      <c r="B1603" s="27">
        <v>62935</v>
      </c>
      <c r="C1603" s="25" t="str">
        <f t="shared" si="128"/>
        <v>0000000</v>
      </c>
      <c r="D1603" s="26" t="s">
        <v>3663</v>
      </c>
      <c r="E1603" s="25" t="s">
        <v>558</v>
      </c>
      <c r="F1603" s="25" t="s">
        <v>339</v>
      </c>
      <c r="G1603" s="59" t="s">
        <v>559</v>
      </c>
      <c r="H1603" s="60">
        <v>3.52</v>
      </c>
      <c r="I1603" s="60">
        <v>5.71</v>
      </c>
      <c r="J1603" s="60">
        <v>4.2</v>
      </c>
      <c r="K1603" s="60">
        <v>0</v>
      </c>
      <c r="L1603" s="60">
        <v>0</v>
      </c>
      <c r="M1603" s="60">
        <v>0</v>
      </c>
      <c r="N1603" s="60">
        <v>0</v>
      </c>
      <c r="O1603" s="60">
        <v>0</v>
      </c>
      <c r="P1603" s="60">
        <v>0</v>
      </c>
      <c r="Q1603" s="60">
        <v>0</v>
      </c>
      <c r="R1603" s="60">
        <v>0</v>
      </c>
      <c r="S1603" s="60">
        <v>0</v>
      </c>
      <c r="T1603" s="60">
        <v>0</v>
      </c>
      <c r="U1603" s="60">
        <v>0</v>
      </c>
      <c r="V1603" s="60">
        <v>0</v>
      </c>
      <c r="W1603" s="60">
        <v>0</v>
      </c>
      <c r="X1603" s="60">
        <v>0</v>
      </c>
      <c r="Y1603" s="60">
        <v>0</v>
      </c>
      <c r="Z1603" s="60">
        <v>0</v>
      </c>
      <c r="AA1603" s="60">
        <v>0</v>
      </c>
      <c r="AB1603" s="60">
        <v>0</v>
      </c>
      <c r="AC1603" s="60">
        <v>0</v>
      </c>
      <c r="AD1603" s="60">
        <v>0</v>
      </c>
      <c r="AE1603" s="60">
        <v>0</v>
      </c>
      <c r="AF1603" s="60">
        <v>0</v>
      </c>
      <c r="AG1603" s="60">
        <v>0</v>
      </c>
      <c r="AH1603" s="60">
        <v>0</v>
      </c>
      <c r="AI1603" s="60">
        <v>3.52</v>
      </c>
      <c r="AJ1603" s="60">
        <v>5.71</v>
      </c>
      <c r="AK1603" s="60">
        <v>4.2</v>
      </c>
      <c r="AL1603" s="60">
        <v>0</v>
      </c>
      <c r="AM1603" s="60">
        <v>0</v>
      </c>
      <c r="AN1603" s="60">
        <v>0</v>
      </c>
      <c r="AO1603" s="60">
        <v>3.52</v>
      </c>
      <c r="AP1603" s="60">
        <v>5.71</v>
      </c>
      <c r="AQ1603" s="60">
        <v>4.2</v>
      </c>
      <c r="AR1603" s="61">
        <v>5.71</v>
      </c>
    </row>
    <row r="1604" spans="1:44" x14ac:dyDescent="0.35">
      <c r="A1604" s="49" t="str">
        <f t="shared" si="129"/>
        <v>12</v>
      </c>
      <c r="B1604" s="27">
        <v>75515</v>
      </c>
      <c r="C1604" s="25" t="str">
        <f t="shared" si="128"/>
        <v>0000000</v>
      </c>
      <c r="D1604" s="26" t="s">
        <v>3663</v>
      </c>
      <c r="E1604" s="25" t="s">
        <v>581</v>
      </c>
      <c r="F1604" s="25" t="s">
        <v>339</v>
      </c>
      <c r="G1604" s="59" t="s">
        <v>582</v>
      </c>
      <c r="H1604" s="60">
        <v>3192.91</v>
      </c>
      <c r="I1604" s="60">
        <v>3211.5</v>
      </c>
      <c r="J1604" s="60">
        <v>3204.17</v>
      </c>
      <c r="K1604" s="60">
        <v>0</v>
      </c>
      <c r="L1604" s="60">
        <v>0</v>
      </c>
      <c r="M1604" s="60">
        <v>0</v>
      </c>
      <c r="N1604" s="60">
        <v>0</v>
      </c>
      <c r="O1604" s="60">
        <v>0</v>
      </c>
      <c r="P1604" s="60">
        <v>0</v>
      </c>
      <c r="Q1604" s="60">
        <v>0</v>
      </c>
      <c r="R1604" s="60">
        <v>0</v>
      </c>
      <c r="S1604" s="60">
        <v>0</v>
      </c>
      <c r="T1604" s="60">
        <v>0</v>
      </c>
      <c r="U1604" s="60">
        <v>0</v>
      </c>
      <c r="V1604" s="60">
        <v>0</v>
      </c>
      <c r="W1604" s="60">
        <v>0</v>
      </c>
      <c r="X1604" s="60">
        <v>0</v>
      </c>
      <c r="Y1604" s="60">
        <v>0</v>
      </c>
      <c r="Z1604" s="60">
        <v>0</v>
      </c>
      <c r="AA1604" s="60">
        <v>0</v>
      </c>
      <c r="AB1604" s="60">
        <v>0</v>
      </c>
      <c r="AC1604" s="60">
        <v>0</v>
      </c>
      <c r="AD1604" s="60">
        <v>0</v>
      </c>
      <c r="AE1604" s="60">
        <v>0</v>
      </c>
      <c r="AF1604" s="60">
        <v>0</v>
      </c>
      <c r="AG1604" s="60">
        <v>0</v>
      </c>
      <c r="AH1604" s="60">
        <v>0</v>
      </c>
      <c r="AI1604" s="60">
        <v>3192.91</v>
      </c>
      <c r="AJ1604" s="60">
        <v>3211.5</v>
      </c>
      <c r="AK1604" s="60">
        <v>3204.17</v>
      </c>
      <c r="AL1604" s="60">
        <v>0</v>
      </c>
      <c r="AM1604" s="60">
        <v>0</v>
      </c>
      <c r="AN1604" s="60">
        <v>0</v>
      </c>
      <c r="AO1604" s="60">
        <v>3192.91</v>
      </c>
      <c r="AP1604" s="60">
        <v>3211.5</v>
      </c>
      <c r="AQ1604" s="60">
        <v>3204.17</v>
      </c>
      <c r="AR1604" s="61">
        <v>3211.5</v>
      </c>
    </row>
    <row r="1605" spans="1:44" x14ac:dyDescent="0.35">
      <c r="A1605" s="49" t="str">
        <f>TEXT(8,"00")</f>
        <v>08</v>
      </c>
      <c r="B1605" s="27">
        <v>10082</v>
      </c>
      <c r="C1605" s="25" t="str">
        <f t="shared" si="128"/>
        <v>0000000</v>
      </c>
      <c r="D1605" s="26" t="s">
        <v>3663</v>
      </c>
      <c r="E1605" s="25" t="s">
        <v>340</v>
      </c>
      <c r="F1605" s="25" t="s">
        <v>339</v>
      </c>
      <c r="G1605" s="59" t="s">
        <v>341</v>
      </c>
      <c r="H1605" s="60">
        <v>0</v>
      </c>
      <c r="I1605" s="60">
        <v>0</v>
      </c>
      <c r="J1605" s="60">
        <v>0</v>
      </c>
      <c r="K1605" s="60">
        <v>0</v>
      </c>
      <c r="L1605" s="60">
        <v>0</v>
      </c>
      <c r="M1605" s="60">
        <v>0</v>
      </c>
      <c r="N1605" s="60">
        <v>0</v>
      </c>
      <c r="O1605" s="60">
        <v>0</v>
      </c>
      <c r="P1605" s="60">
        <v>0</v>
      </c>
      <c r="Q1605" s="60">
        <v>0</v>
      </c>
      <c r="R1605" s="60">
        <v>0</v>
      </c>
      <c r="S1605" s="60">
        <v>0</v>
      </c>
      <c r="T1605" s="60">
        <v>1.26</v>
      </c>
      <c r="U1605" s="60">
        <v>13.57</v>
      </c>
      <c r="V1605" s="60">
        <v>14.57</v>
      </c>
      <c r="W1605" s="60">
        <v>27.23</v>
      </c>
      <c r="X1605" s="60">
        <v>12.78</v>
      </c>
      <c r="Y1605" s="60">
        <v>16.66</v>
      </c>
      <c r="Z1605" s="60">
        <v>349.6</v>
      </c>
      <c r="AA1605" s="60">
        <v>357.7</v>
      </c>
      <c r="AB1605" s="60">
        <v>342.24</v>
      </c>
      <c r="AC1605" s="60">
        <v>0</v>
      </c>
      <c r="AD1605" s="60">
        <v>0</v>
      </c>
      <c r="AE1605" s="60">
        <v>0</v>
      </c>
      <c r="AF1605" s="60">
        <v>0</v>
      </c>
      <c r="AG1605" s="60">
        <v>0</v>
      </c>
      <c r="AH1605" s="60">
        <v>0</v>
      </c>
      <c r="AI1605" s="60">
        <v>378.09</v>
      </c>
      <c r="AJ1605" s="60">
        <v>384.05</v>
      </c>
      <c r="AK1605" s="60">
        <v>373.47</v>
      </c>
      <c r="AL1605" s="60">
        <v>0</v>
      </c>
      <c r="AM1605" s="60">
        <v>0</v>
      </c>
      <c r="AN1605" s="60">
        <v>0</v>
      </c>
      <c r="AO1605" s="60">
        <v>378.09</v>
      </c>
      <c r="AP1605" s="60">
        <v>384.05</v>
      </c>
      <c r="AQ1605" s="60">
        <v>373.47</v>
      </c>
      <c r="AR1605" s="61">
        <v>384.05</v>
      </c>
    </row>
    <row r="1606" spans="1:44" x14ac:dyDescent="0.35">
      <c r="A1606" s="49" t="str">
        <f>TEXT(12,"00")</f>
        <v>12</v>
      </c>
      <c r="B1606" s="27">
        <v>76802</v>
      </c>
      <c r="C1606" s="25" t="str">
        <f t="shared" si="128"/>
        <v>0000000</v>
      </c>
      <c r="D1606" s="26" t="s">
        <v>3663</v>
      </c>
      <c r="E1606" s="25" t="s">
        <v>585</v>
      </c>
      <c r="F1606" s="25" t="s">
        <v>339</v>
      </c>
      <c r="G1606" s="59" t="s">
        <v>586</v>
      </c>
      <c r="H1606" s="60">
        <v>978.94</v>
      </c>
      <c r="I1606" s="60">
        <v>1009.53</v>
      </c>
      <c r="J1606" s="60">
        <v>1060.6300000000001</v>
      </c>
      <c r="K1606" s="60">
        <v>0</v>
      </c>
      <c r="L1606" s="60">
        <v>0</v>
      </c>
      <c r="M1606" s="60">
        <v>0</v>
      </c>
      <c r="N1606" s="60">
        <v>0</v>
      </c>
      <c r="O1606" s="60">
        <v>0</v>
      </c>
      <c r="P1606" s="60">
        <v>0</v>
      </c>
      <c r="Q1606" s="60">
        <v>0</v>
      </c>
      <c r="R1606" s="60">
        <v>0</v>
      </c>
      <c r="S1606" s="60">
        <v>0</v>
      </c>
      <c r="T1606" s="60">
        <v>0</v>
      </c>
      <c r="U1606" s="60">
        <v>0</v>
      </c>
      <c r="V1606" s="60">
        <v>0</v>
      </c>
      <c r="W1606" s="60">
        <v>0</v>
      </c>
      <c r="X1606" s="60">
        <v>0</v>
      </c>
      <c r="Y1606" s="60">
        <v>0</v>
      </c>
      <c r="Z1606" s="60">
        <v>0</v>
      </c>
      <c r="AA1606" s="60">
        <v>0</v>
      </c>
      <c r="AB1606" s="60">
        <v>0</v>
      </c>
      <c r="AC1606" s="60">
        <v>228.52</v>
      </c>
      <c r="AD1606" s="60">
        <v>219.28</v>
      </c>
      <c r="AE1606" s="60">
        <v>217.48</v>
      </c>
      <c r="AF1606" s="60">
        <v>0</v>
      </c>
      <c r="AG1606" s="60">
        <v>0</v>
      </c>
      <c r="AH1606" s="60">
        <v>0</v>
      </c>
      <c r="AI1606" s="60">
        <v>1207.46</v>
      </c>
      <c r="AJ1606" s="60">
        <v>1228.81</v>
      </c>
      <c r="AK1606" s="60">
        <v>1278.1099999999999</v>
      </c>
      <c r="AL1606" s="60">
        <v>0</v>
      </c>
      <c r="AM1606" s="60">
        <v>0</v>
      </c>
      <c r="AN1606" s="60">
        <v>0</v>
      </c>
      <c r="AO1606" s="60">
        <v>1207.46</v>
      </c>
      <c r="AP1606" s="60">
        <v>1228.81</v>
      </c>
      <c r="AQ1606" s="60">
        <v>1278.1099999999999</v>
      </c>
      <c r="AR1606" s="61">
        <v>1278.1099999999999</v>
      </c>
    </row>
    <row r="1607" spans="1:44" x14ac:dyDescent="0.35">
      <c r="A1607" s="49" t="str">
        <f>TEXT(12,"00")</f>
        <v>12</v>
      </c>
      <c r="B1607" s="27">
        <v>10124</v>
      </c>
      <c r="C1607" s="25" t="str">
        <f>TEXT(137364,"0000000")</f>
        <v>0137364</v>
      </c>
      <c r="D1607" s="27">
        <v>1957</v>
      </c>
      <c r="E1607" s="25" t="s">
        <v>520</v>
      </c>
      <c r="F1607" s="25" t="s">
        <v>339</v>
      </c>
      <c r="G1607" s="59" t="s">
        <v>521</v>
      </c>
      <c r="H1607" s="60">
        <v>0</v>
      </c>
      <c r="I1607" s="60">
        <v>0</v>
      </c>
      <c r="J1607" s="60">
        <v>0</v>
      </c>
      <c r="K1607" s="60">
        <v>0</v>
      </c>
      <c r="L1607" s="60">
        <v>0</v>
      </c>
      <c r="M1607" s="60">
        <v>0</v>
      </c>
      <c r="N1607" s="60">
        <v>0</v>
      </c>
      <c r="O1607" s="60">
        <v>0</v>
      </c>
      <c r="P1607" s="60">
        <v>0</v>
      </c>
      <c r="Q1607" s="60">
        <v>0</v>
      </c>
      <c r="R1607" s="60">
        <v>0</v>
      </c>
      <c r="S1607" s="60">
        <v>0</v>
      </c>
      <c r="T1607" s="60">
        <v>0</v>
      </c>
      <c r="U1607" s="60">
        <v>0</v>
      </c>
      <c r="V1607" s="60">
        <v>0</v>
      </c>
      <c r="W1607" s="60">
        <v>0</v>
      </c>
      <c r="X1607" s="60">
        <v>0</v>
      </c>
      <c r="Y1607" s="60">
        <v>0</v>
      </c>
      <c r="Z1607" s="60">
        <v>308.63</v>
      </c>
      <c r="AA1607" s="60">
        <v>302.95</v>
      </c>
      <c r="AB1607" s="60">
        <v>311.92</v>
      </c>
      <c r="AC1607" s="60">
        <v>0</v>
      </c>
      <c r="AD1607" s="60">
        <v>0</v>
      </c>
      <c r="AE1607" s="60">
        <v>0</v>
      </c>
      <c r="AF1607" s="60">
        <v>0</v>
      </c>
      <c r="AG1607" s="60">
        <v>0</v>
      </c>
      <c r="AH1607" s="60">
        <v>0</v>
      </c>
      <c r="AI1607" s="60">
        <v>308.63</v>
      </c>
      <c r="AJ1607" s="60">
        <v>302.95</v>
      </c>
      <c r="AK1607" s="60">
        <v>311.92</v>
      </c>
      <c r="AL1607" s="60">
        <v>0</v>
      </c>
      <c r="AM1607" s="60">
        <v>0</v>
      </c>
      <c r="AN1607" s="60">
        <v>0</v>
      </c>
      <c r="AO1607" s="60">
        <v>308.63</v>
      </c>
      <c r="AP1607" s="60">
        <v>302.95</v>
      </c>
      <c r="AQ1607" s="60">
        <v>311.92</v>
      </c>
      <c r="AR1607" s="61">
        <v>311.92</v>
      </c>
    </row>
    <row r="1608" spans="1:44" x14ac:dyDescent="0.35">
      <c r="A1608" s="49" t="str">
        <f>TEXT(12,"00")</f>
        <v>12</v>
      </c>
      <c r="B1608" s="27">
        <v>75515</v>
      </c>
      <c r="C1608" s="25" t="str">
        <f>TEXT(1230150,"0000000")</f>
        <v>1230150</v>
      </c>
      <c r="D1608" s="27">
        <v>1884</v>
      </c>
      <c r="E1608" s="25" t="s">
        <v>583</v>
      </c>
      <c r="F1608" s="25" t="s">
        <v>339</v>
      </c>
      <c r="G1608" s="59" t="s">
        <v>584</v>
      </c>
      <c r="H1608" s="60">
        <v>0</v>
      </c>
      <c r="I1608" s="60">
        <v>0</v>
      </c>
      <c r="J1608" s="60">
        <v>0</v>
      </c>
      <c r="K1608" s="60">
        <v>0</v>
      </c>
      <c r="L1608" s="60">
        <v>0</v>
      </c>
      <c r="M1608" s="60">
        <v>0</v>
      </c>
      <c r="N1608" s="60">
        <v>0</v>
      </c>
      <c r="O1608" s="60">
        <v>0</v>
      </c>
      <c r="P1608" s="60">
        <v>0</v>
      </c>
      <c r="Q1608" s="60">
        <v>0</v>
      </c>
      <c r="R1608" s="60">
        <v>0</v>
      </c>
      <c r="S1608" s="60">
        <v>0</v>
      </c>
      <c r="T1608" s="60">
        <v>0</v>
      </c>
      <c r="U1608" s="60">
        <v>0</v>
      </c>
      <c r="V1608" s="60">
        <v>0</v>
      </c>
      <c r="W1608" s="60">
        <v>0</v>
      </c>
      <c r="X1608" s="60">
        <v>0</v>
      </c>
      <c r="Y1608" s="60">
        <v>0</v>
      </c>
      <c r="Z1608" s="60">
        <v>0</v>
      </c>
      <c r="AA1608" s="60">
        <v>0</v>
      </c>
      <c r="AB1608" s="60">
        <v>0</v>
      </c>
      <c r="AC1608" s="60">
        <v>149.11000000000001</v>
      </c>
      <c r="AD1608" s="60">
        <v>141.16</v>
      </c>
      <c r="AE1608" s="60">
        <v>145.1</v>
      </c>
      <c r="AF1608" s="60">
        <v>0</v>
      </c>
      <c r="AG1608" s="60">
        <v>0</v>
      </c>
      <c r="AH1608" s="60">
        <v>0</v>
      </c>
      <c r="AI1608" s="60">
        <v>149.11000000000001</v>
      </c>
      <c r="AJ1608" s="60">
        <v>141.16</v>
      </c>
      <c r="AK1608" s="60">
        <v>145.1</v>
      </c>
      <c r="AL1608" s="60">
        <v>0</v>
      </c>
      <c r="AM1608" s="60">
        <v>0</v>
      </c>
      <c r="AN1608" s="60">
        <v>0</v>
      </c>
      <c r="AO1608" s="60">
        <v>149.11000000000001</v>
      </c>
      <c r="AP1608" s="60">
        <v>141.16</v>
      </c>
      <c r="AQ1608" s="60">
        <v>145.1</v>
      </c>
      <c r="AR1608" s="61">
        <v>149.11000000000001</v>
      </c>
    </row>
    <row r="1609" spans="1:44" x14ac:dyDescent="0.35">
      <c r="A1609" s="49" t="str">
        <f t="shared" ref="A1609:A1629" si="130">TEXT(24,"00")</f>
        <v>24</v>
      </c>
      <c r="B1609" s="27">
        <v>10249</v>
      </c>
      <c r="C1609" s="25" t="str">
        <f t="shared" ref="C1609:C1640" si="131">TEXT(,"0000000")</f>
        <v>0000000</v>
      </c>
      <c r="D1609" s="26" t="s">
        <v>3663</v>
      </c>
      <c r="E1609" s="25" t="s">
        <v>1323</v>
      </c>
      <c r="F1609" s="25" t="s">
        <v>1324</v>
      </c>
      <c r="G1609" s="59" t="s">
        <v>1324</v>
      </c>
      <c r="H1609" s="60">
        <v>0</v>
      </c>
      <c r="I1609" s="60">
        <v>0</v>
      </c>
      <c r="J1609" s="60">
        <v>0</v>
      </c>
      <c r="K1609" s="60">
        <v>0</v>
      </c>
      <c r="L1609" s="60">
        <v>0</v>
      </c>
      <c r="M1609" s="60">
        <v>0</v>
      </c>
      <c r="N1609" s="60">
        <v>0</v>
      </c>
      <c r="O1609" s="60">
        <v>0</v>
      </c>
      <c r="P1609" s="60">
        <v>0</v>
      </c>
      <c r="Q1609" s="60">
        <v>0</v>
      </c>
      <c r="R1609" s="60">
        <v>0</v>
      </c>
      <c r="S1609" s="60">
        <v>0</v>
      </c>
      <c r="T1609" s="60">
        <v>286.64</v>
      </c>
      <c r="U1609" s="60">
        <v>257.57</v>
      </c>
      <c r="V1609" s="60">
        <v>177.18</v>
      </c>
      <c r="W1609" s="60">
        <v>1036.78</v>
      </c>
      <c r="X1609" s="60">
        <v>898</v>
      </c>
      <c r="Y1609" s="60">
        <v>880.87</v>
      </c>
      <c r="Z1609" s="60">
        <v>384.93</v>
      </c>
      <c r="AA1609" s="60">
        <v>337.11</v>
      </c>
      <c r="AB1609" s="60">
        <v>288.37</v>
      </c>
      <c r="AC1609" s="60">
        <v>0</v>
      </c>
      <c r="AD1609" s="60">
        <v>0</v>
      </c>
      <c r="AE1609" s="60">
        <v>0</v>
      </c>
      <c r="AF1609" s="60">
        <v>0</v>
      </c>
      <c r="AG1609" s="60">
        <v>0</v>
      </c>
      <c r="AH1609" s="60">
        <v>0</v>
      </c>
      <c r="AI1609" s="60">
        <v>1708.35</v>
      </c>
      <c r="AJ1609" s="60">
        <v>1492.68</v>
      </c>
      <c r="AK1609" s="60">
        <v>1346.42</v>
      </c>
      <c r="AL1609" s="60">
        <v>0</v>
      </c>
      <c r="AM1609" s="60">
        <v>0</v>
      </c>
      <c r="AN1609" s="60">
        <v>0</v>
      </c>
      <c r="AO1609" s="60">
        <v>1708.35</v>
      </c>
      <c r="AP1609" s="60">
        <v>1492.68</v>
      </c>
      <c r="AQ1609" s="60">
        <v>1346.42</v>
      </c>
      <c r="AR1609" s="61">
        <v>1708.35</v>
      </c>
    </row>
    <row r="1610" spans="1:44" x14ac:dyDescent="0.35">
      <c r="A1610" s="49" t="str">
        <f t="shared" si="130"/>
        <v>24</v>
      </c>
      <c r="B1610" s="27">
        <v>65631</v>
      </c>
      <c r="C1610" s="25" t="str">
        <f t="shared" si="131"/>
        <v>0000000</v>
      </c>
      <c r="D1610" s="26" t="s">
        <v>3663</v>
      </c>
      <c r="E1610" s="25" t="s">
        <v>1325</v>
      </c>
      <c r="F1610" s="25" t="s">
        <v>1324</v>
      </c>
      <c r="G1610" s="59" t="s">
        <v>1326</v>
      </c>
      <c r="H1610" s="60">
        <v>4671.47</v>
      </c>
      <c r="I1610" s="60">
        <v>4621.75</v>
      </c>
      <c r="J1610" s="60">
        <v>4438.6499999999996</v>
      </c>
      <c r="K1610" s="60">
        <v>0</v>
      </c>
      <c r="L1610" s="60">
        <v>0</v>
      </c>
      <c r="M1610" s="60">
        <v>0</v>
      </c>
      <c r="N1610" s="60">
        <v>0</v>
      </c>
      <c r="O1610" s="60">
        <v>0</v>
      </c>
      <c r="P1610" s="60">
        <v>0</v>
      </c>
      <c r="Q1610" s="60">
        <v>0</v>
      </c>
      <c r="R1610" s="60">
        <v>0</v>
      </c>
      <c r="S1610" s="60">
        <v>0</v>
      </c>
      <c r="T1610" s="60">
        <v>0</v>
      </c>
      <c r="U1610" s="60">
        <v>0</v>
      </c>
      <c r="V1610" s="60">
        <v>0</v>
      </c>
      <c r="W1610" s="60">
        <v>0</v>
      </c>
      <c r="X1610" s="60">
        <v>0</v>
      </c>
      <c r="Y1610" s="60">
        <v>0</v>
      </c>
      <c r="Z1610" s="60">
        <v>0</v>
      </c>
      <c r="AA1610" s="60">
        <v>0</v>
      </c>
      <c r="AB1610" s="60">
        <v>0</v>
      </c>
      <c r="AC1610" s="60">
        <v>0</v>
      </c>
      <c r="AD1610" s="60">
        <v>0</v>
      </c>
      <c r="AE1610" s="60">
        <v>0</v>
      </c>
      <c r="AF1610" s="60">
        <v>0</v>
      </c>
      <c r="AG1610" s="60">
        <v>0</v>
      </c>
      <c r="AH1610" s="60">
        <v>0</v>
      </c>
      <c r="AI1610" s="60">
        <v>4671.47</v>
      </c>
      <c r="AJ1610" s="60">
        <v>4621.75</v>
      </c>
      <c r="AK1610" s="60">
        <v>4438.6499999999996</v>
      </c>
      <c r="AL1610" s="60">
        <v>0</v>
      </c>
      <c r="AM1610" s="60">
        <v>0</v>
      </c>
      <c r="AN1610" s="60">
        <v>0</v>
      </c>
      <c r="AO1610" s="60">
        <v>4671.47</v>
      </c>
      <c r="AP1610" s="60">
        <v>4621.75</v>
      </c>
      <c r="AQ1610" s="60">
        <v>4438.6499999999996</v>
      </c>
      <c r="AR1610" s="61">
        <v>4671.47</v>
      </c>
    </row>
    <row r="1611" spans="1:44" x14ac:dyDescent="0.35">
      <c r="A1611" s="49" t="str">
        <f t="shared" si="130"/>
        <v>24</v>
      </c>
      <c r="B1611" s="27">
        <v>65649</v>
      </c>
      <c r="C1611" s="25" t="str">
        <f t="shared" si="131"/>
        <v>0000000</v>
      </c>
      <c r="D1611" s="26" t="s">
        <v>3663</v>
      </c>
      <c r="E1611" s="25" t="s">
        <v>1327</v>
      </c>
      <c r="F1611" s="25" t="s">
        <v>1324</v>
      </c>
      <c r="G1611" s="59" t="s">
        <v>1328</v>
      </c>
      <c r="H1611" s="60">
        <v>51.24</v>
      </c>
      <c r="I1611" s="60">
        <v>39.35</v>
      </c>
      <c r="J1611" s="60">
        <v>42.02</v>
      </c>
      <c r="K1611" s="60">
        <v>0</v>
      </c>
      <c r="L1611" s="60">
        <v>0</v>
      </c>
      <c r="M1611" s="60">
        <v>0</v>
      </c>
      <c r="N1611" s="60">
        <v>0</v>
      </c>
      <c r="O1611" s="60">
        <v>0</v>
      </c>
      <c r="P1611" s="60">
        <v>0</v>
      </c>
      <c r="Q1611" s="60">
        <v>0</v>
      </c>
      <c r="R1611" s="60">
        <v>0</v>
      </c>
      <c r="S1611" s="60">
        <v>0</v>
      </c>
      <c r="T1611" s="60">
        <v>0</v>
      </c>
      <c r="U1611" s="60">
        <v>0</v>
      </c>
      <c r="V1611" s="60">
        <v>0</v>
      </c>
      <c r="W1611" s="60">
        <v>0</v>
      </c>
      <c r="X1611" s="60">
        <v>0</v>
      </c>
      <c r="Y1611" s="60">
        <v>0</v>
      </c>
      <c r="Z1611" s="60">
        <v>0</v>
      </c>
      <c r="AA1611" s="60">
        <v>0</v>
      </c>
      <c r="AB1611" s="60">
        <v>0</v>
      </c>
      <c r="AC1611" s="60">
        <v>288.27999999999997</v>
      </c>
      <c r="AD1611" s="60">
        <v>302.14</v>
      </c>
      <c r="AE1611" s="60">
        <v>298.57</v>
      </c>
      <c r="AF1611" s="60">
        <v>0</v>
      </c>
      <c r="AG1611" s="60">
        <v>0</v>
      </c>
      <c r="AH1611" s="60">
        <v>0</v>
      </c>
      <c r="AI1611" s="60">
        <v>339.52</v>
      </c>
      <c r="AJ1611" s="60">
        <v>341.49</v>
      </c>
      <c r="AK1611" s="60">
        <v>340.59</v>
      </c>
      <c r="AL1611" s="60">
        <v>0</v>
      </c>
      <c r="AM1611" s="60">
        <v>0</v>
      </c>
      <c r="AN1611" s="60">
        <v>0</v>
      </c>
      <c r="AO1611" s="60">
        <v>339.52</v>
      </c>
      <c r="AP1611" s="60">
        <v>341.49</v>
      </c>
      <c r="AQ1611" s="60">
        <v>340.59</v>
      </c>
      <c r="AR1611" s="61">
        <v>341.49</v>
      </c>
    </row>
    <row r="1612" spans="1:44" x14ac:dyDescent="0.35">
      <c r="A1612" s="49" t="str">
        <f t="shared" si="130"/>
        <v>24</v>
      </c>
      <c r="B1612" s="27">
        <v>65680</v>
      </c>
      <c r="C1612" s="25" t="str">
        <f t="shared" si="131"/>
        <v>0000000</v>
      </c>
      <c r="D1612" s="26" t="s">
        <v>3663</v>
      </c>
      <c r="E1612" s="25" t="s">
        <v>1329</v>
      </c>
      <c r="F1612" s="25" t="s">
        <v>1324</v>
      </c>
      <c r="G1612" s="59" t="s">
        <v>1330</v>
      </c>
      <c r="H1612" s="60">
        <v>144.02000000000001</v>
      </c>
      <c r="I1612" s="60">
        <v>138.63999999999999</v>
      </c>
      <c r="J1612" s="60">
        <v>142.96</v>
      </c>
      <c r="K1612" s="60">
        <v>0</v>
      </c>
      <c r="L1612" s="60">
        <v>0</v>
      </c>
      <c r="M1612" s="60">
        <v>0</v>
      </c>
      <c r="N1612" s="60">
        <v>0</v>
      </c>
      <c r="O1612" s="60">
        <v>0</v>
      </c>
      <c r="P1612" s="60">
        <v>0</v>
      </c>
      <c r="Q1612" s="60">
        <v>0</v>
      </c>
      <c r="R1612" s="60">
        <v>0</v>
      </c>
      <c r="S1612" s="60">
        <v>0</v>
      </c>
      <c r="T1612" s="60">
        <v>0</v>
      </c>
      <c r="U1612" s="60">
        <v>0</v>
      </c>
      <c r="V1612" s="60">
        <v>0</v>
      </c>
      <c r="W1612" s="60">
        <v>0</v>
      </c>
      <c r="X1612" s="60">
        <v>0</v>
      </c>
      <c r="Y1612" s="60">
        <v>0</v>
      </c>
      <c r="Z1612" s="60">
        <v>0</v>
      </c>
      <c r="AA1612" s="60">
        <v>0</v>
      </c>
      <c r="AB1612" s="60">
        <v>0</v>
      </c>
      <c r="AC1612" s="60">
        <v>0</v>
      </c>
      <c r="AD1612" s="60">
        <v>0</v>
      </c>
      <c r="AE1612" s="60">
        <v>0</v>
      </c>
      <c r="AF1612" s="60">
        <v>0</v>
      </c>
      <c r="AG1612" s="60">
        <v>0</v>
      </c>
      <c r="AH1612" s="60">
        <v>0</v>
      </c>
      <c r="AI1612" s="60">
        <v>144.02000000000001</v>
      </c>
      <c r="AJ1612" s="60">
        <v>138.63999999999999</v>
      </c>
      <c r="AK1612" s="60">
        <v>142.96</v>
      </c>
      <c r="AL1612" s="60">
        <v>0</v>
      </c>
      <c r="AM1612" s="60">
        <v>0</v>
      </c>
      <c r="AN1612" s="60">
        <v>0</v>
      </c>
      <c r="AO1612" s="60">
        <v>144.02000000000001</v>
      </c>
      <c r="AP1612" s="60">
        <v>138.63999999999999</v>
      </c>
      <c r="AQ1612" s="60">
        <v>142.96</v>
      </c>
      <c r="AR1612" s="61">
        <v>144.02000000000001</v>
      </c>
    </row>
    <row r="1613" spans="1:44" x14ac:dyDescent="0.35">
      <c r="A1613" s="49" t="str">
        <f t="shared" si="130"/>
        <v>24</v>
      </c>
      <c r="B1613" s="27">
        <v>73619</v>
      </c>
      <c r="C1613" s="25" t="str">
        <f t="shared" si="131"/>
        <v>0000000</v>
      </c>
      <c r="D1613" s="26" t="s">
        <v>3663</v>
      </c>
      <c r="E1613" s="25" t="s">
        <v>1357</v>
      </c>
      <c r="F1613" s="25" t="s">
        <v>1324</v>
      </c>
      <c r="G1613" s="59" t="s">
        <v>1358</v>
      </c>
      <c r="H1613" s="60">
        <v>1549.46</v>
      </c>
      <c r="I1613" s="60">
        <v>1587.56</v>
      </c>
      <c r="J1613" s="60">
        <v>1568.27</v>
      </c>
      <c r="K1613" s="60">
        <v>0</v>
      </c>
      <c r="L1613" s="60">
        <v>0</v>
      </c>
      <c r="M1613" s="60">
        <v>0</v>
      </c>
      <c r="N1613" s="60">
        <v>0</v>
      </c>
      <c r="O1613" s="60">
        <v>0</v>
      </c>
      <c r="P1613" s="60">
        <v>0</v>
      </c>
      <c r="Q1613" s="60">
        <v>0</v>
      </c>
      <c r="R1613" s="60">
        <v>0</v>
      </c>
      <c r="S1613" s="60">
        <v>0</v>
      </c>
      <c r="T1613" s="60">
        <v>0</v>
      </c>
      <c r="U1613" s="60">
        <v>0</v>
      </c>
      <c r="V1613" s="60">
        <v>0</v>
      </c>
      <c r="W1613" s="60">
        <v>0</v>
      </c>
      <c r="X1613" s="60">
        <v>0</v>
      </c>
      <c r="Y1613" s="60">
        <v>0</v>
      </c>
      <c r="Z1613" s="60">
        <v>0</v>
      </c>
      <c r="AA1613" s="60">
        <v>0</v>
      </c>
      <c r="AB1613" s="60">
        <v>0</v>
      </c>
      <c r="AC1613" s="60">
        <v>0</v>
      </c>
      <c r="AD1613" s="60">
        <v>0</v>
      </c>
      <c r="AE1613" s="60">
        <v>0</v>
      </c>
      <c r="AF1613" s="60">
        <v>0</v>
      </c>
      <c r="AG1613" s="60">
        <v>0</v>
      </c>
      <c r="AH1613" s="60">
        <v>0</v>
      </c>
      <c r="AI1613" s="60">
        <v>1549.46</v>
      </c>
      <c r="AJ1613" s="60">
        <v>1587.56</v>
      </c>
      <c r="AK1613" s="60">
        <v>1568.27</v>
      </c>
      <c r="AL1613" s="60">
        <v>0</v>
      </c>
      <c r="AM1613" s="60">
        <v>0</v>
      </c>
      <c r="AN1613" s="60">
        <v>0</v>
      </c>
      <c r="AO1613" s="60">
        <v>1549.46</v>
      </c>
      <c r="AP1613" s="60">
        <v>1587.56</v>
      </c>
      <c r="AQ1613" s="60">
        <v>1568.27</v>
      </c>
      <c r="AR1613" s="61">
        <v>1587.56</v>
      </c>
    </row>
    <row r="1614" spans="1:44" x14ac:dyDescent="0.35">
      <c r="A1614" s="49" t="str">
        <f t="shared" si="130"/>
        <v>24</v>
      </c>
      <c r="B1614" s="27">
        <v>65698</v>
      </c>
      <c r="C1614" s="25" t="str">
        <f t="shared" si="131"/>
        <v>0000000</v>
      </c>
      <c r="D1614" s="26" t="s">
        <v>3663</v>
      </c>
      <c r="E1614" s="25" t="s">
        <v>1331</v>
      </c>
      <c r="F1614" s="25" t="s">
        <v>1324</v>
      </c>
      <c r="G1614" s="59" t="s">
        <v>1332</v>
      </c>
      <c r="H1614" s="60">
        <v>2169.0700000000002</v>
      </c>
      <c r="I1614" s="60">
        <v>2168.9</v>
      </c>
      <c r="J1614" s="60">
        <v>2097.6</v>
      </c>
      <c r="K1614" s="60">
        <v>0</v>
      </c>
      <c r="L1614" s="60">
        <v>0</v>
      </c>
      <c r="M1614" s="60">
        <v>0</v>
      </c>
      <c r="N1614" s="60">
        <v>0</v>
      </c>
      <c r="O1614" s="60">
        <v>0</v>
      </c>
      <c r="P1614" s="60">
        <v>0</v>
      </c>
      <c r="Q1614" s="60">
        <v>0</v>
      </c>
      <c r="R1614" s="60">
        <v>0</v>
      </c>
      <c r="S1614" s="60">
        <v>0</v>
      </c>
      <c r="T1614" s="60">
        <v>0</v>
      </c>
      <c r="U1614" s="60">
        <v>0</v>
      </c>
      <c r="V1614" s="60">
        <v>0</v>
      </c>
      <c r="W1614" s="60">
        <v>0</v>
      </c>
      <c r="X1614" s="60">
        <v>0</v>
      </c>
      <c r="Y1614" s="60">
        <v>0</v>
      </c>
      <c r="Z1614" s="60">
        <v>0</v>
      </c>
      <c r="AA1614" s="60">
        <v>0</v>
      </c>
      <c r="AB1614" s="60">
        <v>0</v>
      </c>
      <c r="AC1614" s="60">
        <v>0</v>
      </c>
      <c r="AD1614" s="60">
        <v>0</v>
      </c>
      <c r="AE1614" s="60">
        <v>0</v>
      </c>
      <c r="AF1614" s="60">
        <v>0</v>
      </c>
      <c r="AG1614" s="60">
        <v>0</v>
      </c>
      <c r="AH1614" s="60">
        <v>0</v>
      </c>
      <c r="AI1614" s="60">
        <v>2169.0700000000002</v>
      </c>
      <c r="AJ1614" s="60">
        <v>2168.9</v>
      </c>
      <c r="AK1614" s="60">
        <v>2097.6</v>
      </c>
      <c r="AL1614" s="60">
        <v>0</v>
      </c>
      <c r="AM1614" s="60">
        <v>0</v>
      </c>
      <c r="AN1614" s="60">
        <v>0</v>
      </c>
      <c r="AO1614" s="60">
        <v>2169.0700000000002</v>
      </c>
      <c r="AP1614" s="60">
        <v>2168.9</v>
      </c>
      <c r="AQ1614" s="60">
        <v>2097.6</v>
      </c>
      <c r="AR1614" s="61">
        <v>2169.0700000000002</v>
      </c>
    </row>
    <row r="1615" spans="1:44" x14ac:dyDescent="0.35">
      <c r="A1615" s="49" t="str">
        <f t="shared" si="130"/>
        <v>24</v>
      </c>
      <c r="B1615" s="27">
        <v>65722</v>
      </c>
      <c r="C1615" s="25" t="str">
        <f t="shared" si="131"/>
        <v>0000000</v>
      </c>
      <c r="D1615" s="26" t="s">
        <v>3663</v>
      </c>
      <c r="E1615" s="25" t="s">
        <v>1333</v>
      </c>
      <c r="F1615" s="25" t="s">
        <v>1324</v>
      </c>
      <c r="G1615" s="59" t="s">
        <v>1334</v>
      </c>
      <c r="H1615" s="60">
        <v>312.5</v>
      </c>
      <c r="I1615" s="60">
        <v>314.47000000000003</v>
      </c>
      <c r="J1615" s="60">
        <v>320.23</v>
      </c>
      <c r="K1615" s="60">
        <v>0</v>
      </c>
      <c r="L1615" s="60">
        <v>0</v>
      </c>
      <c r="M1615" s="60">
        <v>0</v>
      </c>
      <c r="N1615" s="60">
        <v>0</v>
      </c>
      <c r="O1615" s="60">
        <v>0</v>
      </c>
      <c r="P1615" s="60">
        <v>0</v>
      </c>
      <c r="Q1615" s="60">
        <v>0</v>
      </c>
      <c r="R1615" s="60">
        <v>0</v>
      </c>
      <c r="S1615" s="60">
        <v>0</v>
      </c>
      <c r="T1615" s="60">
        <v>0</v>
      </c>
      <c r="U1615" s="60">
        <v>0</v>
      </c>
      <c r="V1615" s="60">
        <v>0</v>
      </c>
      <c r="W1615" s="60">
        <v>0</v>
      </c>
      <c r="X1615" s="60">
        <v>0</v>
      </c>
      <c r="Y1615" s="60">
        <v>0</v>
      </c>
      <c r="Z1615" s="60">
        <v>0</v>
      </c>
      <c r="AA1615" s="60">
        <v>0</v>
      </c>
      <c r="AB1615" s="60">
        <v>0</v>
      </c>
      <c r="AC1615" s="60">
        <v>0</v>
      </c>
      <c r="AD1615" s="60">
        <v>0</v>
      </c>
      <c r="AE1615" s="60">
        <v>0</v>
      </c>
      <c r="AF1615" s="60">
        <v>0</v>
      </c>
      <c r="AG1615" s="60">
        <v>0</v>
      </c>
      <c r="AH1615" s="60">
        <v>0</v>
      </c>
      <c r="AI1615" s="60">
        <v>312.5</v>
      </c>
      <c r="AJ1615" s="60">
        <v>314.47000000000003</v>
      </c>
      <c r="AK1615" s="60">
        <v>320.23</v>
      </c>
      <c r="AL1615" s="60">
        <v>0</v>
      </c>
      <c r="AM1615" s="60">
        <v>0</v>
      </c>
      <c r="AN1615" s="60">
        <v>0</v>
      </c>
      <c r="AO1615" s="60">
        <v>312.5</v>
      </c>
      <c r="AP1615" s="60">
        <v>314.47000000000003</v>
      </c>
      <c r="AQ1615" s="60">
        <v>320.23</v>
      </c>
      <c r="AR1615" s="61">
        <v>320.23</v>
      </c>
    </row>
    <row r="1616" spans="1:44" x14ac:dyDescent="0.35">
      <c r="A1616" s="49" t="str">
        <f t="shared" si="130"/>
        <v>24</v>
      </c>
      <c r="B1616" s="27">
        <v>65748</v>
      </c>
      <c r="C1616" s="25" t="str">
        <f t="shared" si="131"/>
        <v>0000000</v>
      </c>
      <c r="D1616" s="26" t="s">
        <v>3663</v>
      </c>
      <c r="E1616" s="25" t="s">
        <v>1337</v>
      </c>
      <c r="F1616" s="25" t="s">
        <v>1324</v>
      </c>
      <c r="G1616" s="59" t="s">
        <v>1338</v>
      </c>
      <c r="H1616" s="60">
        <v>2425.9499999999998</v>
      </c>
      <c r="I1616" s="60">
        <v>2354.27</v>
      </c>
      <c r="J1616" s="60">
        <v>2240.04</v>
      </c>
      <c r="K1616" s="60">
        <v>0</v>
      </c>
      <c r="L1616" s="60">
        <v>0</v>
      </c>
      <c r="M1616" s="60">
        <v>0</v>
      </c>
      <c r="N1616" s="60">
        <v>0</v>
      </c>
      <c r="O1616" s="60">
        <v>0</v>
      </c>
      <c r="P1616" s="60">
        <v>0</v>
      </c>
      <c r="Q1616" s="60">
        <v>0</v>
      </c>
      <c r="R1616" s="60">
        <v>0</v>
      </c>
      <c r="S1616" s="60">
        <v>0</v>
      </c>
      <c r="T1616" s="60">
        <v>0</v>
      </c>
      <c r="U1616" s="60">
        <v>0</v>
      </c>
      <c r="V1616" s="60">
        <v>0</v>
      </c>
      <c r="W1616" s="60">
        <v>0</v>
      </c>
      <c r="X1616" s="60">
        <v>0</v>
      </c>
      <c r="Y1616" s="60">
        <v>0</v>
      </c>
      <c r="Z1616" s="60">
        <v>0</v>
      </c>
      <c r="AA1616" s="60">
        <v>0</v>
      </c>
      <c r="AB1616" s="60">
        <v>0</v>
      </c>
      <c r="AC1616" s="60">
        <v>0</v>
      </c>
      <c r="AD1616" s="60">
        <v>0</v>
      </c>
      <c r="AE1616" s="60">
        <v>0</v>
      </c>
      <c r="AF1616" s="60">
        <v>0</v>
      </c>
      <c r="AG1616" s="60">
        <v>0</v>
      </c>
      <c r="AH1616" s="60">
        <v>0</v>
      </c>
      <c r="AI1616" s="60">
        <v>2425.9499999999998</v>
      </c>
      <c r="AJ1616" s="60">
        <v>2354.27</v>
      </c>
      <c r="AK1616" s="60">
        <v>2240.04</v>
      </c>
      <c r="AL1616" s="60">
        <v>0</v>
      </c>
      <c r="AM1616" s="60">
        <v>0</v>
      </c>
      <c r="AN1616" s="60">
        <v>0</v>
      </c>
      <c r="AO1616" s="60">
        <v>2425.9499999999998</v>
      </c>
      <c r="AP1616" s="60">
        <v>2354.27</v>
      </c>
      <c r="AQ1616" s="60">
        <v>2240.04</v>
      </c>
      <c r="AR1616" s="61">
        <v>2425.9499999999998</v>
      </c>
    </row>
    <row r="1617" spans="1:44" x14ac:dyDescent="0.35">
      <c r="A1617" s="49" t="str">
        <f t="shared" si="130"/>
        <v>24</v>
      </c>
      <c r="B1617" s="27">
        <v>65755</v>
      </c>
      <c r="C1617" s="25" t="str">
        <f t="shared" si="131"/>
        <v>0000000</v>
      </c>
      <c r="D1617" s="26" t="s">
        <v>3663</v>
      </c>
      <c r="E1617" s="25" t="s">
        <v>1339</v>
      </c>
      <c r="F1617" s="25" t="s">
        <v>1324</v>
      </c>
      <c r="G1617" s="59" t="s">
        <v>1340</v>
      </c>
      <c r="H1617" s="60">
        <v>10231.17</v>
      </c>
      <c r="I1617" s="60">
        <v>10043.48</v>
      </c>
      <c r="J1617" s="60">
        <v>9693.5</v>
      </c>
      <c r="K1617" s="60">
        <v>0</v>
      </c>
      <c r="L1617" s="60">
        <v>0</v>
      </c>
      <c r="M1617" s="60">
        <v>0</v>
      </c>
      <c r="N1617" s="60">
        <v>0</v>
      </c>
      <c r="O1617" s="60">
        <v>0</v>
      </c>
      <c r="P1617" s="60">
        <v>0</v>
      </c>
      <c r="Q1617" s="60">
        <v>0</v>
      </c>
      <c r="R1617" s="60">
        <v>0</v>
      </c>
      <c r="S1617" s="60">
        <v>0</v>
      </c>
      <c r="T1617" s="60">
        <v>0</v>
      </c>
      <c r="U1617" s="60">
        <v>0</v>
      </c>
      <c r="V1617" s="60">
        <v>0</v>
      </c>
      <c r="W1617" s="60">
        <v>0</v>
      </c>
      <c r="X1617" s="60">
        <v>0</v>
      </c>
      <c r="Y1617" s="60">
        <v>0</v>
      </c>
      <c r="Z1617" s="60">
        <v>0</v>
      </c>
      <c r="AA1617" s="60">
        <v>0</v>
      </c>
      <c r="AB1617" s="60">
        <v>0</v>
      </c>
      <c r="AC1617" s="60">
        <v>0</v>
      </c>
      <c r="AD1617" s="60">
        <v>0</v>
      </c>
      <c r="AE1617" s="60">
        <v>0</v>
      </c>
      <c r="AF1617" s="60">
        <v>0</v>
      </c>
      <c r="AG1617" s="60">
        <v>0</v>
      </c>
      <c r="AH1617" s="60">
        <v>0</v>
      </c>
      <c r="AI1617" s="60">
        <v>10231.17</v>
      </c>
      <c r="AJ1617" s="60">
        <v>10043.48</v>
      </c>
      <c r="AK1617" s="60">
        <v>9693.5</v>
      </c>
      <c r="AL1617" s="60">
        <v>0</v>
      </c>
      <c r="AM1617" s="60">
        <v>0</v>
      </c>
      <c r="AN1617" s="60">
        <v>0</v>
      </c>
      <c r="AO1617" s="60">
        <v>10231.17</v>
      </c>
      <c r="AP1617" s="60">
        <v>10043.48</v>
      </c>
      <c r="AQ1617" s="60">
        <v>9693.5</v>
      </c>
      <c r="AR1617" s="61">
        <v>10231.17</v>
      </c>
    </row>
    <row r="1618" spans="1:44" x14ac:dyDescent="0.35">
      <c r="A1618" s="49" t="str">
        <f t="shared" si="130"/>
        <v>24</v>
      </c>
      <c r="B1618" s="27">
        <v>65763</v>
      </c>
      <c r="C1618" s="25" t="str">
        <f t="shared" si="131"/>
        <v>0000000</v>
      </c>
      <c r="D1618" s="26" t="s">
        <v>3663</v>
      </c>
      <c r="E1618" s="25" t="s">
        <v>1341</v>
      </c>
      <c r="F1618" s="25" t="s">
        <v>1324</v>
      </c>
      <c r="G1618" s="59" t="s">
        <v>1342</v>
      </c>
      <c r="H1618" s="60">
        <v>878.4</v>
      </c>
      <c r="I1618" s="60">
        <v>836.48</v>
      </c>
      <c r="J1618" s="60">
        <v>783.03</v>
      </c>
      <c r="K1618" s="60">
        <v>0</v>
      </c>
      <c r="L1618" s="60">
        <v>0</v>
      </c>
      <c r="M1618" s="60">
        <v>0</v>
      </c>
      <c r="N1618" s="60">
        <v>0</v>
      </c>
      <c r="O1618" s="60">
        <v>0</v>
      </c>
      <c r="P1618" s="60">
        <v>0</v>
      </c>
      <c r="Q1618" s="60">
        <v>0</v>
      </c>
      <c r="R1618" s="60">
        <v>0</v>
      </c>
      <c r="S1618" s="60">
        <v>0</v>
      </c>
      <c r="T1618" s="60">
        <v>0</v>
      </c>
      <c r="U1618" s="60">
        <v>0</v>
      </c>
      <c r="V1618" s="60">
        <v>0</v>
      </c>
      <c r="W1618" s="60">
        <v>0</v>
      </c>
      <c r="X1618" s="60">
        <v>0</v>
      </c>
      <c r="Y1618" s="60">
        <v>0</v>
      </c>
      <c r="Z1618" s="60">
        <v>0</v>
      </c>
      <c r="AA1618" s="60">
        <v>0</v>
      </c>
      <c r="AB1618" s="60">
        <v>0</v>
      </c>
      <c r="AC1618" s="60">
        <v>0</v>
      </c>
      <c r="AD1618" s="60">
        <v>0</v>
      </c>
      <c r="AE1618" s="60">
        <v>0</v>
      </c>
      <c r="AF1618" s="60">
        <v>0</v>
      </c>
      <c r="AG1618" s="60">
        <v>0</v>
      </c>
      <c r="AH1618" s="60">
        <v>0</v>
      </c>
      <c r="AI1618" s="60">
        <v>878.4</v>
      </c>
      <c r="AJ1618" s="60">
        <v>836.48</v>
      </c>
      <c r="AK1618" s="60">
        <v>783.03</v>
      </c>
      <c r="AL1618" s="60">
        <v>0</v>
      </c>
      <c r="AM1618" s="60">
        <v>0</v>
      </c>
      <c r="AN1618" s="60">
        <v>0</v>
      </c>
      <c r="AO1618" s="60">
        <v>878.4</v>
      </c>
      <c r="AP1618" s="60">
        <v>836.48</v>
      </c>
      <c r="AQ1618" s="60">
        <v>783.03</v>
      </c>
      <c r="AR1618" s="61">
        <v>878.4</v>
      </c>
    </row>
    <row r="1619" spans="1:44" x14ac:dyDescent="0.35">
      <c r="A1619" s="49" t="str">
        <f t="shared" si="130"/>
        <v>24</v>
      </c>
      <c r="B1619" s="27">
        <v>65771</v>
      </c>
      <c r="C1619" s="25" t="str">
        <f t="shared" si="131"/>
        <v>0000000</v>
      </c>
      <c r="D1619" s="26" t="s">
        <v>3663</v>
      </c>
      <c r="E1619" s="25" t="s">
        <v>1343</v>
      </c>
      <c r="F1619" s="25" t="s">
        <v>1324</v>
      </c>
      <c r="G1619" s="59" t="s">
        <v>1344</v>
      </c>
      <c r="H1619" s="60">
        <v>10282.209999999999</v>
      </c>
      <c r="I1619" s="60">
        <v>10038.66</v>
      </c>
      <c r="J1619" s="60">
        <v>9521.6299999999992</v>
      </c>
      <c r="K1619" s="60">
        <v>0</v>
      </c>
      <c r="L1619" s="60">
        <v>0</v>
      </c>
      <c r="M1619" s="60">
        <v>0</v>
      </c>
      <c r="N1619" s="60">
        <v>0</v>
      </c>
      <c r="O1619" s="60">
        <v>0</v>
      </c>
      <c r="P1619" s="60">
        <v>0</v>
      </c>
      <c r="Q1619" s="60">
        <v>0</v>
      </c>
      <c r="R1619" s="60">
        <v>0</v>
      </c>
      <c r="S1619" s="60">
        <v>0</v>
      </c>
      <c r="T1619" s="60">
        <v>0</v>
      </c>
      <c r="U1619" s="60">
        <v>0</v>
      </c>
      <c r="V1619" s="60">
        <v>0</v>
      </c>
      <c r="W1619" s="60">
        <v>0</v>
      </c>
      <c r="X1619" s="60">
        <v>0</v>
      </c>
      <c r="Y1619" s="60">
        <v>0</v>
      </c>
      <c r="Z1619" s="60">
        <v>0</v>
      </c>
      <c r="AA1619" s="60">
        <v>0</v>
      </c>
      <c r="AB1619" s="60">
        <v>0</v>
      </c>
      <c r="AC1619" s="60">
        <v>0</v>
      </c>
      <c r="AD1619" s="60">
        <v>0</v>
      </c>
      <c r="AE1619" s="60">
        <v>0</v>
      </c>
      <c r="AF1619" s="60">
        <v>0</v>
      </c>
      <c r="AG1619" s="60">
        <v>0</v>
      </c>
      <c r="AH1619" s="60">
        <v>0</v>
      </c>
      <c r="AI1619" s="60">
        <v>10282.209999999999</v>
      </c>
      <c r="AJ1619" s="60">
        <v>10038.66</v>
      </c>
      <c r="AK1619" s="60">
        <v>9521.6299999999992</v>
      </c>
      <c r="AL1619" s="60">
        <v>0</v>
      </c>
      <c r="AM1619" s="60">
        <v>0</v>
      </c>
      <c r="AN1619" s="60">
        <v>0</v>
      </c>
      <c r="AO1619" s="60">
        <v>10282.209999999999</v>
      </c>
      <c r="AP1619" s="60">
        <v>10038.66</v>
      </c>
      <c r="AQ1619" s="60">
        <v>9521.6299999999992</v>
      </c>
      <c r="AR1619" s="61">
        <v>10282.209999999999</v>
      </c>
    </row>
    <row r="1620" spans="1:44" x14ac:dyDescent="0.35">
      <c r="A1620" s="49" t="str">
        <f t="shared" si="130"/>
        <v>24</v>
      </c>
      <c r="B1620" s="27">
        <v>65789</v>
      </c>
      <c r="C1620" s="25" t="str">
        <f t="shared" si="131"/>
        <v>0000000</v>
      </c>
      <c r="D1620" s="26" t="s">
        <v>3663</v>
      </c>
      <c r="E1620" s="25" t="s">
        <v>1345</v>
      </c>
      <c r="F1620" s="25" t="s">
        <v>1324</v>
      </c>
      <c r="G1620" s="59" t="s">
        <v>1346</v>
      </c>
      <c r="H1620" s="60">
        <v>10340.68</v>
      </c>
      <c r="I1620" s="60">
        <v>10316.379999999999</v>
      </c>
      <c r="J1620" s="60">
        <v>10024.98</v>
      </c>
      <c r="K1620" s="60">
        <v>0</v>
      </c>
      <c r="L1620" s="60">
        <v>0</v>
      </c>
      <c r="M1620" s="60">
        <v>0</v>
      </c>
      <c r="N1620" s="60">
        <v>0</v>
      </c>
      <c r="O1620" s="60">
        <v>0</v>
      </c>
      <c r="P1620" s="60">
        <v>0</v>
      </c>
      <c r="Q1620" s="60">
        <v>0</v>
      </c>
      <c r="R1620" s="60">
        <v>0</v>
      </c>
      <c r="S1620" s="60">
        <v>0</v>
      </c>
      <c r="T1620" s="60">
        <v>0</v>
      </c>
      <c r="U1620" s="60">
        <v>0</v>
      </c>
      <c r="V1620" s="60">
        <v>0</v>
      </c>
      <c r="W1620" s="60">
        <v>0</v>
      </c>
      <c r="X1620" s="60">
        <v>0</v>
      </c>
      <c r="Y1620" s="60">
        <v>0</v>
      </c>
      <c r="Z1620" s="60">
        <v>0</v>
      </c>
      <c r="AA1620" s="60">
        <v>0</v>
      </c>
      <c r="AB1620" s="60">
        <v>0</v>
      </c>
      <c r="AC1620" s="60">
        <v>0</v>
      </c>
      <c r="AD1620" s="60">
        <v>0</v>
      </c>
      <c r="AE1620" s="60">
        <v>0</v>
      </c>
      <c r="AF1620" s="60">
        <v>0</v>
      </c>
      <c r="AG1620" s="60">
        <v>0</v>
      </c>
      <c r="AH1620" s="60">
        <v>0</v>
      </c>
      <c r="AI1620" s="60">
        <v>10340.68</v>
      </c>
      <c r="AJ1620" s="60">
        <v>10316.379999999999</v>
      </c>
      <c r="AK1620" s="60">
        <v>10024.98</v>
      </c>
      <c r="AL1620" s="60">
        <v>0</v>
      </c>
      <c r="AM1620" s="60">
        <v>0</v>
      </c>
      <c r="AN1620" s="60">
        <v>0</v>
      </c>
      <c r="AO1620" s="60">
        <v>10340.68</v>
      </c>
      <c r="AP1620" s="60">
        <v>10316.379999999999</v>
      </c>
      <c r="AQ1620" s="60">
        <v>10024.98</v>
      </c>
      <c r="AR1620" s="61">
        <v>10340.68</v>
      </c>
    </row>
    <row r="1621" spans="1:44" x14ac:dyDescent="0.35">
      <c r="A1621" s="49" t="str">
        <f t="shared" si="130"/>
        <v>24</v>
      </c>
      <c r="B1621" s="27">
        <v>73726</v>
      </c>
      <c r="C1621" s="25" t="str">
        <f t="shared" si="131"/>
        <v>0000000</v>
      </c>
      <c r="D1621" s="26" t="s">
        <v>3663</v>
      </c>
      <c r="E1621" s="25" t="s">
        <v>1359</v>
      </c>
      <c r="F1621" s="25" t="s">
        <v>1324</v>
      </c>
      <c r="G1621" s="59" t="s">
        <v>1360</v>
      </c>
      <c r="H1621" s="60">
        <v>265.67</v>
      </c>
      <c r="I1621" s="60">
        <v>263.54000000000002</v>
      </c>
      <c r="J1621" s="60">
        <v>219.94</v>
      </c>
      <c r="K1621" s="60">
        <v>0</v>
      </c>
      <c r="L1621" s="60">
        <v>0</v>
      </c>
      <c r="M1621" s="60">
        <v>0</v>
      </c>
      <c r="N1621" s="60">
        <v>0</v>
      </c>
      <c r="O1621" s="60">
        <v>0</v>
      </c>
      <c r="P1621" s="60">
        <v>0</v>
      </c>
      <c r="Q1621" s="60">
        <v>0</v>
      </c>
      <c r="R1621" s="60">
        <v>0</v>
      </c>
      <c r="S1621" s="60">
        <v>0</v>
      </c>
      <c r="T1621" s="60">
        <v>0</v>
      </c>
      <c r="U1621" s="60">
        <v>0</v>
      </c>
      <c r="V1621" s="60">
        <v>0</v>
      </c>
      <c r="W1621" s="60">
        <v>0</v>
      </c>
      <c r="X1621" s="60">
        <v>0</v>
      </c>
      <c r="Y1621" s="60">
        <v>0</v>
      </c>
      <c r="Z1621" s="60">
        <v>0</v>
      </c>
      <c r="AA1621" s="60">
        <v>0</v>
      </c>
      <c r="AB1621" s="60">
        <v>0</v>
      </c>
      <c r="AC1621" s="60">
        <v>0</v>
      </c>
      <c r="AD1621" s="60">
        <v>0</v>
      </c>
      <c r="AE1621" s="60">
        <v>0</v>
      </c>
      <c r="AF1621" s="60">
        <v>0</v>
      </c>
      <c r="AG1621" s="60">
        <v>0</v>
      </c>
      <c r="AH1621" s="60">
        <v>0</v>
      </c>
      <c r="AI1621" s="60">
        <v>265.67</v>
      </c>
      <c r="AJ1621" s="60">
        <v>263.54000000000002</v>
      </c>
      <c r="AK1621" s="60">
        <v>219.94</v>
      </c>
      <c r="AL1621" s="60">
        <v>0</v>
      </c>
      <c r="AM1621" s="60">
        <v>0</v>
      </c>
      <c r="AN1621" s="60">
        <v>0</v>
      </c>
      <c r="AO1621" s="60">
        <v>265.67</v>
      </c>
      <c r="AP1621" s="60">
        <v>263.54000000000002</v>
      </c>
      <c r="AQ1621" s="60">
        <v>219.94</v>
      </c>
      <c r="AR1621" s="61">
        <v>265.67</v>
      </c>
    </row>
    <row r="1622" spans="1:44" x14ac:dyDescent="0.35">
      <c r="A1622" s="49" t="str">
        <f t="shared" si="130"/>
        <v>24</v>
      </c>
      <c r="B1622" s="27">
        <v>65821</v>
      </c>
      <c r="C1622" s="25" t="str">
        <f t="shared" si="131"/>
        <v>0000000</v>
      </c>
      <c r="D1622" s="26" t="s">
        <v>3663</v>
      </c>
      <c r="E1622" s="25" t="s">
        <v>1349</v>
      </c>
      <c r="F1622" s="25" t="s">
        <v>1324</v>
      </c>
      <c r="G1622" s="59" t="s">
        <v>1350</v>
      </c>
      <c r="H1622" s="60">
        <v>834.06</v>
      </c>
      <c r="I1622" s="60">
        <v>816.67</v>
      </c>
      <c r="J1622" s="60">
        <v>770.81</v>
      </c>
      <c r="K1622" s="60">
        <v>0</v>
      </c>
      <c r="L1622" s="60">
        <v>0</v>
      </c>
      <c r="M1622" s="60">
        <v>0</v>
      </c>
      <c r="N1622" s="60">
        <v>0</v>
      </c>
      <c r="O1622" s="60">
        <v>0</v>
      </c>
      <c r="P1622" s="60">
        <v>0</v>
      </c>
      <c r="Q1622" s="60">
        <v>0</v>
      </c>
      <c r="R1622" s="60">
        <v>0</v>
      </c>
      <c r="S1622" s="60">
        <v>0</v>
      </c>
      <c r="T1622" s="60">
        <v>0</v>
      </c>
      <c r="U1622" s="60">
        <v>0</v>
      </c>
      <c r="V1622" s="60">
        <v>0</v>
      </c>
      <c r="W1622" s="60">
        <v>0</v>
      </c>
      <c r="X1622" s="60">
        <v>0</v>
      </c>
      <c r="Y1622" s="60">
        <v>0</v>
      </c>
      <c r="Z1622" s="60">
        <v>0</v>
      </c>
      <c r="AA1622" s="60">
        <v>0</v>
      </c>
      <c r="AB1622" s="60">
        <v>0</v>
      </c>
      <c r="AC1622" s="60">
        <v>0</v>
      </c>
      <c r="AD1622" s="60">
        <v>0</v>
      </c>
      <c r="AE1622" s="60">
        <v>0</v>
      </c>
      <c r="AF1622" s="60">
        <v>0</v>
      </c>
      <c r="AG1622" s="60">
        <v>0</v>
      </c>
      <c r="AH1622" s="60">
        <v>0</v>
      </c>
      <c r="AI1622" s="60">
        <v>834.06</v>
      </c>
      <c r="AJ1622" s="60">
        <v>816.67</v>
      </c>
      <c r="AK1622" s="60">
        <v>770.81</v>
      </c>
      <c r="AL1622" s="60">
        <v>0</v>
      </c>
      <c r="AM1622" s="60">
        <v>0</v>
      </c>
      <c r="AN1622" s="60">
        <v>0</v>
      </c>
      <c r="AO1622" s="60">
        <v>834.06</v>
      </c>
      <c r="AP1622" s="60">
        <v>816.67</v>
      </c>
      <c r="AQ1622" s="60">
        <v>770.81</v>
      </c>
      <c r="AR1622" s="61">
        <v>834.06</v>
      </c>
    </row>
    <row r="1623" spans="1:44" x14ac:dyDescent="0.35">
      <c r="A1623" s="49" t="str">
        <f t="shared" si="130"/>
        <v>24</v>
      </c>
      <c r="B1623" s="27">
        <v>65862</v>
      </c>
      <c r="C1623" s="25" t="str">
        <f t="shared" si="131"/>
        <v>0000000</v>
      </c>
      <c r="D1623" s="26" t="s">
        <v>3663</v>
      </c>
      <c r="E1623" s="25" t="s">
        <v>1353</v>
      </c>
      <c r="F1623" s="25" t="s">
        <v>1324</v>
      </c>
      <c r="G1623" s="59" t="s">
        <v>1354</v>
      </c>
      <c r="H1623" s="60">
        <v>2855.96</v>
      </c>
      <c r="I1623" s="60">
        <v>2897.4</v>
      </c>
      <c r="J1623" s="60">
        <v>2675.37</v>
      </c>
      <c r="K1623" s="60">
        <v>0</v>
      </c>
      <c r="L1623" s="60">
        <v>0</v>
      </c>
      <c r="M1623" s="60">
        <v>0</v>
      </c>
      <c r="N1623" s="60">
        <v>0</v>
      </c>
      <c r="O1623" s="60">
        <v>0</v>
      </c>
      <c r="P1623" s="60">
        <v>0</v>
      </c>
      <c r="Q1623" s="60">
        <v>0</v>
      </c>
      <c r="R1623" s="60">
        <v>0</v>
      </c>
      <c r="S1623" s="60">
        <v>0</v>
      </c>
      <c r="T1623" s="60">
        <v>0</v>
      </c>
      <c r="U1623" s="60">
        <v>0</v>
      </c>
      <c r="V1623" s="60">
        <v>0</v>
      </c>
      <c r="W1623" s="60">
        <v>0</v>
      </c>
      <c r="X1623" s="60">
        <v>0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0">
        <v>0</v>
      </c>
      <c r="AE1623" s="60">
        <v>0</v>
      </c>
      <c r="AF1623" s="60">
        <v>0</v>
      </c>
      <c r="AG1623" s="60">
        <v>0</v>
      </c>
      <c r="AH1623" s="60">
        <v>0</v>
      </c>
      <c r="AI1623" s="60">
        <v>2855.96</v>
      </c>
      <c r="AJ1623" s="60">
        <v>2897.4</v>
      </c>
      <c r="AK1623" s="60">
        <v>2675.37</v>
      </c>
      <c r="AL1623" s="60">
        <v>0</v>
      </c>
      <c r="AM1623" s="60">
        <v>0</v>
      </c>
      <c r="AN1623" s="60">
        <v>0</v>
      </c>
      <c r="AO1623" s="60">
        <v>2855.96</v>
      </c>
      <c r="AP1623" s="60">
        <v>2897.4</v>
      </c>
      <c r="AQ1623" s="60">
        <v>2675.37</v>
      </c>
      <c r="AR1623" s="61">
        <v>2897.4</v>
      </c>
    </row>
    <row r="1624" spans="1:44" x14ac:dyDescent="0.35">
      <c r="A1624" s="49" t="str">
        <f t="shared" si="130"/>
        <v>24</v>
      </c>
      <c r="B1624" s="27">
        <v>65870</v>
      </c>
      <c r="C1624" s="25" t="str">
        <f t="shared" si="131"/>
        <v>0000000</v>
      </c>
      <c r="D1624" s="26" t="s">
        <v>3663</v>
      </c>
      <c r="E1624" s="25" t="s">
        <v>1355</v>
      </c>
      <c r="F1624" s="25" t="s">
        <v>1324</v>
      </c>
      <c r="G1624" s="59" t="s">
        <v>1356</v>
      </c>
      <c r="H1624" s="60">
        <v>1752.43</v>
      </c>
      <c r="I1624" s="60">
        <v>1762.84</v>
      </c>
      <c r="J1624" s="60">
        <v>1590.11</v>
      </c>
      <c r="K1624" s="60">
        <v>0</v>
      </c>
      <c r="L1624" s="60">
        <v>0</v>
      </c>
      <c r="M1624" s="60">
        <v>0</v>
      </c>
      <c r="N1624" s="60">
        <v>0</v>
      </c>
      <c r="O1624" s="60">
        <v>0</v>
      </c>
      <c r="P1624" s="60">
        <v>0</v>
      </c>
      <c r="Q1624" s="60">
        <v>0</v>
      </c>
      <c r="R1624" s="60">
        <v>0</v>
      </c>
      <c r="S1624" s="60">
        <v>0</v>
      </c>
      <c r="T1624" s="60">
        <v>0</v>
      </c>
      <c r="U1624" s="60">
        <v>0</v>
      </c>
      <c r="V1624" s="60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0</v>
      </c>
      <c r="AB1624" s="60">
        <v>0</v>
      </c>
      <c r="AC1624" s="60">
        <v>0</v>
      </c>
      <c r="AD1624" s="60">
        <v>0</v>
      </c>
      <c r="AE1624" s="60">
        <v>0</v>
      </c>
      <c r="AF1624" s="60">
        <v>0</v>
      </c>
      <c r="AG1624" s="60">
        <v>0</v>
      </c>
      <c r="AH1624" s="60">
        <v>0</v>
      </c>
      <c r="AI1624" s="60">
        <v>1752.43</v>
      </c>
      <c r="AJ1624" s="60">
        <v>1762.84</v>
      </c>
      <c r="AK1624" s="60">
        <v>1590.11</v>
      </c>
      <c r="AL1624" s="60">
        <v>0</v>
      </c>
      <c r="AM1624" s="60">
        <v>0</v>
      </c>
      <c r="AN1624" s="60">
        <v>0</v>
      </c>
      <c r="AO1624" s="60">
        <v>1752.43</v>
      </c>
      <c r="AP1624" s="60">
        <v>1762.84</v>
      </c>
      <c r="AQ1624" s="60">
        <v>1590.11</v>
      </c>
      <c r="AR1624" s="61">
        <v>1762.84</v>
      </c>
    </row>
    <row r="1625" spans="1:44" x14ac:dyDescent="0.35">
      <c r="A1625" s="49" t="str">
        <f t="shared" si="130"/>
        <v>24</v>
      </c>
      <c r="B1625" s="27">
        <v>65730</v>
      </c>
      <c r="C1625" s="25" t="str">
        <f t="shared" si="131"/>
        <v>0000000</v>
      </c>
      <c r="D1625" s="26" t="s">
        <v>3663</v>
      </c>
      <c r="E1625" s="25" t="s">
        <v>1335</v>
      </c>
      <c r="F1625" s="25" t="s">
        <v>1324</v>
      </c>
      <c r="G1625" s="59" t="s">
        <v>1336</v>
      </c>
      <c r="H1625" s="60">
        <v>474.17</v>
      </c>
      <c r="I1625" s="60">
        <v>484.02</v>
      </c>
      <c r="J1625" s="60">
        <v>497.68</v>
      </c>
      <c r="K1625" s="60">
        <v>0</v>
      </c>
      <c r="L1625" s="60">
        <v>0</v>
      </c>
      <c r="M1625" s="60">
        <v>0</v>
      </c>
      <c r="N1625" s="60">
        <v>0</v>
      </c>
      <c r="O1625" s="60">
        <v>0</v>
      </c>
      <c r="P1625" s="60">
        <v>0</v>
      </c>
      <c r="Q1625" s="60">
        <v>0</v>
      </c>
      <c r="R1625" s="60">
        <v>0</v>
      </c>
      <c r="S1625" s="60">
        <v>0</v>
      </c>
      <c r="T1625" s="60">
        <v>0</v>
      </c>
      <c r="U1625" s="60">
        <v>0</v>
      </c>
      <c r="V1625" s="60">
        <v>0</v>
      </c>
      <c r="W1625" s="60">
        <v>0</v>
      </c>
      <c r="X1625" s="60">
        <v>0</v>
      </c>
      <c r="Y1625" s="60">
        <v>0</v>
      </c>
      <c r="Z1625" s="60">
        <v>0</v>
      </c>
      <c r="AA1625" s="60">
        <v>0</v>
      </c>
      <c r="AB1625" s="60">
        <v>0</v>
      </c>
      <c r="AC1625" s="60">
        <v>0</v>
      </c>
      <c r="AD1625" s="60">
        <v>0</v>
      </c>
      <c r="AE1625" s="60">
        <v>0</v>
      </c>
      <c r="AF1625" s="60">
        <v>0</v>
      </c>
      <c r="AG1625" s="60">
        <v>0</v>
      </c>
      <c r="AH1625" s="60">
        <v>0</v>
      </c>
      <c r="AI1625" s="60">
        <v>474.17</v>
      </c>
      <c r="AJ1625" s="60">
        <v>484.02</v>
      </c>
      <c r="AK1625" s="60">
        <v>497.68</v>
      </c>
      <c r="AL1625" s="60">
        <v>0</v>
      </c>
      <c r="AM1625" s="60">
        <v>0</v>
      </c>
      <c r="AN1625" s="60">
        <v>0</v>
      </c>
      <c r="AO1625" s="60">
        <v>474.17</v>
      </c>
      <c r="AP1625" s="60">
        <v>484.02</v>
      </c>
      <c r="AQ1625" s="60">
        <v>497.68</v>
      </c>
      <c r="AR1625" s="61">
        <v>497.68</v>
      </c>
    </row>
    <row r="1626" spans="1:44" x14ac:dyDescent="0.35">
      <c r="A1626" s="49" t="str">
        <f t="shared" si="130"/>
        <v>24</v>
      </c>
      <c r="B1626" s="27">
        <v>65839</v>
      </c>
      <c r="C1626" s="25" t="str">
        <f t="shared" si="131"/>
        <v>0000000</v>
      </c>
      <c r="D1626" s="26" t="s">
        <v>3663</v>
      </c>
      <c r="E1626" s="25" t="s">
        <v>1351</v>
      </c>
      <c r="F1626" s="25" t="s">
        <v>1324</v>
      </c>
      <c r="G1626" s="59" t="s">
        <v>1352</v>
      </c>
      <c r="H1626" s="60">
        <v>52.49</v>
      </c>
      <c r="I1626" s="60">
        <v>49.93</v>
      </c>
      <c r="J1626" s="60">
        <v>51.6</v>
      </c>
      <c r="K1626" s="60">
        <v>0</v>
      </c>
      <c r="L1626" s="60">
        <v>0</v>
      </c>
      <c r="M1626" s="60">
        <v>0</v>
      </c>
      <c r="N1626" s="60">
        <v>0</v>
      </c>
      <c r="O1626" s="60">
        <v>0</v>
      </c>
      <c r="P1626" s="60">
        <v>0</v>
      </c>
      <c r="Q1626" s="60">
        <v>0</v>
      </c>
      <c r="R1626" s="60">
        <v>0</v>
      </c>
      <c r="S1626" s="60">
        <v>0</v>
      </c>
      <c r="T1626" s="60">
        <v>0</v>
      </c>
      <c r="U1626" s="60">
        <v>0</v>
      </c>
      <c r="V1626" s="60">
        <v>0</v>
      </c>
      <c r="W1626" s="60">
        <v>0</v>
      </c>
      <c r="X1626" s="60">
        <v>0</v>
      </c>
      <c r="Y1626" s="60">
        <v>0</v>
      </c>
      <c r="Z1626" s="60">
        <v>0</v>
      </c>
      <c r="AA1626" s="60">
        <v>0</v>
      </c>
      <c r="AB1626" s="60">
        <v>0</v>
      </c>
      <c r="AC1626" s="60">
        <v>0</v>
      </c>
      <c r="AD1626" s="60">
        <v>0</v>
      </c>
      <c r="AE1626" s="60">
        <v>0</v>
      </c>
      <c r="AF1626" s="60">
        <v>0</v>
      </c>
      <c r="AG1626" s="60">
        <v>0</v>
      </c>
      <c r="AH1626" s="60">
        <v>0</v>
      </c>
      <c r="AI1626" s="60">
        <v>52.49</v>
      </c>
      <c r="AJ1626" s="60">
        <v>49.93</v>
      </c>
      <c r="AK1626" s="60">
        <v>51.6</v>
      </c>
      <c r="AL1626" s="60">
        <v>0</v>
      </c>
      <c r="AM1626" s="60">
        <v>0</v>
      </c>
      <c r="AN1626" s="60">
        <v>0</v>
      </c>
      <c r="AO1626" s="60">
        <v>52.49</v>
      </c>
      <c r="AP1626" s="60">
        <v>49.93</v>
      </c>
      <c r="AQ1626" s="60">
        <v>51.6</v>
      </c>
      <c r="AR1626" s="61">
        <v>52.49</v>
      </c>
    </row>
    <row r="1627" spans="1:44" x14ac:dyDescent="0.35">
      <c r="A1627" s="49" t="str">
        <f t="shared" si="130"/>
        <v>24</v>
      </c>
      <c r="B1627" s="27">
        <v>75317</v>
      </c>
      <c r="C1627" s="25" t="str">
        <f t="shared" si="131"/>
        <v>0000000</v>
      </c>
      <c r="D1627" s="26" t="s">
        <v>3663</v>
      </c>
      <c r="E1627" s="25" t="s">
        <v>1361</v>
      </c>
      <c r="F1627" s="25" t="s">
        <v>1324</v>
      </c>
      <c r="G1627" s="59" t="s">
        <v>1362</v>
      </c>
      <c r="H1627" s="60">
        <v>2050.33</v>
      </c>
      <c r="I1627" s="60">
        <v>2098.79</v>
      </c>
      <c r="J1627" s="60">
        <v>1975.29</v>
      </c>
      <c r="K1627" s="60">
        <v>0</v>
      </c>
      <c r="L1627" s="60">
        <v>0</v>
      </c>
      <c r="M1627" s="60">
        <v>0</v>
      </c>
      <c r="N1627" s="60">
        <v>0</v>
      </c>
      <c r="O1627" s="60">
        <v>0</v>
      </c>
      <c r="P1627" s="60">
        <v>0</v>
      </c>
      <c r="Q1627" s="60">
        <v>0</v>
      </c>
      <c r="R1627" s="60">
        <v>0</v>
      </c>
      <c r="S1627" s="60">
        <v>0</v>
      </c>
      <c r="T1627" s="60">
        <v>0</v>
      </c>
      <c r="U1627" s="60">
        <v>0</v>
      </c>
      <c r="V1627" s="60">
        <v>0</v>
      </c>
      <c r="W1627" s="60">
        <v>0</v>
      </c>
      <c r="X1627" s="60">
        <v>0</v>
      </c>
      <c r="Y1627" s="60">
        <v>0</v>
      </c>
      <c r="Z1627" s="60">
        <v>0</v>
      </c>
      <c r="AA1627" s="60">
        <v>0</v>
      </c>
      <c r="AB1627" s="60">
        <v>0</v>
      </c>
      <c r="AC1627" s="60">
        <v>0</v>
      </c>
      <c r="AD1627" s="60">
        <v>0</v>
      </c>
      <c r="AE1627" s="60">
        <v>0</v>
      </c>
      <c r="AF1627" s="60">
        <v>0</v>
      </c>
      <c r="AG1627" s="60">
        <v>0</v>
      </c>
      <c r="AH1627" s="60">
        <v>0</v>
      </c>
      <c r="AI1627" s="60">
        <v>2050.33</v>
      </c>
      <c r="AJ1627" s="60">
        <v>2098.79</v>
      </c>
      <c r="AK1627" s="60">
        <v>1975.29</v>
      </c>
      <c r="AL1627" s="60">
        <v>0</v>
      </c>
      <c r="AM1627" s="60">
        <v>0</v>
      </c>
      <c r="AN1627" s="60">
        <v>0</v>
      </c>
      <c r="AO1627" s="60">
        <v>2050.33</v>
      </c>
      <c r="AP1627" s="60">
        <v>2098.79</v>
      </c>
      <c r="AQ1627" s="60">
        <v>1975.29</v>
      </c>
      <c r="AR1627" s="61">
        <v>2098.79</v>
      </c>
    </row>
    <row r="1628" spans="1:44" x14ac:dyDescent="0.35">
      <c r="A1628" s="49" t="str">
        <f t="shared" si="130"/>
        <v>24</v>
      </c>
      <c r="B1628" s="27">
        <v>75366</v>
      </c>
      <c r="C1628" s="25" t="str">
        <f t="shared" si="131"/>
        <v>0000000</v>
      </c>
      <c r="D1628" s="26" t="s">
        <v>3663</v>
      </c>
      <c r="E1628" s="25" t="s">
        <v>1363</v>
      </c>
      <c r="F1628" s="25" t="s">
        <v>1324</v>
      </c>
      <c r="G1628" s="59" t="s">
        <v>1364</v>
      </c>
      <c r="H1628" s="60">
        <v>2250.9</v>
      </c>
      <c r="I1628" s="60">
        <v>2225</v>
      </c>
      <c r="J1628" s="60">
        <v>2198.21</v>
      </c>
      <c r="K1628" s="60">
        <v>0</v>
      </c>
      <c r="L1628" s="60">
        <v>0</v>
      </c>
      <c r="M1628" s="60">
        <v>0</v>
      </c>
      <c r="N1628" s="60">
        <v>0</v>
      </c>
      <c r="O1628" s="60">
        <v>0</v>
      </c>
      <c r="P1628" s="60">
        <v>0</v>
      </c>
      <c r="Q1628" s="60">
        <v>0</v>
      </c>
      <c r="R1628" s="60">
        <v>0</v>
      </c>
      <c r="S1628" s="60">
        <v>0</v>
      </c>
      <c r="T1628" s="60">
        <v>0</v>
      </c>
      <c r="U1628" s="60">
        <v>0</v>
      </c>
      <c r="V1628" s="60">
        <v>0</v>
      </c>
      <c r="W1628" s="60">
        <v>0</v>
      </c>
      <c r="X1628" s="60">
        <v>0</v>
      </c>
      <c r="Y1628" s="60">
        <v>0</v>
      </c>
      <c r="Z1628" s="60">
        <v>0</v>
      </c>
      <c r="AA1628" s="60">
        <v>0</v>
      </c>
      <c r="AB1628" s="60">
        <v>0</v>
      </c>
      <c r="AC1628" s="60">
        <v>0</v>
      </c>
      <c r="AD1628" s="60">
        <v>0</v>
      </c>
      <c r="AE1628" s="60">
        <v>0</v>
      </c>
      <c r="AF1628" s="60">
        <v>0</v>
      </c>
      <c r="AG1628" s="60">
        <v>0</v>
      </c>
      <c r="AH1628" s="60">
        <v>0</v>
      </c>
      <c r="AI1628" s="60">
        <v>2250.9</v>
      </c>
      <c r="AJ1628" s="60">
        <v>2225</v>
      </c>
      <c r="AK1628" s="60">
        <v>2198.21</v>
      </c>
      <c r="AL1628" s="60">
        <v>0</v>
      </c>
      <c r="AM1628" s="60">
        <v>0</v>
      </c>
      <c r="AN1628" s="60">
        <v>0</v>
      </c>
      <c r="AO1628" s="60">
        <v>2250.9</v>
      </c>
      <c r="AP1628" s="60">
        <v>2225</v>
      </c>
      <c r="AQ1628" s="60">
        <v>2198.21</v>
      </c>
      <c r="AR1628" s="61">
        <v>2250.9</v>
      </c>
    </row>
    <row r="1629" spans="1:44" x14ac:dyDescent="0.35">
      <c r="A1629" s="49" t="str">
        <f t="shared" si="130"/>
        <v>24</v>
      </c>
      <c r="B1629" s="27">
        <v>65813</v>
      </c>
      <c r="C1629" s="25" t="str">
        <f t="shared" si="131"/>
        <v>0000000</v>
      </c>
      <c r="D1629" s="26" t="s">
        <v>3663</v>
      </c>
      <c r="E1629" s="25" t="s">
        <v>1347</v>
      </c>
      <c r="F1629" s="25" t="s">
        <v>1324</v>
      </c>
      <c r="G1629" s="59" t="s">
        <v>1348</v>
      </c>
      <c r="H1629" s="60">
        <v>102.74</v>
      </c>
      <c r="I1629" s="60">
        <v>99.91</v>
      </c>
      <c r="J1629" s="60">
        <v>99.76</v>
      </c>
      <c r="K1629" s="60">
        <v>0</v>
      </c>
      <c r="L1629" s="60">
        <v>0</v>
      </c>
      <c r="M1629" s="60">
        <v>0</v>
      </c>
      <c r="N1629" s="60">
        <v>0</v>
      </c>
      <c r="O1629" s="60">
        <v>0</v>
      </c>
      <c r="P1629" s="60">
        <v>0</v>
      </c>
      <c r="Q1629" s="60">
        <v>0</v>
      </c>
      <c r="R1629" s="60">
        <v>0</v>
      </c>
      <c r="S1629" s="60">
        <v>0</v>
      </c>
      <c r="T1629" s="60">
        <v>0</v>
      </c>
      <c r="U1629" s="60">
        <v>0</v>
      </c>
      <c r="V1629" s="60">
        <v>0</v>
      </c>
      <c r="W1629" s="60">
        <v>0</v>
      </c>
      <c r="X1629" s="60">
        <v>0</v>
      </c>
      <c r="Y1629" s="60">
        <v>0</v>
      </c>
      <c r="Z1629" s="60">
        <v>0</v>
      </c>
      <c r="AA1629" s="60">
        <v>0</v>
      </c>
      <c r="AB1629" s="60">
        <v>0</v>
      </c>
      <c r="AC1629" s="60">
        <v>0</v>
      </c>
      <c r="AD1629" s="60">
        <v>0</v>
      </c>
      <c r="AE1629" s="60">
        <v>0</v>
      </c>
      <c r="AF1629" s="60">
        <v>0</v>
      </c>
      <c r="AG1629" s="60">
        <v>0</v>
      </c>
      <c r="AH1629" s="60">
        <v>0</v>
      </c>
      <c r="AI1629" s="60">
        <v>102.74</v>
      </c>
      <c r="AJ1629" s="60">
        <v>99.91</v>
      </c>
      <c r="AK1629" s="60">
        <v>99.76</v>
      </c>
      <c r="AL1629" s="60">
        <v>0</v>
      </c>
      <c r="AM1629" s="60">
        <v>0</v>
      </c>
      <c r="AN1629" s="60">
        <v>0</v>
      </c>
      <c r="AO1629" s="60">
        <v>102.74</v>
      </c>
      <c r="AP1629" s="60">
        <v>99.91</v>
      </c>
      <c r="AQ1629" s="60">
        <v>99.76</v>
      </c>
      <c r="AR1629" s="61">
        <v>102.74</v>
      </c>
    </row>
    <row r="1630" spans="1:44" x14ac:dyDescent="0.35">
      <c r="A1630" s="49" t="str">
        <f>TEXT(38,"00")</f>
        <v>38</v>
      </c>
      <c r="B1630" s="27">
        <v>68478</v>
      </c>
      <c r="C1630" s="25" t="str">
        <f t="shared" si="131"/>
        <v>0000000</v>
      </c>
      <c r="D1630" s="26" t="s">
        <v>3663</v>
      </c>
      <c r="E1630" s="25" t="s">
        <v>2379</v>
      </c>
      <c r="F1630" s="25" t="s">
        <v>2380</v>
      </c>
      <c r="G1630" s="59" t="s">
        <v>2380</v>
      </c>
      <c r="H1630" s="60">
        <v>45304.91</v>
      </c>
      <c r="I1630" s="60">
        <v>44871.12</v>
      </c>
      <c r="J1630" s="60">
        <v>44638.55</v>
      </c>
      <c r="K1630" s="60">
        <v>0</v>
      </c>
      <c r="L1630" s="60">
        <v>0</v>
      </c>
      <c r="M1630" s="60">
        <v>0</v>
      </c>
      <c r="N1630" s="60">
        <v>0</v>
      </c>
      <c r="O1630" s="60">
        <v>0</v>
      </c>
      <c r="P1630" s="60">
        <v>0</v>
      </c>
      <c r="Q1630" s="60">
        <v>0</v>
      </c>
      <c r="R1630" s="60">
        <v>0</v>
      </c>
      <c r="S1630" s="60">
        <v>0</v>
      </c>
      <c r="T1630" s="60">
        <v>0</v>
      </c>
      <c r="U1630" s="60">
        <v>0</v>
      </c>
      <c r="V1630" s="60">
        <v>0</v>
      </c>
      <c r="W1630" s="60">
        <v>0</v>
      </c>
      <c r="X1630" s="60">
        <v>0</v>
      </c>
      <c r="Y1630" s="60">
        <v>0</v>
      </c>
      <c r="Z1630" s="60">
        <v>0</v>
      </c>
      <c r="AA1630" s="60">
        <v>0</v>
      </c>
      <c r="AB1630" s="60">
        <v>0</v>
      </c>
      <c r="AC1630" s="60">
        <v>1139.75</v>
      </c>
      <c r="AD1630" s="60">
        <v>1148.26</v>
      </c>
      <c r="AE1630" s="60">
        <v>1425.21</v>
      </c>
      <c r="AF1630" s="60">
        <v>0</v>
      </c>
      <c r="AG1630" s="60">
        <v>0</v>
      </c>
      <c r="AH1630" s="60">
        <v>0</v>
      </c>
      <c r="AI1630" s="60">
        <v>46444.66</v>
      </c>
      <c r="AJ1630" s="60">
        <v>46019.38</v>
      </c>
      <c r="AK1630" s="60">
        <v>46063.76</v>
      </c>
      <c r="AL1630" s="60">
        <v>0</v>
      </c>
      <c r="AM1630" s="60">
        <v>0</v>
      </c>
      <c r="AN1630" s="60">
        <v>0</v>
      </c>
      <c r="AO1630" s="60">
        <v>46444.66</v>
      </c>
      <c r="AP1630" s="60">
        <v>46019.38</v>
      </c>
      <c r="AQ1630" s="60">
        <v>46063.76</v>
      </c>
      <c r="AR1630" s="61">
        <v>46444.66</v>
      </c>
    </row>
    <row r="1631" spans="1:44" x14ac:dyDescent="0.35">
      <c r="A1631" s="49" t="str">
        <f>TEXT(38,"00")</f>
        <v>38</v>
      </c>
      <c r="B1631" s="27">
        <v>10389</v>
      </c>
      <c r="C1631" s="25" t="str">
        <f t="shared" si="131"/>
        <v>0000000</v>
      </c>
      <c r="D1631" s="26" t="s">
        <v>3663</v>
      </c>
      <c r="E1631" s="25" t="s">
        <v>2381</v>
      </c>
      <c r="F1631" s="25" t="s">
        <v>2380</v>
      </c>
      <c r="G1631" s="59" t="s">
        <v>2382</v>
      </c>
      <c r="H1631" s="60">
        <v>0</v>
      </c>
      <c r="I1631" s="60">
        <v>0</v>
      </c>
      <c r="J1631" s="60">
        <v>0</v>
      </c>
      <c r="K1631" s="60">
        <v>0</v>
      </c>
      <c r="L1631" s="60">
        <v>0</v>
      </c>
      <c r="M1631" s="60">
        <v>0</v>
      </c>
      <c r="N1631" s="60">
        <v>0</v>
      </c>
      <c r="O1631" s="60">
        <v>0</v>
      </c>
      <c r="P1631" s="60">
        <v>0</v>
      </c>
      <c r="Q1631" s="60">
        <v>0</v>
      </c>
      <c r="R1631" s="60">
        <v>0</v>
      </c>
      <c r="S1631" s="60">
        <v>0</v>
      </c>
      <c r="T1631" s="60">
        <v>55.86</v>
      </c>
      <c r="U1631" s="60">
        <v>28.82</v>
      </c>
      <c r="V1631" s="60">
        <v>18.260000000000002</v>
      </c>
      <c r="W1631" s="60">
        <v>22.64</v>
      </c>
      <c r="X1631" s="60">
        <v>32.92</v>
      </c>
      <c r="Y1631" s="60">
        <v>24.73</v>
      </c>
      <c r="Z1631" s="60">
        <v>0</v>
      </c>
      <c r="AA1631" s="60">
        <v>0</v>
      </c>
      <c r="AB1631" s="60">
        <v>0</v>
      </c>
      <c r="AC1631" s="60">
        <v>0</v>
      </c>
      <c r="AD1631" s="60">
        <v>0</v>
      </c>
      <c r="AE1631" s="60">
        <v>0</v>
      </c>
      <c r="AF1631" s="60">
        <v>0</v>
      </c>
      <c r="AG1631" s="60">
        <v>0</v>
      </c>
      <c r="AH1631" s="60">
        <v>0</v>
      </c>
      <c r="AI1631" s="60">
        <v>78.5</v>
      </c>
      <c r="AJ1631" s="60">
        <v>61.74</v>
      </c>
      <c r="AK1631" s="60">
        <v>42.99</v>
      </c>
      <c r="AL1631" s="60">
        <v>0</v>
      </c>
      <c r="AM1631" s="60">
        <v>0</v>
      </c>
      <c r="AN1631" s="60">
        <v>0</v>
      </c>
      <c r="AO1631" s="60">
        <v>78.5</v>
      </c>
      <c r="AP1631" s="60">
        <v>61.74</v>
      </c>
      <c r="AQ1631" s="60">
        <v>42.99</v>
      </c>
      <c r="AR1631" s="61">
        <v>78.5</v>
      </c>
    </row>
    <row r="1632" spans="1:44" x14ac:dyDescent="0.35">
      <c r="A1632" s="49" t="str">
        <f t="shared" ref="A1632:A1655" si="132">TEXT(50,"00")</f>
        <v>50</v>
      </c>
      <c r="B1632" s="27">
        <v>10504</v>
      </c>
      <c r="C1632" s="25" t="str">
        <f t="shared" si="131"/>
        <v>0000000</v>
      </c>
      <c r="D1632" s="26" t="s">
        <v>3663</v>
      </c>
      <c r="E1632" s="25" t="s">
        <v>3160</v>
      </c>
      <c r="F1632" s="25" t="s">
        <v>3161</v>
      </c>
      <c r="G1632" s="59" t="s">
        <v>3161</v>
      </c>
      <c r="H1632" s="60">
        <v>0</v>
      </c>
      <c r="I1632" s="60">
        <v>0</v>
      </c>
      <c r="J1632" s="60">
        <v>0</v>
      </c>
      <c r="K1632" s="60">
        <v>0</v>
      </c>
      <c r="L1632" s="60">
        <v>0</v>
      </c>
      <c r="M1632" s="60">
        <v>0</v>
      </c>
      <c r="N1632" s="60">
        <v>0</v>
      </c>
      <c r="O1632" s="60">
        <v>0</v>
      </c>
      <c r="P1632" s="60">
        <v>0</v>
      </c>
      <c r="Q1632" s="60">
        <v>0</v>
      </c>
      <c r="R1632" s="60">
        <v>0</v>
      </c>
      <c r="S1632" s="60">
        <v>0</v>
      </c>
      <c r="T1632" s="60">
        <v>95.52</v>
      </c>
      <c r="U1632" s="60">
        <v>90.6</v>
      </c>
      <c r="V1632" s="60">
        <v>84.36</v>
      </c>
      <c r="W1632" s="60">
        <v>1360.39</v>
      </c>
      <c r="X1632" s="60">
        <v>1375</v>
      </c>
      <c r="Y1632" s="60">
        <v>1513.35</v>
      </c>
      <c r="Z1632" s="60">
        <v>0</v>
      </c>
      <c r="AA1632" s="60">
        <v>0</v>
      </c>
      <c r="AB1632" s="60">
        <v>0</v>
      </c>
      <c r="AC1632" s="60">
        <v>0</v>
      </c>
      <c r="AD1632" s="60">
        <v>0</v>
      </c>
      <c r="AE1632" s="60">
        <v>0</v>
      </c>
      <c r="AF1632" s="60">
        <v>0</v>
      </c>
      <c r="AG1632" s="60">
        <v>0</v>
      </c>
      <c r="AH1632" s="60">
        <v>0</v>
      </c>
      <c r="AI1632" s="60">
        <v>1455.91</v>
      </c>
      <c r="AJ1632" s="60">
        <v>1465.6</v>
      </c>
      <c r="AK1632" s="60">
        <v>1597.71</v>
      </c>
      <c r="AL1632" s="60">
        <v>0</v>
      </c>
      <c r="AM1632" s="60">
        <v>0</v>
      </c>
      <c r="AN1632" s="60">
        <v>0</v>
      </c>
      <c r="AO1632" s="60">
        <v>1455.91</v>
      </c>
      <c r="AP1632" s="60">
        <v>1465.6</v>
      </c>
      <c r="AQ1632" s="60">
        <v>1597.71</v>
      </c>
      <c r="AR1632" s="61">
        <v>1597.71</v>
      </c>
    </row>
    <row r="1633" spans="1:44" x14ac:dyDescent="0.35">
      <c r="A1633" s="49" t="str">
        <f t="shared" si="132"/>
        <v>50</v>
      </c>
      <c r="B1633" s="27">
        <v>71043</v>
      </c>
      <c r="C1633" s="25" t="str">
        <f t="shared" si="131"/>
        <v>0000000</v>
      </c>
      <c r="D1633" s="26" t="s">
        <v>3663</v>
      </c>
      <c r="E1633" s="25" t="s">
        <v>3162</v>
      </c>
      <c r="F1633" s="25" t="s">
        <v>3161</v>
      </c>
      <c r="G1633" s="59" t="s">
        <v>3163</v>
      </c>
      <c r="H1633" s="60">
        <v>12512.85</v>
      </c>
      <c r="I1633" s="60">
        <v>12340.63</v>
      </c>
      <c r="J1633" s="60">
        <v>11636.31</v>
      </c>
      <c r="K1633" s="60">
        <v>0</v>
      </c>
      <c r="L1633" s="60">
        <v>0</v>
      </c>
      <c r="M1633" s="60">
        <v>0</v>
      </c>
      <c r="N1633" s="60">
        <v>0</v>
      </c>
      <c r="O1633" s="60">
        <v>0</v>
      </c>
      <c r="P1633" s="60">
        <v>0</v>
      </c>
      <c r="Q1633" s="60">
        <v>0</v>
      </c>
      <c r="R1633" s="60">
        <v>0</v>
      </c>
      <c r="S1633" s="60">
        <v>0</v>
      </c>
      <c r="T1633" s="60">
        <v>0</v>
      </c>
      <c r="U1633" s="60">
        <v>0</v>
      </c>
      <c r="V1633" s="60">
        <v>0</v>
      </c>
      <c r="W1633" s="60">
        <v>0</v>
      </c>
      <c r="X1633" s="60">
        <v>0</v>
      </c>
      <c r="Y1633" s="60">
        <v>0</v>
      </c>
      <c r="Z1633" s="60">
        <v>0</v>
      </c>
      <c r="AA1633" s="60">
        <v>0</v>
      </c>
      <c r="AB1633" s="60">
        <v>0</v>
      </c>
      <c r="AC1633" s="60">
        <v>500.87</v>
      </c>
      <c r="AD1633" s="60">
        <v>481.42</v>
      </c>
      <c r="AE1633" s="60">
        <v>482.4</v>
      </c>
      <c r="AF1633" s="60">
        <v>0</v>
      </c>
      <c r="AG1633" s="60">
        <v>0</v>
      </c>
      <c r="AH1633" s="60">
        <v>0</v>
      </c>
      <c r="AI1633" s="60">
        <v>13013.72</v>
      </c>
      <c r="AJ1633" s="60">
        <v>12822.05</v>
      </c>
      <c r="AK1633" s="60">
        <v>12118.71</v>
      </c>
      <c r="AL1633" s="60">
        <v>0</v>
      </c>
      <c r="AM1633" s="60">
        <v>0</v>
      </c>
      <c r="AN1633" s="60">
        <v>0</v>
      </c>
      <c r="AO1633" s="60">
        <v>13013.72</v>
      </c>
      <c r="AP1633" s="60">
        <v>12822.05</v>
      </c>
      <c r="AQ1633" s="60">
        <v>12118.71</v>
      </c>
      <c r="AR1633" s="61">
        <v>13013.72</v>
      </c>
    </row>
    <row r="1634" spans="1:44" x14ac:dyDescent="0.35">
      <c r="A1634" s="49" t="str">
        <f t="shared" si="132"/>
        <v>50</v>
      </c>
      <c r="B1634" s="27">
        <v>71076</v>
      </c>
      <c r="C1634" s="25" t="str">
        <f t="shared" si="131"/>
        <v>0000000</v>
      </c>
      <c r="D1634" s="26" t="s">
        <v>3663</v>
      </c>
      <c r="E1634" s="25" t="s">
        <v>3171</v>
      </c>
      <c r="F1634" s="25" t="s">
        <v>3161</v>
      </c>
      <c r="G1634" s="59" t="s">
        <v>3172</v>
      </c>
      <c r="H1634" s="60">
        <v>2583.6</v>
      </c>
      <c r="I1634" s="60">
        <v>2551.02</v>
      </c>
      <c r="J1634" s="60">
        <v>2447.37</v>
      </c>
      <c r="K1634" s="60">
        <v>0</v>
      </c>
      <c r="L1634" s="60">
        <v>0</v>
      </c>
      <c r="M1634" s="60">
        <v>0</v>
      </c>
      <c r="N1634" s="60">
        <v>0</v>
      </c>
      <c r="O1634" s="60">
        <v>0</v>
      </c>
      <c r="P1634" s="60">
        <v>0</v>
      </c>
      <c r="Q1634" s="60">
        <v>0</v>
      </c>
      <c r="R1634" s="60">
        <v>0</v>
      </c>
      <c r="S1634" s="60">
        <v>0</v>
      </c>
      <c r="T1634" s="60">
        <v>0</v>
      </c>
      <c r="U1634" s="60">
        <v>0</v>
      </c>
      <c r="V1634" s="60">
        <v>0</v>
      </c>
      <c r="W1634" s="60">
        <v>0</v>
      </c>
      <c r="X1634" s="60">
        <v>0</v>
      </c>
      <c r="Y1634" s="60">
        <v>0</v>
      </c>
      <c r="Z1634" s="60">
        <v>0</v>
      </c>
      <c r="AA1634" s="60">
        <v>0</v>
      </c>
      <c r="AB1634" s="60">
        <v>0</v>
      </c>
      <c r="AC1634" s="60">
        <v>0</v>
      </c>
      <c r="AD1634" s="60">
        <v>0</v>
      </c>
      <c r="AE1634" s="60">
        <v>0</v>
      </c>
      <c r="AF1634" s="60">
        <v>0</v>
      </c>
      <c r="AG1634" s="60">
        <v>0</v>
      </c>
      <c r="AH1634" s="60">
        <v>0</v>
      </c>
      <c r="AI1634" s="60">
        <v>2583.6</v>
      </c>
      <c r="AJ1634" s="60">
        <v>2551.02</v>
      </c>
      <c r="AK1634" s="60">
        <v>2447.37</v>
      </c>
      <c r="AL1634" s="60">
        <v>0</v>
      </c>
      <c r="AM1634" s="60">
        <v>0</v>
      </c>
      <c r="AN1634" s="60">
        <v>0</v>
      </c>
      <c r="AO1634" s="60">
        <v>2583.6</v>
      </c>
      <c r="AP1634" s="60">
        <v>2551.02</v>
      </c>
      <c r="AQ1634" s="60">
        <v>2447.37</v>
      </c>
      <c r="AR1634" s="61">
        <v>2583.6</v>
      </c>
    </row>
    <row r="1635" spans="1:44" x14ac:dyDescent="0.35">
      <c r="A1635" s="49" t="str">
        <f t="shared" si="132"/>
        <v>50</v>
      </c>
      <c r="B1635" s="27">
        <v>73601</v>
      </c>
      <c r="C1635" s="25" t="str">
        <f t="shared" si="131"/>
        <v>0000000</v>
      </c>
      <c r="D1635" s="26" t="s">
        <v>3663</v>
      </c>
      <c r="E1635" s="25" t="s">
        <v>3209</v>
      </c>
      <c r="F1635" s="25" t="s">
        <v>3161</v>
      </c>
      <c r="G1635" s="59" t="s">
        <v>3210</v>
      </c>
      <c r="H1635" s="60">
        <v>2943.13</v>
      </c>
      <c r="I1635" s="60">
        <v>2877.97</v>
      </c>
      <c r="J1635" s="60">
        <v>2831.62</v>
      </c>
      <c r="K1635" s="60">
        <v>0</v>
      </c>
      <c r="L1635" s="60">
        <v>0</v>
      </c>
      <c r="M1635" s="60">
        <v>0</v>
      </c>
      <c r="N1635" s="60">
        <v>0</v>
      </c>
      <c r="O1635" s="60">
        <v>0</v>
      </c>
      <c r="P1635" s="60">
        <v>0</v>
      </c>
      <c r="Q1635" s="60">
        <v>0</v>
      </c>
      <c r="R1635" s="60">
        <v>0</v>
      </c>
      <c r="S1635" s="60">
        <v>0</v>
      </c>
      <c r="T1635" s="60">
        <v>0</v>
      </c>
      <c r="U1635" s="60">
        <v>0</v>
      </c>
      <c r="V1635" s="60">
        <v>0</v>
      </c>
      <c r="W1635" s="60">
        <v>0</v>
      </c>
      <c r="X1635" s="60">
        <v>0</v>
      </c>
      <c r="Y1635" s="60">
        <v>0</v>
      </c>
      <c r="Z1635" s="60">
        <v>0</v>
      </c>
      <c r="AA1635" s="60">
        <v>0</v>
      </c>
      <c r="AB1635" s="60">
        <v>0</v>
      </c>
      <c r="AC1635" s="60">
        <v>0</v>
      </c>
      <c r="AD1635" s="60">
        <v>0</v>
      </c>
      <c r="AE1635" s="60">
        <v>0</v>
      </c>
      <c r="AF1635" s="60">
        <v>0</v>
      </c>
      <c r="AG1635" s="60">
        <v>0</v>
      </c>
      <c r="AH1635" s="60">
        <v>0</v>
      </c>
      <c r="AI1635" s="60">
        <v>2943.13</v>
      </c>
      <c r="AJ1635" s="60">
        <v>2877.97</v>
      </c>
      <c r="AK1635" s="60">
        <v>2831.62</v>
      </c>
      <c r="AL1635" s="60">
        <v>0</v>
      </c>
      <c r="AM1635" s="60">
        <v>0</v>
      </c>
      <c r="AN1635" s="60">
        <v>0</v>
      </c>
      <c r="AO1635" s="60">
        <v>2943.13</v>
      </c>
      <c r="AP1635" s="60">
        <v>2877.97</v>
      </c>
      <c r="AQ1635" s="60">
        <v>2831.62</v>
      </c>
      <c r="AR1635" s="61">
        <v>2943.13</v>
      </c>
    </row>
    <row r="1636" spans="1:44" x14ac:dyDescent="0.35">
      <c r="A1636" s="49" t="str">
        <f t="shared" si="132"/>
        <v>50</v>
      </c>
      <c r="B1636" s="27">
        <v>75564</v>
      </c>
      <c r="C1636" s="25" t="str">
        <f t="shared" si="131"/>
        <v>0000000</v>
      </c>
      <c r="D1636" s="26" t="s">
        <v>3663</v>
      </c>
      <c r="E1636" s="25" t="s">
        <v>3215</v>
      </c>
      <c r="F1636" s="25" t="s">
        <v>3161</v>
      </c>
      <c r="G1636" s="59" t="s">
        <v>3216</v>
      </c>
      <c r="H1636" s="60">
        <v>4769.6899999999996</v>
      </c>
      <c r="I1636" s="60">
        <v>4771.8999999999996</v>
      </c>
      <c r="J1636" s="60">
        <v>4745.28</v>
      </c>
      <c r="K1636" s="60">
        <v>0</v>
      </c>
      <c r="L1636" s="60">
        <v>0</v>
      </c>
      <c r="M1636" s="60">
        <v>0</v>
      </c>
      <c r="N1636" s="60">
        <v>0</v>
      </c>
      <c r="O1636" s="60">
        <v>0</v>
      </c>
      <c r="P1636" s="60">
        <v>0</v>
      </c>
      <c r="Q1636" s="60">
        <v>0</v>
      </c>
      <c r="R1636" s="60">
        <v>0</v>
      </c>
      <c r="S1636" s="60">
        <v>0</v>
      </c>
      <c r="T1636" s="60">
        <v>0</v>
      </c>
      <c r="U1636" s="60">
        <v>0</v>
      </c>
      <c r="V1636" s="60">
        <v>0</v>
      </c>
      <c r="W1636" s="60">
        <v>0</v>
      </c>
      <c r="X1636" s="60">
        <v>0</v>
      </c>
      <c r="Y1636" s="60">
        <v>0</v>
      </c>
      <c r="Z1636" s="60">
        <v>0</v>
      </c>
      <c r="AA1636" s="60">
        <v>0</v>
      </c>
      <c r="AB1636" s="60">
        <v>0</v>
      </c>
      <c r="AC1636" s="60">
        <v>46.28</v>
      </c>
      <c r="AD1636" s="60">
        <v>57.86</v>
      </c>
      <c r="AE1636" s="60">
        <v>54.54</v>
      </c>
      <c r="AF1636" s="60">
        <v>0</v>
      </c>
      <c r="AG1636" s="60">
        <v>0</v>
      </c>
      <c r="AH1636" s="60">
        <v>0</v>
      </c>
      <c r="AI1636" s="60">
        <v>4815.97</v>
      </c>
      <c r="AJ1636" s="60">
        <v>4829.76</v>
      </c>
      <c r="AK1636" s="60">
        <v>4799.82</v>
      </c>
      <c r="AL1636" s="60">
        <v>0</v>
      </c>
      <c r="AM1636" s="60">
        <v>0</v>
      </c>
      <c r="AN1636" s="60">
        <v>0</v>
      </c>
      <c r="AO1636" s="60">
        <v>4815.97</v>
      </c>
      <c r="AP1636" s="60">
        <v>4829.76</v>
      </c>
      <c r="AQ1636" s="60">
        <v>4799.82</v>
      </c>
      <c r="AR1636" s="61">
        <v>4829.76</v>
      </c>
    </row>
    <row r="1637" spans="1:44" x14ac:dyDescent="0.35">
      <c r="A1637" s="49" t="str">
        <f t="shared" si="132"/>
        <v>50</v>
      </c>
      <c r="B1637" s="27">
        <v>71217</v>
      </c>
      <c r="C1637" s="25" t="str">
        <f t="shared" si="131"/>
        <v>0000000</v>
      </c>
      <c r="D1637" s="26" t="s">
        <v>3663</v>
      </c>
      <c r="E1637" s="25" t="s">
        <v>3195</v>
      </c>
      <c r="F1637" s="25" t="s">
        <v>3161</v>
      </c>
      <c r="G1637" s="59" t="s">
        <v>3196</v>
      </c>
      <c r="H1637" s="60">
        <v>5665.47</v>
      </c>
      <c r="I1637" s="60">
        <v>5664.94</v>
      </c>
      <c r="J1637" s="60">
        <v>5610.65</v>
      </c>
      <c r="K1637" s="60">
        <v>0</v>
      </c>
      <c r="L1637" s="60">
        <v>0</v>
      </c>
      <c r="M1637" s="60">
        <v>0</v>
      </c>
      <c r="N1637" s="60">
        <v>0</v>
      </c>
      <c r="O1637" s="60">
        <v>0</v>
      </c>
      <c r="P1637" s="60">
        <v>0</v>
      </c>
      <c r="Q1637" s="60">
        <v>0</v>
      </c>
      <c r="R1637" s="60">
        <v>0</v>
      </c>
      <c r="S1637" s="60">
        <v>0</v>
      </c>
      <c r="T1637" s="60">
        <v>0</v>
      </c>
      <c r="U1637" s="60">
        <v>0</v>
      </c>
      <c r="V1637" s="60">
        <v>0</v>
      </c>
      <c r="W1637" s="60">
        <v>0</v>
      </c>
      <c r="X1637" s="60">
        <v>0</v>
      </c>
      <c r="Y1637" s="60">
        <v>0</v>
      </c>
      <c r="Z1637" s="60">
        <v>0</v>
      </c>
      <c r="AA1637" s="60">
        <v>0</v>
      </c>
      <c r="AB1637" s="60">
        <v>0</v>
      </c>
      <c r="AC1637" s="60">
        <v>0</v>
      </c>
      <c r="AD1637" s="60">
        <v>0</v>
      </c>
      <c r="AE1637" s="60">
        <v>0</v>
      </c>
      <c r="AF1637" s="60">
        <v>0</v>
      </c>
      <c r="AG1637" s="60">
        <v>0</v>
      </c>
      <c r="AH1637" s="60">
        <v>0</v>
      </c>
      <c r="AI1637" s="60">
        <v>5665.47</v>
      </c>
      <c r="AJ1637" s="60">
        <v>5664.94</v>
      </c>
      <c r="AK1637" s="60">
        <v>5610.65</v>
      </c>
      <c r="AL1637" s="60">
        <v>0</v>
      </c>
      <c r="AM1637" s="60">
        <v>0</v>
      </c>
      <c r="AN1637" s="60">
        <v>0</v>
      </c>
      <c r="AO1637" s="60">
        <v>5665.47</v>
      </c>
      <c r="AP1637" s="60">
        <v>5664.94</v>
      </c>
      <c r="AQ1637" s="60">
        <v>5610.65</v>
      </c>
      <c r="AR1637" s="61">
        <v>5665.47</v>
      </c>
    </row>
    <row r="1638" spans="1:44" x14ac:dyDescent="0.35">
      <c r="A1638" s="49" t="str">
        <f t="shared" si="132"/>
        <v>50</v>
      </c>
      <c r="B1638" s="27">
        <v>75556</v>
      </c>
      <c r="C1638" s="25" t="str">
        <f t="shared" si="131"/>
        <v>0000000</v>
      </c>
      <c r="D1638" s="26" t="s">
        <v>3663</v>
      </c>
      <c r="E1638" s="25" t="s">
        <v>3213</v>
      </c>
      <c r="F1638" s="25" t="s">
        <v>3161</v>
      </c>
      <c r="G1638" s="59" t="s">
        <v>3214</v>
      </c>
      <c r="H1638" s="60">
        <v>2229.71</v>
      </c>
      <c r="I1638" s="60">
        <v>2178.29</v>
      </c>
      <c r="J1638" s="60">
        <v>2038.68</v>
      </c>
      <c r="K1638" s="60">
        <v>0</v>
      </c>
      <c r="L1638" s="60">
        <v>0</v>
      </c>
      <c r="M1638" s="60">
        <v>0</v>
      </c>
      <c r="N1638" s="60">
        <v>0</v>
      </c>
      <c r="O1638" s="60">
        <v>0</v>
      </c>
      <c r="P1638" s="60">
        <v>0</v>
      </c>
      <c r="Q1638" s="60">
        <v>0</v>
      </c>
      <c r="R1638" s="60">
        <v>0</v>
      </c>
      <c r="S1638" s="60">
        <v>0</v>
      </c>
      <c r="T1638" s="60">
        <v>0</v>
      </c>
      <c r="U1638" s="60">
        <v>0</v>
      </c>
      <c r="V1638" s="60">
        <v>0</v>
      </c>
      <c r="W1638" s="60">
        <v>0</v>
      </c>
      <c r="X1638" s="60">
        <v>0</v>
      </c>
      <c r="Y1638" s="60">
        <v>0</v>
      </c>
      <c r="Z1638" s="60">
        <v>0</v>
      </c>
      <c r="AA1638" s="60">
        <v>0</v>
      </c>
      <c r="AB1638" s="60">
        <v>0</v>
      </c>
      <c r="AC1638" s="60">
        <v>543.47</v>
      </c>
      <c r="AD1638" s="60">
        <v>537.73</v>
      </c>
      <c r="AE1638" s="60">
        <v>538.27</v>
      </c>
      <c r="AF1638" s="60">
        <v>0</v>
      </c>
      <c r="AG1638" s="60">
        <v>0</v>
      </c>
      <c r="AH1638" s="60">
        <v>0</v>
      </c>
      <c r="AI1638" s="60">
        <v>2773.18</v>
      </c>
      <c r="AJ1638" s="60">
        <v>2716.02</v>
      </c>
      <c r="AK1638" s="60">
        <v>2576.9499999999998</v>
      </c>
      <c r="AL1638" s="60">
        <v>0</v>
      </c>
      <c r="AM1638" s="60">
        <v>0</v>
      </c>
      <c r="AN1638" s="60">
        <v>0</v>
      </c>
      <c r="AO1638" s="60">
        <v>2773.18</v>
      </c>
      <c r="AP1638" s="60">
        <v>2716.02</v>
      </c>
      <c r="AQ1638" s="60">
        <v>2576.9499999999998</v>
      </c>
      <c r="AR1638" s="61">
        <v>2773.18</v>
      </c>
    </row>
    <row r="1639" spans="1:44" x14ac:dyDescent="0.35">
      <c r="A1639" s="49" t="str">
        <f t="shared" si="132"/>
        <v>50</v>
      </c>
      <c r="B1639" s="27">
        <v>71282</v>
      </c>
      <c r="C1639" s="25" t="str">
        <f t="shared" si="131"/>
        <v>0000000</v>
      </c>
      <c r="D1639" s="26" t="s">
        <v>3663</v>
      </c>
      <c r="E1639" s="25" t="s">
        <v>3203</v>
      </c>
      <c r="F1639" s="25" t="s">
        <v>3161</v>
      </c>
      <c r="G1639" s="59" t="s">
        <v>3204</v>
      </c>
      <c r="H1639" s="60">
        <v>3134.48</v>
      </c>
      <c r="I1639" s="60">
        <v>3168.81</v>
      </c>
      <c r="J1639" s="60">
        <v>3122.37</v>
      </c>
      <c r="K1639" s="60">
        <v>0</v>
      </c>
      <c r="L1639" s="60">
        <v>0</v>
      </c>
      <c r="M1639" s="60">
        <v>0</v>
      </c>
      <c r="N1639" s="60">
        <v>0</v>
      </c>
      <c r="O1639" s="60">
        <v>0</v>
      </c>
      <c r="P1639" s="60">
        <v>0</v>
      </c>
      <c r="Q1639" s="60">
        <v>0</v>
      </c>
      <c r="R1639" s="60">
        <v>0</v>
      </c>
      <c r="S1639" s="60">
        <v>0</v>
      </c>
      <c r="T1639" s="60">
        <v>0</v>
      </c>
      <c r="U1639" s="60">
        <v>0</v>
      </c>
      <c r="V1639" s="60">
        <v>0</v>
      </c>
      <c r="W1639" s="60">
        <v>0</v>
      </c>
      <c r="X1639" s="60">
        <v>0</v>
      </c>
      <c r="Y1639" s="60">
        <v>0</v>
      </c>
      <c r="Z1639" s="60">
        <v>0</v>
      </c>
      <c r="AA1639" s="60">
        <v>0</v>
      </c>
      <c r="AB1639" s="60">
        <v>0</v>
      </c>
      <c r="AC1639" s="60">
        <v>0</v>
      </c>
      <c r="AD1639" s="60">
        <v>0</v>
      </c>
      <c r="AE1639" s="60">
        <v>0</v>
      </c>
      <c r="AF1639" s="60">
        <v>0</v>
      </c>
      <c r="AG1639" s="60">
        <v>0</v>
      </c>
      <c r="AH1639" s="60">
        <v>0</v>
      </c>
      <c r="AI1639" s="60">
        <v>3134.48</v>
      </c>
      <c r="AJ1639" s="60">
        <v>3168.81</v>
      </c>
      <c r="AK1639" s="60">
        <v>3122.37</v>
      </c>
      <c r="AL1639" s="60">
        <v>0</v>
      </c>
      <c r="AM1639" s="60">
        <v>0</v>
      </c>
      <c r="AN1639" s="60">
        <v>0</v>
      </c>
      <c r="AO1639" s="60">
        <v>3134.48</v>
      </c>
      <c r="AP1639" s="60">
        <v>3168.81</v>
      </c>
      <c r="AQ1639" s="60">
        <v>3122.37</v>
      </c>
      <c r="AR1639" s="61">
        <v>3168.81</v>
      </c>
    </row>
    <row r="1640" spans="1:44" x14ac:dyDescent="0.35">
      <c r="A1640" s="49" t="str">
        <f t="shared" si="132"/>
        <v>50</v>
      </c>
      <c r="B1640" s="27">
        <v>71290</v>
      </c>
      <c r="C1640" s="25" t="str">
        <f t="shared" si="131"/>
        <v>0000000</v>
      </c>
      <c r="D1640" s="26" t="s">
        <v>3663</v>
      </c>
      <c r="E1640" s="25" t="s">
        <v>3205</v>
      </c>
      <c r="F1640" s="25" t="s">
        <v>3161</v>
      </c>
      <c r="G1640" s="59" t="s">
        <v>3206</v>
      </c>
      <c r="H1640" s="60">
        <v>7614.8</v>
      </c>
      <c r="I1640" s="60">
        <v>7449.68</v>
      </c>
      <c r="J1640" s="60">
        <v>6929.46</v>
      </c>
      <c r="K1640" s="60">
        <v>0</v>
      </c>
      <c r="L1640" s="60">
        <v>0</v>
      </c>
      <c r="M1640" s="60">
        <v>0</v>
      </c>
      <c r="N1640" s="60">
        <v>0</v>
      </c>
      <c r="O1640" s="60">
        <v>0</v>
      </c>
      <c r="P1640" s="60">
        <v>0</v>
      </c>
      <c r="Q1640" s="60">
        <v>0</v>
      </c>
      <c r="R1640" s="60">
        <v>0</v>
      </c>
      <c r="S1640" s="60">
        <v>0</v>
      </c>
      <c r="T1640" s="60">
        <v>0</v>
      </c>
      <c r="U1640" s="60">
        <v>0</v>
      </c>
      <c r="V1640" s="60">
        <v>0</v>
      </c>
      <c r="W1640" s="60">
        <v>0</v>
      </c>
      <c r="X1640" s="60">
        <v>0</v>
      </c>
      <c r="Y1640" s="60">
        <v>0</v>
      </c>
      <c r="Z1640" s="60">
        <v>0</v>
      </c>
      <c r="AA1640" s="60">
        <v>0</v>
      </c>
      <c r="AB1640" s="60">
        <v>0</v>
      </c>
      <c r="AC1640" s="60">
        <v>846.95</v>
      </c>
      <c r="AD1640" s="60">
        <v>794.53</v>
      </c>
      <c r="AE1640" s="60">
        <v>781.41</v>
      </c>
      <c r="AF1640" s="60">
        <v>0</v>
      </c>
      <c r="AG1640" s="60">
        <v>0</v>
      </c>
      <c r="AH1640" s="60">
        <v>0</v>
      </c>
      <c r="AI1640" s="60">
        <v>8461.75</v>
      </c>
      <c r="AJ1640" s="60">
        <v>8244.2099999999991</v>
      </c>
      <c r="AK1640" s="60">
        <v>7710.87</v>
      </c>
      <c r="AL1640" s="60">
        <v>0</v>
      </c>
      <c r="AM1640" s="60">
        <v>0</v>
      </c>
      <c r="AN1640" s="60">
        <v>0</v>
      </c>
      <c r="AO1640" s="60">
        <v>8461.75</v>
      </c>
      <c r="AP1640" s="60">
        <v>8244.2099999999991</v>
      </c>
      <c r="AQ1640" s="60">
        <v>7710.87</v>
      </c>
      <c r="AR1640" s="61">
        <v>8461.75</v>
      </c>
    </row>
    <row r="1641" spans="1:44" x14ac:dyDescent="0.35">
      <c r="A1641" s="49" t="str">
        <f t="shared" si="132"/>
        <v>50</v>
      </c>
      <c r="B1641" s="27">
        <v>75572</v>
      </c>
      <c r="C1641" s="25" t="str">
        <f t="shared" ref="C1641:C1658" si="133">TEXT(,"0000000")</f>
        <v>0000000</v>
      </c>
      <c r="D1641" s="26" t="s">
        <v>3663</v>
      </c>
      <c r="E1641" s="25" t="s">
        <v>3217</v>
      </c>
      <c r="F1641" s="25" t="s">
        <v>3161</v>
      </c>
      <c r="G1641" s="59" t="s">
        <v>3218</v>
      </c>
      <c r="H1641" s="60">
        <v>1601.08</v>
      </c>
      <c r="I1641" s="60">
        <v>1658.39</v>
      </c>
      <c r="J1641" s="60">
        <v>1594.82</v>
      </c>
      <c r="K1641" s="60">
        <v>0</v>
      </c>
      <c r="L1641" s="60">
        <v>0</v>
      </c>
      <c r="M1641" s="60">
        <v>0</v>
      </c>
      <c r="N1641" s="60">
        <v>0</v>
      </c>
      <c r="O1641" s="60">
        <v>0</v>
      </c>
      <c r="P1641" s="60">
        <v>0</v>
      </c>
      <c r="Q1641" s="60">
        <v>0</v>
      </c>
      <c r="R1641" s="60">
        <v>0</v>
      </c>
      <c r="S1641" s="60">
        <v>0</v>
      </c>
      <c r="T1641" s="60">
        <v>0</v>
      </c>
      <c r="U1641" s="60">
        <v>0</v>
      </c>
      <c r="V1641" s="60">
        <v>0</v>
      </c>
      <c r="W1641" s="60">
        <v>0</v>
      </c>
      <c r="X1641" s="60">
        <v>0</v>
      </c>
      <c r="Y1641" s="60">
        <v>0</v>
      </c>
      <c r="Z1641" s="60">
        <v>0</v>
      </c>
      <c r="AA1641" s="60">
        <v>0</v>
      </c>
      <c r="AB1641" s="60">
        <v>0</v>
      </c>
      <c r="AC1641" s="60">
        <v>783.29</v>
      </c>
      <c r="AD1641" s="60">
        <v>763.53</v>
      </c>
      <c r="AE1641" s="60">
        <v>989.47</v>
      </c>
      <c r="AF1641" s="60">
        <v>0</v>
      </c>
      <c r="AG1641" s="60">
        <v>0</v>
      </c>
      <c r="AH1641" s="60">
        <v>0</v>
      </c>
      <c r="AI1641" s="60">
        <v>2384.37</v>
      </c>
      <c r="AJ1641" s="60">
        <v>2421.92</v>
      </c>
      <c r="AK1641" s="60">
        <v>2584.29</v>
      </c>
      <c r="AL1641" s="60">
        <v>0</v>
      </c>
      <c r="AM1641" s="60">
        <v>0</v>
      </c>
      <c r="AN1641" s="60">
        <v>0</v>
      </c>
      <c r="AO1641" s="60">
        <v>2384.37</v>
      </c>
      <c r="AP1641" s="60">
        <v>2421.92</v>
      </c>
      <c r="AQ1641" s="60">
        <v>2584.29</v>
      </c>
      <c r="AR1641" s="61">
        <v>2584.29</v>
      </c>
    </row>
    <row r="1642" spans="1:44" x14ac:dyDescent="0.35">
      <c r="A1642" s="49" t="str">
        <f t="shared" si="132"/>
        <v>50</v>
      </c>
      <c r="B1642" s="27">
        <v>71068</v>
      </c>
      <c r="C1642" s="25" t="str">
        <f t="shared" si="133"/>
        <v>0000000</v>
      </c>
      <c r="D1642" s="26" t="s">
        <v>3663</v>
      </c>
      <c r="E1642" s="25" t="s">
        <v>3169</v>
      </c>
      <c r="F1642" s="25" t="s">
        <v>3161</v>
      </c>
      <c r="G1642" s="59" t="s">
        <v>3170</v>
      </c>
      <c r="H1642" s="60">
        <v>527.83000000000004</v>
      </c>
      <c r="I1642" s="60">
        <v>497.5</v>
      </c>
      <c r="J1642" s="60">
        <v>457.75</v>
      </c>
      <c r="K1642" s="60">
        <v>0</v>
      </c>
      <c r="L1642" s="60">
        <v>0</v>
      </c>
      <c r="M1642" s="60">
        <v>0</v>
      </c>
      <c r="N1642" s="60">
        <v>0</v>
      </c>
      <c r="O1642" s="60">
        <v>0</v>
      </c>
      <c r="P1642" s="60">
        <v>0</v>
      </c>
      <c r="Q1642" s="60">
        <v>0</v>
      </c>
      <c r="R1642" s="60">
        <v>0</v>
      </c>
      <c r="S1642" s="60">
        <v>0</v>
      </c>
      <c r="T1642" s="60">
        <v>0</v>
      </c>
      <c r="U1642" s="60">
        <v>0</v>
      </c>
      <c r="V1642" s="60">
        <v>0</v>
      </c>
      <c r="W1642" s="60">
        <v>0</v>
      </c>
      <c r="X1642" s="60">
        <v>0</v>
      </c>
      <c r="Y1642" s="60">
        <v>0</v>
      </c>
      <c r="Z1642" s="60">
        <v>0</v>
      </c>
      <c r="AA1642" s="60">
        <v>0</v>
      </c>
      <c r="AB1642" s="60">
        <v>0</v>
      </c>
      <c r="AC1642" s="60">
        <v>684.05</v>
      </c>
      <c r="AD1642" s="60">
        <v>715.55</v>
      </c>
      <c r="AE1642" s="60">
        <v>672.01</v>
      </c>
      <c r="AF1642" s="60">
        <v>0</v>
      </c>
      <c r="AG1642" s="60">
        <v>0</v>
      </c>
      <c r="AH1642" s="60">
        <v>0</v>
      </c>
      <c r="AI1642" s="60">
        <v>1211.8800000000001</v>
      </c>
      <c r="AJ1642" s="60">
        <v>1213.05</v>
      </c>
      <c r="AK1642" s="60">
        <v>1129.76</v>
      </c>
      <c r="AL1642" s="60">
        <v>0</v>
      </c>
      <c r="AM1642" s="60">
        <v>0</v>
      </c>
      <c r="AN1642" s="60">
        <v>0</v>
      </c>
      <c r="AO1642" s="60">
        <v>1211.8800000000001</v>
      </c>
      <c r="AP1642" s="60">
        <v>1213.05</v>
      </c>
      <c r="AQ1642" s="60">
        <v>1129.76</v>
      </c>
      <c r="AR1642" s="61">
        <v>1213.05</v>
      </c>
    </row>
    <row r="1643" spans="1:44" x14ac:dyDescent="0.35">
      <c r="A1643" s="49" t="str">
        <f t="shared" si="132"/>
        <v>50</v>
      </c>
      <c r="B1643" s="27">
        <v>71134</v>
      </c>
      <c r="C1643" s="25" t="str">
        <f t="shared" si="133"/>
        <v>0000000</v>
      </c>
      <c r="D1643" s="26" t="s">
        <v>3663</v>
      </c>
      <c r="E1643" s="25" t="s">
        <v>3179</v>
      </c>
      <c r="F1643" s="25" t="s">
        <v>3161</v>
      </c>
      <c r="G1643" s="59" t="s">
        <v>3180</v>
      </c>
      <c r="H1643" s="60">
        <v>664.5</v>
      </c>
      <c r="I1643" s="60">
        <v>657.89</v>
      </c>
      <c r="J1643" s="60">
        <v>664.4</v>
      </c>
      <c r="K1643" s="60">
        <v>0</v>
      </c>
      <c r="L1643" s="60">
        <v>0</v>
      </c>
      <c r="M1643" s="60">
        <v>0</v>
      </c>
      <c r="N1643" s="60">
        <v>0</v>
      </c>
      <c r="O1643" s="60">
        <v>0</v>
      </c>
      <c r="P1643" s="60">
        <v>0</v>
      </c>
      <c r="Q1643" s="60">
        <v>0</v>
      </c>
      <c r="R1643" s="60">
        <v>0</v>
      </c>
      <c r="S1643" s="60">
        <v>0</v>
      </c>
      <c r="T1643" s="60">
        <v>0</v>
      </c>
      <c r="U1643" s="60">
        <v>0</v>
      </c>
      <c r="V1643" s="60">
        <v>0</v>
      </c>
      <c r="W1643" s="60">
        <v>0</v>
      </c>
      <c r="X1643" s="60">
        <v>0</v>
      </c>
      <c r="Y1643" s="60">
        <v>0</v>
      </c>
      <c r="Z1643" s="60">
        <v>0</v>
      </c>
      <c r="AA1643" s="60">
        <v>0</v>
      </c>
      <c r="AB1643" s="60">
        <v>0</v>
      </c>
      <c r="AC1643" s="60">
        <v>350.2</v>
      </c>
      <c r="AD1643" s="60">
        <v>314.36</v>
      </c>
      <c r="AE1643" s="60">
        <v>327.11</v>
      </c>
      <c r="AF1643" s="60">
        <v>0</v>
      </c>
      <c r="AG1643" s="60">
        <v>0</v>
      </c>
      <c r="AH1643" s="60">
        <v>0</v>
      </c>
      <c r="AI1643" s="60">
        <v>1014.7</v>
      </c>
      <c r="AJ1643" s="60">
        <v>972.25</v>
      </c>
      <c r="AK1643" s="60">
        <v>991.51</v>
      </c>
      <c r="AL1643" s="60">
        <v>0</v>
      </c>
      <c r="AM1643" s="60">
        <v>0</v>
      </c>
      <c r="AN1643" s="60">
        <v>0</v>
      </c>
      <c r="AO1643" s="60">
        <v>1014.7</v>
      </c>
      <c r="AP1643" s="60">
        <v>972.25</v>
      </c>
      <c r="AQ1643" s="60">
        <v>991.51</v>
      </c>
      <c r="AR1643" s="61">
        <v>1014.7</v>
      </c>
    </row>
    <row r="1644" spans="1:44" x14ac:dyDescent="0.35">
      <c r="A1644" s="49" t="str">
        <f t="shared" si="132"/>
        <v>50</v>
      </c>
      <c r="B1644" s="27">
        <v>71266</v>
      </c>
      <c r="C1644" s="25" t="str">
        <f t="shared" si="133"/>
        <v>0000000</v>
      </c>
      <c r="D1644" s="26" t="s">
        <v>3663</v>
      </c>
      <c r="E1644" s="25" t="s">
        <v>3199</v>
      </c>
      <c r="F1644" s="25" t="s">
        <v>3161</v>
      </c>
      <c r="G1644" s="59" t="s">
        <v>3200</v>
      </c>
      <c r="H1644" s="60">
        <v>1986.49</v>
      </c>
      <c r="I1644" s="60">
        <v>2005.55</v>
      </c>
      <c r="J1644" s="60">
        <v>2010.45</v>
      </c>
      <c r="K1644" s="60">
        <v>0</v>
      </c>
      <c r="L1644" s="60">
        <v>0</v>
      </c>
      <c r="M1644" s="60">
        <v>0</v>
      </c>
      <c r="N1644" s="60">
        <v>0</v>
      </c>
      <c r="O1644" s="60">
        <v>0</v>
      </c>
      <c r="P1644" s="60">
        <v>0</v>
      </c>
      <c r="Q1644" s="60">
        <v>0</v>
      </c>
      <c r="R1644" s="60">
        <v>0</v>
      </c>
      <c r="S1644" s="60">
        <v>0</v>
      </c>
      <c r="T1644" s="60">
        <v>0</v>
      </c>
      <c r="U1644" s="60">
        <v>0</v>
      </c>
      <c r="V1644" s="60">
        <v>0</v>
      </c>
      <c r="W1644" s="60">
        <v>0</v>
      </c>
      <c r="X1644" s="60">
        <v>0</v>
      </c>
      <c r="Y1644" s="60">
        <v>0</v>
      </c>
      <c r="Z1644" s="60">
        <v>0</v>
      </c>
      <c r="AA1644" s="60">
        <v>0</v>
      </c>
      <c r="AB1644" s="60">
        <v>0</v>
      </c>
      <c r="AC1644" s="60">
        <v>823.66</v>
      </c>
      <c r="AD1644" s="60">
        <v>769.95</v>
      </c>
      <c r="AE1644" s="60">
        <v>763.02</v>
      </c>
      <c r="AF1644" s="60">
        <v>0</v>
      </c>
      <c r="AG1644" s="60">
        <v>0</v>
      </c>
      <c r="AH1644" s="60">
        <v>0</v>
      </c>
      <c r="AI1644" s="60">
        <v>2810.15</v>
      </c>
      <c r="AJ1644" s="60">
        <v>2775.5</v>
      </c>
      <c r="AK1644" s="60">
        <v>2773.47</v>
      </c>
      <c r="AL1644" s="60">
        <v>0</v>
      </c>
      <c r="AM1644" s="60">
        <v>0</v>
      </c>
      <c r="AN1644" s="60">
        <v>0</v>
      </c>
      <c r="AO1644" s="60">
        <v>2810.15</v>
      </c>
      <c r="AP1644" s="60">
        <v>2775.5</v>
      </c>
      <c r="AQ1644" s="60">
        <v>2773.47</v>
      </c>
      <c r="AR1644" s="61">
        <v>2810.15</v>
      </c>
    </row>
    <row r="1645" spans="1:44" x14ac:dyDescent="0.35">
      <c r="A1645" s="49" t="str">
        <f t="shared" si="132"/>
        <v>50</v>
      </c>
      <c r="B1645" s="27">
        <v>71050</v>
      </c>
      <c r="C1645" s="25" t="str">
        <f t="shared" si="133"/>
        <v>0000000</v>
      </c>
      <c r="D1645" s="26" t="s">
        <v>3663</v>
      </c>
      <c r="E1645" s="25" t="s">
        <v>3167</v>
      </c>
      <c r="F1645" s="25" t="s">
        <v>3161</v>
      </c>
      <c r="G1645" s="59" t="s">
        <v>3168</v>
      </c>
      <c r="H1645" s="60">
        <v>514.52</v>
      </c>
      <c r="I1645" s="60">
        <v>526.41</v>
      </c>
      <c r="J1645" s="60">
        <v>504.81</v>
      </c>
      <c r="K1645" s="60">
        <v>0</v>
      </c>
      <c r="L1645" s="60">
        <v>0</v>
      </c>
      <c r="M1645" s="60">
        <v>0</v>
      </c>
      <c r="N1645" s="60">
        <v>0</v>
      </c>
      <c r="O1645" s="60">
        <v>0</v>
      </c>
      <c r="P1645" s="60">
        <v>0</v>
      </c>
      <c r="Q1645" s="60">
        <v>0</v>
      </c>
      <c r="R1645" s="60">
        <v>0</v>
      </c>
      <c r="S1645" s="60">
        <v>0</v>
      </c>
      <c r="T1645" s="60">
        <v>0</v>
      </c>
      <c r="U1645" s="60">
        <v>0</v>
      </c>
      <c r="V1645" s="60">
        <v>0</v>
      </c>
      <c r="W1645" s="60">
        <v>0</v>
      </c>
      <c r="X1645" s="60">
        <v>0</v>
      </c>
      <c r="Y1645" s="60">
        <v>0</v>
      </c>
      <c r="Z1645" s="60">
        <v>0</v>
      </c>
      <c r="AA1645" s="60">
        <v>0</v>
      </c>
      <c r="AB1645" s="60">
        <v>0</v>
      </c>
      <c r="AC1645" s="60">
        <v>0</v>
      </c>
      <c r="AD1645" s="60">
        <v>0</v>
      </c>
      <c r="AE1645" s="60">
        <v>0</v>
      </c>
      <c r="AF1645" s="60">
        <v>0</v>
      </c>
      <c r="AG1645" s="60">
        <v>0</v>
      </c>
      <c r="AH1645" s="60">
        <v>0</v>
      </c>
      <c r="AI1645" s="60">
        <v>514.52</v>
      </c>
      <c r="AJ1645" s="60">
        <v>526.41</v>
      </c>
      <c r="AK1645" s="60">
        <v>504.81</v>
      </c>
      <c r="AL1645" s="60">
        <v>0</v>
      </c>
      <c r="AM1645" s="60">
        <v>0</v>
      </c>
      <c r="AN1645" s="60">
        <v>0</v>
      </c>
      <c r="AO1645" s="60">
        <v>514.52</v>
      </c>
      <c r="AP1645" s="60">
        <v>526.41</v>
      </c>
      <c r="AQ1645" s="60">
        <v>504.81</v>
      </c>
      <c r="AR1645" s="61">
        <v>526.41</v>
      </c>
    </row>
    <row r="1646" spans="1:44" x14ac:dyDescent="0.35">
      <c r="A1646" s="49" t="str">
        <f t="shared" si="132"/>
        <v>50</v>
      </c>
      <c r="B1646" s="27">
        <v>71092</v>
      </c>
      <c r="C1646" s="25" t="str">
        <f t="shared" si="133"/>
        <v>0000000</v>
      </c>
      <c r="D1646" s="26" t="s">
        <v>3663</v>
      </c>
      <c r="E1646" s="25" t="s">
        <v>3175</v>
      </c>
      <c r="F1646" s="25" t="s">
        <v>3161</v>
      </c>
      <c r="G1646" s="59" t="s">
        <v>3176</v>
      </c>
      <c r="H1646" s="60">
        <v>683.7</v>
      </c>
      <c r="I1646" s="60">
        <v>692.53</v>
      </c>
      <c r="J1646" s="60">
        <v>716.79</v>
      </c>
      <c r="K1646" s="60">
        <v>0</v>
      </c>
      <c r="L1646" s="60">
        <v>0</v>
      </c>
      <c r="M1646" s="60">
        <v>0</v>
      </c>
      <c r="N1646" s="60">
        <v>0</v>
      </c>
      <c r="O1646" s="60">
        <v>0</v>
      </c>
      <c r="P1646" s="60">
        <v>0</v>
      </c>
      <c r="Q1646" s="60">
        <v>0</v>
      </c>
      <c r="R1646" s="60">
        <v>0</v>
      </c>
      <c r="S1646" s="60">
        <v>0</v>
      </c>
      <c r="T1646" s="60">
        <v>0</v>
      </c>
      <c r="U1646" s="60">
        <v>0</v>
      </c>
      <c r="V1646" s="60">
        <v>0</v>
      </c>
      <c r="W1646" s="60">
        <v>0</v>
      </c>
      <c r="X1646" s="60">
        <v>0</v>
      </c>
      <c r="Y1646" s="60">
        <v>0</v>
      </c>
      <c r="Z1646" s="60">
        <v>0</v>
      </c>
      <c r="AA1646" s="60">
        <v>0</v>
      </c>
      <c r="AB1646" s="60">
        <v>0</v>
      </c>
      <c r="AC1646" s="60">
        <v>458.01</v>
      </c>
      <c r="AD1646" s="60">
        <v>433.49</v>
      </c>
      <c r="AE1646" s="60">
        <v>447.04</v>
      </c>
      <c r="AF1646" s="60">
        <v>0</v>
      </c>
      <c r="AG1646" s="60">
        <v>0</v>
      </c>
      <c r="AH1646" s="60">
        <v>0</v>
      </c>
      <c r="AI1646" s="60">
        <v>1141.71</v>
      </c>
      <c r="AJ1646" s="60">
        <v>1126.02</v>
      </c>
      <c r="AK1646" s="60">
        <v>1163.83</v>
      </c>
      <c r="AL1646" s="60">
        <v>0</v>
      </c>
      <c r="AM1646" s="60">
        <v>0</v>
      </c>
      <c r="AN1646" s="60">
        <v>0</v>
      </c>
      <c r="AO1646" s="60">
        <v>1141.71</v>
      </c>
      <c r="AP1646" s="60">
        <v>1126.02</v>
      </c>
      <c r="AQ1646" s="60">
        <v>1163.83</v>
      </c>
      <c r="AR1646" s="61">
        <v>1163.83</v>
      </c>
    </row>
    <row r="1647" spans="1:44" x14ac:dyDescent="0.35">
      <c r="A1647" s="49" t="str">
        <f t="shared" si="132"/>
        <v>50</v>
      </c>
      <c r="B1647" s="27">
        <v>71209</v>
      </c>
      <c r="C1647" s="25" t="str">
        <f t="shared" si="133"/>
        <v>0000000</v>
      </c>
      <c r="D1647" s="26" t="s">
        <v>3663</v>
      </c>
      <c r="E1647" s="25" t="s">
        <v>3193</v>
      </c>
      <c r="F1647" s="25" t="s">
        <v>3161</v>
      </c>
      <c r="G1647" s="59" t="s">
        <v>3194</v>
      </c>
      <c r="H1647" s="60">
        <v>55.95</v>
      </c>
      <c r="I1647" s="60">
        <v>65.790000000000006</v>
      </c>
      <c r="J1647" s="60">
        <v>77.28</v>
      </c>
      <c r="K1647" s="60">
        <v>0</v>
      </c>
      <c r="L1647" s="60">
        <v>0</v>
      </c>
      <c r="M1647" s="60">
        <v>0</v>
      </c>
      <c r="N1647" s="60">
        <v>0</v>
      </c>
      <c r="O1647" s="60">
        <v>0</v>
      </c>
      <c r="P1647" s="60">
        <v>0</v>
      </c>
      <c r="Q1647" s="60">
        <v>0</v>
      </c>
      <c r="R1647" s="60">
        <v>0</v>
      </c>
      <c r="S1647" s="60">
        <v>0</v>
      </c>
      <c r="T1647" s="60">
        <v>0</v>
      </c>
      <c r="U1647" s="60">
        <v>0</v>
      </c>
      <c r="V1647" s="60">
        <v>0</v>
      </c>
      <c r="W1647" s="60">
        <v>0</v>
      </c>
      <c r="X1647" s="60">
        <v>0</v>
      </c>
      <c r="Y1647" s="60">
        <v>0</v>
      </c>
      <c r="Z1647" s="60">
        <v>0</v>
      </c>
      <c r="AA1647" s="60">
        <v>0</v>
      </c>
      <c r="AB1647" s="60">
        <v>0</v>
      </c>
      <c r="AC1647" s="60">
        <v>112.99</v>
      </c>
      <c r="AD1647" s="60">
        <v>113.55</v>
      </c>
      <c r="AE1647" s="60">
        <v>107.14</v>
      </c>
      <c r="AF1647" s="60">
        <v>0</v>
      </c>
      <c r="AG1647" s="60">
        <v>0</v>
      </c>
      <c r="AH1647" s="60">
        <v>0</v>
      </c>
      <c r="AI1647" s="60">
        <v>168.94</v>
      </c>
      <c r="AJ1647" s="60">
        <v>179.34</v>
      </c>
      <c r="AK1647" s="60">
        <v>184.42</v>
      </c>
      <c r="AL1647" s="60">
        <v>0</v>
      </c>
      <c r="AM1647" s="60">
        <v>0</v>
      </c>
      <c r="AN1647" s="60">
        <v>0</v>
      </c>
      <c r="AO1647" s="60">
        <v>168.94</v>
      </c>
      <c r="AP1647" s="60">
        <v>179.34</v>
      </c>
      <c r="AQ1647" s="60">
        <v>184.42</v>
      </c>
      <c r="AR1647" s="61">
        <v>184.42</v>
      </c>
    </row>
    <row r="1648" spans="1:44" x14ac:dyDescent="0.35">
      <c r="A1648" s="49" t="str">
        <f t="shared" si="132"/>
        <v>50</v>
      </c>
      <c r="B1648" s="27">
        <v>71100</v>
      </c>
      <c r="C1648" s="25" t="str">
        <f t="shared" si="133"/>
        <v>0000000</v>
      </c>
      <c r="D1648" s="26" t="s">
        <v>3663</v>
      </c>
      <c r="E1648" s="25" t="s">
        <v>3177</v>
      </c>
      <c r="F1648" s="25" t="s">
        <v>3161</v>
      </c>
      <c r="G1648" s="59" t="s">
        <v>3178</v>
      </c>
      <c r="H1648" s="60">
        <v>0</v>
      </c>
      <c r="I1648" s="60">
        <v>0</v>
      </c>
      <c r="J1648" s="60">
        <v>0</v>
      </c>
      <c r="K1648" s="60">
        <v>0</v>
      </c>
      <c r="L1648" s="60">
        <v>0</v>
      </c>
      <c r="M1648" s="60">
        <v>0</v>
      </c>
      <c r="N1648" s="60">
        <v>0</v>
      </c>
      <c r="O1648" s="60">
        <v>0</v>
      </c>
      <c r="P1648" s="60">
        <v>0</v>
      </c>
      <c r="Q1648" s="60">
        <v>0</v>
      </c>
      <c r="R1648" s="60">
        <v>0</v>
      </c>
      <c r="S1648" s="60">
        <v>0</v>
      </c>
      <c r="T1648" s="60">
        <v>0</v>
      </c>
      <c r="U1648" s="60">
        <v>0</v>
      </c>
      <c r="V1648" s="60">
        <v>0</v>
      </c>
      <c r="W1648" s="60">
        <v>0</v>
      </c>
      <c r="X1648" s="60">
        <v>0</v>
      </c>
      <c r="Y1648" s="60">
        <v>0</v>
      </c>
      <c r="Z1648" s="60">
        <v>0</v>
      </c>
      <c r="AA1648" s="60">
        <v>0</v>
      </c>
      <c r="AB1648" s="60">
        <v>0</v>
      </c>
      <c r="AC1648" s="60">
        <v>1020.56</v>
      </c>
      <c r="AD1648" s="60">
        <v>948.01</v>
      </c>
      <c r="AE1648" s="60">
        <v>996.85</v>
      </c>
      <c r="AF1648" s="60">
        <v>0</v>
      </c>
      <c r="AG1648" s="60">
        <v>0</v>
      </c>
      <c r="AH1648" s="60">
        <v>0</v>
      </c>
      <c r="AI1648" s="60">
        <v>1020.56</v>
      </c>
      <c r="AJ1648" s="60">
        <v>948.01</v>
      </c>
      <c r="AK1648" s="60">
        <v>996.85</v>
      </c>
      <c r="AL1648" s="60">
        <v>0</v>
      </c>
      <c r="AM1648" s="60">
        <v>0</v>
      </c>
      <c r="AN1648" s="60">
        <v>0</v>
      </c>
      <c r="AO1648" s="60">
        <v>1020.56</v>
      </c>
      <c r="AP1648" s="60">
        <v>948.01</v>
      </c>
      <c r="AQ1648" s="60">
        <v>996.85</v>
      </c>
      <c r="AR1648" s="61">
        <v>1020.56</v>
      </c>
    </row>
    <row r="1649" spans="1:44" x14ac:dyDescent="0.35">
      <c r="A1649" s="49" t="str">
        <f t="shared" si="132"/>
        <v>50</v>
      </c>
      <c r="B1649" s="27">
        <v>75549</v>
      </c>
      <c r="C1649" s="25" t="str">
        <f t="shared" si="133"/>
        <v>0000000</v>
      </c>
      <c r="D1649" s="26" t="s">
        <v>3663</v>
      </c>
      <c r="E1649" s="25" t="s">
        <v>3211</v>
      </c>
      <c r="F1649" s="25" t="s">
        <v>3161</v>
      </c>
      <c r="G1649" s="59" t="s">
        <v>3212</v>
      </c>
      <c r="H1649" s="60">
        <v>2065.83</v>
      </c>
      <c r="I1649" s="60">
        <v>1994.75</v>
      </c>
      <c r="J1649" s="60">
        <v>1927.92</v>
      </c>
      <c r="K1649" s="60">
        <v>0</v>
      </c>
      <c r="L1649" s="60">
        <v>0</v>
      </c>
      <c r="M1649" s="60">
        <v>0</v>
      </c>
      <c r="N1649" s="60">
        <v>0</v>
      </c>
      <c r="O1649" s="60">
        <v>0</v>
      </c>
      <c r="P1649" s="60">
        <v>0</v>
      </c>
      <c r="Q1649" s="60">
        <v>0</v>
      </c>
      <c r="R1649" s="60">
        <v>0</v>
      </c>
      <c r="S1649" s="60">
        <v>0</v>
      </c>
      <c r="T1649" s="60">
        <v>0</v>
      </c>
      <c r="U1649" s="60">
        <v>0</v>
      </c>
      <c r="V1649" s="60">
        <v>0</v>
      </c>
      <c r="W1649" s="60">
        <v>0</v>
      </c>
      <c r="X1649" s="60">
        <v>0</v>
      </c>
      <c r="Y1649" s="60">
        <v>0</v>
      </c>
      <c r="Z1649" s="60">
        <v>0</v>
      </c>
      <c r="AA1649" s="60">
        <v>0</v>
      </c>
      <c r="AB1649" s="60">
        <v>0</v>
      </c>
      <c r="AC1649" s="60">
        <v>0</v>
      </c>
      <c r="AD1649" s="60">
        <v>0</v>
      </c>
      <c r="AE1649" s="60">
        <v>0</v>
      </c>
      <c r="AF1649" s="60">
        <v>0</v>
      </c>
      <c r="AG1649" s="60">
        <v>0</v>
      </c>
      <c r="AH1649" s="60">
        <v>0</v>
      </c>
      <c r="AI1649" s="60">
        <v>2065.83</v>
      </c>
      <c r="AJ1649" s="60">
        <v>1994.75</v>
      </c>
      <c r="AK1649" s="60">
        <v>1927.92</v>
      </c>
      <c r="AL1649" s="60">
        <v>0</v>
      </c>
      <c r="AM1649" s="60">
        <v>0</v>
      </c>
      <c r="AN1649" s="60">
        <v>0</v>
      </c>
      <c r="AO1649" s="60">
        <v>2065.83</v>
      </c>
      <c r="AP1649" s="60">
        <v>1994.75</v>
      </c>
      <c r="AQ1649" s="60">
        <v>1927.92</v>
      </c>
      <c r="AR1649" s="61">
        <v>2065.83</v>
      </c>
    </row>
    <row r="1650" spans="1:44" x14ac:dyDescent="0.35">
      <c r="A1650" s="49" t="str">
        <f t="shared" si="132"/>
        <v>50</v>
      </c>
      <c r="B1650" s="27">
        <v>71084</v>
      </c>
      <c r="C1650" s="25" t="str">
        <f t="shared" si="133"/>
        <v>0000000</v>
      </c>
      <c r="D1650" s="26" t="s">
        <v>3663</v>
      </c>
      <c r="E1650" s="25" t="s">
        <v>3173</v>
      </c>
      <c r="F1650" s="25" t="s">
        <v>3161</v>
      </c>
      <c r="G1650" s="59" t="s">
        <v>3174</v>
      </c>
      <c r="H1650" s="60">
        <v>20.91</v>
      </c>
      <c r="I1650" s="60">
        <v>22.36</v>
      </c>
      <c r="J1650" s="60">
        <v>14.87</v>
      </c>
      <c r="K1650" s="60">
        <v>0</v>
      </c>
      <c r="L1650" s="60">
        <v>0</v>
      </c>
      <c r="M1650" s="60">
        <v>0</v>
      </c>
      <c r="N1650" s="60">
        <v>0</v>
      </c>
      <c r="O1650" s="60">
        <v>0</v>
      </c>
      <c r="P1650" s="60">
        <v>0</v>
      </c>
      <c r="Q1650" s="60">
        <v>0</v>
      </c>
      <c r="R1650" s="60">
        <v>0</v>
      </c>
      <c r="S1650" s="60">
        <v>0</v>
      </c>
      <c r="T1650" s="60">
        <v>0</v>
      </c>
      <c r="U1650" s="60">
        <v>0</v>
      </c>
      <c r="V1650" s="60">
        <v>0</v>
      </c>
      <c r="W1650" s="60">
        <v>0</v>
      </c>
      <c r="X1650" s="60">
        <v>0</v>
      </c>
      <c r="Y1650" s="60">
        <v>0</v>
      </c>
      <c r="Z1650" s="60">
        <v>0</v>
      </c>
      <c r="AA1650" s="60">
        <v>0</v>
      </c>
      <c r="AB1650" s="60">
        <v>0</v>
      </c>
      <c r="AC1650" s="60">
        <v>116.14</v>
      </c>
      <c r="AD1650" s="60">
        <v>119.06</v>
      </c>
      <c r="AE1650" s="60">
        <v>125.83</v>
      </c>
      <c r="AF1650" s="60">
        <v>0</v>
      </c>
      <c r="AG1650" s="60">
        <v>0</v>
      </c>
      <c r="AH1650" s="60">
        <v>0</v>
      </c>
      <c r="AI1650" s="60">
        <v>137.05000000000001</v>
      </c>
      <c r="AJ1650" s="60">
        <v>141.41999999999999</v>
      </c>
      <c r="AK1650" s="60">
        <v>140.69999999999999</v>
      </c>
      <c r="AL1650" s="60">
        <v>0</v>
      </c>
      <c r="AM1650" s="60">
        <v>0</v>
      </c>
      <c r="AN1650" s="60">
        <v>0</v>
      </c>
      <c r="AO1650" s="60">
        <v>137.05000000000001</v>
      </c>
      <c r="AP1650" s="60">
        <v>141.41999999999999</v>
      </c>
      <c r="AQ1650" s="60">
        <v>140.69999999999999</v>
      </c>
      <c r="AR1650" s="61">
        <v>141.41999999999999</v>
      </c>
    </row>
    <row r="1651" spans="1:44" x14ac:dyDescent="0.35">
      <c r="A1651" s="49" t="str">
        <f t="shared" si="132"/>
        <v>50</v>
      </c>
      <c r="B1651" s="27">
        <v>71142</v>
      </c>
      <c r="C1651" s="25" t="str">
        <f t="shared" si="133"/>
        <v>0000000</v>
      </c>
      <c r="D1651" s="26" t="s">
        <v>3663</v>
      </c>
      <c r="E1651" s="25" t="s">
        <v>3181</v>
      </c>
      <c r="F1651" s="25" t="s">
        <v>3161</v>
      </c>
      <c r="G1651" s="59" t="s">
        <v>3182</v>
      </c>
      <c r="H1651" s="60">
        <v>108.67</v>
      </c>
      <c r="I1651" s="60">
        <v>108.65</v>
      </c>
      <c r="J1651" s="60">
        <v>124.39</v>
      </c>
      <c r="K1651" s="60">
        <v>0</v>
      </c>
      <c r="L1651" s="60">
        <v>0</v>
      </c>
      <c r="M1651" s="60">
        <v>0</v>
      </c>
      <c r="N1651" s="60">
        <v>0</v>
      </c>
      <c r="O1651" s="60">
        <v>0</v>
      </c>
      <c r="P1651" s="60">
        <v>0</v>
      </c>
      <c r="Q1651" s="60">
        <v>0</v>
      </c>
      <c r="R1651" s="60">
        <v>0</v>
      </c>
      <c r="S1651" s="60">
        <v>0</v>
      </c>
      <c r="T1651" s="60">
        <v>0</v>
      </c>
      <c r="U1651" s="60">
        <v>0</v>
      </c>
      <c r="V1651" s="60">
        <v>0</v>
      </c>
      <c r="W1651" s="60">
        <v>0</v>
      </c>
      <c r="X1651" s="60">
        <v>0</v>
      </c>
      <c r="Y1651" s="60">
        <v>0</v>
      </c>
      <c r="Z1651" s="60">
        <v>0</v>
      </c>
      <c r="AA1651" s="60">
        <v>0</v>
      </c>
      <c r="AB1651" s="60">
        <v>0</v>
      </c>
      <c r="AC1651" s="60">
        <v>0</v>
      </c>
      <c r="AD1651" s="60">
        <v>0</v>
      </c>
      <c r="AE1651" s="60">
        <v>0</v>
      </c>
      <c r="AF1651" s="60">
        <v>0</v>
      </c>
      <c r="AG1651" s="60">
        <v>0</v>
      </c>
      <c r="AH1651" s="60">
        <v>0</v>
      </c>
      <c r="AI1651" s="60">
        <v>108.67</v>
      </c>
      <c r="AJ1651" s="60">
        <v>108.65</v>
      </c>
      <c r="AK1651" s="60">
        <v>124.39</v>
      </c>
      <c r="AL1651" s="60">
        <v>0</v>
      </c>
      <c r="AM1651" s="60">
        <v>0</v>
      </c>
      <c r="AN1651" s="60">
        <v>0</v>
      </c>
      <c r="AO1651" s="60">
        <v>108.67</v>
      </c>
      <c r="AP1651" s="60">
        <v>108.65</v>
      </c>
      <c r="AQ1651" s="60">
        <v>124.39</v>
      </c>
      <c r="AR1651" s="61">
        <v>124.39</v>
      </c>
    </row>
    <row r="1652" spans="1:44" x14ac:dyDescent="0.35">
      <c r="A1652" s="49" t="str">
        <f t="shared" si="132"/>
        <v>50</v>
      </c>
      <c r="B1652" s="27">
        <v>71233</v>
      </c>
      <c r="C1652" s="25" t="str">
        <f t="shared" si="133"/>
        <v>0000000</v>
      </c>
      <c r="D1652" s="26" t="s">
        <v>3663</v>
      </c>
      <c r="E1652" s="25" t="s">
        <v>3197</v>
      </c>
      <c r="F1652" s="25" t="s">
        <v>3161</v>
      </c>
      <c r="G1652" s="59" t="s">
        <v>3198</v>
      </c>
      <c r="H1652" s="60">
        <v>24.27</v>
      </c>
      <c r="I1652" s="60">
        <v>24.05</v>
      </c>
      <c r="J1652" s="60">
        <v>111.98</v>
      </c>
      <c r="K1652" s="60">
        <v>0</v>
      </c>
      <c r="L1652" s="60">
        <v>0</v>
      </c>
      <c r="M1652" s="60">
        <v>0</v>
      </c>
      <c r="N1652" s="60">
        <v>0</v>
      </c>
      <c r="O1652" s="60">
        <v>0</v>
      </c>
      <c r="P1652" s="60">
        <v>0</v>
      </c>
      <c r="Q1652" s="60">
        <v>0</v>
      </c>
      <c r="R1652" s="60">
        <v>0</v>
      </c>
      <c r="S1652" s="60">
        <v>0</v>
      </c>
      <c r="T1652" s="60">
        <v>0</v>
      </c>
      <c r="U1652" s="60">
        <v>0</v>
      </c>
      <c r="V1652" s="60">
        <v>0</v>
      </c>
      <c r="W1652" s="60">
        <v>0</v>
      </c>
      <c r="X1652" s="60">
        <v>0</v>
      </c>
      <c r="Y1652" s="60">
        <v>0</v>
      </c>
      <c r="Z1652" s="60">
        <v>0</v>
      </c>
      <c r="AA1652" s="60">
        <v>0</v>
      </c>
      <c r="AB1652" s="60">
        <v>0</v>
      </c>
      <c r="AC1652" s="60">
        <v>164.28</v>
      </c>
      <c r="AD1652" s="60">
        <v>165.13</v>
      </c>
      <c r="AE1652" s="60">
        <v>44.34</v>
      </c>
      <c r="AF1652" s="60">
        <v>0</v>
      </c>
      <c r="AG1652" s="60">
        <v>0</v>
      </c>
      <c r="AH1652" s="60">
        <v>0</v>
      </c>
      <c r="AI1652" s="60">
        <v>188.55</v>
      </c>
      <c r="AJ1652" s="60">
        <v>189.18</v>
      </c>
      <c r="AK1652" s="60">
        <v>156.32</v>
      </c>
      <c r="AL1652" s="60">
        <v>0</v>
      </c>
      <c r="AM1652" s="60">
        <v>0</v>
      </c>
      <c r="AN1652" s="60">
        <v>0</v>
      </c>
      <c r="AO1652" s="60">
        <v>188.55</v>
      </c>
      <c r="AP1652" s="60">
        <v>189.18</v>
      </c>
      <c r="AQ1652" s="60">
        <v>156.32</v>
      </c>
      <c r="AR1652" s="61">
        <v>189.18</v>
      </c>
    </row>
    <row r="1653" spans="1:44" x14ac:dyDescent="0.35">
      <c r="A1653" s="49" t="str">
        <f t="shared" si="132"/>
        <v>50</v>
      </c>
      <c r="B1653" s="27">
        <v>71274</v>
      </c>
      <c r="C1653" s="25" t="str">
        <f t="shared" si="133"/>
        <v>0000000</v>
      </c>
      <c r="D1653" s="26" t="s">
        <v>3663</v>
      </c>
      <c r="E1653" s="25" t="s">
        <v>3201</v>
      </c>
      <c r="F1653" s="25" t="s">
        <v>3161</v>
      </c>
      <c r="G1653" s="59" t="s">
        <v>3202</v>
      </c>
      <c r="H1653" s="60">
        <v>22.19</v>
      </c>
      <c r="I1653" s="60">
        <v>28.39</v>
      </c>
      <c r="J1653" s="60">
        <v>28.71</v>
      </c>
      <c r="K1653" s="60">
        <v>0</v>
      </c>
      <c r="L1653" s="60">
        <v>0</v>
      </c>
      <c r="M1653" s="60">
        <v>0</v>
      </c>
      <c r="N1653" s="60">
        <v>0</v>
      </c>
      <c r="O1653" s="60">
        <v>0</v>
      </c>
      <c r="P1653" s="60">
        <v>0</v>
      </c>
      <c r="Q1653" s="60">
        <v>0</v>
      </c>
      <c r="R1653" s="60">
        <v>0</v>
      </c>
      <c r="S1653" s="60">
        <v>0</v>
      </c>
      <c r="T1653" s="60">
        <v>0</v>
      </c>
      <c r="U1653" s="60">
        <v>0</v>
      </c>
      <c r="V1653" s="60">
        <v>0</v>
      </c>
      <c r="W1653" s="60">
        <v>0</v>
      </c>
      <c r="X1653" s="60">
        <v>0</v>
      </c>
      <c r="Y1653" s="60">
        <v>0</v>
      </c>
      <c r="Z1653" s="60">
        <v>0</v>
      </c>
      <c r="AA1653" s="60">
        <v>0</v>
      </c>
      <c r="AB1653" s="60">
        <v>0</v>
      </c>
      <c r="AC1653" s="60">
        <v>145.74</v>
      </c>
      <c r="AD1653" s="60">
        <v>131.32</v>
      </c>
      <c r="AE1653" s="60">
        <v>137.51</v>
      </c>
      <c r="AF1653" s="60">
        <v>0</v>
      </c>
      <c r="AG1653" s="60">
        <v>0</v>
      </c>
      <c r="AH1653" s="60">
        <v>0</v>
      </c>
      <c r="AI1653" s="60">
        <v>167.93</v>
      </c>
      <c r="AJ1653" s="60">
        <v>159.71</v>
      </c>
      <c r="AK1653" s="60">
        <v>166.22</v>
      </c>
      <c r="AL1653" s="60">
        <v>0</v>
      </c>
      <c r="AM1653" s="60">
        <v>0</v>
      </c>
      <c r="AN1653" s="60">
        <v>0</v>
      </c>
      <c r="AO1653" s="60">
        <v>167.93</v>
      </c>
      <c r="AP1653" s="60">
        <v>159.71</v>
      </c>
      <c r="AQ1653" s="60">
        <v>166.22</v>
      </c>
      <c r="AR1653" s="61">
        <v>167.93</v>
      </c>
    </row>
    <row r="1654" spans="1:44" x14ac:dyDescent="0.35">
      <c r="A1654" s="49" t="str">
        <f t="shared" si="132"/>
        <v>50</v>
      </c>
      <c r="B1654" s="27">
        <v>71324</v>
      </c>
      <c r="C1654" s="25" t="str">
        <f t="shared" si="133"/>
        <v>0000000</v>
      </c>
      <c r="D1654" s="26" t="s">
        <v>3663</v>
      </c>
      <c r="E1654" s="25" t="s">
        <v>3207</v>
      </c>
      <c r="F1654" s="25" t="s">
        <v>3161</v>
      </c>
      <c r="G1654" s="59" t="s">
        <v>3208</v>
      </c>
      <c r="H1654" s="60">
        <v>179.71</v>
      </c>
      <c r="I1654" s="60">
        <v>160.72999999999999</v>
      </c>
      <c r="J1654" s="60">
        <v>146.31</v>
      </c>
      <c r="K1654" s="60">
        <v>0</v>
      </c>
      <c r="L1654" s="60">
        <v>0</v>
      </c>
      <c r="M1654" s="60">
        <v>0</v>
      </c>
      <c r="N1654" s="60">
        <v>0</v>
      </c>
      <c r="O1654" s="60">
        <v>0</v>
      </c>
      <c r="P1654" s="60">
        <v>0</v>
      </c>
      <c r="Q1654" s="60">
        <v>0</v>
      </c>
      <c r="R1654" s="60">
        <v>0</v>
      </c>
      <c r="S1654" s="60">
        <v>0</v>
      </c>
      <c r="T1654" s="60">
        <v>0</v>
      </c>
      <c r="U1654" s="60">
        <v>0</v>
      </c>
      <c r="V1654" s="60">
        <v>0</v>
      </c>
      <c r="W1654" s="60">
        <v>0</v>
      </c>
      <c r="X1654" s="60">
        <v>0</v>
      </c>
      <c r="Y1654" s="60">
        <v>0</v>
      </c>
      <c r="Z1654" s="60">
        <v>0</v>
      </c>
      <c r="AA1654" s="60">
        <v>0</v>
      </c>
      <c r="AB1654" s="60">
        <v>0</v>
      </c>
      <c r="AC1654" s="60">
        <v>0</v>
      </c>
      <c r="AD1654" s="60">
        <v>0</v>
      </c>
      <c r="AE1654" s="60">
        <v>0</v>
      </c>
      <c r="AF1654" s="60">
        <v>0</v>
      </c>
      <c r="AG1654" s="60">
        <v>0</v>
      </c>
      <c r="AH1654" s="60">
        <v>0</v>
      </c>
      <c r="AI1654" s="60">
        <v>179.71</v>
      </c>
      <c r="AJ1654" s="60">
        <v>160.72999999999999</v>
      </c>
      <c r="AK1654" s="60">
        <v>146.31</v>
      </c>
      <c r="AL1654" s="60">
        <v>0</v>
      </c>
      <c r="AM1654" s="60">
        <v>0</v>
      </c>
      <c r="AN1654" s="60">
        <v>0</v>
      </c>
      <c r="AO1654" s="60">
        <v>179.71</v>
      </c>
      <c r="AP1654" s="60">
        <v>160.72999999999999</v>
      </c>
      <c r="AQ1654" s="60">
        <v>146.31</v>
      </c>
      <c r="AR1654" s="61">
        <v>179.71</v>
      </c>
    </row>
    <row r="1655" spans="1:44" x14ac:dyDescent="0.35">
      <c r="A1655" s="49" t="str">
        <f t="shared" si="132"/>
        <v>50</v>
      </c>
      <c r="B1655" s="27">
        <v>75739</v>
      </c>
      <c r="C1655" s="25" t="str">
        <f t="shared" si="133"/>
        <v>0000000</v>
      </c>
      <c r="D1655" s="26" t="s">
        <v>3663</v>
      </c>
      <c r="E1655" s="25" t="s">
        <v>3219</v>
      </c>
      <c r="F1655" s="25" t="s">
        <v>3161</v>
      </c>
      <c r="G1655" s="59" t="s">
        <v>3220</v>
      </c>
      <c r="H1655" s="60">
        <v>12544.54</v>
      </c>
      <c r="I1655" s="60">
        <v>12327.5</v>
      </c>
      <c r="J1655" s="60">
        <v>12088.97</v>
      </c>
      <c r="K1655" s="60">
        <v>0</v>
      </c>
      <c r="L1655" s="60">
        <v>0</v>
      </c>
      <c r="M1655" s="60">
        <v>0</v>
      </c>
      <c r="N1655" s="60">
        <v>0</v>
      </c>
      <c r="O1655" s="60">
        <v>0</v>
      </c>
      <c r="P1655" s="60">
        <v>0</v>
      </c>
      <c r="Q1655" s="60">
        <v>0</v>
      </c>
      <c r="R1655" s="60">
        <v>0</v>
      </c>
      <c r="S1655" s="60">
        <v>0</v>
      </c>
      <c r="T1655" s="60">
        <v>0</v>
      </c>
      <c r="U1655" s="60">
        <v>0</v>
      </c>
      <c r="V1655" s="60">
        <v>0</v>
      </c>
      <c r="W1655" s="60">
        <v>0</v>
      </c>
      <c r="X1655" s="60">
        <v>0</v>
      </c>
      <c r="Y1655" s="60">
        <v>0</v>
      </c>
      <c r="Z1655" s="60">
        <v>0</v>
      </c>
      <c r="AA1655" s="60">
        <v>0</v>
      </c>
      <c r="AB1655" s="60">
        <v>0</v>
      </c>
      <c r="AC1655" s="60">
        <v>211.16</v>
      </c>
      <c r="AD1655" s="60">
        <v>199.19</v>
      </c>
      <c r="AE1655" s="60">
        <v>140.29</v>
      </c>
      <c r="AF1655" s="60">
        <v>0</v>
      </c>
      <c r="AG1655" s="60">
        <v>0</v>
      </c>
      <c r="AH1655" s="60">
        <v>0</v>
      </c>
      <c r="AI1655" s="60">
        <v>12755.7</v>
      </c>
      <c r="AJ1655" s="60">
        <v>12526.69</v>
      </c>
      <c r="AK1655" s="60">
        <v>12229.26</v>
      </c>
      <c r="AL1655" s="60">
        <v>0</v>
      </c>
      <c r="AM1655" s="60">
        <v>0</v>
      </c>
      <c r="AN1655" s="60">
        <v>0</v>
      </c>
      <c r="AO1655" s="60">
        <v>12755.7</v>
      </c>
      <c r="AP1655" s="60">
        <v>12526.69</v>
      </c>
      <c r="AQ1655" s="60">
        <v>12229.26</v>
      </c>
      <c r="AR1655" s="61">
        <v>12755.7</v>
      </c>
    </row>
    <row r="1656" spans="1:44" x14ac:dyDescent="0.35">
      <c r="A1656" s="49" t="str">
        <f>TEXT(30,"00")</f>
        <v>30</v>
      </c>
      <c r="B1656" s="27">
        <v>73643</v>
      </c>
      <c r="C1656" s="25" t="str">
        <f t="shared" si="133"/>
        <v>0000000</v>
      </c>
      <c r="D1656" s="26" t="s">
        <v>3663</v>
      </c>
      <c r="E1656" s="25" t="s">
        <v>1617</v>
      </c>
      <c r="F1656" s="25" t="s">
        <v>1618</v>
      </c>
      <c r="G1656" s="59" t="s">
        <v>1618</v>
      </c>
      <c r="H1656" s="60">
        <v>20545.36</v>
      </c>
      <c r="I1656" s="60">
        <v>20532.310000000001</v>
      </c>
      <c r="J1656" s="60">
        <v>20879.849999999999</v>
      </c>
      <c r="K1656" s="60">
        <v>0</v>
      </c>
      <c r="L1656" s="60">
        <v>0</v>
      </c>
      <c r="M1656" s="60">
        <v>0</v>
      </c>
      <c r="N1656" s="60">
        <v>0</v>
      </c>
      <c r="O1656" s="60">
        <v>0</v>
      </c>
      <c r="P1656" s="60">
        <v>0</v>
      </c>
      <c r="Q1656" s="60">
        <v>0</v>
      </c>
      <c r="R1656" s="60">
        <v>0</v>
      </c>
      <c r="S1656" s="60">
        <v>0</v>
      </c>
      <c r="T1656" s="60">
        <v>0</v>
      </c>
      <c r="U1656" s="60">
        <v>0</v>
      </c>
      <c r="V1656" s="60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0">
        <v>0</v>
      </c>
      <c r="AE1656" s="60">
        <v>0</v>
      </c>
      <c r="AF1656" s="60">
        <v>0</v>
      </c>
      <c r="AG1656" s="60">
        <v>0</v>
      </c>
      <c r="AH1656" s="60">
        <v>0</v>
      </c>
      <c r="AI1656" s="60">
        <v>20545.36</v>
      </c>
      <c r="AJ1656" s="60">
        <v>20532.310000000001</v>
      </c>
      <c r="AK1656" s="60">
        <v>20879.849999999999</v>
      </c>
      <c r="AL1656" s="60">
        <v>0</v>
      </c>
      <c r="AM1656" s="60">
        <v>0</v>
      </c>
      <c r="AN1656" s="60">
        <v>0</v>
      </c>
      <c r="AO1656" s="60">
        <v>20545.36</v>
      </c>
      <c r="AP1656" s="60">
        <v>20532.310000000001</v>
      </c>
      <c r="AQ1656" s="60">
        <v>20879.849999999999</v>
      </c>
      <c r="AR1656" s="61">
        <v>20879.849999999999</v>
      </c>
    </row>
    <row r="1657" spans="1:44" x14ac:dyDescent="0.35">
      <c r="A1657" s="49" t="str">
        <f>TEXT(50,"00")</f>
        <v>50</v>
      </c>
      <c r="B1657" s="27">
        <v>71175</v>
      </c>
      <c r="C1657" s="25" t="str">
        <f t="shared" si="133"/>
        <v>0000000</v>
      </c>
      <c r="D1657" s="26" t="s">
        <v>3663</v>
      </c>
      <c r="E1657" s="25" t="s">
        <v>3183</v>
      </c>
      <c r="F1657" s="25" t="s">
        <v>3184</v>
      </c>
      <c r="G1657" s="59" t="s">
        <v>3184</v>
      </c>
      <c r="H1657" s="60">
        <v>14146.96</v>
      </c>
      <c r="I1657" s="60">
        <v>13951.4</v>
      </c>
      <c r="J1657" s="60">
        <v>13361.11</v>
      </c>
      <c r="K1657" s="60">
        <v>0</v>
      </c>
      <c r="L1657" s="60">
        <v>0</v>
      </c>
      <c r="M1657" s="60">
        <v>0</v>
      </c>
      <c r="N1657" s="60">
        <v>0</v>
      </c>
      <c r="O1657" s="60">
        <v>0</v>
      </c>
      <c r="P1657" s="60">
        <v>0</v>
      </c>
      <c r="Q1657" s="60">
        <v>0</v>
      </c>
      <c r="R1657" s="60">
        <v>0</v>
      </c>
      <c r="S1657" s="60">
        <v>0</v>
      </c>
      <c r="T1657" s="60">
        <v>0</v>
      </c>
      <c r="U1657" s="60">
        <v>0</v>
      </c>
      <c r="V1657" s="60">
        <v>0</v>
      </c>
      <c r="W1657" s="60">
        <v>0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0">
        <v>0</v>
      </c>
      <c r="AE1657" s="60">
        <v>0</v>
      </c>
      <c r="AF1657" s="60">
        <v>0</v>
      </c>
      <c r="AG1657" s="60">
        <v>0</v>
      </c>
      <c r="AH1657" s="60">
        <v>0</v>
      </c>
      <c r="AI1657" s="60">
        <v>14146.96</v>
      </c>
      <c r="AJ1657" s="60">
        <v>13951.4</v>
      </c>
      <c r="AK1657" s="60">
        <v>13361.11</v>
      </c>
      <c r="AL1657" s="60">
        <v>0</v>
      </c>
      <c r="AM1657" s="60">
        <v>0</v>
      </c>
      <c r="AN1657" s="60">
        <v>0</v>
      </c>
      <c r="AO1657" s="60">
        <v>14146.96</v>
      </c>
      <c r="AP1657" s="60">
        <v>13951.4</v>
      </c>
      <c r="AQ1657" s="60">
        <v>13361.11</v>
      </c>
      <c r="AR1657" s="61">
        <v>14146.96</v>
      </c>
    </row>
    <row r="1658" spans="1:44" x14ac:dyDescent="0.35">
      <c r="A1658" s="49" t="str">
        <f>TEXT(50,"00")</f>
        <v>50</v>
      </c>
      <c r="B1658" s="27">
        <v>71167</v>
      </c>
      <c r="C1658" s="25" t="str">
        <f t="shared" si="133"/>
        <v>0000000</v>
      </c>
      <c r="D1658" s="26" t="s">
        <v>3663</v>
      </c>
      <c r="E1658" s="25" t="s">
        <v>3185</v>
      </c>
      <c r="F1658" s="25" t="s">
        <v>3184</v>
      </c>
      <c r="G1658" s="59" t="s">
        <v>3186</v>
      </c>
      <c r="H1658" s="60">
        <v>13357.76</v>
      </c>
      <c r="I1658" s="60">
        <v>12953.55</v>
      </c>
      <c r="J1658" s="60">
        <v>12039.11</v>
      </c>
      <c r="K1658" s="60">
        <v>0</v>
      </c>
      <c r="L1658" s="60">
        <v>0</v>
      </c>
      <c r="M1658" s="60">
        <v>0</v>
      </c>
      <c r="N1658" s="60">
        <v>0</v>
      </c>
      <c r="O1658" s="60">
        <v>0</v>
      </c>
      <c r="P1658" s="60">
        <v>0</v>
      </c>
      <c r="Q1658" s="60">
        <v>0</v>
      </c>
      <c r="R1658" s="60">
        <v>0</v>
      </c>
      <c r="S1658" s="60">
        <v>0</v>
      </c>
      <c r="T1658" s="60">
        <v>0</v>
      </c>
      <c r="U1658" s="60">
        <v>0</v>
      </c>
      <c r="V1658" s="60">
        <v>0</v>
      </c>
      <c r="W1658" s="60">
        <v>0</v>
      </c>
      <c r="X1658" s="60">
        <v>0</v>
      </c>
      <c r="Y1658" s="60">
        <v>0</v>
      </c>
      <c r="Z1658" s="60">
        <v>0</v>
      </c>
      <c r="AA1658" s="60">
        <v>0</v>
      </c>
      <c r="AB1658" s="60">
        <v>0</v>
      </c>
      <c r="AC1658" s="60">
        <v>0</v>
      </c>
      <c r="AD1658" s="60">
        <v>0</v>
      </c>
      <c r="AE1658" s="60">
        <v>0</v>
      </c>
      <c r="AF1658" s="60">
        <v>0</v>
      </c>
      <c r="AG1658" s="60">
        <v>0</v>
      </c>
      <c r="AH1658" s="60">
        <v>0</v>
      </c>
      <c r="AI1658" s="60">
        <v>13357.76</v>
      </c>
      <c r="AJ1658" s="60">
        <v>12953.55</v>
      </c>
      <c r="AK1658" s="60">
        <v>12039.11</v>
      </c>
      <c r="AL1658" s="60">
        <v>0</v>
      </c>
      <c r="AM1658" s="60">
        <v>0</v>
      </c>
      <c r="AN1658" s="60">
        <v>0</v>
      </c>
      <c r="AO1658" s="60">
        <v>13357.76</v>
      </c>
      <c r="AP1658" s="60">
        <v>12953.55</v>
      </c>
      <c r="AQ1658" s="60">
        <v>12039.11</v>
      </c>
      <c r="AR1658" s="61">
        <v>13357.76</v>
      </c>
    </row>
    <row r="1659" spans="1:44" s="13" customFormat="1" x14ac:dyDescent="0.35">
      <c r="A1659" s="36" t="s">
        <v>3655</v>
      </c>
      <c r="B1659" s="37"/>
      <c r="C1659" s="37"/>
      <c r="D1659" s="37"/>
      <c r="E1659" s="37"/>
      <c r="H1659" s="38">
        <f t="shared" ref="H1659:AR1659" si="134">SUM(H5:H1658)</f>
        <v>4746586.4600000018</v>
      </c>
      <c r="I1659" s="38">
        <f t="shared" si="134"/>
        <v>4724909.28</v>
      </c>
      <c r="J1659" s="38">
        <f t="shared" si="134"/>
        <v>4683626.9300000006</v>
      </c>
      <c r="K1659" s="38">
        <f t="shared" si="134"/>
        <v>134.28</v>
      </c>
      <c r="L1659" s="38">
        <f t="shared" si="134"/>
        <v>125.76</v>
      </c>
      <c r="M1659" s="38">
        <f t="shared" si="134"/>
        <v>113.65</v>
      </c>
      <c r="N1659" s="38">
        <f t="shared" si="134"/>
        <v>1409.89</v>
      </c>
      <c r="O1659" s="38">
        <f t="shared" si="134"/>
        <v>1351.12</v>
      </c>
      <c r="P1659" s="38">
        <f t="shared" si="134"/>
        <v>1338.3199999999997</v>
      </c>
      <c r="Q1659" s="38">
        <f t="shared" si="134"/>
        <v>0</v>
      </c>
      <c r="R1659" s="38">
        <f t="shared" si="134"/>
        <v>0</v>
      </c>
      <c r="S1659" s="38">
        <f t="shared" si="134"/>
        <v>0</v>
      </c>
      <c r="T1659" s="38">
        <f t="shared" si="134"/>
        <v>9280.99</v>
      </c>
      <c r="U1659" s="38">
        <f t="shared" si="134"/>
        <v>9038.1699999999964</v>
      </c>
      <c r="V1659" s="38">
        <f t="shared" si="134"/>
        <v>7414.94</v>
      </c>
      <c r="W1659" s="38">
        <f t="shared" si="134"/>
        <v>24809.960000000003</v>
      </c>
      <c r="X1659" s="38">
        <f t="shared" si="134"/>
        <v>24049.169999999995</v>
      </c>
      <c r="Y1659" s="38">
        <f t="shared" si="134"/>
        <v>23300.489999999991</v>
      </c>
      <c r="Z1659" s="38">
        <f t="shared" si="134"/>
        <v>31350.760000000006</v>
      </c>
      <c r="AA1659" s="38">
        <f t="shared" si="134"/>
        <v>29339.190000000006</v>
      </c>
      <c r="AB1659" s="38">
        <f t="shared" si="134"/>
        <v>27408.960000000003</v>
      </c>
      <c r="AC1659" s="38">
        <f t="shared" si="134"/>
        <v>635267.75000000035</v>
      </c>
      <c r="AD1659" s="38">
        <f t="shared" si="134"/>
        <v>609391.52999999991</v>
      </c>
      <c r="AE1659" s="38">
        <f t="shared" si="134"/>
        <v>595193.48999999964</v>
      </c>
      <c r="AF1659" s="38">
        <f t="shared" si="134"/>
        <v>3563.17</v>
      </c>
      <c r="AG1659" s="38">
        <f t="shared" si="134"/>
        <v>3500.6399999999994</v>
      </c>
      <c r="AH1659" s="38">
        <f t="shared" si="134"/>
        <v>3406.4900000000002</v>
      </c>
      <c r="AI1659" s="38">
        <f t="shared" si="134"/>
        <v>6660645.2800000049</v>
      </c>
      <c r="AJ1659" s="38">
        <f t="shared" si="134"/>
        <v>6610352.289999987</v>
      </c>
      <c r="AK1659" s="38">
        <f t="shared" si="134"/>
        <v>6526222.1400000043</v>
      </c>
      <c r="AL1659" s="38">
        <f t="shared" si="134"/>
        <v>0</v>
      </c>
      <c r="AM1659" s="38">
        <f t="shared" si="134"/>
        <v>0</v>
      </c>
      <c r="AN1659" s="38">
        <f t="shared" si="134"/>
        <v>2.2737367544323206E-13</v>
      </c>
      <c r="AO1659" s="38">
        <f t="shared" si="134"/>
        <v>6660645.2800000049</v>
      </c>
      <c r="AP1659" s="38">
        <f t="shared" si="134"/>
        <v>6610352.2899999861</v>
      </c>
      <c r="AQ1659" s="38">
        <f t="shared" si="134"/>
        <v>6526222.1400000015</v>
      </c>
      <c r="AR1659" s="38">
        <f t="shared" si="134"/>
        <v>6723537.6199999973</v>
      </c>
    </row>
    <row r="1660" spans="1:44" customFormat="1" x14ac:dyDescent="0.35">
      <c r="A1660" s="9" t="s">
        <v>3656</v>
      </c>
      <c r="B1660" s="1"/>
      <c r="C1660" s="1"/>
      <c r="D1660" s="1"/>
      <c r="E1660" s="1"/>
    </row>
    <row r="1661" spans="1:44" customFormat="1" x14ac:dyDescent="0.35">
      <c r="A1661" s="10" t="s">
        <v>3657</v>
      </c>
      <c r="B1661" s="1"/>
      <c r="C1661" s="1"/>
      <c r="D1661" s="1"/>
      <c r="E1661" s="1"/>
    </row>
    <row r="1662" spans="1:44" customFormat="1" x14ac:dyDescent="0.35">
      <c r="A1662" s="10" t="s">
        <v>3658</v>
      </c>
      <c r="B1662" s="1"/>
      <c r="C1662" s="1"/>
      <c r="D1662" s="1"/>
      <c r="E1662" s="1"/>
    </row>
    <row r="1663" spans="1:44" customFormat="1" x14ac:dyDescent="0.35">
      <c r="A1663" s="11" t="s">
        <v>3660</v>
      </c>
      <c r="B1663" s="1"/>
      <c r="C1663" s="1"/>
      <c r="D1663" s="1"/>
      <c r="E1663" s="1"/>
    </row>
  </sheetData>
  <pageMargins left="0.7" right="0.7" top="0.75" bottom="0.75" header="0.3" footer="0.3"/>
  <ignoredErrors>
    <ignoredError sqref="D19:D23" numberStoredAsText="1"/>
  </ignoredErrors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39559-91C7-4645-8F3A-92ADCDBB4A02}">
  <dimension ref="A1:AR1657"/>
  <sheetViews>
    <sheetView workbookViewId="0">
      <pane ySplit="4" topLeftCell="A5" activePane="bottomLeft" state="frozen"/>
      <selection pane="bottomLeft"/>
    </sheetView>
  </sheetViews>
  <sheetFormatPr defaultColWidth="9" defaultRowHeight="15.5" x14ac:dyDescent="0.35"/>
  <cols>
    <col min="1" max="2" width="8.15234375" style="23" customWidth="1"/>
    <col min="3" max="3" width="8.53515625" style="23" customWidth="1"/>
    <col min="4" max="4" width="8.07421875" style="29" customWidth="1"/>
    <col min="5" max="5" width="7.84375" style="23" customWidth="1"/>
    <col min="6" max="6" width="40.15234375" style="23" bestFit="1" customWidth="1"/>
    <col min="7" max="7" width="41.69140625" style="23" customWidth="1"/>
    <col min="8" max="8" width="13.4609375" style="23" customWidth="1"/>
    <col min="9" max="9" width="13" style="23" customWidth="1"/>
    <col min="10" max="10" width="16.23046875" style="23" customWidth="1"/>
    <col min="11" max="11" width="16.53515625" style="23" customWidth="1"/>
    <col min="12" max="12" width="16.765625" style="23" customWidth="1"/>
    <col min="13" max="13" width="16.23046875" style="23" customWidth="1"/>
    <col min="14" max="14" width="19.53515625" style="23" customWidth="1"/>
    <col min="15" max="15" width="19.15234375" style="23" customWidth="1"/>
    <col min="16" max="16" width="17.61328125" style="23" customWidth="1"/>
    <col min="17" max="18" width="15.3828125" style="23" customWidth="1"/>
    <col min="19" max="19" width="17.4609375" style="23" customWidth="1"/>
    <col min="20" max="21" width="12.4609375" style="23" customWidth="1"/>
    <col min="22" max="22" width="13.69140625" style="23" customWidth="1"/>
    <col min="23" max="23" width="16.23046875" style="23" customWidth="1"/>
    <col min="24" max="24" width="16" style="23" customWidth="1"/>
    <col min="25" max="25" width="17.4609375" style="23" customWidth="1"/>
    <col min="26" max="26" width="13.921875" style="23" customWidth="1"/>
    <col min="27" max="27" width="13" style="23" customWidth="1"/>
    <col min="28" max="28" width="15.84375" style="23" customWidth="1"/>
    <col min="29" max="29" width="13.4609375" style="23" customWidth="1"/>
    <col min="30" max="30" width="16.53515625" style="23" customWidth="1"/>
    <col min="31" max="31" width="13.69140625" style="23" customWidth="1"/>
    <col min="32" max="33" width="16.4609375" style="23" customWidth="1"/>
    <col min="34" max="34" width="17.53515625" style="23" customWidth="1"/>
    <col min="35" max="35" width="23" style="23" customWidth="1"/>
    <col min="36" max="36" width="22.69140625" style="23" customWidth="1"/>
    <col min="37" max="37" width="26.84375" style="23" customWidth="1"/>
    <col min="38" max="38" width="30.69140625" style="23" customWidth="1"/>
    <col min="39" max="40" width="29.84375" style="23" customWidth="1"/>
    <col min="41" max="41" width="17.23046875" style="23" customWidth="1"/>
    <col min="42" max="42" width="15.84375" style="23" customWidth="1"/>
    <col min="43" max="43" width="18.84375" style="23" customWidth="1"/>
    <col min="44" max="44" width="25.3046875" style="23" customWidth="1"/>
    <col min="45" max="45" width="23" style="23" customWidth="1"/>
    <col min="46" max="46" width="24.15234375" style="23" customWidth="1"/>
    <col min="47" max="16384" width="9" style="23"/>
  </cols>
  <sheetData>
    <row r="1" spans="1:44" s="22" customFormat="1" ht="18" x14ac:dyDescent="0.4">
      <c r="A1" s="30" t="s">
        <v>3662</v>
      </c>
      <c r="B1" s="31"/>
      <c r="C1" s="31"/>
      <c r="D1" s="31"/>
      <c r="E1" s="31"/>
      <c r="F1" s="32"/>
      <c r="G1" s="33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</row>
    <row r="2" spans="1:44" s="2" customFormat="1" x14ac:dyDescent="0.35">
      <c r="A2" s="8" t="s">
        <v>3654</v>
      </c>
      <c r="B2" s="4"/>
      <c r="C2" s="4"/>
      <c r="D2" s="4"/>
      <c r="E2" s="4"/>
      <c r="F2" s="5"/>
      <c r="G2" s="8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</row>
    <row r="3" spans="1:44" s="2" customFormat="1" x14ac:dyDescent="0.35">
      <c r="A3" s="12" t="s">
        <v>3671</v>
      </c>
      <c r="B3" s="4"/>
      <c r="C3" s="4"/>
      <c r="D3" s="4"/>
      <c r="E3" s="4"/>
      <c r="G3" s="8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</row>
    <row r="4" spans="1:44" s="4" customFormat="1" ht="100.75" customHeight="1" x14ac:dyDescent="0.35">
      <c r="A4" s="50" t="s">
        <v>3615</v>
      </c>
      <c r="B4" s="51" t="s">
        <v>3616</v>
      </c>
      <c r="C4" s="51" t="s">
        <v>3617</v>
      </c>
      <c r="D4" s="58" t="s">
        <v>3618</v>
      </c>
      <c r="E4" s="51" t="s">
        <v>3619</v>
      </c>
      <c r="F4" s="51" t="s">
        <v>3620</v>
      </c>
      <c r="G4" s="51" t="s">
        <v>3621</v>
      </c>
      <c r="H4" s="51" t="s">
        <v>3622</v>
      </c>
      <c r="I4" s="51" t="s">
        <v>3623</v>
      </c>
      <c r="J4" s="51" t="s">
        <v>3624</v>
      </c>
      <c r="K4" s="51" t="s">
        <v>3625</v>
      </c>
      <c r="L4" s="51" t="s">
        <v>3626</v>
      </c>
      <c r="M4" s="51" t="s">
        <v>3627</v>
      </c>
      <c r="N4" s="51" t="s">
        <v>3628</v>
      </c>
      <c r="O4" s="51" t="s">
        <v>3629</v>
      </c>
      <c r="P4" s="51" t="s">
        <v>3630</v>
      </c>
      <c r="Q4" s="51" t="s">
        <v>3631</v>
      </c>
      <c r="R4" s="51" t="s">
        <v>3632</v>
      </c>
      <c r="S4" s="51" t="s">
        <v>3633</v>
      </c>
      <c r="T4" s="51" t="s">
        <v>3664</v>
      </c>
      <c r="U4" s="51" t="s">
        <v>3665</v>
      </c>
      <c r="V4" s="51" t="s">
        <v>3666</v>
      </c>
      <c r="W4" s="51" t="s">
        <v>3667</v>
      </c>
      <c r="X4" s="51" t="s">
        <v>3668</v>
      </c>
      <c r="Y4" s="51" t="s">
        <v>3669</v>
      </c>
      <c r="Z4" s="51" t="s">
        <v>3634</v>
      </c>
      <c r="AA4" s="51" t="s">
        <v>3635</v>
      </c>
      <c r="AB4" s="51" t="s">
        <v>3636</v>
      </c>
      <c r="AC4" s="51" t="s">
        <v>3637</v>
      </c>
      <c r="AD4" s="51" t="s">
        <v>3638</v>
      </c>
      <c r="AE4" s="51" t="s">
        <v>3639</v>
      </c>
      <c r="AF4" s="51" t="s">
        <v>3640</v>
      </c>
      <c r="AG4" s="51" t="s">
        <v>3641</v>
      </c>
      <c r="AH4" s="51" t="s">
        <v>3642</v>
      </c>
      <c r="AI4" s="51" t="s">
        <v>3670</v>
      </c>
      <c r="AJ4" s="51" t="s">
        <v>3644</v>
      </c>
      <c r="AK4" s="51" t="s">
        <v>3645</v>
      </c>
      <c r="AL4" s="51" t="s">
        <v>3646</v>
      </c>
      <c r="AM4" s="51" t="s">
        <v>3647</v>
      </c>
      <c r="AN4" s="51" t="s">
        <v>3648</v>
      </c>
      <c r="AO4" s="51" t="s">
        <v>3649</v>
      </c>
      <c r="AP4" s="51" t="s">
        <v>3650</v>
      </c>
      <c r="AQ4" s="51" t="s">
        <v>3651</v>
      </c>
      <c r="AR4" s="52" t="s">
        <v>3652</v>
      </c>
    </row>
    <row r="5" spans="1:44" x14ac:dyDescent="0.35">
      <c r="A5" s="49" t="str">
        <f>TEXT(32,"00")</f>
        <v>32</v>
      </c>
      <c r="B5" s="27">
        <v>66969</v>
      </c>
      <c r="C5" s="25" t="str">
        <f t="shared" ref="C5:C18" si="0">TEXT(,"0000000")</f>
        <v>0000000</v>
      </c>
      <c r="D5" s="26" t="s">
        <v>3663</v>
      </c>
      <c r="E5" s="25" t="s">
        <v>1682</v>
      </c>
      <c r="F5" s="25" t="s">
        <v>1683</v>
      </c>
      <c r="G5" s="59" t="s">
        <v>1683</v>
      </c>
      <c r="H5" s="60">
        <v>1465.44</v>
      </c>
      <c r="I5" s="60">
        <v>1497.12</v>
      </c>
      <c r="J5" s="60">
        <v>1699.56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  <c r="AG5" s="60">
        <v>0</v>
      </c>
      <c r="AH5" s="60">
        <v>0</v>
      </c>
      <c r="AI5" s="60">
        <v>1465.44</v>
      </c>
      <c r="AJ5" s="60">
        <v>1497.12</v>
      </c>
      <c r="AK5" s="60">
        <v>1699.56</v>
      </c>
      <c r="AL5" s="60">
        <v>0</v>
      </c>
      <c r="AM5" s="60">
        <v>0</v>
      </c>
      <c r="AN5" s="60">
        <v>0</v>
      </c>
      <c r="AO5" s="60">
        <v>1465.44</v>
      </c>
      <c r="AP5" s="60">
        <v>1497.12</v>
      </c>
      <c r="AQ5" s="60">
        <v>1699.56</v>
      </c>
      <c r="AR5" s="61">
        <v>1699.56</v>
      </c>
    </row>
    <row r="6" spans="1:44" x14ac:dyDescent="0.35">
      <c r="A6" s="49" t="str">
        <f>TEXT(32,"00")</f>
        <v>32</v>
      </c>
      <c r="B6" s="27">
        <v>10322</v>
      </c>
      <c r="C6" s="25" t="str">
        <f t="shared" si="0"/>
        <v>0000000</v>
      </c>
      <c r="D6" s="26" t="s">
        <v>3663</v>
      </c>
      <c r="E6" s="25" t="s">
        <v>1684</v>
      </c>
      <c r="F6" s="25" t="s">
        <v>1683</v>
      </c>
      <c r="G6" s="59" t="s">
        <v>1685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11.17</v>
      </c>
      <c r="X6" s="60">
        <v>20.25</v>
      </c>
      <c r="Y6" s="60">
        <v>30.18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11.17</v>
      </c>
      <c r="AJ6" s="60">
        <v>20.25</v>
      </c>
      <c r="AK6" s="60">
        <v>30.18</v>
      </c>
      <c r="AL6" s="60">
        <v>0</v>
      </c>
      <c r="AM6" s="60">
        <v>0</v>
      </c>
      <c r="AN6" s="60">
        <v>0</v>
      </c>
      <c r="AO6" s="60">
        <v>11.17</v>
      </c>
      <c r="AP6" s="60">
        <v>20.25</v>
      </c>
      <c r="AQ6" s="60">
        <v>30.18</v>
      </c>
      <c r="AR6" s="61">
        <v>30.18</v>
      </c>
    </row>
    <row r="7" spans="1:44" x14ac:dyDescent="0.35">
      <c r="A7" s="49" t="str">
        <f>TEXT(20,"00")</f>
        <v>20</v>
      </c>
      <c r="B7" s="27">
        <v>10207</v>
      </c>
      <c r="C7" s="25" t="str">
        <f t="shared" si="0"/>
        <v>0000000</v>
      </c>
      <c r="D7" s="26" t="s">
        <v>3663</v>
      </c>
      <c r="E7" s="25" t="s">
        <v>1213</v>
      </c>
      <c r="F7" s="25" t="s">
        <v>1214</v>
      </c>
      <c r="G7" s="59" t="s">
        <v>1214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42.54</v>
      </c>
      <c r="U7" s="60">
        <v>40.450000000000003</v>
      </c>
      <c r="V7" s="60">
        <v>95.75</v>
      </c>
      <c r="W7" s="60">
        <v>575.57000000000005</v>
      </c>
      <c r="X7" s="60">
        <v>545.35</v>
      </c>
      <c r="Y7" s="60">
        <v>629.44000000000005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  <c r="AG7" s="60">
        <v>0</v>
      </c>
      <c r="AH7" s="60">
        <v>0</v>
      </c>
      <c r="AI7" s="60">
        <v>618.11</v>
      </c>
      <c r="AJ7" s="60">
        <v>585.79999999999995</v>
      </c>
      <c r="AK7" s="60">
        <v>725.19</v>
      </c>
      <c r="AL7" s="60">
        <v>0</v>
      </c>
      <c r="AM7" s="60">
        <v>0</v>
      </c>
      <c r="AN7" s="60">
        <v>0</v>
      </c>
      <c r="AO7" s="60">
        <v>618.11</v>
      </c>
      <c r="AP7" s="60">
        <v>585.79999999999995</v>
      </c>
      <c r="AQ7" s="60">
        <v>725.19</v>
      </c>
      <c r="AR7" s="61">
        <v>725.19</v>
      </c>
    </row>
    <row r="8" spans="1:44" x14ac:dyDescent="0.35">
      <c r="A8" s="49" t="str">
        <f>TEXT(22,"00")</f>
        <v>22</v>
      </c>
      <c r="B8" s="27">
        <v>10223</v>
      </c>
      <c r="C8" s="25" t="str">
        <f t="shared" si="0"/>
        <v>0000000</v>
      </c>
      <c r="D8" s="26" t="s">
        <v>3663</v>
      </c>
      <c r="E8" s="25" t="s">
        <v>1290</v>
      </c>
      <c r="F8" s="25" t="s">
        <v>1214</v>
      </c>
      <c r="G8" s="59" t="s">
        <v>1291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1.94</v>
      </c>
      <c r="U8" s="60">
        <v>0.86</v>
      </c>
      <c r="V8" s="60">
        <v>2.15</v>
      </c>
      <c r="W8" s="60">
        <v>42.99</v>
      </c>
      <c r="X8" s="60">
        <v>31.88</v>
      </c>
      <c r="Y8" s="60">
        <v>38.049999999999997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>
        <v>44.93</v>
      </c>
      <c r="AJ8" s="60">
        <v>32.74</v>
      </c>
      <c r="AK8" s="60">
        <v>40.200000000000003</v>
      </c>
      <c r="AL8" s="60">
        <v>0</v>
      </c>
      <c r="AM8" s="60">
        <v>0</v>
      </c>
      <c r="AN8" s="60">
        <v>0</v>
      </c>
      <c r="AO8" s="60">
        <v>44.93</v>
      </c>
      <c r="AP8" s="60">
        <v>32.74</v>
      </c>
      <c r="AQ8" s="60">
        <v>40.200000000000003</v>
      </c>
      <c r="AR8" s="61">
        <v>44.93</v>
      </c>
    </row>
    <row r="9" spans="1:44" x14ac:dyDescent="0.35">
      <c r="A9" s="49" t="str">
        <f>TEXT(22,"00")</f>
        <v>22</v>
      </c>
      <c r="B9" s="27">
        <v>65532</v>
      </c>
      <c r="C9" s="25" t="str">
        <f t="shared" si="0"/>
        <v>0000000</v>
      </c>
      <c r="D9" s="26" t="s">
        <v>3663</v>
      </c>
      <c r="E9" s="25" t="s">
        <v>1292</v>
      </c>
      <c r="F9" s="25" t="s">
        <v>1214</v>
      </c>
      <c r="G9" s="59" t="s">
        <v>1293</v>
      </c>
      <c r="H9" s="60">
        <v>1471.21</v>
      </c>
      <c r="I9" s="60">
        <v>1441.05</v>
      </c>
      <c r="J9" s="60">
        <v>1573.93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122.15</v>
      </c>
      <c r="AD9" s="60">
        <v>122.16</v>
      </c>
      <c r="AE9" s="60">
        <v>143.30000000000001</v>
      </c>
      <c r="AF9" s="60">
        <v>0</v>
      </c>
      <c r="AG9" s="60">
        <v>0</v>
      </c>
      <c r="AH9" s="60">
        <v>0</v>
      </c>
      <c r="AI9" s="60">
        <v>1593.36</v>
      </c>
      <c r="AJ9" s="60">
        <v>1563.21</v>
      </c>
      <c r="AK9" s="60">
        <v>1717.23</v>
      </c>
      <c r="AL9" s="60">
        <v>0</v>
      </c>
      <c r="AM9" s="60">
        <v>0</v>
      </c>
      <c r="AN9" s="60">
        <v>0</v>
      </c>
      <c r="AO9" s="60">
        <v>1593.36</v>
      </c>
      <c r="AP9" s="60">
        <v>1563.21</v>
      </c>
      <c r="AQ9" s="60">
        <v>1717.23</v>
      </c>
      <c r="AR9" s="61">
        <v>1717.23</v>
      </c>
    </row>
    <row r="10" spans="1:44" x14ac:dyDescent="0.35">
      <c r="A10" s="49" t="str">
        <f t="shared" ref="A10:A24" si="1">TEXT(20,"00")</f>
        <v>20</v>
      </c>
      <c r="B10" s="27">
        <v>65185</v>
      </c>
      <c r="C10" s="25" t="str">
        <f t="shared" si="0"/>
        <v>0000000</v>
      </c>
      <c r="D10" s="26" t="s">
        <v>3663</v>
      </c>
      <c r="E10" s="25" t="s">
        <v>1217</v>
      </c>
      <c r="F10" s="25" t="s">
        <v>1214</v>
      </c>
      <c r="G10" s="59" t="s">
        <v>1218</v>
      </c>
      <c r="H10" s="60">
        <v>772.61</v>
      </c>
      <c r="I10" s="60">
        <v>765.72</v>
      </c>
      <c r="J10" s="60">
        <v>843.47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13.17</v>
      </c>
      <c r="AD10" s="60">
        <v>14.13</v>
      </c>
      <c r="AE10" s="60">
        <v>11.1</v>
      </c>
      <c r="AF10" s="60">
        <v>0</v>
      </c>
      <c r="AG10" s="60">
        <v>0</v>
      </c>
      <c r="AH10" s="60">
        <v>0</v>
      </c>
      <c r="AI10" s="60">
        <v>785.78</v>
      </c>
      <c r="AJ10" s="60">
        <v>779.85</v>
      </c>
      <c r="AK10" s="60">
        <v>854.57</v>
      </c>
      <c r="AL10" s="60">
        <v>0</v>
      </c>
      <c r="AM10" s="60">
        <v>0</v>
      </c>
      <c r="AN10" s="60">
        <v>0</v>
      </c>
      <c r="AO10" s="60">
        <v>785.78</v>
      </c>
      <c r="AP10" s="60">
        <v>779.85</v>
      </c>
      <c r="AQ10" s="60">
        <v>854.57</v>
      </c>
      <c r="AR10" s="61">
        <v>854.57</v>
      </c>
    </row>
    <row r="11" spans="1:44" x14ac:dyDescent="0.35">
      <c r="A11" s="49" t="str">
        <f t="shared" si="1"/>
        <v>20</v>
      </c>
      <c r="B11" s="27">
        <v>65243</v>
      </c>
      <c r="C11" s="25" t="str">
        <f t="shared" si="0"/>
        <v>0000000</v>
      </c>
      <c r="D11" s="26" t="s">
        <v>3663</v>
      </c>
      <c r="E11" s="25" t="s">
        <v>1223</v>
      </c>
      <c r="F11" s="25" t="s">
        <v>1214</v>
      </c>
      <c r="G11" s="59" t="s">
        <v>1224</v>
      </c>
      <c r="H11" s="60">
        <v>18493.91</v>
      </c>
      <c r="I11" s="60">
        <v>17661.009999999998</v>
      </c>
      <c r="J11" s="60">
        <v>19143.79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73.430000000000007</v>
      </c>
      <c r="AE11" s="60">
        <v>75.86</v>
      </c>
      <c r="AF11" s="60">
        <v>0</v>
      </c>
      <c r="AG11" s="60">
        <v>0</v>
      </c>
      <c r="AH11" s="60">
        <v>0</v>
      </c>
      <c r="AI11" s="60">
        <v>18493.91</v>
      </c>
      <c r="AJ11" s="60">
        <v>17734.439999999999</v>
      </c>
      <c r="AK11" s="60">
        <v>19219.650000000001</v>
      </c>
      <c r="AL11" s="60">
        <v>0</v>
      </c>
      <c r="AM11" s="60">
        <v>-73.430000000000007</v>
      </c>
      <c r="AN11" s="60">
        <v>-75.86</v>
      </c>
      <c r="AO11" s="60">
        <v>18493.91</v>
      </c>
      <c r="AP11" s="60">
        <v>17661.009999999998</v>
      </c>
      <c r="AQ11" s="60">
        <v>19143.79</v>
      </c>
      <c r="AR11" s="61">
        <v>19143.79</v>
      </c>
    </row>
    <row r="12" spans="1:44" x14ac:dyDescent="0.35">
      <c r="A12" s="49" t="str">
        <f t="shared" si="1"/>
        <v>20</v>
      </c>
      <c r="B12" s="27">
        <v>65177</v>
      </c>
      <c r="C12" s="25" t="str">
        <f t="shared" si="0"/>
        <v>0000000</v>
      </c>
      <c r="D12" s="26" t="s">
        <v>3663</v>
      </c>
      <c r="E12" s="25" t="s">
        <v>1215</v>
      </c>
      <c r="F12" s="25" t="s">
        <v>1214</v>
      </c>
      <c r="G12" s="59" t="s">
        <v>1216</v>
      </c>
      <c r="H12" s="60">
        <v>373.26</v>
      </c>
      <c r="I12" s="60">
        <v>364.72</v>
      </c>
      <c r="J12" s="60">
        <v>369.46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  <c r="AG12" s="60">
        <v>0</v>
      </c>
      <c r="AH12" s="60">
        <v>0</v>
      </c>
      <c r="AI12" s="60">
        <v>373.26</v>
      </c>
      <c r="AJ12" s="60">
        <v>364.72</v>
      </c>
      <c r="AK12" s="60">
        <v>369.46</v>
      </c>
      <c r="AL12" s="60">
        <v>0</v>
      </c>
      <c r="AM12" s="60">
        <v>0</v>
      </c>
      <c r="AN12" s="60">
        <v>0</v>
      </c>
      <c r="AO12" s="60">
        <v>373.26</v>
      </c>
      <c r="AP12" s="60">
        <v>364.72</v>
      </c>
      <c r="AQ12" s="60">
        <v>369.46</v>
      </c>
      <c r="AR12" s="61">
        <v>373.26</v>
      </c>
    </row>
    <row r="13" spans="1:44" x14ac:dyDescent="0.35">
      <c r="A13" s="49" t="str">
        <f t="shared" si="1"/>
        <v>20</v>
      </c>
      <c r="B13" s="27">
        <v>65193</v>
      </c>
      <c r="C13" s="25" t="str">
        <f t="shared" si="0"/>
        <v>0000000</v>
      </c>
      <c r="D13" s="26" t="s">
        <v>3663</v>
      </c>
      <c r="E13" s="25" t="s">
        <v>1219</v>
      </c>
      <c r="F13" s="25" t="s">
        <v>1214</v>
      </c>
      <c r="G13" s="59" t="s">
        <v>1220</v>
      </c>
      <c r="H13" s="60">
        <v>1994.11</v>
      </c>
      <c r="I13" s="60">
        <v>1944.04</v>
      </c>
      <c r="J13" s="60">
        <v>2155.6999999999998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  <c r="AG13" s="60">
        <v>0</v>
      </c>
      <c r="AH13" s="60">
        <v>0</v>
      </c>
      <c r="AI13" s="60">
        <v>1994.11</v>
      </c>
      <c r="AJ13" s="60">
        <v>1944.04</v>
      </c>
      <c r="AK13" s="60">
        <v>2155.6999999999998</v>
      </c>
      <c r="AL13" s="60">
        <v>0</v>
      </c>
      <c r="AM13" s="60">
        <v>0</v>
      </c>
      <c r="AN13" s="60">
        <v>0</v>
      </c>
      <c r="AO13" s="60">
        <v>1994.11</v>
      </c>
      <c r="AP13" s="60">
        <v>1944.04</v>
      </c>
      <c r="AQ13" s="60">
        <v>2155.6999999999998</v>
      </c>
      <c r="AR13" s="61">
        <v>2155.6999999999998</v>
      </c>
    </row>
    <row r="14" spans="1:44" x14ac:dyDescent="0.35">
      <c r="A14" s="49" t="str">
        <f t="shared" si="1"/>
        <v>20</v>
      </c>
      <c r="B14" s="27">
        <v>65201</v>
      </c>
      <c r="C14" s="25" t="str">
        <f t="shared" si="0"/>
        <v>0000000</v>
      </c>
      <c r="D14" s="26" t="s">
        <v>3663</v>
      </c>
      <c r="E14" s="25" t="s">
        <v>1221</v>
      </c>
      <c r="F14" s="25" t="s">
        <v>1214</v>
      </c>
      <c r="G14" s="59" t="s">
        <v>1222</v>
      </c>
      <c r="H14" s="60">
        <v>1028.04</v>
      </c>
      <c r="I14" s="60">
        <v>915.8</v>
      </c>
      <c r="J14" s="60">
        <v>1023.39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1028.04</v>
      </c>
      <c r="AJ14" s="60">
        <v>915.8</v>
      </c>
      <c r="AK14" s="60">
        <v>1023.39</v>
      </c>
      <c r="AL14" s="60">
        <v>0</v>
      </c>
      <c r="AM14" s="60">
        <v>0</v>
      </c>
      <c r="AN14" s="60">
        <v>0</v>
      </c>
      <c r="AO14" s="60">
        <v>1028.04</v>
      </c>
      <c r="AP14" s="60">
        <v>915.8</v>
      </c>
      <c r="AQ14" s="60">
        <v>1023.39</v>
      </c>
      <c r="AR14" s="61">
        <v>1028.04</v>
      </c>
    </row>
    <row r="15" spans="1:44" x14ac:dyDescent="0.35">
      <c r="A15" s="49" t="str">
        <f t="shared" si="1"/>
        <v>20</v>
      </c>
      <c r="B15" s="27">
        <v>65276</v>
      </c>
      <c r="C15" s="25" t="str">
        <f t="shared" si="0"/>
        <v>0000000</v>
      </c>
      <c r="D15" s="26" t="s">
        <v>3663</v>
      </c>
      <c r="E15" s="25" t="s">
        <v>1235</v>
      </c>
      <c r="F15" s="25" t="s">
        <v>1214</v>
      </c>
      <c r="G15" s="59" t="s">
        <v>1236</v>
      </c>
      <c r="H15" s="60">
        <v>68.22</v>
      </c>
      <c r="I15" s="60">
        <v>55.66</v>
      </c>
      <c r="J15" s="60">
        <v>74.98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  <c r="AG15" s="60">
        <v>0</v>
      </c>
      <c r="AH15" s="60">
        <v>0</v>
      </c>
      <c r="AI15" s="60">
        <v>68.22</v>
      </c>
      <c r="AJ15" s="60">
        <v>55.66</v>
      </c>
      <c r="AK15" s="60">
        <v>74.98</v>
      </c>
      <c r="AL15" s="60">
        <v>0</v>
      </c>
      <c r="AM15" s="60">
        <v>0</v>
      </c>
      <c r="AN15" s="60">
        <v>0</v>
      </c>
      <c r="AO15" s="60">
        <v>68.22</v>
      </c>
      <c r="AP15" s="60">
        <v>55.66</v>
      </c>
      <c r="AQ15" s="60">
        <v>74.98</v>
      </c>
      <c r="AR15" s="61">
        <v>74.98</v>
      </c>
    </row>
    <row r="16" spans="1:44" x14ac:dyDescent="0.35">
      <c r="A16" s="49" t="str">
        <f t="shared" si="1"/>
        <v>20</v>
      </c>
      <c r="B16" s="27">
        <v>75580</v>
      </c>
      <c r="C16" s="25" t="str">
        <f t="shared" si="0"/>
        <v>0000000</v>
      </c>
      <c r="D16" s="26" t="s">
        <v>3663</v>
      </c>
      <c r="E16" s="25" t="s">
        <v>1237</v>
      </c>
      <c r="F16" s="25" t="s">
        <v>1214</v>
      </c>
      <c r="G16" s="59" t="s">
        <v>1238</v>
      </c>
      <c r="H16" s="60">
        <v>2460.0100000000002</v>
      </c>
      <c r="I16" s="60">
        <v>2195.4899999999998</v>
      </c>
      <c r="J16" s="60">
        <v>1952.56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2460.0100000000002</v>
      </c>
      <c r="AJ16" s="60">
        <v>2195.4899999999998</v>
      </c>
      <c r="AK16" s="60">
        <v>1952.56</v>
      </c>
      <c r="AL16" s="60">
        <v>0</v>
      </c>
      <c r="AM16" s="60">
        <v>0</v>
      </c>
      <c r="AN16" s="60">
        <v>0</v>
      </c>
      <c r="AO16" s="60">
        <v>2460.0100000000002</v>
      </c>
      <c r="AP16" s="60">
        <v>2195.4899999999998</v>
      </c>
      <c r="AQ16" s="60">
        <v>1952.56</v>
      </c>
      <c r="AR16" s="61">
        <v>2460.0100000000002</v>
      </c>
    </row>
    <row r="17" spans="1:44" x14ac:dyDescent="0.35">
      <c r="A17" s="49" t="str">
        <f t="shared" si="1"/>
        <v>20</v>
      </c>
      <c r="B17" s="27">
        <v>75606</v>
      </c>
      <c r="C17" s="25" t="str">
        <f t="shared" si="0"/>
        <v>0000000</v>
      </c>
      <c r="D17" s="26" t="s">
        <v>3663</v>
      </c>
      <c r="E17" s="25" t="s">
        <v>1239</v>
      </c>
      <c r="F17" s="25" t="s">
        <v>1214</v>
      </c>
      <c r="G17" s="59" t="s">
        <v>1240</v>
      </c>
      <c r="H17" s="60">
        <v>915.15</v>
      </c>
      <c r="I17" s="60">
        <v>841.73</v>
      </c>
      <c r="J17" s="60">
        <v>869.8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408.97</v>
      </c>
      <c r="AD17" s="60">
        <v>548.35</v>
      </c>
      <c r="AE17" s="60">
        <v>561.22</v>
      </c>
      <c r="AF17" s="60">
        <v>0</v>
      </c>
      <c r="AG17" s="60">
        <v>0</v>
      </c>
      <c r="AH17" s="60">
        <v>0</v>
      </c>
      <c r="AI17" s="60">
        <v>1324.12</v>
      </c>
      <c r="AJ17" s="60">
        <v>1390.08</v>
      </c>
      <c r="AK17" s="60">
        <v>1431.02</v>
      </c>
      <c r="AL17" s="60">
        <v>0</v>
      </c>
      <c r="AM17" s="60">
        <v>0</v>
      </c>
      <c r="AN17" s="60">
        <v>0</v>
      </c>
      <c r="AO17" s="60">
        <v>1324.12</v>
      </c>
      <c r="AP17" s="60">
        <v>1390.08</v>
      </c>
      <c r="AQ17" s="60">
        <v>1431.02</v>
      </c>
      <c r="AR17" s="61">
        <v>1431.02</v>
      </c>
    </row>
    <row r="18" spans="1:44" x14ac:dyDescent="0.35">
      <c r="A18" s="49" t="str">
        <f t="shared" si="1"/>
        <v>20</v>
      </c>
      <c r="B18" s="27">
        <v>76414</v>
      </c>
      <c r="C18" s="25" t="str">
        <f t="shared" si="0"/>
        <v>0000000</v>
      </c>
      <c r="D18" s="26" t="s">
        <v>3663</v>
      </c>
      <c r="E18" s="25" t="s">
        <v>1241</v>
      </c>
      <c r="F18" s="25" t="s">
        <v>1214</v>
      </c>
      <c r="G18" s="59" t="s">
        <v>1242</v>
      </c>
      <c r="H18" s="60">
        <v>1227.55</v>
      </c>
      <c r="I18" s="60">
        <v>1165.9000000000001</v>
      </c>
      <c r="J18" s="60">
        <v>1411.86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1227.55</v>
      </c>
      <c r="AJ18" s="60">
        <v>1165.9000000000001</v>
      </c>
      <c r="AK18" s="60">
        <v>1411.86</v>
      </c>
      <c r="AL18" s="60">
        <v>0</v>
      </c>
      <c r="AM18" s="60">
        <v>0</v>
      </c>
      <c r="AN18" s="60">
        <v>0</v>
      </c>
      <c r="AO18" s="60">
        <v>1227.55</v>
      </c>
      <c r="AP18" s="60">
        <v>1165.9000000000001</v>
      </c>
      <c r="AQ18" s="60">
        <v>1411.86</v>
      </c>
      <c r="AR18" s="61">
        <v>1411.86</v>
      </c>
    </row>
    <row r="19" spans="1:44" x14ac:dyDescent="0.35">
      <c r="A19" s="49" t="str">
        <f t="shared" si="1"/>
        <v>20</v>
      </c>
      <c r="B19" s="27">
        <v>65243</v>
      </c>
      <c r="C19" s="25" t="str">
        <f>TEXT(107938,"0000000")</f>
        <v>0107938</v>
      </c>
      <c r="D19" s="26" t="s">
        <v>1230</v>
      </c>
      <c r="E19" s="25" t="s">
        <v>1228</v>
      </c>
      <c r="F19" s="25" t="s">
        <v>1214</v>
      </c>
      <c r="G19" s="59" t="s">
        <v>1229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621.83000000000004</v>
      </c>
      <c r="AD19" s="60">
        <v>574.91999999999996</v>
      </c>
      <c r="AE19" s="60">
        <v>607</v>
      </c>
      <c r="AF19" s="60">
        <v>0</v>
      </c>
      <c r="AG19" s="60">
        <v>0</v>
      </c>
      <c r="AH19" s="60">
        <v>0</v>
      </c>
      <c r="AI19" s="60">
        <v>621.83000000000004</v>
      </c>
      <c r="AJ19" s="60">
        <v>574.91999999999996</v>
      </c>
      <c r="AK19" s="60">
        <v>607</v>
      </c>
      <c r="AL19" s="60">
        <v>0</v>
      </c>
      <c r="AM19" s="60">
        <v>0</v>
      </c>
      <c r="AN19" s="60">
        <v>0</v>
      </c>
      <c r="AO19" s="60">
        <v>621.83000000000004</v>
      </c>
      <c r="AP19" s="60">
        <v>574.91999999999996</v>
      </c>
      <c r="AQ19" s="60">
        <v>607</v>
      </c>
      <c r="AR19" s="61">
        <v>621.83000000000004</v>
      </c>
    </row>
    <row r="20" spans="1:44" x14ac:dyDescent="0.35">
      <c r="A20" s="49" t="str">
        <f t="shared" si="1"/>
        <v>20</v>
      </c>
      <c r="B20" s="27">
        <v>65243</v>
      </c>
      <c r="C20" s="25" t="str">
        <f>TEXT(100016,"0000000")</f>
        <v>0100016</v>
      </c>
      <c r="D20" s="26" t="s">
        <v>1227</v>
      </c>
      <c r="E20" s="25" t="s">
        <v>1225</v>
      </c>
      <c r="F20" s="25" t="s">
        <v>1214</v>
      </c>
      <c r="G20" s="59" t="s">
        <v>1226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212.62</v>
      </c>
      <c r="AD20" s="60">
        <v>194.17</v>
      </c>
      <c r="AE20" s="60">
        <v>217.79</v>
      </c>
      <c r="AF20" s="60">
        <v>0</v>
      </c>
      <c r="AG20" s="60">
        <v>0</v>
      </c>
      <c r="AH20" s="60">
        <v>0</v>
      </c>
      <c r="AI20" s="60">
        <v>212.62</v>
      </c>
      <c r="AJ20" s="60">
        <v>194.17</v>
      </c>
      <c r="AK20" s="60">
        <v>217.79</v>
      </c>
      <c r="AL20" s="60">
        <v>0</v>
      </c>
      <c r="AM20" s="60">
        <v>0</v>
      </c>
      <c r="AN20" s="60">
        <v>0</v>
      </c>
      <c r="AO20" s="60">
        <v>212.62</v>
      </c>
      <c r="AP20" s="60">
        <v>194.17</v>
      </c>
      <c r="AQ20" s="60">
        <v>217.79</v>
      </c>
      <c r="AR20" s="61">
        <v>217.79</v>
      </c>
    </row>
    <row r="21" spans="1:44" x14ac:dyDescent="0.35">
      <c r="A21" s="49" t="str">
        <f t="shared" si="1"/>
        <v>20</v>
      </c>
      <c r="B21" s="27">
        <v>65243</v>
      </c>
      <c r="C21" s="25" t="str">
        <f>TEXT(118950,"0000000")</f>
        <v>0118950</v>
      </c>
      <c r="D21" s="27">
        <v>1058</v>
      </c>
      <c r="E21" s="25" t="s">
        <v>1231</v>
      </c>
      <c r="F21" s="25" t="s">
        <v>1214</v>
      </c>
      <c r="G21" s="59" t="s">
        <v>1232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76.73</v>
      </c>
      <c r="AD21" s="60">
        <v>71.819999999999993</v>
      </c>
      <c r="AE21" s="60">
        <v>84.54</v>
      </c>
      <c r="AF21" s="60">
        <v>0</v>
      </c>
      <c r="AG21" s="60">
        <v>0</v>
      </c>
      <c r="AH21" s="60">
        <v>0</v>
      </c>
      <c r="AI21" s="60">
        <v>76.73</v>
      </c>
      <c r="AJ21" s="60">
        <v>71.819999999999993</v>
      </c>
      <c r="AK21" s="60">
        <v>84.54</v>
      </c>
      <c r="AL21" s="60">
        <v>0</v>
      </c>
      <c r="AM21" s="60">
        <v>0</v>
      </c>
      <c r="AN21" s="60">
        <v>0</v>
      </c>
      <c r="AO21" s="60">
        <v>76.73</v>
      </c>
      <c r="AP21" s="60">
        <v>71.819999999999993</v>
      </c>
      <c r="AQ21" s="60">
        <v>84.54</v>
      </c>
      <c r="AR21" s="61">
        <v>84.54</v>
      </c>
    </row>
    <row r="22" spans="1:44" x14ac:dyDescent="0.35">
      <c r="A22" s="49" t="str">
        <f t="shared" si="1"/>
        <v>20</v>
      </c>
      <c r="B22" s="27">
        <v>76414</v>
      </c>
      <c r="C22" s="25" t="str">
        <f>TEXT(6110076,"0000000")</f>
        <v>6110076</v>
      </c>
      <c r="D22" s="26" t="s">
        <v>1248</v>
      </c>
      <c r="E22" s="25" t="s">
        <v>1246</v>
      </c>
      <c r="F22" s="25" t="s">
        <v>1214</v>
      </c>
      <c r="G22" s="59" t="s">
        <v>1247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200.64</v>
      </c>
      <c r="AD22" s="60">
        <v>235.49</v>
      </c>
      <c r="AE22" s="60">
        <v>197.29</v>
      </c>
      <c r="AF22" s="60">
        <v>0</v>
      </c>
      <c r="AG22" s="60">
        <v>0</v>
      </c>
      <c r="AH22" s="60">
        <v>0</v>
      </c>
      <c r="AI22" s="60">
        <v>200.64</v>
      </c>
      <c r="AJ22" s="60">
        <v>235.49</v>
      </c>
      <c r="AK22" s="60">
        <v>197.29</v>
      </c>
      <c r="AL22" s="60">
        <v>0</v>
      </c>
      <c r="AM22" s="60">
        <v>0</v>
      </c>
      <c r="AN22" s="60">
        <v>0</v>
      </c>
      <c r="AO22" s="60">
        <v>200.64</v>
      </c>
      <c r="AP22" s="60">
        <v>235.49</v>
      </c>
      <c r="AQ22" s="60">
        <v>197.29</v>
      </c>
      <c r="AR22" s="61">
        <v>235.49</v>
      </c>
    </row>
    <row r="23" spans="1:44" x14ac:dyDescent="0.35">
      <c r="A23" s="49" t="str">
        <f t="shared" si="1"/>
        <v>20</v>
      </c>
      <c r="B23" s="27">
        <v>76414</v>
      </c>
      <c r="C23" s="25" t="str">
        <f>TEXT(2030237,"0000000")</f>
        <v>2030237</v>
      </c>
      <c r="D23" s="26" t="s">
        <v>1245</v>
      </c>
      <c r="E23" s="25" t="s">
        <v>1243</v>
      </c>
      <c r="F23" s="25" t="s">
        <v>1214</v>
      </c>
      <c r="G23" s="59" t="s">
        <v>1244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87.56</v>
      </c>
      <c r="AD23" s="60">
        <v>90.76</v>
      </c>
      <c r="AE23" s="60">
        <v>78.84</v>
      </c>
      <c r="AF23" s="60">
        <v>0</v>
      </c>
      <c r="AG23" s="60">
        <v>0</v>
      </c>
      <c r="AH23" s="60">
        <v>0</v>
      </c>
      <c r="AI23" s="60">
        <v>87.56</v>
      </c>
      <c r="AJ23" s="60">
        <v>90.76</v>
      </c>
      <c r="AK23" s="60">
        <v>78.84</v>
      </c>
      <c r="AL23" s="60">
        <v>0</v>
      </c>
      <c r="AM23" s="60">
        <v>0</v>
      </c>
      <c r="AN23" s="60">
        <v>0</v>
      </c>
      <c r="AO23" s="60">
        <v>87.56</v>
      </c>
      <c r="AP23" s="60">
        <v>90.76</v>
      </c>
      <c r="AQ23" s="60">
        <v>78.84</v>
      </c>
      <c r="AR23" s="61">
        <v>90.76</v>
      </c>
    </row>
    <row r="24" spans="1:44" x14ac:dyDescent="0.35">
      <c r="A24" s="49" t="str">
        <f t="shared" si="1"/>
        <v>20</v>
      </c>
      <c r="B24" s="27">
        <v>65243</v>
      </c>
      <c r="C24" s="25" t="str">
        <f>TEXT(134510,"0000000")</f>
        <v>0134510</v>
      </c>
      <c r="D24" s="27">
        <v>1780</v>
      </c>
      <c r="E24" s="25" t="s">
        <v>1233</v>
      </c>
      <c r="F24" s="25" t="s">
        <v>1214</v>
      </c>
      <c r="G24" s="59" t="s">
        <v>1234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74.28</v>
      </c>
      <c r="AD24" s="60">
        <v>0</v>
      </c>
      <c r="AE24" s="60">
        <v>0</v>
      </c>
      <c r="AF24" s="60">
        <v>0</v>
      </c>
      <c r="AG24" s="60">
        <v>0</v>
      </c>
      <c r="AH24" s="60">
        <v>0</v>
      </c>
      <c r="AI24" s="60">
        <v>74.28</v>
      </c>
      <c r="AJ24" s="60">
        <v>0</v>
      </c>
      <c r="AK24" s="60">
        <v>0</v>
      </c>
      <c r="AL24" s="60">
        <v>0</v>
      </c>
      <c r="AM24" s="60">
        <v>73.430000000000007</v>
      </c>
      <c r="AN24" s="60">
        <v>75.86</v>
      </c>
      <c r="AO24" s="60">
        <v>74.28</v>
      </c>
      <c r="AP24" s="60">
        <v>73.430000000000007</v>
      </c>
      <c r="AQ24" s="60">
        <v>75.86</v>
      </c>
      <c r="AR24" s="61">
        <v>75.86</v>
      </c>
    </row>
    <row r="25" spans="1:44" x14ac:dyDescent="0.35">
      <c r="A25" s="49" t="str">
        <f t="shared" ref="A25:A38" si="2">TEXT(16,"00")</f>
        <v>16</v>
      </c>
      <c r="B25" s="27">
        <v>10165</v>
      </c>
      <c r="C25" s="25" t="str">
        <f t="shared" ref="C25:C56" si="3">TEXT(,"0000000")</f>
        <v>0000000</v>
      </c>
      <c r="D25" s="26" t="s">
        <v>3663</v>
      </c>
      <c r="E25" s="25" t="s">
        <v>753</v>
      </c>
      <c r="F25" s="25" t="s">
        <v>754</v>
      </c>
      <c r="G25" s="59" t="s">
        <v>754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35.19</v>
      </c>
      <c r="U25" s="60">
        <v>27.99</v>
      </c>
      <c r="V25" s="60">
        <v>51.32</v>
      </c>
      <c r="W25" s="60">
        <v>270.35000000000002</v>
      </c>
      <c r="X25" s="60">
        <v>228.93</v>
      </c>
      <c r="Y25" s="60">
        <v>276.24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  <c r="AG25" s="60">
        <v>0</v>
      </c>
      <c r="AH25" s="60">
        <v>0</v>
      </c>
      <c r="AI25" s="60">
        <v>305.54000000000002</v>
      </c>
      <c r="AJ25" s="60">
        <v>256.92</v>
      </c>
      <c r="AK25" s="60">
        <v>327.56</v>
      </c>
      <c r="AL25" s="60">
        <v>0</v>
      </c>
      <c r="AM25" s="60">
        <v>0</v>
      </c>
      <c r="AN25" s="60">
        <v>0</v>
      </c>
      <c r="AO25" s="60">
        <v>305.54000000000002</v>
      </c>
      <c r="AP25" s="60">
        <v>256.92</v>
      </c>
      <c r="AQ25" s="60">
        <v>327.56</v>
      </c>
      <c r="AR25" s="61">
        <v>327.56</v>
      </c>
    </row>
    <row r="26" spans="1:44" x14ac:dyDescent="0.35">
      <c r="A26" s="49" t="str">
        <f t="shared" si="2"/>
        <v>16</v>
      </c>
      <c r="B26" s="27">
        <v>63875</v>
      </c>
      <c r="C26" s="25" t="str">
        <f t="shared" si="3"/>
        <v>0000000</v>
      </c>
      <c r="D26" s="26" t="s">
        <v>3663</v>
      </c>
      <c r="E26" s="25" t="s">
        <v>755</v>
      </c>
      <c r="F26" s="25" t="s">
        <v>754</v>
      </c>
      <c r="G26" s="59" t="s">
        <v>756</v>
      </c>
      <c r="H26" s="60">
        <v>911.91</v>
      </c>
      <c r="I26" s="60">
        <v>887.56</v>
      </c>
      <c r="J26" s="60">
        <v>897.29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144.1</v>
      </c>
      <c r="AD26" s="60">
        <v>145.69999999999999</v>
      </c>
      <c r="AE26" s="60">
        <v>169.36</v>
      </c>
      <c r="AF26" s="60">
        <v>0</v>
      </c>
      <c r="AG26" s="60">
        <v>0</v>
      </c>
      <c r="AH26" s="60">
        <v>0</v>
      </c>
      <c r="AI26" s="60">
        <v>1056.01</v>
      </c>
      <c r="AJ26" s="60">
        <v>1033.26</v>
      </c>
      <c r="AK26" s="60">
        <v>1066.6500000000001</v>
      </c>
      <c r="AL26" s="60">
        <v>0</v>
      </c>
      <c r="AM26" s="60">
        <v>0</v>
      </c>
      <c r="AN26" s="60">
        <v>0</v>
      </c>
      <c r="AO26" s="60">
        <v>1056.01</v>
      </c>
      <c r="AP26" s="60">
        <v>1033.26</v>
      </c>
      <c r="AQ26" s="60">
        <v>1066.6500000000001</v>
      </c>
      <c r="AR26" s="61">
        <v>1066.6500000000001</v>
      </c>
    </row>
    <row r="27" spans="1:44" x14ac:dyDescent="0.35">
      <c r="A27" s="49" t="str">
        <f t="shared" si="2"/>
        <v>16</v>
      </c>
      <c r="B27" s="27">
        <v>63883</v>
      </c>
      <c r="C27" s="25" t="str">
        <f t="shared" si="3"/>
        <v>0000000</v>
      </c>
      <c r="D27" s="26" t="s">
        <v>3663</v>
      </c>
      <c r="E27" s="25" t="s">
        <v>760</v>
      </c>
      <c r="F27" s="25" t="s">
        <v>754</v>
      </c>
      <c r="G27" s="59" t="s">
        <v>761</v>
      </c>
      <c r="H27" s="60">
        <v>1589.24</v>
      </c>
      <c r="I27" s="60">
        <v>1598.65</v>
      </c>
      <c r="J27" s="60">
        <v>1810.41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  <c r="AG27" s="60">
        <v>0</v>
      </c>
      <c r="AH27" s="60">
        <v>0</v>
      </c>
      <c r="AI27" s="60">
        <v>1589.24</v>
      </c>
      <c r="AJ27" s="60">
        <v>1598.65</v>
      </c>
      <c r="AK27" s="60">
        <v>1810.41</v>
      </c>
      <c r="AL27" s="60">
        <v>0</v>
      </c>
      <c r="AM27" s="60">
        <v>0</v>
      </c>
      <c r="AN27" s="60">
        <v>0</v>
      </c>
      <c r="AO27" s="60">
        <v>1589.24</v>
      </c>
      <c r="AP27" s="60">
        <v>1598.65</v>
      </c>
      <c r="AQ27" s="60">
        <v>1810.41</v>
      </c>
      <c r="AR27" s="61">
        <v>1810.41</v>
      </c>
    </row>
    <row r="28" spans="1:44" x14ac:dyDescent="0.35">
      <c r="A28" s="49" t="str">
        <f t="shared" si="2"/>
        <v>16</v>
      </c>
      <c r="B28" s="27">
        <v>63917</v>
      </c>
      <c r="C28" s="25" t="str">
        <f t="shared" si="3"/>
        <v>0000000</v>
      </c>
      <c r="D28" s="26" t="s">
        <v>3663</v>
      </c>
      <c r="E28" s="25" t="s">
        <v>764</v>
      </c>
      <c r="F28" s="25" t="s">
        <v>754</v>
      </c>
      <c r="G28" s="59" t="s">
        <v>765</v>
      </c>
      <c r="H28" s="60">
        <v>5162.55</v>
      </c>
      <c r="I28" s="60">
        <v>4972.71</v>
      </c>
      <c r="J28" s="60">
        <v>5741.81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5162.55</v>
      </c>
      <c r="AJ28" s="60">
        <v>4972.71</v>
      </c>
      <c r="AK28" s="60">
        <v>5741.81</v>
      </c>
      <c r="AL28" s="60">
        <v>0</v>
      </c>
      <c r="AM28" s="60">
        <v>0</v>
      </c>
      <c r="AN28" s="60">
        <v>0</v>
      </c>
      <c r="AO28" s="60">
        <v>5162.55</v>
      </c>
      <c r="AP28" s="60">
        <v>4972.71</v>
      </c>
      <c r="AQ28" s="60">
        <v>5741.81</v>
      </c>
      <c r="AR28" s="61">
        <v>5741.81</v>
      </c>
    </row>
    <row r="29" spans="1:44" x14ac:dyDescent="0.35">
      <c r="A29" s="49" t="str">
        <f t="shared" si="2"/>
        <v>16</v>
      </c>
      <c r="B29" s="27">
        <v>63958</v>
      </c>
      <c r="C29" s="25" t="str">
        <f t="shared" si="3"/>
        <v>0000000</v>
      </c>
      <c r="D29" s="26" t="s">
        <v>3663</v>
      </c>
      <c r="E29" s="25" t="s">
        <v>772</v>
      </c>
      <c r="F29" s="25" t="s">
        <v>754</v>
      </c>
      <c r="G29" s="59" t="s">
        <v>773</v>
      </c>
      <c r="H29" s="60">
        <v>352.75</v>
      </c>
      <c r="I29" s="60">
        <v>324.98</v>
      </c>
      <c r="J29" s="60">
        <v>368.98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56.1</v>
      </c>
      <c r="AD29" s="60">
        <v>52.48</v>
      </c>
      <c r="AE29" s="60">
        <v>22.95</v>
      </c>
      <c r="AF29" s="60">
        <v>0</v>
      </c>
      <c r="AG29" s="60">
        <v>0</v>
      </c>
      <c r="AH29" s="60">
        <v>0</v>
      </c>
      <c r="AI29" s="60">
        <v>408.85</v>
      </c>
      <c r="AJ29" s="60">
        <v>377.46</v>
      </c>
      <c r="AK29" s="60">
        <v>391.93</v>
      </c>
      <c r="AL29" s="60">
        <v>0</v>
      </c>
      <c r="AM29" s="60">
        <v>0</v>
      </c>
      <c r="AN29" s="60">
        <v>0</v>
      </c>
      <c r="AO29" s="60">
        <v>408.85</v>
      </c>
      <c r="AP29" s="60">
        <v>377.46</v>
      </c>
      <c r="AQ29" s="60">
        <v>391.93</v>
      </c>
      <c r="AR29" s="61">
        <v>408.85</v>
      </c>
    </row>
    <row r="30" spans="1:44" x14ac:dyDescent="0.35">
      <c r="A30" s="49" t="str">
        <f t="shared" si="2"/>
        <v>16</v>
      </c>
      <c r="B30" s="27">
        <v>63974</v>
      </c>
      <c r="C30" s="25" t="str">
        <f t="shared" si="3"/>
        <v>0000000</v>
      </c>
      <c r="D30" s="26" t="s">
        <v>3663</v>
      </c>
      <c r="E30" s="25" t="s">
        <v>778</v>
      </c>
      <c r="F30" s="25" t="s">
        <v>754</v>
      </c>
      <c r="G30" s="59" t="s">
        <v>779</v>
      </c>
      <c r="H30" s="60">
        <v>2898.05</v>
      </c>
      <c r="I30" s="60">
        <v>2840.09</v>
      </c>
      <c r="J30" s="60">
        <v>3079.52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128.07</v>
      </c>
      <c r="AD30" s="60">
        <v>126.86</v>
      </c>
      <c r="AE30" s="60">
        <v>146.21</v>
      </c>
      <c r="AF30" s="60">
        <v>0</v>
      </c>
      <c r="AG30" s="60">
        <v>0</v>
      </c>
      <c r="AH30" s="60">
        <v>0</v>
      </c>
      <c r="AI30" s="60">
        <v>3026.12</v>
      </c>
      <c r="AJ30" s="60">
        <v>2966.95</v>
      </c>
      <c r="AK30" s="60">
        <v>3225.73</v>
      </c>
      <c r="AL30" s="60">
        <v>0</v>
      </c>
      <c r="AM30" s="60">
        <v>0</v>
      </c>
      <c r="AN30" s="60">
        <v>0</v>
      </c>
      <c r="AO30" s="60">
        <v>3026.12</v>
      </c>
      <c r="AP30" s="60">
        <v>2966.95</v>
      </c>
      <c r="AQ30" s="60">
        <v>3225.73</v>
      </c>
      <c r="AR30" s="61">
        <v>3225.73</v>
      </c>
    </row>
    <row r="31" spans="1:44" x14ac:dyDescent="0.35">
      <c r="A31" s="49" t="str">
        <f t="shared" si="2"/>
        <v>16</v>
      </c>
      <c r="B31" s="27">
        <v>63925</v>
      </c>
      <c r="C31" s="25" t="str">
        <f t="shared" si="3"/>
        <v>0000000</v>
      </c>
      <c r="D31" s="26" t="s">
        <v>3663</v>
      </c>
      <c r="E31" s="25" t="s">
        <v>766</v>
      </c>
      <c r="F31" s="25" t="s">
        <v>754</v>
      </c>
      <c r="G31" s="59" t="s">
        <v>767</v>
      </c>
      <c r="H31" s="60">
        <v>3775.26</v>
      </c>
      <c r="I31" s="60">
        <v>3592.09</v>
      </c>
      <c r="J31" s="60">
        <v>3771.67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136.09</v>
      </c>
      <c r="AD31" s="60">
        <v>115.51</v>
      </c>
      <c r="AE31" s="60">
        <v>21.39</v>
      </c>
      <c r="AF31" s="60">
        <v>0</v>
      </c>
      <c r="AG31" s="60">
        <v>0</v>
      </c>
      <c r="AH31" s="60">
        <v>0</v>
      </c>
      <c r="AI31" s="60">
        <v>3911.35</v>
      </c>
      <c r="AJ31" s="60">
        <v>3707.6</v>
      </c>
      <c r="AK31" s="60">
        <v>3793.06</v>
      </c>
      <c r="AL31" s="60">
        <v>0</v>
      </c>
      <c r="AM31" s="60">
        <v>0</v>
      </c>
      <c r="AN31" s="60">
        <v>0</v>
      </c>
      <c r="AO31" s="60">
        <v>3911.35</v>
      </c>
      <c r="AP31" s="60">
        <v>3707.6</v>
      </c>
      <c r="AQ31" s="60">
        <v>3793.06</v>
      </c>
      <c r="AR31" s="61">
        <v>3911.35</v>
      </c>
    </row>
    <row r="32" spans="1:44" x14ac:dyDescent="0.35">
      <c r="A32" s="49" t="str">
        <f t="shared" si="2"/>
        <v>16</v>
      </c>
      <c r="B32" s="27">
        <v>63982</v>
      </c>
      <c r="C32" s="25" t="str">
        <f t="shared" si="3"/>
        <v>0000000</v>
      </c>
      <c r="D32" s="26" t="s">
        <v>3663</v>
      </c>
      <c r="E32" s="25" t="s">
        <v>780</v>
      </c>
      <c r="F32" s="25" t="s">
        <v>754</v>
      </c>
      <c r="G32" s="59" t="s">
        <v>781</v>
      </c>
      <c r="H32" s="60">
        <v>1818.03</v>
      </c>
      <c r="I32" s="60">
        <v>1750.7</v>
      </c>
      <c r="J32" s="60">
        <v>1882.51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367.83</v>
      </c>
      <c r="AD32" s="60">
        <v>346.02</v>
      </c>
      <c r="AE32" s="60">
        <v>273.82</v>
      </c>
      <c r="AF32" s="60">
        <v>0</v>
      </c>
      <c r="AG32" s="60">
        <v>0</v>
      </c>
      <c r="AH32" s="60">
        <v>0</v>
      </c>
      <c r="AI32" s="60">
        <v>2185.86</v>
      </c>
      <c r="AJ32" s="60">
        <v>2096.7199999999998</v>
      </c>
      <c r="AK32" s="60">
        <v>2156.33</v>
      </c>
      <c r="AL32" s="60">
        <v>0</v>
      </c>
      <c r="AM32" s="60">
        <v>0</v>
      </c>
      <c r="AN32" s="60">
        <v>0</v>
      </c>
      <c r="AO32" s="60">
        <v>2185.86</v>
      </c>
      <c r="AP32" s="60">
        <v>2096.7199999999998</v>
      </c>
      <c r="AQ32" s="60">
        <v>2156.33</v>
      </c>
      <c r="AR32" s="61">
        <v>2185.86</v>
      </c>
    </row>
    <row r="33" spans="1:44" x14ac:dyDescent="0.35">
      <c r="A33" s="49" t="str">
        <f t="shared" si="2"/>
        <v>16</v>
      </c>
      <c r="B33" s="27">
        <v>63891</v>
      </c>
      <c r="C33" s="25" t="str">
        <f t="shared" si="3"/>
        <v>0000000</v>
      </c>
      <c r="D33" s="26" t="s">
        <v>3663</v>
      </c>
      <c r="E33" s="25" t="s">
        <v>762</v>
      </c>
      <c r="F33" s="25" t="s">
        <v>754</v>
      </c>
      <c r="G33" s="59" t="s">
        <v>763</v>
      </c>
      <c r="H33" s="60">
        <v>2992.32</v>
      </c>
      <c r="I33" s="60">
        <v>2798.89</v>
      </c>
      <c r="J33" s="60">
        <v>3111.81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  <c r="AG33" s="60">
        <v>0</v>
      </c>
      <c r="AH33" s="60">
        <v>0</v>
      </c>
      <c r="AI33" s="60">
        <v>2992.32</v>
      </c>
      <c r="AJ33" s="60">
        <v>2798.89</v>
      </c>
      <c r="AK33" s="60">
        <v>3111.81</v>
      </c>
      <c r="AL33" s="60">
        <v>0</v>
      </c>
      <c r="AM33" s="60">
        <v>0</v>
      </c>
      <c r="AN33" s="60">
        <v>0</v>
      </c>
      <c r="AO33" s="60">
        <v>2992.32</v>
      </c>
      <c r="AP33" s="60">
        <v>2798.89</v>
      </c>
      <c r="AQ33" s="60">
        <v>3111.81</v>
      </c>
      <c r="AR33" s="61">
        <v>3111.81</v>
      </c>
    </row>
    <row r="34" spans="1:44" x14ac:dyDescent="0.35">
      <c r="A34" s="49" t="str">
        <f t="shared" si="2"/>
        <v>16</v>
      </c>
      <c r="B34" s="27">
        <v>73932</v>
      </c>
      <c r="C34" s="25" t="str">
        <f t="shared" si="3"/>
        <v>0000000</v>
      </c>
      <c r="D34" s="26" t="s">
        <v>3663</v>
      </c>
      <c r="E34" s="25" t="s">
        <v>783</v>
      </c>
      <c r="F34" s="25" t="s">
        <v>754</v>
      </c>
      <c r="G34" s="59" t="s">
        <v>784</v>
      </c>
      <c r="H34" s="60">
        <v>2487.36</v>
      </c>
      <c r="I34" s="60">
        <v>2385.11</v>
      </c>
      <c r="J34" s="60">
        <v>2599.88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  <c r="AG34" s="60">
        <v>0</v>
      </c>
      <c r="AH34" s="60">
        <v>0</v>
      </c>
      <c r="AI34" s="60">
        <v>2487.36</v>
      </c>
      <c r="AJ34" s="60">
        <v>2385.11</v>
      </c>
      <c r="AK34" s="60">
        <v>2599.88</v>
      </c>
      <c r="AL34" s="60">
        <v>0</v>
      </c>
      <c r="AM34" s="60">
        <v>0</v>
      </c>
      <c r="AN34" s="60">
        <v>0</v>
      </c>
      <c r="AO34" s="60">
        <v>2487.36</v>
      </c>
      <c r="AP34" s="60">
        <v>2385.11</v>
      </c>
      <c r="AQ34" s="60">
        <v>2599.88</v>
      </c>
      <c r="AR34" s="61">
        <v>2599.88</v>
      </c>
    </row>
    <row r="35" spans="1:44" x14ac:dyDescent="0.35">
      <c r="A35" s="49" t="str">
        <f t="shared" si="2"/>
        <v>16</v>
      </c>
      <c r="B35" s="27">
        <v>63941</v>
      </c>
      <c r="C35" s="25" t="str">
        <f t="shared" si="3"/>
        <v>0000000</v>
      </c>
      <c r="D35" s="26" t="s">
        <v>3663</v>
      </c>
      <c r="E35" s="25" t="s">
        <v>770</v>
      </c>
      <c r="F35" s="25" t="s">
        <v>754</v>
      </c>
      <c r="G35" s="59" t="s">
        <v>771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782.52</v>
      </c>
      <c r="AD35" s="60">
        <v>769.68</v>
      </c>
      <c r="AE35" s="60">
        <v>815.97</v>
      </c>
      <c r="AF35" s="60">
        <v>0</v>
      </c>
      <c r="AG35" s="60">
        <v>0</v>
      </c>
      <c r="AH35" s="60">
        <v>0</v>
      </c>
      <c r="AI35" s="60">
        <v>782.52</v>
      </c>
      <c r="AJ35" s="60">
        <v>769.68</v>
      </c>
      <c r="AK35" s="60">
        <v>815.97</v>
      </c>
      <c r="AL35" s="60">
        <v>0</v>
      </c>
      <c r="AM35" s="60">
        <v>0</v>
      </c>
      <c r="AN35" s="60">
        <v>0</v>
      </c>
      <c r="AO35" s="60">
        <v>782.52</v>
      </c>
      <c r="AP35" s="60">
        <v>769.68</v>
      </c>
      <c r="AQ35" s="60">
        <v>815.97</v>
      </c>
      <c r="AR35" s="61">
        <v>815.97</v>
      </c>
    </row>
    <row r="36" spans="1:44" x14ac:dyDescent="0.35">
      <c r="A36" s="49" t="str">
        <f t="shared" si="2"/>
        <v>16</v>
      </c>
      <c r="B36" s="27">
        <v>63966</v>
      </c>
      <c r="C36" s="25" t="str">
        <f t="shared" si="3"/>
        <v>0000000</v>
      </c>
      <c r="D36" s="26" t="s">
        <v>3663</v>
      </c>
      <c r="E36" s="25" t="s">
        <v>776</v>
      </c>
      <c r="F36" s="25" t="s">
        <v>754</v>
      </c>
      <c r="G36" s="59" t="s">
        <v>777</v>
      </c>
      <c r="H36" s="60">
        <v>219.59</v>
      </c>
      <c r="I36" s="60">
        <v>215.22</v>
      </c>
      <c r="J36" s="60">
        <v>304.61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219.59</v>
      </c>
      <c r="AJ36" s="60">
        <v>215.22</v>
      </c>
      <c r="AK36" s="60">
        <v>304.61</v>
      </c>
      <c r="AL36" s="60">
        <v>0</v>
      </c>
      <c r="AM36" s="60">
        <v>0</v>
      </c>
      <c r="AN36" s="60">
        <v>0</v>
      </c>
      <c r="AO36" s="60">
        <v>219.59</v>
      </c>
      <c r="AP36" s="60">
        <v>215.22</v>
      </c>
      <c r="AQ36" s="60">
        <v>304.61</v>
      </c>
      <c r="AR36" s="61">
        <v>304.61</v>
      </c>
    </row>
    <row r="37" spans="1:44" x14ac:dyDescent="0.35">
      <c r="A37" s="49" t="str">
        <f t="shared" si="2"/>
        <v>16</v>
      </c>
      <c r="B37" s="27">
        <v>63990</v>
      </c>
      <c r="C37" s="25" t="str">
        <f t="shared" si="3"/>
        <v>0000000</v>
      </c>
      <c r="D37" s="26" t="s">
        <v>3663</v>
      </c>
      <c r="E37" s="25" t="s">
        <v>782</v>
      </c>
      <c r="F37" s="25" t="s">
        <v>754</v>
      </c>
      <c r="G37" s="59" t="s">
        <v>229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1489.3</v>
      </c>
      <c r="AD37" s="60">
        <v>1402.04</v>
      </c>
      <c r="AE37" s="60">
        <v>1527.44</v>
      </c>
      <c r="AF37" s="60">
        <v>0</v>
      </c>
      <c r="AG37" s="60">
        <v>0</v>
      </c>
      <c r="AH37" s="60">
        <v>0</v>
      </c>
      <c r="AI37" s="60">
        <v>1489.3</v>
      </c>
      <c r="AJ37" s="60">
        <v>1402.04</v>
      </c>
      <c r="AK37" s="60">
        <v>1527.44</v>
      </c>
      <c r="AL37" s="60">
        <v>0</v>
      </c>
      <c r="AM37" s="60">
        <v>0</v>
      </c>
      <c r="AN37" s="60">
        <v>0</v>
      </c>
      <c r="AO37" s="60">
        <v>1489.3</v>
      </c>
      <c r="AP37" s="60">
        <v>1402.04</v>
      </c>
      <c r="AQ37" s="60">
        <v>1527.44</v>
      </c>
      <c r="AR37" s="61">
        <v>1527.44</v>
      </c>
    </row>
    <row r="38" spans="1:44" x14ac:dyDescent="0.35">
      <c r="A38" s="49" t="str">
        <f t="shared" si="2"/>
        <v>16</v>
      </c>
      <c r="B38" s="27">
        <v>63933</v>
      </c>
      <c r="C38" s="25" t="str">
        <f t="shared" si="3"/>
        <v>0000000</v>
      </c>
      <c r="D38" s="26" t="s">
        <v>3663</v>
      </c>
      <c r="E38" s="25" t="s">
        <v>768</v>
      </c>
      <c r="F38" s="25" t="s">
        <v>754</v>
      </c>
      <c r="G38" s="59" t="s">
        <v>769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371.94</v>
      </c>
      <c r="AD38" s="60">
        <v>380.36</v>
      </c>
      <c r="AE38" s="60">
        <v>386.86</v>
      </c>
      <c r="AF38" s="60">
        <v>0</v>
      </c>
      <c r="AG38" s="60">
        <v>0</v>
      </c>
      <c r="AH38" s="60">
        <v>0</v>
      </c>
      <c r="AI38" s="60">
        <v>371.94</v>
      </c>
      <c r="AJ38" s="60">
        <v>380.36</v>
      </c>
      <c r="AK38" s="60">
        <v>386.86</v>
      </c>
      <c r="AL38" s="60">
        <v>0</v>
      </c>
      <c r="AM38" s="60">
        <v>0</v>
      </c>
      <c r="AN38" s="60">
        <v>0</v>
      </c>
      <c r="AO38" s="60">
        <v>371.94</v>
      </c>
      <c r="AP38" s="60">
        <v>380.36</v>
      </c>
      <c r="AQ38" s="60">
        <v>386.86</v>
      </c>
      <c r="AR38" s="61">
        <v>386.86</v>
      </c>
    </row>
    <row r="39" spans="1:44" x14ac:dyDescent="0.35">
      <c r="A39" s="49" t="str">
        <f>TEXT(6,"00")</f>
        <v>06</v>
      </c>
      <c r="B39" s="27">
        <v>10066</v>
      </c>
      <c r="C39" s="25" t="str">
        <f t="shared" si="3"/>
        <v>0000000</v>
      </c>
      <c r="D39" s="26" t="s">
        <v>3663</v>
      </c>
      <c r="E39" s="25" t="s">
        <v>245</v>
      </c>
      <c r="F39" s="25" t="s">
        <v>246</v>
      </c>
      <c r="G39" s="59" t="s">
        <v>246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16.28</v>
      </c>
      <c r="U39" s="60">
        <v>9.59</v>
      </c>
      <c r="V39" s="60">
        <v>10.67</v>
      </c>
      <c r="W39" s="60">
        <v>22.53</v>
      </c>
      <c r="X39" s="60">
        <v>17.3</v>
      </c>
      <c r="Y39" s="60">
        <v>16.239999999999998</v>
      </c>
      <c r="Z39" s="60">
        <v>0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  <c r="AG39" s="60">
        <v>0</v>
      </c>
      <c r="AH39" s="60">
        <v>0</v>
      </c>
      <c r="AI39" s="60">
        <v>38.81</v>
      </c>
      <c r="AJ39" s="60">
        <v>26.89</v>
      </c>
      <c r="AK39" s="60">
        <v>26.91</v>
      </c>
      <c r="AL39" s="60">
        <v>0</v>
      </c>
      <c r="AM39" s="60">
        <v>0</v>
      </c>
      <c r="AN39" s="60">
        <v>0</v>
      </c>
      <c r="AO39" s="60">
        <v>38.81</v>
      </c>
      <c r="AP39" s="60">
        <v>26.89</v>
      </c>
      <c r="AQ39" s="60">
        <v>26.91</v>
      </c>
      <c r="AR39" s="61">
        <v>38.81</v>
      </c>
    </row>
    <row r="40" spans="1:44" x14ac:dyDescent="0.35">
      <c r="A40" s="49" t="str">
        <f>TEXT(6,"00")</f>
        <v>06</v>
      </c>
      <c r="B40" s="27">
        <v>61598</v>
      </c>
      <c r="C40" s="25" t="str">
        <f t="shared" si="3"/>
        <v>0000000</v>
      </c>
      <c r="D40" s="26" t="s">
        <v>3663</v>
      </c>
      <c r="E40" s="25" t="s">
        <v>247</v>
      </c>
      <c r="F40" s="25" t="s">
        <v>246</v>
      </c>
      <c r="G40" s="59" t="s">
        <v>248</v>
      </c>
      <c r="H40" s="60">
        <v>1407.75</v>
      </c>
      <c r="I40" s="60">
        <v>1405.58</v>
      </c>
      <c r="J40" s="60">
        <v>1464.71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0</v>
      </c>
      <c r="AI40" s="60">
        <v>1407.75</v>
      </c>
      <c r="AJ40" s="60">
        <v>1405.58</v>
      </c>
      <c r="AK40" s="60">
        <v>1464.71</v>
      </c>
      <c r="AL40" s="60">
        <v>0</v>
      </c>
      <c r="AM40" s="60">
        <v>0</v>
      </c>
      <c r="AN40" s="60">
        <v>0</v>
      </c>
      <c r="AO40" s="60">
        <v>1407.75</v>
      </c>
      <c r="AP40" s="60">
        <v>1405.58</v>
      </c>
      <c r="AQ40" s="60">
        <v>1464.71</v>
      </c>
      <c r="AR40" s="61">
        <v>1464.71</v>
      </c>
    </row>
    <row r="41" spans="1:44" x14ac:dyDescent="0.35">
      <c r="A41" s="49" t="str">
        <f>TEXT(6,"00")</f>
        <v>06</v>
      </c>
      <c r="B41" s="27">
        <v>61606</v>
      </c>
      <c r="C41" s="25" t="str">
        <f t="shared" si="3"/>
        <v>0000000</v>
      </c>
      <c r="D41" s="26" t="s">
        <v>3663</v>
      </c>
      <c r="E41" s="25" t="s">
        <v>249</v>
      </c>
      <c r="F41" s="25" t="s">
        <v>246</v>
      </c>
      <c r="G41" s="59" t="s">
        <v>250</v>
      </c>
      <c r="H41" s="60">
        <v>320.02</v>
      </c>
      <c r="I41" s="60">
        <v>325.5</v>
      </c>
      <c r="J41" s="60">
        <v>328.4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  <c r="AG41" s="60">
        <v>0</v>
      </c>
      <c r="AH41" s="60">
        <v>0</v>
      </c>
      <c r="AI41" s="60">
        <v>320.02</v>
      </c>
      <c r="AJ41" s="60">
        <v>325.5</v>
      </c>
      <c r="AK41" s="60">
        <v>328.4</v>
      </c>
      <c r="AL41" s="60">
        <v>0</v>
      </c>
      <c r="AM41" s="60">
        <v>0</v>
      </c>
      <c r="AN41" s="60">
        <v>0</v>
      </c>
      <c r="AO41" s="60">
        <v>320.02</v>
      </c>
      <c r="AP41" s="60">
        <v>325.5</v>
      </c>
      <c r="AQ41" s="60">
        <v>328.4</v>
      </c>
      <c r="AR41" s="61">
        <v>328.4</v>
      </c>
    </row>
    <row r="42" spans="1:44" x14ac:dyDescent="0.35">
      <c r="A42" s="49" t="str">
        <f>TEXT(6,"00")</f>
        <v>06</v>
      </c>
      <c r="B42" s="27">
        <v>61614</v>
      </c>
      <c r="C42" s="25" t="str">
        <f t="shared" si="3"/>
        <v>0000000</v>
      </c>
      <c r="D42" s="26" t="s">
        <v>3663</v>
      </c>
      <c r="E42" s="25" t="s">
        <v>251</v>
      </c>
      <c r="F42" s="25" t="s">
        <v>246</v>
      </c>
      <c r="G42" s="59" t="s">
        <v>252</v>
      </c>
      <c r="H42" s="60">
        <v>1389.25</v>
      </c>
      <c r="I42" s="60">
        <v>1364.23</v>
      </c>
      <c r="J42" s="60">
        <v>1400.48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0">
        <v>0</v>
      </c>
      <c r="AF42" s="60">
        <v>0</v>
      </c>
      <c r="AG42" s="60">
        <v>0</v>
      </c>
      <c r="AH42" s="60">
        <v>0</v>
      </c>
      <c r="AI42" s="60">
        <v>1389.25</v>
      </c>
      <c r="AJ42" s="60">
        <v>1364.23</v>
      </c>
      <c r="AK42" s="60">
        <v>1400.48</v>
      </c>
      <c r="AL42" s="60">
        <v>0</v>
      </c>
      <c r="AM42" s="60">
        <v>0</v>
      </c>
      <c r="AN42" s="60">
        <v>0</v>
      </c>
      <c r="AO42" s="60">
        <v>1389.25</v>
      </c>
      <c r="AP42" s="60">
        <v>1364.23</v>
      </c>
      <c r="AQ42" s="60">
        <v>1400.48</v>
      </c>
      <c r="AR42" s="61">
        <v>1400.48</v>
      </c>
    </row>
    <row r="43" spans="1:44" x14ac:dyDescent="0.35">
      <c r="A43" s="49" t="str">
        <f>TEXT(6,"00")</f>
        <v>06</v>
      </c>
      <c r="B43" s="27">
        <v>61622</v>
      </c>
      <c r="C43" s="25" t="str">
        <f t="shared" si="3"/>
        <v>0000000</v>
      </c>
      <c r="D43" s="26" t="s">
        <v>3663</v>
      </c>
      <c r="E43" s="25" t="s">
        <v>253</v>
      </c>
      <c r="F43" s="25" t="s">
        <v>246</v>
      </c>
      <c r="G43" s="59" t="s">
        <v>254</v>
      </c>
      <c r="H43" s="60">
        <v>1197.74</v>
      </c>
      <c r="I43" s="60">
        <v>1182.51</v>
      </c>
      <c r="J43" s="60">
        <v>1258.6500000000001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  <c r="AG43" s="60">
        <v>0</v>
      </c>
      <c r="AH43" s="60">
        <v>0</v>
      </c>
      <c r="AI43" s="60">
        <v>1197.74</v>
      </c>
      <c r="AJ43" s="60">
        <v>1182.51</v>
      </c>
      <c r="AK43" s="60">
        <v>1258.6500000000001</v>
      </c>
      <c r="AL43" s="60">
        <v>0</v>
      </c>
      <c r="AM43" s="60">
        <v>0</v>
      </c>
      <c r="AN43" s="60">
        <v>0</v>
      </c>
      <c r="AO43" s="60">
        <v>1197.74</v>
      </c>
      <c r="AP43" s="60">
        <v>1182.51</v>
      </c>
      <c r="AQ43" s="60">
        <v>1258.6500000000001</v>
      </c>
      <c r="AR43" s="61">
        <v>1258.6500000000001</v>
      </c>
    </row>
    <row r="44" spans="1:44" x14ac:dyDescent="0.35">
      <c r="A44" s="49" t="str">
        <f t="shared" ref="A44:A57" si="4">TEXT(52,"00")</f>
        <v>52</v>
      </c>
      <c r="B44" s="27">
        <v>10520</v>
      </c>
      <c r="C44" s="25" t="str">
        <f t="shared" si="3"/>
        <v>0000000</v>
      </c>
      <c r="D44" s="26" t="s">
        <v>3663</v>
      </c>
      <c r="E44" s="25" t="s">
        <v>3262</v>
      </c>
      <c r="F44" s="25" t="s">
        <v>3263</v>
      </c>
      <c r="G44" s="59" t="s">
        <v>3263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20.94</v>
      </c>
      <c r="U44" s="60">
        <v>19.45</v>
      </c>
      <c r="V44" s="60">
        <v>27.73</v>
      </c>
      <c r="W44" s="60">
        <v>101.91</v>
      </c>
      <c r="X44" s="60">
        <v>125.24</v>
      </c>
      <c r="Y44" s="60">
        <v>122.9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122.85</v>
      </c>
      <c r="AJ44" s="60">
        <v>144.69</v>
      </c>
      <c r="AK44" s="60">
        <v>150.63</v>
      </c>
      <c r="AL44" s="60">
        <v>0</v>
      </c>
      <c r="AM44" s="60">
        <v>0</v>
      </c>
      <c r="AN44" s="60">
        <v>0</v>
      </c>
      <c r="AO44" s="60">
        <v>122.85</v>
      </c>
      <c r="AP44" s="60">
        <v>144.69</v>
      </c>
      <c r="AQ44" s="60">
        <v>150.63</v>
      </c>
      <c r="AR44" s="61">
        <v>150.63</v>
      </c>
    </row>
    <row r="45" spans="1:44" x14ac:dyDescent="0.35">
      <c r="A45" s="49" t="str">
        <f t="shared" si="4"/>
        <v>52</v>
      </c>
      <c r="B45" s="27">
        <v>71472</v>
      </c>
      <c r="C45" s="25" t="str">
        <f t="shared" si="3"/>
        <v>0000000</v>
      </c>
      <c r="D45" s="26" t="s">
        <v>3663</v>
      </c>
      <c r="E45" s="25" t="s">
        <v>3264</v>
      </c>
      <c r="F45" s="25" t="s">
        <v>3263</v>
      </c>
      <c r="G45" s="59" t="s">
        <v>3265</v>
      </c>
      <c r="H45" s="60">
        <v>666.5</v>
      </c>
      <c r="I45" s="60">
        <v>700.29</v>
      </c>
      <c r="J45" s="60">
        <v>722.26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214.87</v>
      </c>
      <c r="AD45" s="60">
        <v>212.22</v>
      </c>
      <c r="AE45" s="60">
        <v>197.82</v>
      </c>
      <c r="AF45" s="60">
        <v>0</v>
      </c>
      <c r="AG45" s="60">
        <v>0</v>
      </c>
      <c r="AH45" s="60">
        <v>0</v>
      </c>
      <c r="AI45" s="60">
        <v>881.37</v>
      </c>
      <c r="AJ45" s="60">
        <v>912.51</v>
      </c>
      <c r="AK45" s="60">
        <v>920.08</v>
      </c>
      <c r="AL45" s="60">
        <v>0</v>
      </c>
      <c r="AM45" s="60">
        <v>0</v>
      </c>
      <c r="AN45" s="60">
        <v>0</v>
      </c>
      <c r="AO45" s="60">
        <v>881.37</v>
      </c>
      <c r="AP45" s="60">
        <v>912.51</v>
      </c>
      <c r="AQ45" s="60">
        <v>920.08</v>
      </c>
      <c r="AR45" s="61">
        <v>920.08</v>
      </c>
    </row>
    <row r="46" spans="1:44" x14ac:dyDescent="0.35">
      <c r="A46" s="49" t="str">
        <f t="shared" si="4"/>
        <v>52</v>
      </c>
      <c r="B46" s="27">
        <v>71498</v>
      </c>
      <c r="C46" s="25" t="str">
        <f t="shared" si="3"/>
        <v>0000000</v>
      </c>
      <c r="D46" s="26" t="s">
        <v>3663</v>
      </c>
      <c r="E46" s="25" t="s">
        <v>3266</v>
      </c>
      <c r="F46" s="25" t="s">
        <v>3263</v>
      </c>
      <c r="G46" s="59" t="s">
        <v>3267</v>
      </c>
      <c r="H46" s="60">
        <v>1857.74</v>
      </c>
      <c r="I46" s="60">
        <v>1801.32</v>
      </c>
      <c r="J46" s="60">
        <v>1951.96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1857.74</v>
      </c>
      <c r="AJ46" s="60">
        <v>1801.32</v>
      </c>
      <c r="AK46" s="60">
        <v>1951.96</v>
      </c>
      <c r="AL46" s="60">
        <v>0</v>
      </c>
      <c r="AM46" s="60">
        <v>0</v>
      </c>
      <c r="AN46" s="60">
        <v>0</v>
      </c>
      <c r="AO46" s="60">
        <v>1857.74</v>
      </c>
      <c r="AP46" s="60">
        <v>1801.32</v>
      </c>
      <c r="AQ46" s="60">
        <v>1951.96</v>
      </c>
      <c r="AR46" s="61">
        <v>1951.96</v>
      </c>
    </row>
    <row r="47" spans="1:44" x14ac:dyDescent="0.35">
      <c r="A47" s="49" t="str">
        <f t="shared" si="4"/>
        <v>52</v>
      </c>
      <c r="B47" s="27">
        <v>71506</v>
      </c>
      <c r="C47" s="25" t="str">
        <f t="shared" si="3"/>
        <v>0000000</v>
      </c>
      <c r="D47" s="26" t="s">
        <v>3663</v>
      </c>
      <c r="E47" s="25" t="s">
        <v>3268</v>
      </c>
      <c r="F47" s="25" t="s">
        <v>3263</v>
      </c>
      <c r="G47" s="59" t="s">
        <v>3269</v>
      </c>
      <c r="H47" s="60">
        <v>1031.02</v>
      </c>
      <c r="I47" s="60">
        <v>1012.22</v>
      </c>
      <c r="J47" s="60">
        <v>1017.95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1031.02</v>
      </c>
      <c r="AJ47" s="60">
        <v>1012.22</v>
      </c>
      <c r="AK47" s="60">
        <v>1017.95</v>
      </c>
      <c r="AL47" s="60">
        <v>0</v>
      </c>
      <c r="AM47" s="60">
        <v>0</v>
      </c>
      <c r="AN47" s="60">
        <v>0</v>
      </c>
      <c r="AO47" s="60">
        <v>1031.02</v>
      </c>
      <c r="AP47" s="60">
        <v>1012.22</v>
      </c>
      <c r="AQ47" s="60">
        <v>1017.95</v>
      </c>
      <c r="AR47" s="61">
        <v>1031.02</v>
      </c>
    </row>
    <row r="48" spans="1:44" x14ac:dyDescent="0.35">
      <c r="A48" s="49" t="str">
        <f t="shared" si="4"/>
        <v>52</v>
      </c>
      <c r="B48" s="27">
        <v>71522</v>
      </c>
      <c r="C48" s="25" t="str">
        <f t="shared" si="3"/>
        <v>0000000</v>
      </c>
      <c r="D48" s="26" t="s">
        <v>3663</v>
      </c>
      <c r="E48" s="25" t="s">
        <v>3270</v>
      </c>
      <c r="F48" s="25" t="s">
        <v>3263</v>
      </c>
      <c r="G48" s="59" t="s">
        <v>3271</v>
      </c>
      <c r="H48" s="60">
        <v>954.49</v>
      </c>
      <c r="I48" s="60">
        <v>925.58</v>
      </c>
      <c r="J48" s="60">
        <v>1062.74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144.79</v>
      </c>
      <c r="AD48" s="60">
        <v>127.62</v>
      </c>
      <c r="AE48" s="60">
        <v>129.59</v>
      </c>
      <c r="AF48" s="60">
        <v>0</v>
      </c>
      <c r="AG48" s="60">
        <v>0</v>
      </c>
      <c r="AH48" s="60">
        <v>0</v>
      </c>
      <c r="AI48" s="60">
        <v>1099.28</v>
      </c>
      <c r="AJ48" s="60">
        <v>1053.2</v>
      </c>
      <c r="AK48" s="60">
        <v>1192.33</v>
      </c>
      <c r="AL48" s="60">
        <v>0</v>
      </c>
      <c r="AM48" s="60">
        <v>0</v>
      </c>
      <c r="AN48" s="60">
        <v>0</v>
      </c>
      <c r="AO48" s="60">
        <v>1099.28</v>
      </c>
      <c r="AP48" s="60">
        <v>1053.2</v>
      </c>
      <c r="AQ48" s="60">
        <v>1192.33</v>
      </c>
      <c r="AR48" s="61">
        <v>1192.33</v>
      </c>
    </row>
    <row r="49" spans="1:44" x14ac:dyDescent="0.35">
      <c r="A49" s="49" t="str">
        <f t="shared" si="4"/>
        <v>52</v>
      </c>
      <c r="B49" s="27">
        <v>71621</v>
      </c>
      <c r="C49" s="25" t="str">
        <f t="shared" si="3"/>
        <v>0000000</v>
      </c>
      <c r="D49" s="26" t="s">
        <v>3663</v>
      </c>
      <c r="E49" s="25" t="s">
        <v>3282</v>
      </c>
      <c r="F49" s="25" t="s">
        <v>3263</v>
      </c>
      <c r="G49" s="59" t="s">
        <v>3283</v>
      </c>
      <c r="H49" s="60">
        <v>1683.57</v>
      </c>
      <c r="I49" s="60">
        <v>1603.93</v>
      </c>
      <c r="J49" s="60">
        <v>1936.35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>
        <v>0</v>
      </c>
      <c r="AI49" s="60">
        <v>1683.57</v>
      </c>
      <c r="AJ49" s="60">
        <v>1603.93</v>
      </c>
      <c r="AK49" s="60">
        <v>1936.35</v>
      </c>
      <c r="AL49" s="60">
        <v>0</v>
      </c>
      <c r="AM49" s="60">
        <v>0</v>
      </c>
      <c r="AN49" s="60">
        <v>0</v>
      </c>
      <c r="AO49" s="60">
        <v>1683.57</v>
      </c>
      <c r="AP49" s="60">
        <v>1603.93</v>
      </c>
      <c r="AQ49" s="60">
        <v>1936.35</v>
      </c>
      <c r="AR49" s="61">
        <v>1936.35</v>
      </c>
    </row>
    <row r="50" spans="1:44" x14ac:dyDescent="0.35">
      <c r="A50" s="49" t="str">
        <f t="shared" si="4"/>
        <v>52</v>
      </c>
      <c r="B50" s="27">
        <v>71639</v>
      </c>
      <c r="C50" s="25" t="str">
        <f t="shared" si="3"/>
        <v>0000000</v>
      </c>
      <c r="D50" s="26" t="s">
        <v>3663</v>
      </c>
      <c r="E50" s="25" t="s">
        <v>3284</v>
      </c>
      <c r="F50" s="25" t="s">
        <v>3263</v>
      </c>
      <c r="G50" s="59" t="s">
        <v>3285</v>
      </c>
      <c r="H50" s="60">
        <v>1577.82</v>
      </c>
      <c r="I50" s="60">
        <v>1518.22</v>
      </c>
      <c r="J50" s="60">
        <v>1683.4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1577.82</v>
      </c>
      <c r="AJ50" s="60">
        <v>1518.22</v>
      </c>
      <c r="AK50" s="60">
        <v>1683.4</v>
      </c>
      <c r="AL50" s="60">
        <v>0</v>
      </c>
      <c r="AM50" s="60">
        <v>0</v>
      </c>
      <c r="AN50" s="60">
        <v>0</v>
      </c>
      <c r="AO50" s="60">
        <v>1577.82</v>
      </c>
      <c r="AP50" s="60">
        <v>1518.22</v>
      </c>
      <c r="AQ50" s="60">
        <v>1683.4</v>
      </c>
      <c r="AR50" s="61">
        <v>1683.4</v>
      </c>
    </row>
    <row r="51" spans="1:44" x14ac:dyDescent="0.35">
      <c r="A51" s="49" t="str">
        <f t="shared" si="4"/>
        <v>52</v>
      </c>
      <c r="B51" s="27">
        <v>71548</v>
      </c>
      <c r="C51" s="25" t="str">
        <f t="shared" si="3"/>
        <v>0000000</v>
      </c>
      <c r="D51" s="26" t="s">
        <v>3663</v>
      </c>
      <c r="E51" s="25" t="s">
        <v>3274</v>
      </c>
      <c r="F51" s="25" t="s">
        <v>3263</v>
      </c>
      <c r="G51" s="59" t="s">
        <v>3275</v>
      </c>
      <c r="H51" s="60">
        <v>362.57</v>
      </c>
      <c r="I51" s="60">
        <v>355.64</v>
      </c>
      <c r="J51" s="60">
        <v>360.41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362.57</v>
      </c>
      <c r="AJ51" s="60">
        <v>355.64</v>
      </c>
      <c r="AK51" s="60">
        <v>360.41</v>
      </c>
      <c r="AL51" s="60">
        <v>0</v>
      </c>
      <c r="AM51" s="60">
        <v>0</v>
      </c>
      <c r="AN51" s="60">
        <v>0</v>
      </c>
      <c r="AO51" s="60">
        <v>362.57</v>
      </c>
      <c r="AP51" s="60">
        <v>355.64</v>
      </c>
      <c r="AQ51" s="60">
        <v>360.41</v>
      </c>
      <c r="AR51" s="61">
        <v>362.57</v>
      </c>
    </row>
    <row r="52" spans="1:44" x14ac:dyDescent="0.35">
      <c r="A52" s="49" t="str">
        <f t="shared" si="4"/>
        <v>52</v>
      </c>
      <c r="B52" s="27">
        <v>71571</v>
      </c>
      <c r="C52" s="25" t="str">
        <f t="shared" si="3"/>
        <v>0000000</v>
      </c>
      <c r="D52" s="26" t="s">
        <v>3663</v>
      </c>
      <c r="E52" s="25" t="s">
        <v>3280</v>
      </c>
      <c r="F52" s="25" t="s">
        <v>3263</v>
      </c>
      <c r="G52" s="59" t="s">
        <v>3281</v>
      </c>
      <c r="H52" s="60">
        <v>489.59</v>
      </c>
      <c r="I52" s="60">
        <v>501.93</v>
      </c>
      <c r="J52" s="60">
        <v>543.44000000000005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  <c r="AG52" s="60">
        <v>0</v>
      </c>
      <c r="AH52" s="60">
        <v>0</v>
      </c>
      <c r="AI52" s="60">
        <v>489.59</v>
      </c>
      <c r="AJ52" s="60">
        <v>501.93</v>
      </c>
      <c r="AK52" s="60">
        <v>543.44000000000005</v>
      </c>
      <c r="AL52" s="60">
        <v>0</v>
      </c>
      <c r="AM52" s="60">
        <v>0</v>
      </c>
      <c r="AN52" s="60">
        <v>0</v>
      </c>
      <c r="AO52" s="60">
        <v>489.59</v>
      </c>
      <c r="AP52" s="60">
        <v>501.93</v>
      </c>
      <c r="AQ52" s="60">
        <v>543.44000000000005</v>
      </c>
      <c r="AR52" s="61">
        <v>543.44000000000005</v>
      </c>
    </row>
    <row r="53" spans="1:44" x14ac:dyDescent="0.35">
      <c r="A53" s="49" t="str">
        <f t="shared" si="4"/>
        <v>52</v>
      </c>
      <c r="B53" s="27">
        <v>71530</v>
      </c>
      <c r="C53" s="25" t="str">
        <f t="shared" si="3"/>
        <v>0000000</v>
      </c>
      <c r="D53" s="26" t="s">
        <v>3663</v>
      </c>
      <c r="E53" s="25" t="s">
        <v>3272</v>
      </c>
      <c r="F53" s="25" t="s">
        <v>3263</v>
      </c>
      <c r="G53" s="59" t="s">
        <v>3273</v>
      </c>
      <c r="H53" s="60">
        <v>44.38</v>
      </c>
      <c r="I53" s="60">
        <v>41.79</v>
      </c>
      <c r="J53" s="60">
        <v>37.75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44.38</v>
      </c>
      <c r="AJ53" s="60">
        <v>41.79</v>
      </c>
      <c r="AK53" s="60">
        <v>37.75</v>
      </c>
      <c r="AL53" s="60">
        <v>0</v>
      </c>
      <c r="AM53" s="60">
        <v>0</v>
      </c>
      <c r="AN53" s="60">
        <v>0</v>
      </c>
      <c r="AO53" s="60">
        <v>44.38</v>
      </c>
      <c r="AP53" s="60">
        <v>41.79</v>
      </c>
      <c r="AQ53" s="60">
        <v>37.75</v>
      </c>
      <c r="AR53" s="61">
        <v>44.38</v>
      </c>
    </row>
    <row r="54" spans="1:44" x14ac:dyDescent="0.35">
      <c r="A54" s="49" t="str">
        <f t="shared" si="4"/>
        <v>52</v>
      </c>
      <c r="B54" s="27">
        <v>71555</v>
      </c>
      <c r="C54" s="25" t="str">
        <f t="shared" si="3"/>
        <v>0000000</v>
      </c>
      <c r="D54" s="26" t="s">
        <v>3663</v>
      </c>
      <c r="E54" s="25" t="s">
        <v>3276</v>
      </c>
      <c r="F54" s="25" t="s">
        <v>3263</v>
      </c>
      <c r="G54" s="59" t="s">
        <v>3277</v>
      </c>
      <c r="H54" s="60">
        <v>99.56</v>
      </c>
      <c r="I54" s="60">
        <v>96.11</v>
      </c>
      <c r="J54" s="60">
        <v>97.34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  <c r="AG54" s="60">
        <v>0</v>
      </c>
      <c r="AH54" s="60">
        <v>0</v>
      </c>
      <c r="AI54" s="60">
        <v>99.56</v>
      </c>
      <c r="AJ54" s="60">
        <v>96.11</v>
      </c>
      <c r="AK54" s="60">
        <v>97.34</v>
      </c>
      <c r="AL54" s="60">
        <v>0</v>
      </c>
      <c r="AM54" s="60">
        <v>0</v>
      </c>
      <c r="AN54" s="60">
        <v>0</v>
      </c>
      <c r="AO54" s="60">
        <v>99.56</v>
      </c>
      <c r="AP54" s="60">
        <v>96.11</v>
      </c>
      <c r="AQ54" s="60">
        <v>97.34</v>
      </c>
      <c r="AR54" s="61">
        <v>99.56</v>
      </c>
    </row>
    <row r="55" spans="1:44" x14ac:dyDescent="0.35">
      <c r="A55" s="49" t="str">
        <f t="shared" si="4"/>
        <v>52</v>
      </c>
      <c r="B55" s="27">
        <v>71563</v>
      </c>
      <c r="C55" s="25" t="str">
        <f t="shared" si="3"/>
        <v>0000000</v>
      </c>
      <c r="D55" s="26" t="s">
        <v>3663</v>
      </c>
      <c r="E55" s="25" t="s">
        <v>3278</v>
      </c>
      <c r="F55" s="25" t="s">
        <v>3263</v>
      </c>
      <c r="G55" s="59" t="s">
        <v>3279</v>
      </c>
      <c r="H55" s="60">
        <v>334.46</v>
      </c>
      <c r="I55" s="60">
        <v>341.33</v>
      </c>
      <c r="J55" s="60">
        <v>364.55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0">
        <v>0</v>
      </c>
      <c r="AF55" s="60">
        <v>0</v>
      </c>
      <c r="AG55" s="60">
        <v>0</v>
      </c>
      <c r="AH55" s="60">
        <v>0</v>
      </c>
      <c r="AI55" s="60">
        <v>334.46</v>
      </c>
      <c r="AJ55" s="60">
        <v>341.33</v>
      </c>
      <c r="AK55" s="60">
        <v>364.55</v>
      </c>
      <c r="AL55" s="60">
        <v>0</v>
      </c>
      <c r="AM55" s="60">
        <v>0</v>
      </c>
      <c r="AN55" s="60">
        <v>0</v>
      </c>
      <c r="AO55" s="60">
        <v>334.46</v>
      </c>
      <c r="AP55" s="60">
        <v>341.33</v>
      </c>
      <c r="AQ55" s="60">
        <v>364.55</v>
      </c>
      <c r="AR55" s="61">
        <v>364.55</v>
      </c>
    </row>
    <row r="56" spans="1:44" x14ac:dyDescent="0.35">
      <c r="A56" s="49" t="str">
        <f t="shared" si="4"/>
        <v>52</v>
      </c>
      <c r="B56" s="27">
        <v>71647</v>
      </c>
      <c r="C56" s="25" t="str">
        <f t="shared" si="3"/>
        <v>0000000</v>
      </c>
      <c r="D56" s="26" t="s">
        <v>3663</v>
      </c>
      <c r="E56" s="25" t="s">
        <v>3286</v>
      </c>
      <c r="F56" s="25" t="s">
        <v>3263</v>
      </c>
      <c r="G56" s="59" t="s">
        <v>3287</v>
      </c>
      <c r="H56" s="60">
        <v>171.64</v>
      </c>
      <c r="I56" s="60">
        <v>158.36000000000001</v>
      </c>
      <c r="J56" s="60">
        <v>175.35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0">
        <v>0</v>
      </c>
      <c r="AF56" s="60">
        <v>0</v>
      </c>
      <c r="AG56" s="60">
        <v>0</v>
      </c>
      <c r="AH56" s="60">
        <v>0</v>
      </c>
      <c r="AI56" s="60">
        <v>171.64</v>
      </c>
      <c r="AJ56" s="60">
        <v>158.36000000000001</v>
      </c>
      <c r="AK56" s="60">
        <v>175.35</v>
      </c>
      <c r="AL56" s="60">
        <v>0</v>
      </c>
      <c r="AM56" s="60">
        <v>0</v>
      </c>
      <c r="AN56" s="60">
        <v>0</v>
      </c>
      <c r="AO56" s="60">
        <v>171.64</v>
      </c>
      <c r="AP56" s="60">
        <v>158.36000000000001</v>
      </c>
      <c r="AQ56" s="60">
        <v>175.35</v>
      </c>
      <c r="AR56" s="61">
        <v>175.35</v>
      </c>
    </row>
    <row r="57" spans="1:44" x14ac:dyDescent="0.35">
      <c r="A57" s="49" t="str">
        <f t="shared" si="4"/>
        <v>52</v>
      </c>
      <c r="B57" s="27">
        <v>71654</v>
      </c>
      <c r="C57" s="25" t="str">
        <f t="shared" ref="C57:C88" si="5">TEXT(,"0000000")</f>
        <v>0000000</v>
      </c>
      <c r="D57" s="26" t="s">
        <v>3663</v>
      </c>
      <c r="E57" s="25" t="s">
        <v>3288</v>
      </c>
      <c r="F57" s="25" t="s">
        <v>3263</v>
      </c>
      <c r="G57" s="59" t="s">
        <v>3289</v>
      </c>
      <c r="H57" s="60">
        <v>228.94</v>
      </c>
      <c r="I57" s="60">
        <v>213.94</v>
      </c>
      <c r="J57" s="60">
        <v>235.06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0">
        <v>0</v>
      </c>
      <c r="AF57" s="60">
        <v>0</v>
      </c>
      <c r="AG57" s="60">
        <v>0</v>
      </c>
      <c r="AH57" s="60">
        <v>0</v>
      </c>
      <c r="AI57" s="60">
        <v>228.94</v>
      </c>
      <c r="AJ57" s="60">
        <v>213.94</v>
      </c>
      <c r="AK57" s="60">
        <v>235.06</v>
      </c>
      <c r="AL57" s="60">
        <v>0</v>
      </c>
      <c r="AM57" s="60">
        <v>0</v>
      </c>
      <c r="AN57" s="60">
        <v>0</v>
      </c>
      <c r="AO57" s="60">
        <v>228.94</v>
      </c>
      <c r="AP57" s="60">
        <v>213.94</v>
      </c>
      <c r="AQ57" s="60">
        <v>235.06</v>
      </c>
      <c r="AR57" s="61">
        <v>235.06</v>
      </c>
    </row>
    <row r="58" spans="1:44" x14ac:dyDescent="0.35">
      <c r="A58" s="49" t="str">
        <f>TEXT(15,"00")</f>
        <v>15</v>
      </c>
      <c r="B58" s="27">
        <v>63529</v>
      </c>
      <c r="C58" s="25" t="str">
        <f t="shared" si="5"/>
        <v>0000000</v>
      </c>
      <c r="D58" s="26" t="s">
        <v>3663</v>
      </c>
      <c r="E58" s="25" t="s">
        <v>681</v>
      </c>
      <c r="F58" s="25" t="s">
        <v>682</v>
      </c>
      <c r="G58" s="59" t="s">
        <v>682</v>
      </c>
      <c r="H58" s="60">
        <v>39071.75</v>
      </c>
      <c r="I58" s="60">
        <v>38357.75</v>
      </c>
      <c r="J58" s="60">
        <v>39361.1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552.53</v>
      </c>
      <c r="AD58" s="60">
        <v>365.78</v>
      </c>
      <c r="AE58" s="60">
        <v>460.38</v>
      </c>
      <c r="AF58" s="60">
        <v>0</v>
      </c>
      <c r="AG58" s="60">
        <v>0</v>
      </c>
      <c r="AH58" s="60">
        <v>0</v>
      </c>
      <c r="AI58" s="60">
        <v>39624.28</v>
      </c>
      <c r="AJ58" s="60">
        <v>38723.53</v>
      </c>
      <c r="AK58" s="60">
        <v>39821.480000000003</v>
      </c>
      <c r="AL58" s="60">
        <v>0</v>
      </c>
      <c r="AM58" s="60">
        <v>0</v>
      </c>
      <c r="AN58" s="60">
        <v>0</v>
      </c>
      <c r="AO58" s="60">
        <v>39624.28</v>
      </c>
      <c r="AP58" s="60">
        <v>38723.53</v>
      </c>
      <c r="AQ58" s="60">
        <v>39821.480000000003</v>
      </c>
      <c r="AR58" s="61">
        <v>39821.480000000003</v>
      </c>
    </row>
    <row r="59" spans="1:44" x14ac:dyDescent="0.35">
      <c r="A59" s="49" t="str">
        <f t="shared" ref="A59:A73" si="6">TEXT(56,"00")</f>
        <v>56</v>
      </c>
      <c r="B59" s="27">
        <v>10561</v>
      </c>
      <c r="C59" s="25" t="str">
        <f t="shared" si="5"/>
        <v>0000000</v>
      </c>
      <c r="D59" s="26" t="s">
        <v>3663</v>
      </c>
      <c r="E59" s="25" t="s">
        <v>1006</v>
      </c>
      <c r="F59" s="25" t="s">
        <v>1007</v>
      </c>
      <c r="G59" s="59" t="s">
        <v>1007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116.19</v>
      </c>
      <c r="U59" s="60">
        <v>93.51</v>
      </c>
      <c r="V59" s="60">
        <v>195.75</v>
      </c>
      <c r="W59" s="60">
        <v>438.62</v>
      </c>
      <c r="X59" s="60">
        <v>411.43</v>
      </c>
      <c r="Y59" s="60">
        <v>546.91999999999996</v>
      </c>
      <c r="Z59" s="60">
        <v>374.59</v>
      </c>
      <c r="AA59" s="60">
        <v>359.07</v>
      </c>
      <c r="AB59" s="60">
        <v>311.22000000000003</v>
      </c>
      <c r="AC59" s="60">
        <v>0</v>
      </c>
      <c r="AD59" s="60">
        <v>0</v>
      </c>
      <c r="AE59" s="60">
        <v>0</v>
      </c>
      <c r="AF59" s="60">
        <v>0</v>
      </c>
      <c r="AG59" s="60">
        <v>0</v>
      </c>
      <c r="AH59" s="60">
        <v>0</v>
      </c>
      <c r="AI59" s="60">
        <v>929.4</v>
      </c>
      <c r="AJ59" s="60">
        <v>864.01</v>
      </c>
      <c r="AK59" s="60">
        <v>1053.8900000000001</v>
      </c>
      <c r="AL59" s="60">
        <v>0</v>
      </c>
      <c r="AM59" s="60">
        <v>0</v>
      </c>
      <c r="AN59" s="60">
        <v>0</v>
      </c>
      <c r="AO59" s="60">
        <v>929.4</v>
      </c>
      <c r="AP59" s="60">
        <v>864.01</v>
      </c>
      <c r="AQ59" s="60">
        <v>1053.8900000000001</v>
      </c>
      <c r="AR59" s="61">
        <v>1053.8900000000001</v>
      </c>
    </row>
    <row r="60" spans="1:44" x14ac:dyDescent="0.35">
      <c r="A60" s="49" t="str">
        <f t="shared" si="6"/>
        <v>56</v>
      </c>
      <c r="B60" s="27">
        <v>72447</v>
      </c>
      <c r="C60" s="25" t="str">
        <f t="shared" si="5"/>
        <v>0000000</v>
      </c>
      <c r="D60" s="26" t="s">
        <v>3663</v>
      </c>
      <c r="E60" s="25" t="s">
        <v>3439</v>
      </c>
      <c r="F60" s="25" t="s">
        <v>1007</v>
      </c>
      <c r="G60" s="59" t="s">
        <v>3440</v>
      </c>
      <c r="H60" s="60">
        <v>432.98</v>
      </c>
      <c r="I60" s="60">
        <v>428.39</v>
      </c>
      <c r="J60" s="60">
        <v>500.77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0</v>
      </c>
      <c r="AG60" s="60">
        <v>0</v>
      </c>
      <c r="AH60" s="60">
        <v>0</v>
      </c>
      <c r="AI60" s="60">
        <v>432.98</v>
      </c>
      <c r="AJ60" s="60">
        <v>428.39</v>
      </c>
      <c r="AK60" s="60">
        <v>500.77</v>
      </c>
      <c r="AL60" s="60">
        <v>0</v>
      </c>
      <c r="AM60" s="60">
        <v>0</v>
      </c>
      <c r="AN60" s="60">
        <v>0</v>
      </c>
      <c r="AO60" s="60">
        <v>432.98</v>
      </c>
      <c r="AP60" s="60">
        <v>428.39</v>
      </c>
      <c r="AQ60" s="60">
        <v>500.77</v>
      </c>
      <c r="AR60" s="61">
        <v>500.77</v>
      </c>
    </row>
    <row r="61" spans="1:44" x14ac:dyDescent="0.35">
      <c r="A61" s="49" t="str">
        <f t="shared" si="6"/>
        <v>56</v>
      </c>
      <c r="B61" s="27">
        <v>73759</v>
      </c>
      <c r="C61" s="25" t="str">
        <f t="shared" si="5"/>
        <v>0000000</v>
      </c>
      <c r="D61" s="26" t="s">
        <v>3663</v>
      </c>
      <c r="E61" s="25" t="s">
        <v>3468</v>
      </c>
      <c r="F61" s="25" t="s">
        <v>1007</v>
      </c>
      <c r="G61" s="59" t="s">
        <v>3469</v>
      </c>
      <c r="H61" s="60">
        <v>15321.89</v>
      </c>
      <c r="I61" s="60">
        <v>15751.3</v>
      </c>
      <c r="J61" s="60">
        <v>17614.5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718.51</v>
      </c>
      <c r="AD61" s="60">
        <v>767.71</v>
      </c>
      <c r="AE61" s="60">
        <v>780.72</v>
      </c>
      <c r="AF61" s="60">
        <v>0</v>
      </c>
      <c r="AG61" s="60">
        <v>0</v>
      </c>
      <c r="AH61" s="60">
        <v>0</v>
      </c>
      <c r="AI61" s="60">
        <v>16040.4</v>
      </c>
      <c r="AJ61" s="60">
        <v>16519.009999999998</v>
      </c>
      <c r="AK61" s="60">
        <v>18395.22</v>
      </c>
      <c r="AL61" s="60">
        <v>0</v>
      </c>
      <c r="AM61" s="60">
        <v>0</v>
      </c>
      <c r="AN61" s="60">
        <v>0</v>
      </c>
      <c r="AO61" s="60">
        <v>16040.4</v>
      </c>
      <c r="AP61" s="60">
        <v>16519.009999999998</v>
      </c>
      <c r="AQ61" s="60">
        <v>18395.22</v>
      </c>
      <c r="AR61" s="61">
        <v>18395.22</v>
      </c>
    </row>
    <row r="62" spans="1:44" x14ac:dyDescent="0.35">
      <c r="A62" s="49" t="str">
        <f t="shared" si="6"/>
        <v>56</v>
      </c>
      <c r="B62" s="27">
        <v>72462</v>
      </c>
      <c r="C62" s="25" t="str">
        <f t="shared" si="5"/>
        <v>0000000</v>
      </c>
      <c r="D62" s="26" t="s">
        <v>3663</v>
      </c>
      <c r="E62" s="25" t="s">
        <v>3443</v>
      </c>
      <c r="F62" s="25" t="s">
        <v>1007</v>
      </c>
      <c r="G62" s="59" t="s">
        <v>3444</v>
      </c>
      <c r="H62" s="60">
        <v>6594.64</v>
      </c>
      <c r="I62" s="60">
        <v>6611.89</v>
      </c>
      <c r="J62" s="60">
        <v>7691.75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0</v>
      </c>
      <c r="AH62" s="60">
        <v>0</v>
      </c>
      <c r="AI62" s="60">
        <v>6594.64</v>
      </c>
      <c r="AJ62" s="60">
        <v>6611.89</v>
      </c>
      <c r="AK62" s="60">
        <v>7691.75</v>
      </c>
      <c r="AL62" s="60">
        <v>0</v>
      </c>
      <c r="AM62" s="60">
        <v>0</v>
      </c>
      <c r="AN62" s="60">
        <v>0</v>
      </c>
      <c r="AO62" s="60">
        <v>6594.64</v>
      </c>
      <c r="AP62" s="60">
        <v>6611.89</v>
      </c>
      <c r="AQ62" s="60">
        <v>7691.75</v>
      </c>
      <c r="AR62" s="61">
        <v>7691.75</v>
      </c>
    </row>
    <row r="63" spans="1:44" x14ac:dyDescent="0.35">
      <c r="A63" s="49" t="str">
        <f t="shared" si="6"/>
        <v>56</v>
      </c>
      <c r="B63" s="27">
        <v>72470</v>
      </c>
      <c r="C63" s="25" t="str">
        <f t="shared" si="5"/>
        <v>0000000</v>
      </c>
      <c r="D63" s="26" t="s">
        <v>3663</v>
      </c>
      <c r="E63" s="25" t="s">
        <v>3445</v>
      </c>
      <c r="F63" s="25" t="s">
        <v>1007</v>
      </c>
      <c r="G63" s="59" t="s">
        <v>3446</v>
      </c>
      <c r="H63" s="60">
        <v>517.01</v>
      </c>
      <c r="I63" s="60">
        <v>532.80999999999995</v>
      </c>
      <c r="J63" s="60">
        <v>592.28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441.44</v>
      </c>
      <c r="AD63" s="60">
        <v>515.44000000000005</v>
      </c>
      <c r="AE63" s="60">
        <v>490</v>
      </c>
      <c r="AF63" s="60">
        <v>0</v>
      </c>
      <c r="AG63" s="60">
        <v>0</v>
      </c>
      <c r="AH63" s="60">
        <v>0</v>
      </c>
      <c r="AI63" s="60">
        <v>958.45</v>
      </c>
      <c r="AJ63" s="60">
        <v>1048.25</v>
      </c>
      <c r="AK63" s="60">
        <v>1082.28</v>
      </c>
      <c r="AL63" s="60">
        <v>0</v>
      </c>
      <c r="AM63" s="60">
        <v>0</v>
      </c>
      <c r="AN63" s="60">
        <v>0</v>
      </c>
      <c r="AO63" s="60">
        <v>958.45</v>
      </c>
      <c r="AP63" s="60">
        <v>1048.25</v>
      </c>
      <c r="AQ63" s="60">
        <v>1082.28</v>
      </c>
      <c r="AR63" s="61">
        <v>1082.28</v>
      </c>
    </row>
    <row r="64" spans="1:44" x14ac:dyDescent="0.35">
      <c r="A64" s="49" t="str">
        <f t="shared" si="6"/>
        <v>56</v>
      </c>
      <c r="B64" s="27">
        <v>72512</v>
      </c>
      <c r="C64" s="25" t="str">
        <f t="shared" si="5"/>
        <v>0000000</v>
      </c>
      <c r="D64" s="26" t="s">
        <v>3663</v>
      </c>
      <c r="E64" s="25" t="s">
        <v>3449</v>
      </c>
      <c r="F64" s="25" t="s">
        <v>1007</v>
      </c>
      <c r="G64" s="59" t="s">
        <v>1590</v>
      </c>
      <c r="H64" s="60">
        <v>2009.28</v>
      </c>
      <c r="I64" s="60">
        <v>2020.47</v>
      </c>
      <c r="J64" s="60">
        <v>2337.73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  <c r="AG64" s="60">
        <v>0</v>
      </c>
      <c r="AH64" s="60">
        <v>0</v>
      </c>
      <c r="AI64" s="60">
        <v>2009.28</v>
      </c>
      <c r="AJ64" s="60">
        <v>2020.47</v>
      </c>
      <c r="AK64" s="60">
        <v>2337.73</v>
      </c>
      <c r="AL64" s="60">
        <v>0</v>
      </c>
      <c r="AM64" s="60">
        <v>0</v>
      </c>
      <c r="AN64" s="60">
        <v>0</v>
      </c>
      <c r="AO64" s="60">
        <v>2009.28</v>
      </c>
      <c r="AP64" s="60">
        <v>2020.47</v>
      </c>
      <c r="AQ64" s="60">
        <v>2337.73</v>
      </c>
      <c r="AR64" s="61">
        <v>2337.73</v>
      </c>
    </row>
    <row r="65" spans="1:44" x14ac:dyDescent="0.35">
      <c r="A65" s="49" t="str">
        <f t="shared" si="6"/>
        <v>56</v>
      </c>
      <c r="B65" s="27">
        <v>72538</v>
      </c>
      <c r="C65" s="25" t="str">
        <f t="shared" si="5"/>
        <v>0000000</v>
      </c>
      <c r="D65" s="26" t="s">
        <v>3663</v>
      </c>
      <c r="E65" s="25" t="s">
        <v>3452</v>
      </c>
      <c r="F65" s="25" t="s">
        <v>1007</v>
      </c>
      <c r="G65" s="59" t="s">
        <v>3453</v>
      </c>
      <c r="H65" s="60">
        <v>13006.33</v>
      </c>
      <c r="I65" s="60">
        <v>13088.88</v>
      </c>
      <c r="J65" s="60">
        <v>15194.07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0</v>
      </c>
      <c r="AE65" s="60">
        <v>0</v>
      </c>
      <c r="AF65" s="60">
        <v>0</v>
      </c>
      <c r="AG65" s="60">
        <v>0</v>
      </c>
      <c r="AH65" s="60">
        <v>0</v>
      </c>
      <c r="AI65" s="60">
        <v>13006.33</v>
      </c>
      <c r="AJ65" s="60">
        <v>13088.88</v>
      </c>
      <c r="AK65" s="60">
        <v>15194.07</v>
      </c>
      <c r="AL65" s="60">
        <v>0</v>
      </c>
      <c r="AM65" s="60">
        <v>0</v>
      </c>
      <c r="AN65" s="60">
        <v>0</v>
      </c>
      <c r="AO65" s="60">
        <v>13006.33</v>
      </c>
      <c r="AP65" s="60">
        <v>13088.88</v>
      </c>
      <c r="AQ65" s="60">
        <v>15194.07</v>
      </c>
      <c r="AR65" s="61">
        <v>15194.07</v>
      </c>
    </row>
    <row r="66" spans="1:44" x14ac:dyDescent="0.35">
      <c r="A66" s="49" t="str">
        <f t="shared" si="6"/>
        <v>56</v>
      </c>
      <c r="B66" s="27">
        <v>72553</v>
      </c>
      <c r="C66" s="25" t="str">
        <f t="shared" si="5"/>
        <v>0000000</v>
      </c>
      <c r="D66" s="26" t="s">
        <v>3663</v>
      </c>
      <c r="E66" s="25" t="s">
        <v>3456</v>
      </c>
      <c r="F66" s="25" t="s">
        <v>1007</v>
      </c>
      <c r="G66" s="59" t="s">
        <v>3457</v>
      </c>
      <c r="H66" s="60">
        <v>5386.5</v>
      </c>
      <c r="I66" s="60">
        <v>5405.44</v>
      </c>
      <c r="J66" s="60">
        <v>5986.86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930.23</v>
      </c>
      <c r="AD66" s="60">
        <v>964.34</v>
      </c>
      <c r="AE66" s="60">
        <v>980.1</v>
      </c>
      <c r="AF66" s="60">
        <v>0</v>
      </c>
      <c r="AG66" s="60">
        <v>0</v>
      </c>
      <c r="AH66" s="60">
        <v>0</v>
      </c>
      <c r="AI66" s="60">
        <v>6316.73</v>
      </c>
      <c r="AJ66" s="60">
        <v>6369.78</v>
      </c>
      <c r="AK66" s="60">
        <v>6966.96</v>
      </c>
      <c r="AL66" s="60">
        <v>0</v>
      </c>
      <c r="AM66" s="60">
        <v>0</v>
      </c>
      <c r="AN66" s="60">
        <v>0</v>
      </c>
      <c r="AO66" s="60">
        <v>6316.73</v>
      </c>
      <c r="AP66" s="60">
        <v>6369.78</v>
      </c>
      <c r="AQ66" s="60">
        <v>6966.96</v>
      </c>
      <c r="AR66" s="61">
        <v>6966.96</v>
      </c>
    </row>
    <row r="67" spans="1:44" x14ac:dyDescent="0.35">
      <c r="A67" s="49" t="str">
        <f t="shared" si="6"/>
        <v>56</v>
      </c>
      <c r="B67" s="27">
        <v>72561</v>
      </c>
      <c r="C67" s="25" t="str">
        <f t="shared" si="5"/>
        <v>0000000</v>
      </c>
      <c r="D67" s="26" t="s">
        <v>3663</v>
      </c>
      <c r="E67" s="25" t="s">
        <v>3458</v>
      </c>
      <c r="F67" s="25" t="s">
        <v>1007</v>
      </c>
      <c r="G67" s="59" t="s">
        <v>3459</v>
      </c>
      <c r="H67" s="60">
        <v>4766.33</v>
      </c>
      <c r="I67" s="60">
        <v>4713.2</v>
      </c>
      <c r="J67" s="60">
        <v>5098.41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  <c r="AG67" s="60">
        <v>0</v>
      </c>
      <c r="AH67" s="60">
        <v>0</v>
      </c>
      <c r="AI67" s="60">
        <v>4766.33</v>
      </c>
      <c r="AJ67" s="60">
        <v>4713.2</v>
      </c>
      <c r="AK67" s="60">
        <v>5098.41</v>
      </c>
      <c r="AL67" s="60">
        <v>0</v>
      </c>
      <c r="AM67" s="60">
        <v>0</v>
      </c>
      <c r="AN67" s="60">
        <v>0</v>
      </c>
      <c r="AO67" s="60">
        <v>4766.33</v>
      </c>
      <c r="AP67" s="60">
        <v>4713.2</v>
      </c>
      <c r="AQ67" s="60">
        <v>5098.41</v>
      </c>
      <c r="AR67" s="61">
        <v>5098.41</v>
      </c>
    </row>
    <row r="68" spans="1:44" x14ac:dyDescent="0.35">
      <c r="A68" s="49" t="str">
        <f t="shared" si="6"/>
        <v>56</v>
      </c>
      <c r="B68" s="27">
        <v>72611</v>
      </c>
      <c r="C68" s="25" t="str">
        <f t="shared" si="5"/>
        <v>0000000</v>
      </c>
      <c r="D68" s="26" t="s">
        <v>3663</v>
      </c>
      <c r="E68" s="25" t="s">
        <v>3464</v>
      </c>
      <c r="F68" s="25" t="s">
        <v>1007</v>
      </c>
      <c r="G68" s="59" t="s">
        <v>3465</v>
      </c>
      <c r="H68" s="60">
        <v>218.62</v>
      </c>
      <c r="I68" s="60">
        <v>219.92</v>
      </c>
      <c r="J68" s="60">
        <v>232.33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  <c r="AG68" s="60">
        <v>0</v>
      </c>
      <c r="AH68" s="60">
        <v>0</v>
      </c>
      <c r="AI68" s="60">
        <v>218.62</v>
      </c>
      <c r="AJ68" s="60">
        <v>219.92</v>
      </c>
      <c r="AK68" s="60">
        <v>232.33</v>
      </c>
      <c r="AL68" s="60">
        <v>0</v>
      </c>
      <c r="AM68" s="60">
        <v>0</v>
      </c>
      <c r="AN68" s="60">
        <v>0</v>
      </c>
      <c r="AO68" s="60">
        <v>218.62</v>
      </c>
      <c r="AP68" s="60">
        <v>219.92</v>
      </c>
      <c r="AQ68" s="60">
        <v>232.33</v>
      </c>
      <c r="AR68" s="61">
        <v>232.33</v>
      </c>
    </row>
    <row r="69" spans="1:44" x14ac:dyDescent="0.35">
      <c r="A69" s="49" t="str">
        <f t="shared" si="6"/>
        <v>56</v>
      </c>
      <c r="B69" s="27">
        <v>72546</v>
      </c>
      <c r="C69" s="25" t="str">
        <f t="shared" si="5"/>
        <v>0000000</v>
      </c>
      <c r="D69" s="26" t="s">
        <v>3663</v>
      </c>
      <c r="E69" s="25" t="s">
        <v>3454</v>
      </c>
      <c r="F69" s="25" t="s">
        <v>1007</v>
      </c>
      <c r="G69" s="59" t="s">
        <v>3455</v>
      </c>
      <c r="H69" s="60">
        <v>15282.59</v>
      </c>
      <c r="I69" s="60">
        <v>15526.66</v>
      </c>
      <c r="J69" s="60">
        <v>15949.2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780.15</v>
      </c>
      <c r="AD69" s="60">
        <v>777.36</v>
      </c>
      <c r="AE69" s="60">
        <v>794.52</v>
      </c>
      <c r="AF69" s="60">
        <v>0</v>
      </c>
      <c r="AG69" s="60">
        <v>0</v>
      </c>
      <c r="AH69" s="60">
        <v>0</v>
      </c>
      <c r="AI69" s="60">
        <v>16062.74</v>
      </c>
      <c r="AJ69" s="60">
        <v>16304.02</v>
      </c>
      <c r="AK69" s="60">
        <v>16743.72</v>
      </c>
      <c r="AL69" s="60">
        <v>0</v>
      </c>
      <c r="AM69" s="60">
        <v>0</v>
      </c>
      <c r="AN69" s="60">
        <v>0</v>
      </c>
      <c r="AO69" s="60">
        <v>16062.74</v>
      </c>
      <c r="AP69" s="60">
        <v>16304.02</v>
      </c>
      <c r="AQ69" s="60">
        <v>16743.72</v>
      </c>
      <c r="AR69" s="61">
        <v>16743.72</v>
      </c>
    </row>
    <row r="70" spans="1:44" x14ac:dyDescent="0.35">
      <c r="A70" s="49" t="str">
        <f t="shared" si="6"/>
        <v>56</v>
      </c>
      <c r="B70" s="27">
        <v>72454</v>
      </c>
      <c r="C70" s="25" t="str">
        <f t="shared" si="5"/>
        <v>0000000</v>
      </c>
      <c r="D70" s="26" t="s">
        <v>3663</v>
      </c>
      <c r="E70" s="25" t="s">
        <v>3441</v>
      </c>
      <c r="F70" s="25" t="s">
        <v>1007</v>
      </c>
      <c r="G70" s="59" t="s">
        <v>3442</v>
      </c>
      <c r="H70" s="60">
        <v>3466.07</v>
      </c>
      <c r="I70" s="60">
        <v>3353.08</v>
      </c>
      <c r="J70" s="60">
        <v>3579.36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  <c r="AG70" s="60">
        <v>0</v>
      </c>
      <c r="AH70" s="60">
        <v>0</v>
      </c>
      <c r="AI70" s="60">
        <v>3466.07</v>
      </c>
      <c r="AJ70" s="60">
        <v>3353.08</v>
      </c>
      <c r="AK70" s="60">
        <v>3579.36</v>
      </c>
      <c r="AL70" s="60">
        <v>0</v>
      </c>
      <c r="AM70" s="60">
        <v>0</v>
      </c>
      <c r="AN70" s="60">
        <v>0</v>
      </c>
      <c r="AO70" s="60">
        <v>3466.07</v>
      </c>
      <c r="AP70" s="60">
        <v>3353.08</v>
      </c>
      <c r="AQ70" s="60">
        <v>3579.36</v>
      </c>
      <c r="AR70" s="61">
        <v>3579.36</v>
      </c>
    </row>
    <row r="71" spans="1:44" x14ac:dyDescent="0.35">
      <c r="A71" s="49" t="str">
        <f t="shared" si="6"/>
        <v>56</v>
      </c>
      <c r="B71" s="27">
        <v>72520</v>
      </c>
      <c r="C71" s="25" t="str">
        <f t="shared" si="5"/>
        <v>0000000</v>
      </c>
      <c r="D71" s="26" t="s">
        <v>3663</v>
      </c>
      <c r="E71" s="25" t="s">
        <v>3450</v>
      </c>
      <c r="F71" s="25" t="s">
        <v>1007</v>
      </c>
      <c r="G71" s="59" t="s">
        <v>3451</v>
      </c>
      <c r="H71" s="60">
        <v>1974.11</v>
      </c>
      <c r="I71" s="60">
        <v>2046.72</v>
      </c>
      <c r="J71" s="60">
        <v>2247.2800000000002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50.84</v>
      </c>
      <c r="AD71" s="60">
        <v>51.64</v>
      </c>
      <c r="AE71" s="60">
        <v>63.19</v>
      </c>
      <c r="AF71" s="60">
        <v>0</v>
      </c>
      <c r="AG71" s="60">
        <v>0</v>
      </c>
      <c r="AH71" s="60">
        <v>0</v>
      </c>
      <c r="AI71" s="60">
        <v>2024.95</v>
      </c>
      <c r="AJ71" s="60">
        <v>2098.36</v>
      </c>
      <c r="AK71" s="60">
        <v>2310.4699999999998</v>
      </c>
      <c r="AL71" s="60">
        <v>0</v>
      </c>
      <c r="AM71" s="60">
        <v>0</v>
      </c>
      <c r="AN71" s="60">
        <v>0</v>
      </c>
      <c r="AO71" s="60">
        <v>2024.95</v>
      </c>
      <c r="AP71" s="60">
        <v>2098.36</v>
      </c>
      <c r="AQ71" s="60">
        <v>2310.4699999999998</v>
      </c>
      <c r="AR71" s="61">
        <v>2310.4699999999998</v>
      </c>
    </row>
    <row r="72" spans="1:44" x14ac:dyDescent="0.35">
      <c r="A72" s="49" t="str">
        <f t="shared" si="6"/>
        <v>56</v>
      </c>
      <c r="B72" s="27">
        <v>73874</v>
      </c>
      <c r="C72" s="25" t="str">
        <f t="shared" si="5"/>
        <v>0000000</v>
      </c>
      <c r="D72" s="26" t="s">
        <v>3663</v>
      </c>
      <c r="E72" s="25" t="s">
        <v>3470</v>
      </c>
      <c r="F72" s="25" t="s">
        <v>1007</v>
      </c>
      <c r="G72" s="59" t="s">
        <v>3471</v>
      </c>
      <c r="H72" s="60">
        <v>4066.43</v>
      </c>
      <c r="I72" s="60">
        <v>4170.45</v>
      </c>
      <c r="J72" s="60">
        <v>4373.9399999999996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  <c r="AG72" s="60">
        <v>0</v>
      </c>
      <c r="AH72" s="60">
        <v>0</v>
      </c>
      <c r="AI72" s="60">
        <v>4066.43</v>
      </c>
      <c r="AJ72" s="60">
        <v>4170.45</v>
      </c>
      <c r="AK72" s="60">
        <v>4373.9399999999996</v>
      </c>
      <c r="AL72" s="60">
        <v>0</v>
      </c>
      <c r="AM72" s="60">
        <v>0</v>
      </c>
      <c r="AN72" s="60">
        <v>0</v>
      </c>
      <c r="AO72" s="60">
        <v>4066.43</v>
      </c>
      <c r="AP72" s="60">
        <v>4170.45</v>
      </c>
      <c r="AQ72" s="60">
        <v>4373.9399999999996</v>
      </c>
      <c r="AR72" s="61">
        <v>4373.9399999999996</v>
      </c>
    </row>
    <row r="73" spans="1:44" x14ac:dyDescent="0.35">
      <c r="A73" s="49" t="str">
        <f t="shared" si="6"/>
        <v>56</v>
      </c>
      <c r="B73" s="27">
        <v>72652</v>
      </c>
      <c r="C73" s="25" t="str">
        <f t="shared" si="5"/>
        <v>0000000</v>
      </c>
      <c r="D73" s="26" t="s">
        <v>3663</v>
      </c>
      <c r="E73" s="25" t="s">
        <v>3466</v>
      </c>
      <c r="F73" s="25" t="s">
        <v>1007</v>
      </c>
      <c r="G73" s="59" t="s">
        <v>3467</v>
      </c>
      <c r="H73" s="60">
        <v>13736.9</v>
      </c>
      <c r="I73" s="60">
        <v>13905.9</v>
      </c>
      <c r="J73" s="60">
        <v>15528.67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407.44</v>
      </c>
      <c r="AD73" s="60">
        <v>414.93</v>
      </c>
      <c r="AE73" s="60">
        <v>423.33</v>
      </c>
      <c r="AF73" s="60">
        <v>0</v>
      </c>
      <c r="AG73" s="60">
        <v>0</v>
      </c>
      <c r="AH73" s="60">
        <v>0</v>
      </c>
      <c r="AI73" s="60">
        <v>14144.34</v>
      </c>
      <c r="AJ73" s="60">
        <v>14320.83</v>
      </c>
      <c r="AK73" s="60">
        <v>15952</v>
      </c>
      <c r="AL73" s="60">
        <v>0</v>
      </c>
      <c r="AM73" s="60">
        <v>0</v>
      </c>
      <c r="AN73" s="60">
        <v>0</v>
      </c>
      <c r="AO73" s="60">
        <v>14144.34</v>
      </c>
      <c r="AP73" s="60">
        <v>14320.83</v>
      </c>
      <c r="AQ73" s="60">
        <v>15952</v>
      </c>
      <c r="AR73" s="61">
        <v>15952</v>
      </c>
    </row>
    <row r="74" spans="1:44" x14ac:dyDescent="0.35">
      <c r="A74" s="49" t="str">
        <f>TEXT(19,"00")</f>
        <v>19</v>
      </c>
      <c r="B74" s="27">
        <v>64683</v>
      </c>
      <c r="C74" s="25" t="str">
        <f t="shared" si="5"/>
        <v>0000000</v>
      </c>
      <c r="D74" s="26" t="s">
        <v>3663</v>
      </c>
      <c r="E74" s="25" t="s">
        <v>1008</v>
      </c>
      <c r="F74" s="25" t="s">
        <v>1007</v>
      </c>
      <c r="G74" s="59" t="s">
        <v>1009</v>
      </c>
      <c r="H74" s="60">
        <v>9091.92</v>
      </c>
      <c r="I74" s="60">
        <v>9487.81</v>
      </c>
      <c r="J74" s="60">
        <v>10420.42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  <c r="AG74" s="60">
        <v>0</v>
      </c>
      <c r="AH74" s="60">
        <v>0</v>
      </c>
      <c r="AI74" s="60">
        <v>9091.92</v>
      </c>
      <c r="AJ74" s="60">
        <v>9487.81</v>
      </c>
      <c r="AK74" s="60">
        <v>10420.42</v>
      </c>
      <c r="AL74" s="60">
        <v>0</v>
      </c>
      <c r="AM74" s="60">
        <v>0</v>
      </c>
      <c r="AN74" s="60">
        <v>0</v>
      </c>
      <c r="AO74" s="60">
        <v>9091.92</v>
      </c>
      <c r="AP74" s="60">
        <v>9487.81</v>
      </c>
      <c r="AQ74" s="60">
        <v>10420.42</v>
      </c>
      <c r="AR74" s="61">
        <v>10420.42</v>
      </c>
    </row>
    <row r="75" spans="1:44" x14ac:dyDescent="0.35">
      <c r="A75" s="49" t="str">
        <f>TEXT(56,"00")</f>
        <v>56</v>
      </c>
      <c r="B75" s="27">
        <v>73940</v>
      </c>
      <c r="C75" s="25" t="str">
        <f t="shared" si="5"/>
        <v>0000000</v>
      </c>
      <c r="D75" s="26" t="s">
        <v>3663</v>
      </c>
      <c r="E75" s="25" t="s">
        <v>3472</v>
      </c>
      <c r="F75" s="25" t="s">
        <v>1007</v>
      </c>
      <c r="G75" s="59" t="s">
        <v>3473</v>
      </c>
      <c r="H75" s="60">
        <v>5381.23</v>
      </c>
      <c r="I75" s="60">
        <v>5378.47</v>
      </c>
      <c r="J75" s="60">
        <v>5858.72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184.99</v>
      </c>
      <c r="AD75" s="60">
        <v>176.4</v>
      </c>
      <c r="AE75" s="60">
        <v>193.94</v>
      </c>
      <c r="AF75" s="60">
        <v>0</v>
      </c>
      <c r="AG75" s="60">
        <v>0</v>
      </c>
      <c r="AH75" s="60">
        <v>0</v>
      </c>
      <c r="AI75" s="60">
        <v>5566.22</v>
      </c>
      <c r="AJ75" s="60">
        <v>5554.87</v>
      </c>
      <c r="AK75" s="60">
        <v>6052.66</v>
      </c>
      <c r="AL75" s="60">
        <v>0</v>
      </c>
      <c r="AM75" s="60">
        <v>0</v>
      </c>
      <c r="AN75" s="60">
        <v>0</v>
      </c>
      <c r="AO75" s="60">
        <v>5566.22</v>
      </c>
      <c r="AP75" s="60">
        <v>5554.87</v>
      </c>
      <c r="AQ75" s="60">
        <v>6052.66</v>
      </c>
      <c r="AR75" s="61">
        <v>6052.66</v>
      </c>
    </row>
    <row r="76" spans="1:44" x14ac:dyDescent="0.35">
      <c r="A76" s="49" t="str">
        <f>TEXT(56,"00")</f>
        <v>56</v>
      </c>
      <c r="B76" s="27">
        <v>72603</v>
      </c>
      <c r="C76" s="25" t="str">
        <f t="shared" si="5"/>
        <v>0000000</v>
      </c>
      <c r="D76" s="26" t="s">
        <v>3663</v>
      </c>
      <c r="E76" s="25" t="s">
        <v>3462</v>
      </c>
      <c r="F76" s="25" t="s">
        <v>1007</v>
      </c>
      <c r="G76" s="59" t="s">
        <v>3463</v>
      </c>
      <c r="H76" s="60">
        <v>14551.19</v>
      </c>
      <c r="I76" s="60">
        <v>14455.67</v>
      </c>
      <c r="J76" s="60">
        <v>15718.53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  <c r="AG76" s="60">
        <v>0</v>
      </c>
      <c r="AH76" s="60">
        <v>0</v>
      </c>
      <c r="AI76" s="60">
        <v>14551.19</v>
      </c>
      <c r="AJ76" s="60">
        <v>14455.67</v>
      </c>
      <c r="AK76" s="60">
        <v>15718.53</v>
      </c>
      <c r="AL76" s="60">
        <v>0</v>
      </c>
      <c r="AM76" s="60">
        <v>0</v>
      </c>
      <c r="AN76" s="60">
        <v>0</v>
      </c>
      <c r="AO76" s="60">
        <v>14551.19</v>
      </c>
      <c r="AP76" s="60">
        <v>14455.67</v>
      </c>
      <c r="AQ76" s="60">
        <v>15718.53</v>
      </c>
      <c r="AR76" s="61">
        <v>15718.53</v>
      </c>
    </row>
    <row r="77" spans="1:44" x14ac:dyDescent="0.35">
      <c r="A77" s="49" t="str">
        <f>TEXT(56,"00")</f>
        <v>56</v>
      </c>
      <c r="B77" s="27">
        <v>72504</v>
      </c>
      <c r="C77" s="25" t="str">
        <f t="shared" si="5"/>
        <v>0000000</v>
      </c>
      <c r="D77" s="26" t="s">
        <v>3663</v>
      </c>
      <c r="E77" s="25" t="s">
        <v>3447</v>
      </c>
      <c r="F77" s="25" t="s">
        <v>1007</v>
      </c>
      <c r="G77" s="59" t="s">
        <v>3448</v>
      </c>
      <c r="H77" s="60">
        <v>168.28</v>
      </c>
      <c r="I77" s="60">
        <v>152.44</v>
      </c>
      <c r="J77" s="60">
        <v>158.75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  <c r="AG77" s="60">
        <v>0</v>
      </c>
      <c r="AH77" s="60">
        <v>0</v>
      </c>
      <c r="AI77" s="60">
        <v>168.28</v>
      </c>
      <c r="AJ77" s="60">
        <v>152.44</v>
      </c>
      <c r="AK77" s="60">
        <v>158.75</v>
      </c>
      <c r="AL77" s="60">
        <v>0</v>
      </c>
      <c r="AM77" s="60">
        <v>0</v>
      </c>
      <c r="AN77" s="60">
        <v>0</v>
      </c>
      <c r="AO77" s="60">
        <v>168.28</v>
      </c>
      <c r="AP77" s="60">
        <v>152.44</v>
      </c>
      <c r="AQ77" s="60">
        <v>158.75</v>
      </c>
      <c r="AR77" s="61">
        <v>168.28</v>
      </c>
    </row>
    <row r="78" spans="1:44" x14ac:dyDescent="0.35">
      <c r="A78" s="49" t="str">
        <f>TEXT(56,"00")</f>
        <v>56</v>
      </c>
      <c r="B78" s="27">
        <v>72579</v>
      </c>
      <c r="C78" s="25" t="str">
        <f t="shared" si="5"/>
        <v>0000000</v>
      </c>
      <c r="D78" s="26" t="s">
        <v>3663</v>
      </c>
      <c r="E78" s="25" t="s">
        <v>3460</v>
      </c>
      <c r="F78" s="25" t="s">
        <v>1007</v>
      </c>
      <c r="G78" s="59" t="s">
        <v>3461</v>
      </c>
      <c r="H78" s="60">
        <v>53.09</v>
      </c>
      <c r="I78" s="60">
        <v>51.97</v>
      </c>
      <c r="J78" s="60">
        <v>54.6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  <c r="AG78" s="60">
        <v>0</v>
      </c>
      <c r="AH78" s="60">
        <v>0</v>
      </c>
      <c r="AI78" s="60">
        <v>53.09</v>
      </c>
      <c r="AJ78" s="60">
        <v>51.97</v>
      </c>
      <c r="AK78" s="60">
        <v>54.6</v>
      </c>
      <c r="AL78" s="60">
        <v>0</v>
      </c>
      <c r="AM78" s="60">
        <v>0</v>
      </c>
      <c r="AN78" s="60">
        <v>0</v>
      </c>
      <c r="AO78" s="60">
        <v>53.09</v>
      </c>
      <c r="AP78" s="60">
        <v>51.97</v>
      </c>
      <c r="AQ78" s="60">
        <v>54.6</v>
      </c>
      <c r="AR78" s="61">
        <v>54.6</v>
      </c>
    </row>
    <row r="79" spans="1:44" x14ac:dyDescent="0.35">
      <c r="A79" s="49" t="str">
        <f>TEXT(56,"00")</f>
        <v>56</v>
      </c>
      <c r="B79" s="27">
        <v>76828</v>
      </c>
      <c r="C79" s="25" t="str">
        <f t="shared" si="5"/>
        <v>0000000</v>
      </c>
      <c r="D79" s="26" t="s">
        <v>3663</v>
      </c>
      <c r="E79" s="25" t="s">
        <v>3474</v>
      </c>
      <c r="F79" s="25" t="s">
        <v>1007</v>
      </c>
      <c r="G79" s="59" t="s">
        <v>3475</v>
      </c>
      <c r="H79" s="60">
        <v>4386.6400000000003</v>
      </c>
      <c r="I79" s="60">
        <v>4508.49</v>
      </c>
      <c r="J79" s="60">
        <v>4888.74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  <c r="AG79" s="60">
        <v>0</v>
      </c>
      <c r="AH79" s="60">
        <v>0</v>
      </c>
      <c r="AI79" s="60">
        <v>4386.6400000000003</v>
      </c>
      <c r="AJ79" s="60">
        <v>4508.49</v>
      </c>
      <c r="AK79" s="60">
        <v>4888.74</v>
      </c>
      <c r="AL79" s="60">
        <v>0</v>
      </c>
      <c r="AM79" s="60">
        <v>0</v>
      </c>
      <c r="AN79" s="60">
        <v>0</v>
      </c>
      <c r="AO79" s="60">
        <v>4386.6400000000003</v>
      </c>
      <c r="AP79" s="60">
        <v>4508.49</v>
      </c>
      <c r="AQ79" s="60">
        <v>4888.74</v>
      </c>
      <c r="AR79" s="61">
        <v>4888.74</v>
      </c>
    </row>
    <row r="80" spans="1:44" x14ac:dyDescent="0.35">
      <c r="A80" s="49" t="str">
        <f t="shared" ref="A80:A89" si="7">TEXT(53,"00")</f>
        <v>53</v>
      </c>
      <c r="B80" s="27">
        <v>10538</v>
      </c>
      <c r="C80" s="25" t="str">
        <f t="shared" si="5"/>
        <v>0000000</v>
      </c>
      <c r="D80" s="26" t="s">
        <v>3663</v>
      </c>
      <c r="E80" s="25" t="s">
        <v>3290</v>
      </c>
      <c r="F80" s="25" t="s">
        <v>3291</v>
      </c>
      <c r="G80" s="59" t="s">
        <v>3291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12.94</v>
      </c>
      <c r="U80" s="60">
        <v>11.23</v>
      </c>
      <c r="V80" s="60">
        <v>10.08</v>
      </c>
      <c r="W80" s="60">
        <v>59.81</v>
      </c>
      <c r="X80" s="60">
        <v>60.72</v>
      </c>
      <c r="Y80" s="60">
        <v>62.5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  <c r="AG80" s="60">
        <v>0</v>
      </c>
      <c r="AH80" s="60">
        <v>0</v>
      </c>
      <c r="AI80" s="60">
        <v>72.75</v>
      </c>
      <c r="AJ80" s="60">
        <v>71.95</v>
      </c>
      <c r="AK80" s="60">
        <v>72.58</v>
      </c>
      <c r="AL80" s="60">
        <v>0</v>
      </c>
      <c r="AM80" s="60">
        <v>0</v>
      </c>
      <c r="AN80" s="60">
        <v>0</v>
      </c>
      <c r="AO80" s="60">
        <v>72.75</v>
      </c>
      <c r="AP80" s="60">
        <v>71.95</v>
      </c>
      <c r="AQ80" s="60">
        <v>72.58</v>
      </c>
      <c r="AR80" s="61">
        <v>72.75</v>
      </c>
    </row>
    <row r="81" spans="1:44" x14ac:dyDescent="0.35">
      <c r="A81" s="49" t="str">
        <f t="shared" si="7"/>
        <v>53</v>
      </c>
      <c r="B81" s="27">
        <v>71662</v>
      </c>
      <c r="C81" s="25" t="str">
        <f t="shared" si="5"/>
        <v>0000000</v>
      </c>
      <c r="D81" s="26" t="s">
        <v>3663</v>
      </c>
      <c r="E81" s="25" t="s">
        <v>3292</v>
      </c>
      <c r="F81" s="25" t="s">
        <v>3291</v>
      </c>
      <c r="G81" s="59" t="s">
        <v>3293</v>
      </c>
      <c r="H81" s="60">
        <v>85.23</v>
      </c>
      <c r="I81" s="60">
        <v>62.04</v>
      </c>
      <c r="J81" s="60">
        <v>83.74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  <c r="AG81" s="60">
        <v>0</v>
      </c>
      <c r="AH81" s="60">
        <v>0</v>
      </c>
      <c r="AI81" s="60">
        <v>85.23</v>
      </c>
      <c r="AJ81" s="60">
        <v>62.04</v>
      </c>
      <c r="AK81" s="60">
        <v>83.74</v>
      </c>
      <c r="AL81" s="60">
        <v>0</v>
      </c>
      <c r="AM81" s="60">
        <v>0</v>
      </c>
      <c r="AN81" s="60">
        <v>0</v>
      </c>
      <c r="AO81" s="60">
        <v>85.23</v>
      </c>
      <c r="AP81" s="60">
        <v>62.04</v>
      </c>
      <c r="AQ81" s="60">
        <v>83.74</v>
      </c>
      <c r="AR81" s="61">
        <v>85.23</v>
      </c>
    </row>
    <row r="82" spans="1:44" x14ac:dyDescent="0.35">
      <c r="A82" s="49" t="str">
        <f t="shared" si="7"/>
        <v>53</v>
      </c>
      <c r="B82" s="27">
        <v>71670</v>
      </c>
      <c r="C82" s="25" t="str">
        <f t="shared" si="5"/>
        <v>0000000</v>
      </c>
      <c r="D82" s="26" t="s">
        <v>3663</v>
      </c>
      <c r="E82" s="25" t="s">
        <v>3294</v>
      </c>
      <c r="F82" s="25" t="s">
        <v>3291</v>
      </c>
      <c r="G82" s="59" t="s">
        <v>3295</v>
      </c>
      <c r="H82" s="60">
        <v>7.42</v>
      </c>
      <c r="I82" s="60">
        <v>9.3699999999999992</v>
      </c>
      <c r="J82" s="60">
        <v>8.77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  <c r="AG82" s="60">
        <v>0</v>
      </c>
      <c r="AH82" s="60">
        <v>0</v>
      </c>
      <c r="AI82" s="60">
        <v>7.42</v>
      </c>
      <c r="AJ82" s="60">
        <v>9.3699999999999992</v>
      </c>
      <c r="AK82" s="60">
        <v>8.77</v>
      </c>
      <c r="AL82" s="60">
        <v>0</v>
      </c>
      <c r="AM82" s="60">
        <v>0</v>
      </c>
      <c r="AN82" s="60">
        <v>0</v>
      </c>
      <c r="AO82" s="60">
        <v>7.42</v>
      </c>
      <c r="AP82" s="60">
        <v>9.3699999999999992</v>
      </c>
      <c r="AQ82" s="60">
        <v>8.77</v>
      </c>
      <c r="AR82" s="61">
        <v>9.3699999999999992</v>
      </c>
    </row>
    <row r="83" spans="1:44" x14ac:dyDescent="0.35">
      <c r="A83" s="49" t="str">
        <f t="shared" si="7"/>
        <v>53</v>
      </c>
      <c r="B83" s="27">
        <v>71696</v>
      </c>
      <c r="C83" s="25" t="str">
        <f t="shared" si="5"/>
        <v>0000000</v>
      </c>
      <c r="D83" s="26" t="s">
        <v>3663</v>
      </c>
      <c r="E83" s="25" t="s">
        <v>3296</v>
      </c>
      <c r="F83" s="25" t="s">
        <v>3291</v>
      </c>
      <c r="G83" s="59" t="s">
        <v>3297</v>
      </c>
      <c r="H83" s="60">
        <v>155.72999999999999</v>
      </c>
      <c r="I83" s="60">
        <v>154.05000000000001</v>
      </c>
      <c r="J83" s="60">
        <v>169.17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  <c r="AG83" s="60">
        <v>0</v>
      </c>
      <c r="AH83" s="60">
        <v>0</v>
      </c>
      <c r="AI83" s="60">
        <v>155.72999999999999</v>
      </c>
      <c r="AJ83" s="60">
        <v>154.05000000000001</v>
      </c>
      <c r="AK83" s="60">
        <v>169.17</v>
      </c>
      <c r="AL83" s="60">
        <v>0</v>
      </c>
      <c r="AM83" s="60">
        <v>0</v>
      </c>
      <c r="AN83" s="60">
        <v>0</v>
      </c>
      <c r="AO83" s="60">
        <v>155.72999999999999</v>
      </c>
      <c r="AP83" s="60">
        <v>154.05000000000001</v>
      </c>
      <c r="AQ83" s="60">
        <v>169.17</v>
      </c>
      <c r="AR83" s="61">
        <v>169.17</v>
      </c>
    </row>
    <row r="84" spans="1:44" x14ac:dyDescent="0.35">
      <c r="A84" s="49" t="str">
        <f t="shared" si="7"/>
        <v>53</v>
      </c>
      <c r="B84" s="27">
        <v>71738</v>
      </c>
      <c r="C84" s="25" t="str">
        <f t="shared" si="5"/>
        <v>0000000</v>
      </c>
      <c r="D84" s="26" t="s">
        <v>3663</v>
      </c>
      <c r="E84" s="25" t="s">
        <v>3298</v>
      </c>
      <c r="F84" s="25" t="s">
        <v>3291</v>
      </c>
      <c r="G84" s="59" t="s">
        <v>3299</v>
      </c>
      <c r="H84" s="60">
        <v>60.26</v>
      </c>
      <c r="I84" s="60">
        <v>67.150000000000006</v>
      </c>
      <c r="J84" s="60">
        <v>73.400000000000006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  <c r="AG84" s="60">
        <v>0</v>
      </c>
      <c r="AH84" s="60">
        <v>0</v>
      </c>
      <c r="AI84" s="60">
        <v>60.26</v>
      </c>
      <c r="AJ84" s="60">
        <v>67.150000000000006</v>
      </c>
      <c r="AK84" s="60">
        <v>73.400000000000006</v>
      </c>
      <c r="AL84" s="60">
        <v>0</v>
      </c>
      <c r="AM84" s="60">
        <v>0</v>
      </c>
      <c r="AN84" s="60">
        <v>0</v>
      </c>
      <c r="AO84" s="60">
        <v>60.26</v>
      </c>
      <c r="AP84" s="60">
        <v>67.150000000000006</v>
      </c>
      <c r="AQ84" s="60">
        <v>73.400000000000006</v>
      </c>
      <c r="AR84" s="61">
        <v>73.400000000000006</v>
      </c>
    </row>
    <row r="85" spans="1:44" x14ac:dyDescent="0.35">
      <c r="A85" s="49" t="str">
        <f t="shared" si="7"/>
        <v>53</v>
      </c>
      <c r="B85" s="27">
        <v>71746</v>
      </c>
      <c r="C85" s="25" t="str">
        <f t="shared" si="5"/>
        <v>0000000</v>
      </c>
      <c r="D85" s="26" t="s">
        <v>3663</v>
      </c>
      <c r="E85" s="25" t="s">
        <v>3300</v>
      </c>
      <c r="F85" s="25" t="s">
        <v>3291</v>
      </c>
      <c r="G85" s="59" t="s">
        <v>3301</v>
      </c>
      <c r="H85" s="60">
        <v>63.04</v>
      </c>
      <c r="I85" s="60">
        <v>55</v>
      </c>
      <c r="J85" s="60">
        <v>62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  <c r="AG85" s="60">
        <v>0</v>
      </c>
      <c r="AH85" s="60">
        <v>0</v>
      </c>
      <c r="AI85" s="60">
        <v>63.04</v>
      </c>
      <c r="AJ85" s="60">
        <v>55</v>
      </c>
      <c r="AK85" s="60">
        <v>62</v>
      </c>
      <c r="AL85" s="60">
        <v>0</v>
      </c>
      <c r="AM85" s="60">
        <v>0</v>
      </c>
      <c r="AN85" s="60">
        <v>0</v>
      </c>
      <c r="AO85" s="60">
        <v>63.04</v>
      </c>
      <c r="AP85" s="60">
        <v>55</v>
      </c>
      <c r="AQ85" s="60">
        <v>62</v>
      </c>
      <c r="AR85" s="61">
        <v>63.04</v>
      </c>
    </row>
    <row r="86" spans="1:44" x14ac:dyDescent="0.35">
      <c r="A86" s="49" t="str">
        <f t="shared" si="7"/>
        <v>53</v>
      </c>
      <c r="B86" s="27">
        <v>71761</v>
      </c>
      <c r="C86" s="25" t="str">
        <f t="shared" si="5"/>
        <v>0000000</v>
      </c>
      <c r="D86" s="26" t="s">
        <v>3663</v>
      </c>
      <c r="E86" s="25" t="s">
        <v>3302</v>
      </c>
      <c r="F86" s="25" t="s">
        <v>3291</v>
      </c>
      <c r="G86" s="59" t="s">
        <v>3303</v>
      </c>
      <c r="H86" s="60">
        <v>10.43</v>
      </c>
      <c r="I86" s="60">
        <v>8.4600000000000009</v>
      </c>
      <c r="J86" s="60">
        <v>16.34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  <c r="AG86" s="60">
        <v>0</v>
      </c>
      <c r="AH86" s="60">
        <v>0</v>
      </c>
      <c r="AI86" s="60">
        <v>10.43</v>
      </c>
      <c r="AJ86" s="60">
        <v>8.4600000000000009</v>
      </c>
      <c r="AK86" s="60">
        <v>16.34</v>
      </c>
      <c r="AL86" s="60">
        <v>0</v>
      </c>
      <c r="AM86" s="60">
        <v>0</v>
      </c>
      <c r="AN86" s="60">
        <v>0</v>
      </c>
      <c r="AO86" s="60">
        <v>10.43</v>
      </c>
      <c r="AP86" s="60">
        <v>8.4600000000000009</v>
      </c>
      <c r="AQ86" s="60">
        <v>16.34</v>
      </c>
      <c r="AR86" s="61">
        <v>16.34</v>
      </c>
    </row>
    <row r="87" spans="1:44" x14ac:dyDescent="0.35">
      <c r="A87" s="49" t="str">
        <f t="shared" si="7"/>
        <v>53</v>
      </c>
      <c r="B87" s="27">
        <v>73833</v>
      </c>
      <c r="C87" s="25" t="str">
        <f t="shared" si="5"/>
        <v>0000000</v>
      </c>
      <c r="D87" s="26" t="s">
        <v>3663</v>
      </c>
      <c r="E87" s="25" t="s">
        <v>3304</v>
      </c>
      <c r="F87" s="25" t="s">
        <v>3291</v>
      </c>
      <c r="G87" s="59" t="s">
        <v>3305</v>
      </c>
      <c r="H87" s="60">
        <v>77.64</v>
      </c>
      <c r="I87" s="60">
        <v>81.31</v>
      </c>
      <c r="J87" s="60">
        <v>82.93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  <c r="AG87" s="60">
        <v>0</v>
      </c>
      <c r="AH87" s="60">
        <v>0</v>
      </c>
      <c r="AI87" s="60">
        <v>77.64</v>
      </c>
      <c r="AJ87" s="60">
        <v>81.31</v>
      </c>
      <c r="AK87" s="60">
        <v>82.93</v>
      </c>
      <c r="AL87" s="60">
        <v>0</v>
      </c>
      <c r="AM87" s="60">
        <v>0</v>
      </c>
      <c r="AN87" s="60">
        <v>0</v>
      </c>
      <c r="AO87" s="60">
        <v>77.64</v>
      </c>
      <c r="AP87" s="60">
        <v>81.31</v>
      </c>
      <c r="AQ87" s="60">
        <v>82.93</v>
      </c>
      <c r="AR87" s="61">
        <v>82.93</v>
      </c>
    </row>
    <row r="88" spans="1:44" x14ac:dyDescent="0.35">
      <c r="A88" s="49" t="str">
        <f t="shared" si="7"/>
        <v>53</v>
      </c>
      <c r="B88" s="27">
        <v>75028</v>
      </c>
      <c r="C88" s="25" t="str">
        <f t="shared" si="5"/>
        <v>0000000</v>
      </c>
      <c r="D88" s="26" t="s">
        <v>3663</v>
      </c>
      <c r="E88" s="25" t="s">
        <v>3306</v>
      </c>
      <c r="F88" s="25" t="s">
        <v>3291</v>
      </c>
      <c r="G88" s="59" t="s">
        <v>3307</v>
      </c>
      <c r="H88" s="60">
        <v>307.22000000000003</v>
      </c>
      <c r="I88" s="60">
        <v>279.83999999999997</v>
      </c>
      <c r="J88" s="60">
        <v>276.26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  <c r="AG88" s="60">
        <v>0</v>
      </c>
      <c r="AH88" s="60">
        <v>0</v>
      </c>
      <c r="AI88" s="60">
        <v>307.22000000000003</v>
      </c>
      <c r="AJ88" s="60">
        <v>279.83999999999997</v>
      </c>
      <c r="AK88" s="60">
        <v>276.26</v>
      </c>
      <c r="AL88" s="60">
        <v>0</v>
      </c>
      <c r="AM88" s="60">
        <v>0</v>
      </c>
      <c r="AN88" s="60">
        <v>0</v>
      </c>
      <c r="AO88" s="60">
        <v>307.22000000000003</v>
      </c>
      <c r="AP88" s="60">
        <v>279.83999999999997</v>
      </c>
      <c r="AQ88" s="60">
        <v>276.26</v>
      </c>
      <c r="AR88" s="61">
        <v>307.22000000000003</v>
      </c>
    </row>
    <row r="89" spans="1:44" x14ac:dyDescent="0.35">
      <c r="A89" s="49" t="str">
        <f t="shared" si="7"/>
        <v>53</v>
      </c>
      <c r="B89" s="27">
        <v>76513</v>
      </c>
      <c r="C89" s="25" t="str">
        <f t="shared" ref="C89:C100" si="8">TEXT(,"0000000")</f>
        <v>0000000</v>
      </c>
      <c r="D89" s="26" t="s">
        <v>3663</v>
      </c>
      <c r="E89" s="25" t="s">
        <v>3308</v>
      </c>
      <c r="F89" s="25" t="s">
        <v>3291</v>
      </c>
      <c r="G89" s="59" t="s">
        <v>3309</v>
      </c>
      <c r="H89" s="60">
        <v>616.09</v>
      </c>
      <c r="I89" s="60">
        <v>581.30999999999995</v>
      </c>
      <c r="J89" s="60">
        <v>625.02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  <c r="AG89" s="60">
        <v>0</v>
      </c>
      <c r="AH89" s="60">
        <v>0</v>
      </c>
      <c r="AI89" s="60">
        <v>616.09</v>
      </c>
      <c r="AJ89" s="60">
        <v>581.30999999999995</v>
      </c>
      <c r="AK89" s="60">
        <v>625.02</v>
      </c>
      <c r="AL89" s="60">
        <v>0</v>
      </c>
      <c r="AM89" s="60">
        <v>0</v>
      </c>
      <c r="AN89" s="60">
        <v>0</v>
      </c>
      <c r="AO89" s="60">
        <v>616.09</v>
      </c>
      <c r="AP89" s="60">
        <v>581.30999999999995</v>
      </c>
      <c r="AQ89" s="60">
        <v>625.02</v>
      </c>
      <c r="AR89" s="61">
        <v>625.02</v>
      </c>
    </row>
    <row r="90" spans="1:44" x14ac:dyDescent="0.35">
      <c r="A90" s="49" t="str">
        <f t="shared" ref="A90:A102" si="9">TEXT(40,"00")</f>
        <v>40</v>
      </c>
      <c r="B90" s="27">
        <v>10405</v>
      </c>
      <c r="C90" s="25" t="str">
        <f t="shared" si="8"/>
        <v>0000000</v>
      </c>
      <c r="D90" s="26" t="s">
        <v>3663</v>
      </c>
      <c r="E90" s="25" t="s">
        <v>2511</v>
      </c>
      <c r="F90" s="25" t="s">
        <v>2512</v>
      </c>
      <c r="G90" s="59" t="s">
        <v>2512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61.17</v>
      </c>
      <c r="U90" s="60">
        <v>50.09</v>
      </c>
      <c r="V90" s="60">
        <v>97.8</v>
      </c>
      <c r="W90" s="60">
        <v>14.14</v>
      </c>
      <c r="X90" s="60">
        <v>15.4</v>
      </c>
      <c r="Y90" s="60">
        <v>32.950000000000003</v>
      </c>
      <c r="Z90" s="60">
        <v>199.82</v>
      </c>
      <c r="AA90" s="60">
        <v>163.72</v>
      </c>
      <c r="AB90" s="60">
        <v>261.66000000000003</v>
      </c>
      <c r="AC90" s="60">
        <v>0</v>
      </c>
      <c r="AD90" s="60">
        <v>0</v>
      </c>
      <c r="AE90" s="60">
        <v>0</v>
      </c>
      <c r="AF90" s="60">
        <v>0</v>
      </c>
      <c r="AG90" s="60">
        <v>0</v>
      </c>
      <c r="AH90" s="60">
        <v>0</v>
      </c>
      <c r="AI90" s="60">
        <v>275.13</v>
      </c>
      <c r="AJ90" s="60">
        <v>229.21</v>
      </c>
      <c r="AK90" s="60">
        <v>392.41</v>
      </c>
      <c r="AL90" s="60">
        <v>0</v>
      </c>
      <c r="AM90" s="60">
        <v>0</v>
      </c>
      <c r="AN90" s="60">
        <v>0</v>
      </c>
      <c r="AO90" s="60">
        <v>275.13</v>
      </c>
      <c r="AP90" s="60">
        <v>229.21</v>
      </c>
      <c r="AQ90" s="60">
        <v>392.41</v>
      </c>
      <c r="AR90" s="61">
        <v>392.41</v>
      </c>
    </row>
    <row r="91" spans="1:44" x14ac:dyDescent="0.35">
      <c r="A91" s="49" t="str">
        <f t="shared" si="9"/>
        <v>40</v>
      </c>
      <c r="B91" s="27">
        <v>68726</v>
      </c>
      <c r="C91" s="25" t="str">
        <f t="shared" si="8"/>
        <v>0000000</v>
      </c>
      <c r="D91" s="26" t="s">
        <v>3663</v>
      </c>
      <c r="E91" s="25" t="s">
        <v>2517</v>
      </c>
      <c r="F91" s="25" t="s">
        <v>2512</v>
      </c>
      <c r="G91" s="59" t="s">
        <v>2518</v>
      </c>
      <c r="H91" s="60">
        <v>158.13999999999999</v>
      </c>
      <c r="I91" s="60">
        <v>159.49</v>
      </c>
      <c r="J91" s="60">
        <v>179.39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  <c r="AG91" s="60">
        <v>0</v>
      </c>
      <c r="AH91" s="60">
        <v>0</v>
      </c>
      <c r="AI91" s="60">
        <v>158.13999999999999</v>
      </c>
      <c r="AJ91" s="60">
        <v>159.49</v>
      </c>
      <c r="AK91" s="60">
        <v>179.39</v>
      </c>
      <c r="AL91" s="60">
        <v>0</v>
      </c>
      <c r="AM91" s="60">
        <v>0</v>
      </c>
      <c r="AN91" s="60">
        <v>0</v>
      </c>
      <c r="AO91" s="60">
        <v>158.13999999999999</v>
      </c>
      <c r="AP91" s="60">
        <v>159.49</v>
      </c>
      <c r="AQ91" s="60">
        <v>179.39</v>
      </c>
      <c r="AR91" s="61">
        <v>179.39</v>
      </c>
    </row>
    <row r="92" spans="1:44" x14ac:dyDescent="0.35">
      <c r="A92" s="49" t="str">
        <f t="shared" si="9"/>
        <v>40</v>
      </c>
      <c r="B92" s="27">
        <v>68825</v>
      </c>
      <c r="C92" s="25" t="str">
        <f t="shared" si="8"/>
        <v>0000000</v>
      </c>
      <c r="D92" s="26" t="s">
        <v>3663</v>
      </c>
      <c r="E92" s="25" t="s">
        <v>2528</v>
      </c>
      <c r="F92" s="25" t="s">
        <v>2512</v>
      </c>
      <c r="G92" s="59" t="s">
        <v>2529</v>
      </c>
      <c r="H92" s="60">
        <v>595.89</v>
      </c>
      <c r="I92" s="60">
        <v>567.66</v>
      </c>
      <c r="J92" s="60">
        <v>604.67999999999995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  <c r="AG92" s="60">
        <v>0</v>
      </c>
      <c r="AH92" s="60">
        <v>0</v>
      </c>
      <c r="AI92" s="60">
        <v>595.89</v>
      </c>
      <c r="AJ92" s="60">
        <v>567.66</v>
      </c>
      <c r="AK92" s="60">
        <v>604.67999999999995</v>
      </c>
      <c r="AL92" s="60">
        <v>0</v>
      </c>
      <c r="AM92" s="60">
        <v>0</v>
      </c>
      <c r="AN92" s="60">
        <v>0</v>
      </c>
      <c r="AO92" s="60">
        <v>595.89</v>
      </c>
      <c r="AP92" s="60">
        <v>567.66</v>
      </c>
      <c r="AQ92" s="60">
        <v>604.67999999999995</v>
      </c>
      <c r="AR92" s="61">
        <v>604.67999999999995</v>
      </c>
    </row>
    <row r="93" spans="1:44" x14ac:dyDescent="0.35">
      <c r="A93" s="49" t="str">
        <f t="shared" si="9"/>
        <v>40</v>
      </c>
      <c r="B93" s="27">
        <v>68791</v>
      </c>
      <c r="C93" s="25" t="str">
        <f t="shared" si="8"/>
        <v>0000000</v>
      </c>
      <c r="D93" s="26" t="s">
        <v>3663</v>
      </c>
      <c r="E93" s="25" t="s">
        <v>2521</v>
      </c>
      <c r="F93" s="25" t="s">
        <v>2512</v>
      </c>
      <c r="G93" s="59" t="s">
        <v>2522</v>
      </c>
      <c r="H93" s="60">
        <v>51.73</v>
      </c>
      <c r="I93" s="60">
        <v>48.74</v>
      </c>
      <c r="J93" s="60">
        <v>56.28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  <c r="AG93" s="60">
        <v>0</v>
      </c>
      <c r="AH93" s="60">
        <v>0</v>
      </c>
      <c r="AI93" s="60">
        <v>51.73</v>
      </c>
      <c r="AJ93" s="60">
        <v>48.74</v>
      </c>
      <c r="AK93" s="60">
        <v>56.28</v>
      </c>
      <c r="AL93" s="60">
        <v>0</v>
      </c>
      <c r="AM93" s="60">
        <v>0</v>
      </c>
      <c r="AN93" s="60">
        <v>0</v>
      </c>
      <c r="AO93" s="60">
        <v>51.73</v>
      </c>
      <c r="AP93" s="60">
        <v>48.74</v>
      </c>
      <c r="AQ93" s="60">
        <v>56.28</v>
      </c>
      <c r="AR93" s="61">
        <v>56.28</v>
      </c>
    </row>
    <row r="94" spans="1:44" x14ac:dyDescent="0.35">
      <c r="A94" s="49" t="str">
        <f t="shared" si="9"/>
        <v>40</v>
      </c>
      <c r="B94" s="27">
        <v>68700</v>
      </c>
      <c r="C94" s="25" t="str">
        <f t="shared" si="8"/>
        <v>0000000</v>
      </c>
      <c r="D94" s="26" t="s">
        <v>3663</v>
      </c>
      <c r="E94" s="25" t="s">
        <v>2515</v>
      </c>
      <c r="F94" s="25" t="s">
        <v>2512</v>
      </c>
      <c r="G94" s="59" t="s">
        <v>2516</v>
      </c>
      <c r="H94" s="60">
        <v>4006.62</v>
      </c>
      <c r="I94" s="60">
        <v>3946.84</v>
      </c>
      <c r="J94" s="60">
        <v>4405.7700000000004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  <c r="AG94" s="60">
        <v>0</v>
      </c>
      <c r="AH94" s="60">
        <v>0</v>
      </c>
      <c r="AI94" s="60">
        <v>4006.62</v>
      </c>
      <c r="AJ94" s="60">
        <v>3946.84</v>
      </c>
      <c r="AK94" s="60">
        <v>4405.7700000000004</v>
      </c>
      <c r="AL94" s="60">
        <v>0</v>
      </c>
      <c r="AM94" s="60">
        <v>0</v>
      </c>
      <c r="AN94" s="60">
        <v>0</v>
      </c>
      <c r="AO94" s="60">
        <v>4006.62</v>
      </c>
      <c r="AP94" s="60">
        <v>3946.84</v>
      </c>
      <c r="AQ94" s="60">
        <v>4405.7700000000004</v>
      </c>
      <c r="AR94" s="61">
        <v>4405.7700000000004</v>
      </c>
    </row>
    <row r="95" spans="1:44" x14ac:dyDescent="0.35">
      <c r="A95" s="49" t="str">
        <f t="shared" si="9"/>
        <v>40</v>
      </c>
      <c r="B95" s="27">
        <v>68759</v>
      </c>
      <c r="C95" s="25" t="str">
        <f t="shared" si="8"/>
        <v>0000000</v>
      </c>
      <c r="D95" s="26" t="s">
        <v>3663</v>
      </c>
      <c r="E95" s="25" t="s">
        <v>2519</v>
      </c>
      <c r="F95" s="25" t="s">
        <v>2512</v>
      </c>
      <c r="G95" s="59" t="s">
        <v>2520</v>
      </c>
      <c r="H95" s="60">
        <v>8897.5400000000009</v>
      </c>
      <c r="I95" s="60">
        <v>8999.7000000000007</v>
      </c>
      <c r="J95" s="60">
        <v>9805.5300000000007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  <c r="AG95" s="60">
        <v>0</v>
      </c>
      <c r="AH95" s="60">
        <v>0</v>
      </c>
      <c r="AI95" s="60">
        <v>8897.5400000000009</v>
      </c>
      <c r="AJ95" s="60">
        <v>8999.7000000000007</v>
      </c>
      <c r="AK95" s="60">
        <v>9805.5300000000007</v>
      </c>
      <c r="AL95" s="60">
        <v>0</v>
      </c>
      <c r="AM95" s="60">
        <v>0</v>
      </c>
      <c r="AN95" s="60">
        <v>0</v>
      </c>
      <c r="AO95" s="60">
        <v>8897.5400000000009</v>
      </c>
      <c r="AP95" s="60">
        <v>8999.7000000000007</v>
      </c>
      <c r="AQ95" s="60">
        <v>9805.5300000000007</v>
      </c>
      <c r="AR95" s="61">
        <v>9805.5300000000007</v>
      </c>
    </row>
    <row r="96" spans="1:44" x14ac:dyDescent="0.35">
      <c r="A96" s="49" t="str">
        <f t="shared" si="9"/>
        <v>40</v>
      </c>
      <c r="B96" s="27">
        <v>68809</v>
      </c>
      <c r="C96" s="25" t="str">
        <f t="shared" si="8"/>
        <v>0000000</v>
      </c>
      <c r="D96" s="26" t="s">
        <v>3663</v>
      </c>
      <c r="E96" s="25" t="s">
        <v>2523</v>
      </c>
      <c r="F96" s="25" t="s">
        <v>2512</v>
      </c>
      <c r="G96" s="59" t="s">
        <v>2524</v>
      </c>
      <c r="H96" s="60">
        <v>6953.48</v>
      </c>
      <c r="I96" s="60">
        <v>6797.5</v>
      </c>
      <c r="J96" s="60">
        <v>7262.05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  <c r="AG96" s="60">
        <v>0</v>
      </c>
      <c r="AH96" s="60">
        <v>0</v>
      </c>
      <c r="AI96" s="60">
        <v>6953.48</v>
      </c>
      <c r="AJ96" s="60">
        <v>6797.5</v>
      </c>
      <c r="AK96" s="60">
        <v>7262.05</v>
      </c>
      <c r="AL96" s="60">
        <v>0</v>
      </c>
      <c r="AM96" s="60">
        <v>0</v>
      </c>
      <c r="AN96" s="60">
        <v>0</v>
      </c>
      <c r="AO96" s="60">
        <v>6953.48</v>
      </c>
      <c r="AP96" s="60">
        <v>6797.5</v>
      </c>
      <c r="AQ96" s="60">
        <v>7262.05</v>
      </c>
      <c r="AR96" s="61">
        <v>7262.05</v>
      </c>
    </row>
    <row r="97" spans="1:44" x14ac:dyDescent="0.35">
      <c r="A97" s="49" t="str">
        <f t="shared" si="9"/>
        <v>40</v>
      </c>
      <c r="B97" s="27">
        <v>68833</v>
      </c>
      <c r="C97" s="25" t="str">
        <f t="shared" si="8"/>
        <v>0000000</v>
      </c>
      <c r="D97" s="26" t="s">
        <v>3663</v>
      </c>
      <c r="E97" s="25" t="s">
        <v>2530</v>
      </c>
      <c r="F97" s="25" t="s">
        <v>2512</v>
      </c>
      <c r="G97" s="59" t="s">
        <v>2531</v>
      </c>
      <c r="H97" s="60">
        <v>244.32</v>
      </c>
      <c r="I97" s="60">
        <v>248.12</v>
      </c>
      <c r="J97" s="60">
        <v>270.23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  <c r="AG97" s="60">
        <v>0</v>
      </c>
      <c r="AH97" s="60">
        <v>0</v>
      </c>
      <c r="AI97" s="60">
        <v>244.32</v>
      </c>
      <c r="AJ97" s="60">
        <v>248.12</v>
      </c>
      <c r="AK97" s="60">
        <v>270.23</v>
      </c>
      <c r="AL97" s="60">
        <v>0</v>
      </c>
      <c r="AM97" s="60">
        <v>0</v>
      </c>
      <c r="AN97" s="60">
        <v>0</v>
      </c>
      <c r="AO97" s="60">
        <v>244.32</v>
      </c>
      <c r="AP97" s="60">
        <v>248.12</v>
      </c>
      <c r="AQ97" s="60">
        <v>270.23</v>
      </c>
      <c r="AR97" s="61">
        <v>270.23</v>
      </c>
    </row>
    <row r="98" spans="1:44" x14ac:dyDescent="0.35">
      <c r="A98" s="49" t="str">
        <f t="shared" si="9"/>
        <v>40</v>
      </c>
      <c r="B98" s="27">
        <v>68841</v>
      </c>
      <c r="C98" s="25" t="str">
        <f t="shared" si="8"/>
        <v>0000000</v>
      </c>
      <c r="D98" s="26" t="s">
        <v>3663</v>
      </c>
      <c r="E98" s="25" t="s">
        <v>2532</v>
      </c>
      <c r="F98" s="25" t="s">
        <v>2512</v>
      </c>
      <c r="G98" s="59" t="s">
        <v>2533</v>
      </c>
      <c r="H98" s="60">
        <v>2119.2800000000002</v>
      </c>
      <c r="I98" s="60">
        <v>2155.84</v>
      </c>
      <c r="J98" s="60">
        <v>2314.29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  <c r="AG98" s="60">
        <v>0</v>
      </c>
      <c r="AH98" s="60">
        <v>0</v>
      </c>
      <c r="AI98" s="60">
        <v>2119.2800000000002</v>
      </c>
      <c r="AJ98" s="60">
        <v>2155.84</v>
      </c>
      <c r="AK98" s="60">
        <v>2314.29</v>
      </c>
      <c r="AL98" s="60">
        <v>0</v>
      </c>
      <c r="AM98" s="60">
        <v>0</v>
      </c>
      <c r="AN98" s="60">
        <v>0</v>
      </c>
      <c r="AO98" s="60">
        <v>2119.2800000000002</v>
      </c>
      <c r="AP98" s="60">
        <v>2155.84</v>
      </c>
      <c r="AQ98" s="60">
        <v>2314.29</v>
      </c>
      <c r="AR98" s="61">
        <v>2314.29</v>
      </c>
    </row>
    <row r="99" spans="1:44" x14ac:dyDescent="0.35">
      <c r="A99" s="49" t="str">
        <f t="shared" si="9"/>
        <v>40</v>
      </c>
      <c r="B99" s="27">
        <v>75465</v>
      </c>
      <c r="C99" s="25" t="str">
        <f t="shared" si="8"/>
        <v>0000000</v>
      </c>
      <c r="D99" s="26" t="s">
        <v>3663</v>
      </c>
      <c r="E99" s="25" t="s">
        <v>2536</v>
      </c>
      <c r="F99" s="25" t="s">
        <v>2512</v>
      </c>
      <c r="G99" s="59" t="s">
        <v>2537</v>
      </c>
      <c r="H99" s="60">
        <v>445.27</v>
      </c>
      <c r="I99" s="60">
        <v>457.65</v>
      </c>
      <c r="J99" s="60">
        <v>550.91999999999996</v>
      </c>
      <c r="K99" s="60">
        <v>0</v>
      </c>
      <c r="L99" s="60">
        <v>0</v>
      </c>
      <c r="M99" s="60">
        <v>0</v>
      </c>
      <c r="N99" s="60">
        <v>0</v>
      </c>
      <c r="O99" s="60">
        <v>0</v>
      </c>
      <c r="P99" s="60">
        <v>0</v>
      </c>
      <c r="Q99" s="60">
        <v>0</v>
      </c>
      <c r="R99" s="60">
        <v>0</v>
      </c>
      <c r="S99" s="60">
        <v>0</v>
      </c>
      <c r="T99" s="60">
        <v>0</v>
      </c>
      <c r="U99" s="60">
        <v>0</v>
      </c>
      <c r="V99" s="60">
        <v>0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60">
        <v>0</v>
      </c>
      <c r="AC99" s="60">
        <v>0</v>
      </c>
      <c r="AD99" s="60">
        <v>0</v>
      </c>
      <c r="AE99" s="60">
        <v>0</v>
      </c>
      <c r="AF99" s="60">
        <v>0</v>
      </c>
      <c r="AG99" s="60">
        <v>0</v>
      </c>
      <c r="AH99" s="60">
        <v>0</v>
      </c>
      <c r="AI99" s="60">
        <v>445.27</v>
      </c>
      <c r="AJ99" s="60">
        <v>457.65</v>
      </c>
      <c r="AK99" s="60">
        <v>550.91999999999996</v>
      </c>
      <c r="AL99" s="60">
        <v>0</v>
      </c>
      <c r="AM99" s="60">
        <v>0</v>
      </c>
      <c r="AN99" s="60">
        <v>0</v>
      </c>
      <c r="AO99" s="60">
        <v>445.27</v>
      </c>
      <c r="AP99" s="60">
        <v>457.65</v>
      </c>
      <c r="AQ99" s="60">
        <v>550.91999999999996</v>
      </c>
      <c r="AR99" s="61">
        <v>550.91999999999996</v>
      </c>
    </row>
    <row r="100" spans="1:44" x14ac:dyDescent="0.35">
      <c r="A100" s="49" t="str">
        <f t="shared" si="9"/>
        <v>40</v>
      </c>
      <c r="B100" s="27">
        <v>75457</v>
      </c>
      <c r="C100" s="25" t="str">
        <f t="shared" si="8"/>
        <v>0000000</v>
      </c>
      <c r="D100" s="26" t="s">
        <v>3663</v>
      </c>
      <c r="E100" s="25" t="s">
        <v>2534</v>
      </c>
      <c r="F100" s="25" t="s">
        <v>2512</v>
      </c>
      <c r="G100" s="59" t="s">
        <v>2535</v>
      </c>
      <c r="H100" s="60">
        <v>5789.31</v>
      </c>
      <c r="I100" s="60">
        <v>5832.94</v>
      </c>
      <c r="J100" s="60">
        <v>6471.28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60">
        <v>0</v>
      </c>
      <c r="AC100" s="60">
        <v>0</v>
      </c>
      <c r="AD100" s="60">
        <v>0</v>
      </c>
      <c r="AE100" s="60">
        <v>0</v>
      </c>
      <c r="AF100" s="60">
        <v>0</v>
      </c>
      <c r="AG100" s="60">
        <v>0</v>
      </c>
      <c r="AH100" s="60">
        <v>0</v>
      </c>
      <c r="AI100" s="60">
        <v>5789.31</v>
      </c>
      <c r="AJ100" s="60">
        <v>5832.94</v>
      </c>
      <c r="AK100" s="60">
        <v>6471.28</v>
      </c>
      <c r="AL100" s="60">
        <v>0</v>
      </c>
      <c r="AM100" s="60">
        <v>0</v>
      </c>
      <c r="AN100" s="60">
        <v>0</v>
      </c>
      <c r="AO100" s="60">
        <v>5789.31</v>
      </c>
      <c r="AP100" s="60">
        <v>5832.94</v>
      </c>
      <c r="AQ100" s="60">
        <v>6471.28</v>
      </c>
      <c r="AR100" s="61">
        <v>6471.28</v>
      </c>
    </row>
    <row r="101" spans="1:44" x14ac:dyDescent="0.35">
      <c r="A101" s="49" t="str">
        <f t="shared" si="9"/>
        <v>40</v>
      </c>
      <c r="B101" s="27">
        <v>10405</v>
      </c>
      <c r="C101" s="25" t="str">
        <f>TEXT(125807,"0000000")</f>
        <v>0125807</v>
      </c>
      <c r="D101" s="27">
        <v>1395</v>
      </c>
      <c r="E101" s="25" t="s">
        <v>2513</v>
      </c>
      <c r="F101" s="25" t="s">
        <v>2512</v>
      </c>
      <c r="G101" s="59" t="s">
        <v>2514</v>
      </c>
      <c r="H101" s="60">
        <v>0</v>
      </c>
      <c r="I101" s="60">
        <v>0</v>
      </c>
      <c r="J101" s="60">
        <v>0</v>
      </c>
      <c r="K101" s="60">
        <v>0</v>
      </c>
      <c r="L101" s="60">
        <v>0</v>
      </c>
      <c r="M101" s="60">
        <v>0</v>
      </c>
      <c r="N101" s="60">
        <v>0</v>
      </c>
      <c r="O101" s="60">
        <v>0</v>
      </c>
      <c r="P101" s="60">
        <v>0</v>
      </c>
      <c r="Q101" s="60">
        <v>0</v>
      </c>
      <c r="R101" s="60">
        <v>0</v>
      </c>
      <c r="S101" s="60">
        <v>0</v>
      </c>
      <c r="T101" s="60">
        <v>0</v>
      </c>
      <c r="U101" s="60">
        <v>0</v>
      </c>
      <c r="V101" s="60">
        <v>0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60">
        <v>0</v>
      </c>
      <c r="AC101" s="60">
        <v>428.08</v>
      </c>
      <c r="AD101" s="60">
        <v>362.04</v>
      </c>
      <c r="AE101" s="60">
        <v>277.10000000000002</v>
      </c>
      <c r="AF101" s="60">
        <v>0</v>
      </c>
      <c r="AG101" s="60">
        <v>0</v>
      </c>
      <c r="AH101" s="60">
        <v>0</v>
      </c>
      <c r="AI101" s="60">
        <v>428.08</v>
      </c>
      <c r="AJ101" s="60">
        <v>362.04</v>
      </c>
      <c r="AK101" s="60">
        <v>277.10000000000002</v>
      </c>
      <c r="AL101" s="60">
        <v>0</v>
      </c>
      <c r="AM101" s="60">
        <v>0</v>
      </c>
      <c r="AN101" s="60">
        <v>0</v>
      </c>
      <c r="AO101" s="60">
        <v>428.08</v>
      </c>
      <c r="AP101" s="60">
        <v>362.04</v>
      </c>
      <c r="AQ101" s="60">
        <v>277.10000000000002</v>
      </c>
      <c r="AR101" s="61">
        <v>428.08</v>
      </c>
    </row>
    <row r="102" spans="1:44" x14ac:dyDescent="0.35">
      <c r="A102" s="49" t="str">
        <f t="shared" si="9"/>
        <v>40</v>
      </c>
      <c r="B102" s="27">
        <v>68809</v>
      </c>
      <c r="C102" s="25" t="str">
        <f>TEXT(6043194,"0000000")</f>
        <v>6043194</v>
      </c>
      <c r="D102" s="26" t="s">
        <v>2527</v>
      </c>
      <c r="E102" s="25" t="s">
        <v>2525</v>
      </c>
      <c r="F102" s="25" t="s">
        <v>2512</v>
      </c>
      <c r="G102" s="59" t="s">
        <v>2526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60">
        <v>0</v>
      </c>
      <c r="AC102" s="60">
        <v>150.88999999999999</v>
      </c>
      <c r="AD102" s="60">
        <v>150.75</v>
      </c>
      <c r="AE102" s="60">
        <v>157.19999999999999</v>
      </c>
      <c r="AF102" s="60">
        <v>0</v>
      </c>
      <c r="AG102" s="60">
        <v>0</v>
      </c>
      <c r="AH102" s="60">
        <v>0</v>
      </c>
      <c r="AI102" s="60">
        <v>150.88999999999999</v>
      </c>
      <c r="AJ102" s="60">
        <v>150.75</v>
      </c>
      <c r="AK102" s="60">
        <v>157.19999999999999</v>
      </c>
      <c r="AL102" s="60">
        <v>0</v>
      </c>
      <c r="AM102" s="60">
        <v>0</v>
      </c>
      <c r="AN102" s="60">
        <v>0</v>
      </c>
      <c r="AO102" s="60">
        <v>150.88999999999999</v>
      </c>
      <c r="AP102" s="60">
        <v>150.75</v>
      </c>
      <c r="AQ102" s="60">
        <v>157.19999999999999</v>
      </c>
      <c r="AR102" s="61">
        <v>157.19999999999999</v>
      </c>
    </row>
    <row r="103" spans="1:44" x14ac:dyDescent="0.35">
      <c r="A103" s="49" t="str">
        <f t="shared" ref="A103:A115" si="10">TEXT(18,"00")</f>
        <v>18</v>
      </c>
      <c r="B103" s="27">
        <v>10181</v>
      </c>
      <c r="C103" s="25" t="str">
        <f t="shared" ref="C103:C113" si="11">TEXT(,"0000000")</f>
        <v>0000000</v>
      </c>
      <c r="D103" s="26" t="s">
        <v>3663</v>
      </c>
      <c r="E103" s="25" t="s">
        <v>801</v>
      </c>
      <c r="F103" s="25" t="s">
        <v>802</v>
      </c>
      <c r="G103" s="59" t="s">
        <v>802</v>
      </c>
      <c r="H103" s="60">
        <v>0</v>
      </c>
      <c r="I103" s="60">
        <v>0</v>
      </c>
      <c r="J103" s="60">
        <v>0</v>
      </c>
      <c r="K103" s="60">
        <v>0</v>
      </c>
      <c r="L103" s="60">
        <v>0</v>
      </c>
      <c r="M103" s="60">
        <v>0</v>
      </c>
      <c r="N103" s="60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0</v>
      </c>
      <c r="U103" s="60">
        <v>0</v>
      </c>
      <c r="V103" s="60">
        <v>0</v>
      </c>
      <c r="W103" s="60">
        <v>9.58</v>
      </c>
      <c r="X103" s="60">
        <v>8.43</v>
      </c>
      <c r="Y103" s="60">
        <v>10.210000000000001</v>
      </c>
      <c r="Z103" s="60">
        <v>0</v>
      </c>
      <c r="AA103" s="60">
        <v>0</v>
      </c>
      <c r="AB103" s="60">
        <v>0</v>
      </c>
      <c r="AC103" s="60">
        <v>0</v>
      </c>
      <c r="AD103" s="60">
        <v>0</v>
      </c>
      <c r="AE103" s="60">
        <v>0</v>
      </c>
      <c r="AF103" s="60">
        <v>0</v>
      </c>
      <c r="AG103" s="60">
        <v>0</v>
      </c>
      <c r="AH103" s="60">
        <v>0</v>
      </c>
      <c r="AI103" s="60">
        <v>9.58</v>
      </c>
      <c r="AJ103" s="60">
        <v>8.43</v>
      </c>
      <c r="AK103" s="60">
        <v>10.210000000000001</v>
      </c>
      <c r="AL103" s="60">
        <v>0</v>
      </c>
      <c r="AM103" s="60">
        <v>0</v>
      </c>
      <c r="AN103" s="60">
        <v>0</v>
      </c>
      <c r="AO103" s="60">
        <v>9.58</v>
      </c>
      <c r="AP103" s="60">
        <v>8.43</v>
      </c>
      <c r="AQ103" s="60">
        <v>10.210000000000001</v>
      </c>
      <c r="AR103" s="61">
        <v>10.210000000000001</v>
      </c>
    </row>
    <row r="104" spans="1:44" x14ac:dyDescent="0.35">
      <c r="A104" s="49" t="str">
        <f t="shared" si="10"/>
        <v>18</v>
      </c>
      <c r="B104" s="27">
        <v>64105</v>
      </c>
      <c r="C104" s="25" t="str">
        <f t="shared" si="11"/>
        <v>0000000</v>
      </c>
      <c r="D104" s="26" t="s">
        <v>3663</v>
      </c>
      <c r="E104" s="25" t="s">
        <v>805</v>
      </c>
      <c r="F104" s="25" t="s">
        <v>802</v>
      </c>
      <c r="G104" s="59" t="s">
        <v>806</v>
      </c>
      <c r="H104" s="60">
        <v>301.74</v>
      </c>
      <c r="I104" s="60">
        <v>323.97000000000003</v>
      </c>
      <c r="J104" s="60">
        <v>362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0">
        <v>0</v>
      </c>
      <c r="AE104" s="60">
        <v>0</v>
      </c>
      <c r="AF104" s="60">
        <v>0</v>
      </c>
      <c r="AG104" s="60">
        <v>0</v>
      </c>
      <c r="AH104" s="60">
        <v>0</v>
      </c>
      <c r="AI104" s="60">
        <v>301.74</v>
      </c>
      <c r="AJ104" s="60">
        <v>323.97000000000003</v>
      </c>
      <c r="AK104" s="60">
        <v>362</v>
      </c>
      <c r="AL104" s="60">
        <v>0</v>
      </c>
      <c r="AM104" s="60">
        <v>0</v>
      </c>
      <c r="AN104" s="60">
        <v>0</v>
      </c>
      <c r="AO104" s="60">
        <v>301.74</v>
      </c>
      <c r="AP104" s="60">
        <v>323.97000000000003</v>
      </c>
      <c r="AQ104" s="60">
        <v>362</v>
      </c>
      <c r="AR104" s="61">
        <v>362</v>
      </c>
    </row>
    <row r="105" spans="1:44" x14ac:dyDescent="0.35">
      <c r="A105" s="49" t="str">
        <f t="shared" si="10"/>
        <v>18</v>
      </c>
      <c r="B105" s="27">
        <v>64139</v>
      </c>
      <c r="C105" s="25" t="str">
        <f t="shared" si="11"/>
        <v>0000000</v>
      </c>
      <c r="D105" s="26" t="s">
        <v>3663</v>
      </c>
      <c r="E105" s="25" t="s">
        <v>809</v>
      </c>
      <c r="F105" s="25" t="s">
        <v>802</v>
      </c>
      <c r="G105" s="59" t="s">
        <v>810</v>
      </c>
      <c r="H105" s="60">
        <v>788.02</v>
      </c>
      <c r="I105" s="60">
        <v>730.61</v>
      </c>
      <c r="J105" s="60">
        <v>749.1</v>
      </c>
      <c r="K105" s="60">
        <v>0</v>
      </c>
      <c r="L105" s="60">
        <v>0</v>
      </c>
      <c r="M105" s="60">
        <v>0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0</v>
      </c>
      <c r="T105" s="60">
        <v>0</v>
      </c>
      <c r="U105" s="60">
        <v>0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60">
        <v>0</v>
      </c>
      <c r="AC105" s="60">
        <v>0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788.02</v>
      </c>
      <c r="AJ105" s="60">
        <v>730.61</v>
      </c>
      <c r="AK105" s="60">
        <v>749.1</v>
      </c>
      <c r="AL105" s="60">
        <v>0</v>
      </c>
      <c r="AM105" s="60">
        <v>0</v>
      </c>
      <c r="AN105" s="60">
        <v>0</v>
      </c>
      <c r="AO105" s="60">
        <v>788.02</v>
      </c>
      <c r="AP105" s="60">
        <v>730.61</v>
      </c>
      <c r="AQ105" s="60">
        <v>749.1</v>
      </c>
      <c r="AR105" s="61">
        <v>788.02</v>
      </c>
    </row>
    <row r="106" spans="1:44" x14ac:dyDescent="0.35">
      <c r="A106" s="49" t="str">
        <f t="shared" si="10"/>
        <v>18</v>
      </c>
      <c r="B106" s="27">
        <v>64196</v>
      </c>
      <c r="C106" s="25" t="str">
        <f t="shared" si="11"/>
        <v>0000000</v>
      </c>
      <c r="D106" s="26" t="s">
        <v>3663</v>
      </c>
      <c r="E106" s="25" t="s">
        <v>817</v>
      </c>
      <c r="F106" s="25" t="s">
        <v>802</v>
      </c>
      <c r="G106" s="59" t="s">
        <v>818</v>
      </c>
      <c r="H106" s="60">
        <v>937.2</v>
      </c>
      <c r="I106" s="60">
        <v>932.06</v>
      </c>
      <c r="J106" s="60">
        <v>1053.07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144.66999999999999</v>
      </c>
      <c r="AE106" s="60">
        <v>156.34</v>
      </c>
      <c r="AF106" s="60">
        <v>0</v>
      </c>
      <c r="AG106" s="60">
        <v>0</v>
      </c>
      <c r="AH106" s="60">
        <v>0</v>
      </c>
      <c r="AI106" s="60">
        <v>937.2</v>
      </c>
      <c r="AJ106" s="60">
        <v>1076.73</v>
      </c>
      <c r="AK106" s="60">
        <v>1209.4100000000001</v>
      </c>
      <c r="AL106" s="60">
        <v>0</v>
      </c>
      <c r="AM106" s="60">
        <v>-144.66999999999999</v>
      </c>
      <c r="AN106" s="60">
        <v>-156.34</v>
      </c>
      <c r="AO106" s="60">
        <v>937.2</v>
      </c>
      <c r="AP106" s="60">
        <v>932.06</v>
      </c>
      <c r="AQ106" s="60">
        <v>1053.07</v>
      </c>
      <c r="AR106" s="61">
        <v>1053.07</v>
      </c>
    </row>
    <row r="107" spans="1:44" x14ac:dyDescent="0.35">
      <c r="A107" s="49" t="str">
        <f t="shared" si="10"/>
        <v>18</v>
      </c>
      <c r="B107" s="27">
        <v>64089</v>
      </c>
      <c r="C107" s="25" t="str">
        <f t="shared" si="11"/>
        <v>0000000</v>
      </c>
      <c r="D107" s="26" t="s">
        <v>3663</v>
      </c>
      <c r="E107" s="25" t="s">
        <v>803</v>
      </c>
      <c r="F107" s="25" t="s">
        <v>802</v>
      </c>
      <c r="G107" s="59" t="s">
        <v>804</v>
      </c>
      <c r="H107" s="60">
        <v>121.75</v>
      </c>
      <c r="I107" s="60">
        <v>115.08</v>
      </c>
      <c r="J107" s="60">
        <v>107.84</v>
      </c>
      <c r="K107" s="60">
        <v>0</v>
      </c>
      <c r="L107" s="60">
        <v>0</v>
      </c>
      <c r="M107" s="60">
        <v>0</v>
      </c>
      <c r="N107" s="60">
        <v>0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T107" s="60">
        <v>0</v>
      </c>
      <c r="U107" s="60">
        <v>0</v>
      </c>
      <c r="V107" s="60">
        <v>0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60">
        <v>0</v>
      </c>
      <c r="AC107" s="60">
        <v>0</v>
      </c>
      <c r="AD107" s="60">
        <v>0</v>
      </c>
      <c r="AE107" s="60">
        <v>0</v>
      </c>
      <c r="AF107" s="60">
        <v>0</v>
      </c>
      <c r="AG107" s="60">
        <v>0</v>
      </c>
      <c r="AH107" s="60">
        <v>0</v>
      </c>
      <c r="AI107" s="60">
        <v>121.75</v>
      </c>
      <c r="AJ107" s="60">
        <v>115.08</v>
      </c>
      <c r="AK107" s="60">
        <v>107.84</v>
      </c>
      <c r="AL107" s="60">
        <v>0</v>
      </c>
      <c r="AM107" s="60">
        <v>0</v>
      </c>
      <c r="AN107" s="60">
        <v>0</v>
      </c>
      <c r="AO107" s="60">
        <v>121.75</v>
      </c>
      <c r="AP107" s="60">
        <v>115.08</v>
      </c>
      <c r="AQ107" s="60">
        <v>107.84</v>
      </c>
      <c r="AR107" s="61">
        <v>121.75</v>
      </c>
    </row>
    <row r="108" spans="1:44" x14ac:dyDescent="0.35">
      <c r="A108" s="49" t="str">
        <f t="shared" si="10"/>
        <v>18</v>
      </c>
      <c r="B108" s="27">
        <v>64113</v>
      </c>
      <c r="C108" s="25" t="str">
        <f t="shared" si="11"/>
        <v>0000000</v>
      </c>
      <c r="D108" s="26" t="s">
        <v>3663</v>
      </c>
      <c r="E108" s="25" t="s">
        <v>807</v>
      </c>
      <c r="F108" s="25" t="s">
        <v>802</v>
      </c>
      <c r="G108" s="59" t="s">
        <v>808</v>
      </c>
      <c r="H108" s="60">
        <v>186.71</v>
      </c>
      <c r="I108" s="60">
        <v>187.21</v>
      </c>
      <c r="J108" s="60">
        <v>177.22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60">
        <v>0</v>
      </c>
      <c r="AC108" s="60">
        <v>0</v>
      </c>
      <c r="AD108" s="60">
        <v>0</v>
      </c>
      <c r="AE108" s="60">
        <v>0</v>
      </c>
      <c r="AF108" s="60">
        <v>0</v>
      </c>
      <c r="AG108" s="60">
        <v>0</v>
      </c>
      <c r="AH108" s="60">
        <v>0</v>
      </c>
      <c r="AI108" s="60">
        <v>186.71</v>
      </c>
      <c r="AJ108" s="60">
        <v>187.21</v>
      </c>
      <c r="AK108" s="60">
        <v>177.22</v>
      </c>
      <c r="AL108" s="60">
        <v>0</v>
      </c>
      <c r="AM108" s="60">
        <v>0</v>
      </c>
      <c r="AN108" s="60">
        <v>0</v>
      </c>
      <c r="AO108" s="60">
        <v>186.71</v>
      </c>
      <c r="AP108" s="60">
        <v>187.21</v>
      </c>
      <c r="AQ108" s="60">
        <v>177.22</v>
      </c>
      <c r="AR108" s="61">
        <v>187.21</v>
      </c>
    </row>
    <row r="109" spans="1:44" x14ac:dyDescent="0.35">
      <c r="A109" s="49" t="str">
        <f t="shared" si="10"/>
        <v>18</v>
      </c>
      <c r="B109" s="27">
        <v>64162</v>
      </c>
      <c r="C109" s="25" t="str">
        <f t="shared" si="11"/>
        <v>0000000</v>
      </c>
      <c r="D109" s="26" t="s">
        <v>3663</v>
      </c>
      <c r="E109" s="25" t="s">
        <v>811</v>
      </c>
      <c r="F109" s="25" t="s">
        <v>802</v>
      </c>
      <c r="G109" s="59" t="s">
        <v>812</v>
      </c>
      <c r="H109" s="60">
        <v>8.66</v>
      </c>
      <c r="I109" s="60">
        <v>11.11</v>
      </c>
      <c r="J109" s="60">
        <v>5.73</v>
      </c>
      <c r="K109" s="60">
        <v>0</v>
      </c>
      <c r="L109" s="60">
        <v>0</v>
      </c>
      <c r="M109" s="60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60">
        <v>0</v>
      </c>
      <c r="T109" s="60">
        <v>0</v>
      </c>
      <c r="U109" s="60"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0">
        <v>0</v>
      </c>
      <c r="AD109" s="60">
        <v>0</v>
      </c>
      <c r="AE109" s="60">
        <v>0</v>
      </c>
      <c r="AF109" s="60">
        <v>0</v>
      </c>
      <c r="AG109" s="60">
        <v>0</v>
      </c>
      <c r="AH109" s="60">
        <v>0</v>
      </c>
      <c r="AI109" s="60">
        <v>8.66</v>
      </c>
      <c r="AJ109" s="60">
        <v>11.11</v>
      </c>
      <c r="AK109" s="60">
        <v>5.73</v>
      </c>
      <c r="AL109" s="60">
        <v>0</v>
      </c>
      <c r="AM109" s="60">
        <v>0</v>
      </c>
      <c r="AN109" s="60">
        <v>0</v>
      </c>
      <c r="AO109" s="60">
        <v>8.66</v>
      </c>
      <c r="AP109" s="60">
        <v>11.11</v>
      </c>
      <c r="AQ109" s="60">
        <v>5.73</v>
      </c>
      <c r="AR109" s="61">
        <v>11.11</v>
      </c>
    </row>
    <row r="110" spans="1:44" x14ac:dyDescent="0.35">
      <c r="A110" s="49" t="str">
        <f t="shared" si="10"/>
        <v>18</v>
      </c>
      <c r="B110" s="27">
        <v>64170</v>
      </c>
      <c r="C110" s="25" t="str">
        <f t="shared" si="11"/>
        <v>0000000</v>
      </c>
      <c r="D110" s="26" t="s">
        <v>3663</v>
      </c>
      <c r="E110" s="25" t="s">
        <v>813</v>
      </c>
      <c r="F110" s="25" t="s">
        <v>802</v>
      </c>
      <c r="G110" s="59" t="s">
        <v>814</v>
      </c>
      <c r="H110" s="60">
        <v>180.11</v>
      </c>
      <c r="I110" s="60">
        <v>182.83</v>
      </c>
      <c r="J110" s="60">
        <v>206.73</v>
      </c>
      <c r="K110" s="60">
        <v>0</v>
      </c>
      <c r="L110" s="60">
        <v>0</v>
      </c>
      <c r="M110" s="60">
        <v>0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60">
        <v>0</v>
      </c>
      <c r="T110" s="60">
        <v>0</v>
      </c>
      <c r="U110" s="60"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0">
        <v>0</v>
      </c>
      <c r="AE110" s="60">
        <v>0</v>
      </c>
      <c r="AF110" s="60">
        <v>0</v>
      </c>
      <c r="AG110" s="60">
        <v>0</v>
      </c>
      <c r="AH110" s="60">
        <v>0</v>
      </c>
      <c r="AI110" s="60">
        <v>180.11</v>
      </c>
      <c r="AJ110" s="60">
        <v>182.83</v>
      </c>
      <c r="AK110" s="60">
        <v>206.73</v>
      </c>
      <c r="AL110" s="60">
        <v>0</v>
      </c>
      <c r="AM110" s="60">
        <v>0</v>
      </c>
      <c r="AN110" s="60">
        <v>0</v>
      </c>
      <c r="AO110" s="60">
        <v>180.11</v>
      </c>
      <c r="AP110" s="60">
        <v>182.83</v>
      </c>
      <c r="AQ110" s="60">
        <v>206.73</v>
      </c>
      <c r="AR110" s="61">
        <v>206.73</v>
      </c>
    </row>
    <row r="111" spans="1:44" x14ac:dyDescent="0.35">
      <c r="A111" s="49" t="str">
        <f t="shared" si="10"/>
        <v>18</v>
      </c>
      <c r="B111" s="27">
        <v>64188</v>
      </c>
      <c r="C111" s="25" t="str">
        <f t="shared" si="11"/>
        <v>0000000</v>
      </c>
      <c r="D111" s="26" t="s">
        <v>3663</v>
      </c>
      <c r="E111" s="25" t="s">
        <v>815</v>
      </c>
      <c r="F111" s="25" t="s">
        <v>802</v>
      </c>
      <c r="G111" s="59" t="s">
        <v>816</v>
      </c>
      <c r="H111" s="60">
        <v>192.8</v>
      </c>
      <c r="I111" s="60">
        <v>174.19</v>
      </c>
      <c r="J111" s="60">
        <v>183.8</v>
      </c>
      <c r="K111" s="60">
        <v>0</v>
      </c>
      <c r="L111" s="60">
        <v>0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60">
        <v>0</v>
      </c>
      <c r="T111" s="60">
        <v>0</v>
      </c>
      <c r="U111" s="60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0">
        <v>0</v>
      </c>
      <c r="AE111" s="60">
        <v>0</v>
      </c>
      <c r="AF111" s="60">
        <v>0</v>
      </c>
      <c r="AG111" s="60">
        <v>0</v>
      </c>
      <c r="AH111" s="60">
        <v>0</v>
      </c>
      <c r="AI111" s="60">
        <v>192.8</v>
      </c>
      <c r="AJ111" s="60">
        <v>174.19</v>
      </c>
      <c r="AK111" s="60">
        <v>183.8</v>
      </c>
      <c r="AL111" s="60">
        <v>0</v>
      </c>
      <c r="AM111" s="60">
        <v>0</v>
      </c>
      <c r="AN111" s="60">
        <v>0</v>
      </c>
      <c r="AO111" s="60">
        <v>192.8</v>
      </c>
      <c r="AP111" s="60">
        <v>174.19</v>
      </c>
      <c r="AQ111" s="60">
        <v>183.8</v>
      </c>
      <c r="AR111" s="61">
        <v>192.8</v>
      </c>
    </row>
    <row r="112" spans="1:44" x14ac:dyDescent="0.35">
      <c r="A112" s="49" t="str">
        <f t="shared" si="10"/>
        <v>18</v>
      </c>
      <c r="B112" s="27">
        <v>64204</v>
      </c>
      <c r="C112" s="25" t="str">
        <f t="shared" si="11"/>
        <v>0000000</v>
      </c>
      <c r="D112" s="26" t="s">
        <v>3663</v>
      </c>
      <c r="E112" s="25" t="s">
        <v>821</v>
      </c>
      <c r="F112" s="25" t="s">
        <v>802</v>
      </c>
      <c r="G112" s="59" t="s">
        <v>822</v>
      </c>
      <c r="H112" s="60">
        <v>156.88</v>
      </c>
      <c r="I112" s="60">
        <v>149.49</v>
      </c>
      <c r="J112" s="60">
        <v>169.52</v>
      </c>
      <c r="K112" s="60">
        <v>0</v>
      </c>
      <c r="L112" s="60">
        <v>0</v>
      </c>
      <c r="M112" s="60">
        <v>0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60">
        <v>0</v>
      </c>
      <c r="T112" s="60">
        <v>0</v>
      </c>
      <c r="U112" s="60"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0">
        <v>0</v>
      </c>
      <c r="AE112" s="60">
        <v>0</v>
      </c>
      <c r="AF112" s="60">
        <v>0</v>
      </c>
      <c r="AG112" s="60">
        <v>0</v>
      </c>
      <c r="AH112" s="60">
        <v>0</v>
      </c>
      <c r="AI112" s="60">
        <v>156.88</v>
      </c>
      <c r="AJ112" s="60">
        <v>149.49</v>
      </c>
      <c r="AK112" s="60">
        <v>169.52</v>
      </c>
      <c r="AL112" s="60">
        <v>0</v>
      </c>
      <c r="AM112" s="60">
        <v>0</v>
      </c>
      <c r="AN112" s="60">
        <v>0</v>
      </c>
      <c r="AO112" s="60">
        <v>156.88</v>
      </c>
      <c r="AP112" s="60">
        <v>149.49</v>
      </c>
      <c r="AQ112" s="60">
        <v>169.52</v>
      </c>
      <c r="AR112" s="61">
        <v>169.52</v>
      </c>
    </row>
    <row r="113" spans="1:44" x14ac:dyDescent="0.35">
      <c r="A113" s="49" t="str">
        <f t="shared" si="10"/>
        <v>18</v>
      </c>
      <c r="B113" s="27">
        <v>75036</v>
      </c>
      <c r="C113" s="25" t="str">
        <f t="shared" si="11"/>
        <v>0000000</v>
      </c>
      <c r="D113" s="26" t="s">
        <v>3663</v>
      </c>
      <c r="E113" s="25" t="s">
        <v>823</v>
      </c>
      <c r="F113" s="25" t="s">
        <v>802</v>
      </c>
      <c r="G113" s="59" t="s">
        <v>824</v>
      </c>
      <c r="H113" s="60">
        <v>80.569999999999993</v>
      </c>
      <c r="I113" s="60">
        <v>88.62</v>
      </c>
      <c r="J113" s="60">
        <v>128.43</v>
      </c>
      <c r="K113" s="60">
        <v>0</v>
      </c>
      <c r="L113" s="60">
        <v>0</v>
      </c>
      <c r="M113" s="60">
        <v>0</v>
      </c>
      <c r="N113" s="60">
        <v>0</v>
      </c>
      <c r="O113" s="60">
        <v>0</v>
      </c>
      <c r="P113" s="60">
        <v>0</v>
      </c>
      <c r="Q113" s="60">
        <v>0</v>
      </c>
      <c r="R113" s="60">
        <v>0</v>
      </c>
      <c r="S113" s="60">
        <v>0</v>
      </c>
      <c r="T113" s="60">
        <v>0</v>
      </c>
      <c r="U113" s="60"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135.63</v>
      </c>
      <c r="AD113" s="60">
        <v>353.24</v>
      </c>
      <c r="AE113" s="60">
        <v>358.18</v>
      </c>
      <c r="AF113" s="60">
        <v>0</v>
      </c>
      <c r="AG113" s="60">
        <v>0</v>
      </c>
      <c r="AH113" s="60">
        <v>0</v>
      </c>
      <c r="AI113" s="60">
        <v>216.2</v>
      </c>
      <c r="AJ113" s="60">
        <v>441.86</v>
      </c>
      <c r="AK113" s="60">
        <v>486.61</v>
      </c>
      <c r="AL113" s="60">
        <v>0</v>
      </c>
      <c r="AM113" s="60">
        <v>-235.8</v>
      </c>
      <c r="AN113" s="60">
        <v>-234.19</v>
      </c>
      <c r="AO113" s="60">
        <v>216.2</v>
      </c>
      <c r="AP113" s="60">
        <v>206.06</v>
      </c>
      <c r="AQ113" s="60">
        <v>252.42</v>
      </c>
      <c r="AR113" s="61">
        <v>252.42</v>
      </c>
    </row>
    <row r="114" spans="1:44" x14ac:dyDescent="0.35">
      <c r="A114" s="49" t="str">
        <f t="shared" si="10"/>
        <v>18</v>
      </c>
      <c r="B114" s="27">
        <v>64196</v>
      </c>
      <c r="C114" s="25" t="str">
        <f>TEXT(135756,"0000000")</f>
        <v>0135756</v>
      </c>
      <c r="D114" s="27">
        <v>2066</v>
      </c>
      <c r="E114" s="25" t="s">
        <v>819</v>
      </c>
      <c r="F114" s="25" t="s">
        <v>802</v>
      </c>
      <c r="G114" s="59" t="s">
        <v>820</v>
      </c>
      <c r="H114" s="60">
        <v>0</v>
      </c>
      <c r="I114" s="60">
        <v>0</v>
      </c>
      <c r="J114" s="60">
        <v>0</v>
      </c>
      <c r="K114" s="60">
        <v>0</v>
      </c>
      <c r="L114" s="60">
        <v>0</v>
      </c>
      <c r="M114" s="60">
        <v>0</v>
      </c>
      <c r="N114" s="60">
        <v>0</v>
      </c>
      <c r="O114" s="60">
        <v>0</v>
      </c>
      <c r="P114" s="60">
        <v>0</v>
      </c>
      <c r="Q114" s="60">
        <v>0</v>
      </c>
      <c r="R114" s="60">
        <v>0</v>
      </c>
      <c r="S114" s="60">
        <v>0</v>
      </c>
      <c r="T114" s="60">
        <v>0</v>
      </c>
      <c r="U114" s="60"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143.56</v>
      </c>
      <c r="AD114" s="60">
        <v>0</v>
      </c>
      <c r="AE114" s="60">
        <v>0</v>
      </c>
      <c r="AF114" s="60">
        <v>0</v>
      </c>
      <c r="AG114" s="60">
        <v>0</v>
      </c>
      <c r="AH114" s="60">
        <v>0</v>
      </c>
      <c r="AI114" s="60">
        <v>143.56</v>
      </c>
      <c r="AJ114" s="60">
        <v>0</v>
      </c>
      <c r="AK114" s="60">
        <v>0</v>
      </c>
      <c r="AL114" s="60">
        <v>0</v>
      </c>
      <c r="AM114" s="60">
        <v>144.66999999999999</v>
      </c>
      <c r="AN114" s="60">
        <v>156.34</v>
      </c>
      <c r="AO114" s="60">
        <v>143.56</v>
      </c>
      <c r="AP114" s="60">
        <v>144.66999999999999</v>
      </c>
      <c r="AQ114" s="60">
        <v>156.34</v>
      </c>
      <c r="AR114" s="61">
        <v>156.34</v>
      </c>
    </row>
    <row r="115" spans="1:44" x14ac:dyDescent="0.35">
      <c r="A115" s="49" t="str">
        <f t="shared" si="10"/>
        <v>18</v>
      </c>
      <c r="B115" s="27">
        <v>75036</v>
      </c>
      <c r="C115" s="25" t="str">
        <f>TEXT(6010763,"0000000")</f>
        <v>6010763</v>
      </c>
      <c r="D115" s="27">
        <v>2067</v>
      </c>
      <c r="E115" s="25" t="s">
        <v>825</v>
      </c>
      <c r="F115" s="25" t="s">
        <v>802</v>
      </c>
      <c r="G115" s="59" t="s">
        <v>826</v>
      </c>
      <c r="H115" s="60">
        <v>0</v>
      </c>
      <c r="I115" s="60">
        <v>0</v>
      </c>
      <c r="J115" s="60">
        <v>0</v>
      </c>
      <c r="K115" s="60">
        <v>0</v>
      </c>
      <c r="L115" s="60">
        <v>0</v>
      </c>
      <c r="M115" s="60">
        <v>0</v>
      </c>
      <c r="N115" s="60">
        <v>0</v>
      </c>
      <c r="O115" s="60">
        <v>0</v>
      </c>
      <c r="P115" s="60">
        <v>0</v>
      </c>
      <c r="Q115" s="60">
        <v>0</v>
      </c>
      <c r="R115" s="60">
        <v>0</v>
      </c>
      <c r="S115" s="60">
        <v>0</v>
      </c>
      <c r="T115" s="60">
        <v>0</v>
      </c>
      <c r="U115" s="60"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224.73</v>
      </c>
      <c r="AD115" s="60">
        <v>0</v>
      </c>
      <c r="AE115" s="60">
        <v>0</v>
      </c>
      <c r="AF115" s="60">
        <v>0</v>
      </c>
      <c r="AG115" s="60">
        <v>0</v>
      </c>
      <c r="AH115" s="60">
        <v>0</v>
      </c>
      <c r="AI115" s="60">
        <v>224.73</v>
      </c>
      <c r="AJ115" s="60">
        <v>0</v>
      </c>
      <c r="AK115" s="60">
        <v>0</v>
      </c>
      <c r="AL115" s="60">
        <v>0</v>
      </c>
      <c r="AM115" s="60">
        <v>235.8</v>
      </c>
      <c r="AN115" s="60">
        <v>234.19</v>
      </c>
      <c r="AO115" s="60">
        <v>224.73</v>
      </c>
      <c r="AP115" s="60">
        <v>235.8</v>
      </c>
      <c r="AQ115" s="60">
        <v>234.19</v>
      </c>
      <c r="AR115" s="61">
        <v>235.8</v>
      </c>
    </row>
    <row r="116" spans="1:44" x14ac:dyDescent="0.35">
      <c r="A116" s="49" t="str">
        <f t="shared" ref="A116:A163" si="12">TEXT(15,"00")</f>
        <v>15</v>
      </c>
      <c r="B116" s="27">
        <v>10157</v>
      </c>
      <c r="C116" s="25" t="str">
        <f t="shared" ref="C116:C158" si="13">TEXT(,"0000000")</f>
        <v>0000000</v>
      </c>
      <c r="D116" s="26" t="s">
        <v>3663</v>
      </c>
      <c r="E116" s="25" t="s">
        <v>639</v>
      </c>
      <c r="F116" s="25" t="s">
        <v>640</v>
      </c>
      <c r="G116" s="59" t="s">
        <v>640</v>
      </c>
      <c r="H116" s="60">
        <v>0</v>
      </c>
      <c r="I116" s="60">
        <v>0</v>
      </c>
      <c r="J116" s="60">
        <v>0</v>
      </c>
      <c r="K116" s="60">
        <v>0</v>
      </c>
      <c r="L116" s="60">
        <v>0</v>
      </c>
      <c r="M116" s="60">
        <v>0</v>
      </c>
      <c r="N116" s="60">
        <v>0</v>
      </c>
      <c r="O116" s="60">
        <v>0</v>
      </c>
      <c r="P116" s="60">
        <v>0</v>
      </c>
      <c r="Q116" s="60">
        <v>0</v>
      </c>
      <c r="R116" s="60">
        <v>0</v>
      </c>
      <c r="S116" s="60">
        <v>0</v>
      </c>
      <c r="T116" s="60">
        <v>638.51</v>
      </c>
      <c r="U116" s="60">
        <v>598.29999999999995</v>
      </c>
      <c r="V116" s="60">
        <v>1193.9000000000001</v>
      </c>
      <c r="W116" s="60">
        <v>1549.7</v>
      </c>
      <c r="X116" s="60">
        <v>1585.48</v>
      </c>
      <c r="Y116" s="60">
        <v>1626.79</v>
      </c>
      <c r="Z116" s="60">
        <v>0</v>
      </c>
      <c r="AA116" s="60">
        <v>0</v>
      </c>
      <c r="AB116" s="60">
        <v>0</v>
      </c>
      <c r="AC116" s="60">
        <v>0</v>
      </c>
      <c r="AD116" s="60">
        <v>0</v>
      </c>
      <c r="AE116" s="60">
        <v>0</v>
      </c>
      <c r="AF116" s="60">
        <v>0</v>
      </c>
      <c r="AG116" s="60">
        <v>0</v>
      </c>
      <c r="AH116" s="60">
        <v>0</v>
      </c>
      <c r="AI116" s="60">
        <v>2188.21</v>
      </c>
      <c r="AJ116" s="60">
        <v>2183.7800000000002</v>
      </c>
      <c r="AK116" s="60">
        <v>2820.69</v>
      </c>
      <c r="AL116" s="60">
        <v>0</v>
      </c>
      <c r="AM116" s="60">
        <v>0</v>
      </c>
      <c r="AN116" s="60">
        <v>0</v>
      </c>
      <c r="AO116" s="60">
        <v>2188.21</v>
      </c>
      <c r="AP116" s="60">
        <v>2183.7800000000002</v>
      </c>
      <c r="AQ116" s="60">
        <v>2820.69</v>
      </c>
      <c r="AR116" s="61">
        <v>2820.69</v>
      </c>
    </row>
    <row r="117" spans="1:44" x14ac:dyDescent="0.35">
      <c r="A117" s="49" t="str">
        <f t="shared" si="12"/>
        <v>15</v>
      </c>
      <c r="B117" s="27">
        <v>63313</v>
      </c>
      <c r="C117" s="25" t="str">
        <f t="shared" si="13"/>
        <v>0000000</v>
      </c>
      <c r="D117" s="26" t="s">
        <v>3663</v>
      </c>
      <c r="E117" s="25" t="s">
        <v>649</v>
      </c>
      <c r="F117" s="25" t="s">
        <v>640</v>
      </c>
      <c r="G117" s="59" t="s">
        <v>650</v>
      </c>
      <c r="H117" s="60">
        <v>2704.47</v>
      </c>
      <c r="I117" s="60">
        <v>2669.72</v>
      </c>
      <c r="J117" s="60">
        <v>2956.71</v>
      </c>
      <c r="K117" s="60">
        <v>0</v>
      </c>
      <c r="L117" s="60">
        <v>0</v>
      </c>
      <c r="M117" s="60">
        <v>0</v>
      </c>
      <c r="N117" s="60">
        <v>0</v>
      </c>
      <c r="O117" s="60">
        <v>0</v>
      </c>
      <c r="P117" s="60">
        <v>0</v>
      </c>
      <c r="Q117" s="60">
        <v>0</v>
      </c>
      <c r="R117" s="60">
        <v>0</v>
      </c>
      <c r="S117" s="60">
        <v>0</v>
      </c>
      <c r="T117" s="60">
        <v>0</v>
      </c>
      <c r="U117" s="60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0">
        <v>0</v>
      </c>
      <c r="AE117" s="60">
        <v>0</v>
      </c>
      <c r="AF117" s="60">
        <v>0</v>
      </c>
      <c r="AG117" s="60">
        <v>0</v>
      </c>
      <c r="AH117" s="60">
        <v>0</v>
      </c>
      <c r="AI117" s="60">
        <v>2704.47</v>
      </c>
      <c r="AJ117" s="60">
        <v>2669.72</v>
      </c>
      <c r="AK117" s="60">
        <v>2956.71</v>
      </c>
      <c r="AL117" s="60">
        <v>0</v>
      </c>
      <c r="AM117" s="60">
        <v>0</v>
      </c>
      <c r="AN117" s="60">
        <v>0</v>
      </c>
      <c r="AO117" s="60">
        <v>2704.47</v>
      </c>
      <c r="AP117" s="60">
        <v>2669.72</v>
      </c>
      <c r="AQ117" s="60">
        <v>2956.71</v>
      </c>
      <c r="AR117" s="61">
        <v>2956.71</v>
      </c>
    </row>
    <row r="118" spans="1:44" x14ac:dyDescent="0.35">
      <c r="A118" s="49" t="str">
        <f t="shared" si="12"/>
        <v>15</v>
      </c>
      <c r="B118" s="27">
        <v>63339</v>
      </c>
      <c r="C118" s="25" t="str">
        <f t="shared" si="13"/>
        <v>0000000</v>
      </c>
      <c r="D118" s="26" t="s">
        <v>3663</v>
      </c>
      <c r="E118" s="25" t="s">
        <v>653</v>
      </c>
      <c r="F118" s="25" t="s">
        <v>640</v>
      </c>
      <c r="G118" s="59" t="s">
        <v>654</v>
      </c>
      <c r="H118" s="60">
        <v>1749.32</v>
      </c>
      <c r="I118" s="60">
        <v>1620.15</v>
      </c>
      <c r="J118" s="60">
        <v>1902.55</v>
      </c>
      <c r="K118" s="60">
        <v>0</v>
      </c>
      <c r="L118" s="60">
        <v>0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0">
        <v>0</v>
      </c>
      <c r="AE118" s="60">
        <v>0</v>
      </c>
      <c r="AF118" s="60">
        <v>0</v>
      </c>
      <c r="AG118" s="60">
        <v>0</v>
      </c>
      <c r="AH118" s="60">
        <v>0</v>
      </c>
      <c r="AI118" s="60">
        <v>1749.32</v>
      </c>
      <c r="AJ118" s="60">
        <v>1620.15</v>
      </c>
      <c r="AK118" s="60">
        <v>1902.55</v>
      </c>
      <c r="AL118" s="60">
        <v>0</v>
      </c>
      <c r="AM118" s="60">
        <v>0</v>
      </c>
      <c r="AN118" s="60">
        <v>0</v>
      </c>
      <c r="AO118" s="60">
        <v>1749.32</v>
      </c>
      <c r="AP118" s="60">
        <v>1620.15</v>
      </c>
      <c r="AQ118" s="60">
        <v>1902.55</v>
      </c>
      <c r="AR118" s="61">
        <v>1902.55</v>
      </c>
    </row>
    <row r="119" spans="1:44" x14ac:dyDescent="0.35">
      <c r="A119" s="49" t="str">
        <f t="shared" si="12"/>
        <v>15</v>
      </c>
      <c r="B119" s="27">
        <v>63461</v>
      </c>
      <c r="C119" s="25" t="str">
        <f t="shared" si="13"/>
        <v>0000000</v>
      </c>
      <c r="D119" s="26" t="s">
        <v>3663</v>
      </c>
      <c r="E119" s="25" t="s">
        <v>673</v>
      </c>
      <c r="F119" s="25" t="s">
        <v>640</v>
      </c>
      <c r="G119" s="59" t="s">
        <v>674</v>
      </c>
      <c r="H119" s="60">
        <v>2471.46</v>
      </c>
      <c r="I119" s="60">
        <v>2513.16</v>
      </c>
      <c r="J119" s="60">
        <v>2595.4499999999998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0">
        <v>0</v>
      </c>
      <c r="AE119" s="60">
        <v>0</v>
      </c>
      <c r="AF119" s="60">
        <v>0</v>
      </c>
      <c r="AG119" s="60">
        <v>0</v>
      </c>
      <c r="AH119" s="60">
        <v>0</v>
      </c>
      <c r="AI119" s="60">
        <v>2471.46</v>
      </c>
      <c r="AJ119" s="60">
        <v>2513.16</v>
      </c>
      <c r="AK119" s="60">
        <v>2595.4499999999998</v>
      </c>
      <c r="AL119" s="60">
        <v>0</v>
      </c>
      <c r="AM119" s="60">
        <v>0</v>
      </c>
      <c r="AN119" s="60">
        <v>0</v>
      </c>
      <c r="AO119" s="60">
        <v>2471.46</v>
      </c>
      <c r="AP119" s="60">
        <v>2513.16</v>
      </c>
      <c r="AQ119" s="60">
        <v>2595.4499999999998</v>
      </c>
      <c r="AR119" s="61">
        <v>2595.4499999999998</v>
      </c>
    </row>
    <row r="120" spans="1:44" x14ac:dyDescent="0.35">
      <c r="A120" s="49" t="str">
        <f t="shared" si="12"/>
        <v>15</v>
      </c>
      <c r="B120" s="27">
        <v>63503</v>
      </c>
      <c r="C120" s="25" t="str">
        <f t="shared" si="13"/>
        <v>0000000</v>
      </c>
      <c r="D120" s="26" t="s">
        <v>3663</v>
      </c>
      <c r="E120" s="25" t="s">
        <v>679</v>
      </c>
      <c r="F120" s="25" t="s">
        <v>640</v>
      </c>
      <c r="G120" s="59" t="s">
        <v>680</v>
      </c>
      <c r="H120" s="60">
        <v>8442.16</v>
      </c>
      <c r="I120" s="60">
        <v>8236.2900000000009</v>
      </c>
      <c r="J120" s="60">
        <v>9161.06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0">
        <v>0</v>
      </c>
      <c r="AE120" s="60">
        <v>0</v>
      </c>
      <c r="AF120" s="60">
        <v>0</v>
      </c>
      <c r="AG120" s="60">
        <v>0</v>
      </c>
      <c r="AH120" s="60">
        <v>0</v>
      </c>
      <c r="AI120" s="60">
        <v>8442.16</v>
      </c>
      <c r="AJ120" s="60">
        <v>8236.2900000000009</v>
      </c>
      <c r="AK120" s="60">
        <v>9161.06</v>
      </c>
      <c r="AL120" s="60">
        <v>0</v>
      </c>
      <c r="AM120" s="60">
        <v>0</v>
      </c>
      <c r="AN120" s="60">
        <v>0</v>
      </c>
      <c r="AO120" s="60">
        <v>8442.16</v>
      </c>
      <c r="AP120" s="60">
        <v>8236.2900000000009</v>
      </c>
      <c r="AQ120" s="60">
        <v>9161.06</v>
      </c>
      <c r="AR120" s="61">
        <v>9161.06</v>
      </c>
    </row>
    <row r="121" spans="1:44" x14ac:dyDescent="0.35">
      <c r="A121" s="49" t="str">
        <f t="shared" si="12"/>
        <v>15</v>
      </c>
      <c r="B121" s="27">
        <v>63594</v>
      </c>
      <c r="C121" s="25" t="str">
        <f t="shared" si="13"/>
        <v>0000000</v>
      </c>
      <c r="D121" s="26" t="s">
        <v>3663</v>
      </c>
      <c r="E121" s="25" t="s">
        <v>695</v>
      </c>
      <c r="F121" s="25" t="s">
        <v>640</v>
      </c>
      <c r="G121" s="59" t="s">
        <v>696</v>
      </c>
      <c r="H121" s="60">
        <v>250.94</v>
      </c>
      <c r="I121" s="60">
        <v>248.19</v>
      </c>
      <c r="J121" s="60">
        <v>270.27999999999997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0">
        <v>0</v>
      </c>
      <c r="AE121" s="60">
        <v>0</v>
      </c>
      <c r="AF121" s="60">
        <v>0</v>
      </c>
      <c r="AG121" s="60">
        <v>0</v>
      </c>
      <c r="AH121" s="60">
        <v>0</v>
      </c>
      <c r="AI121" s="60">
        <v>250.94</v>
      </c>
      <c r="AJ121" s="60">
        <v>248.19</v>
      </c>
      <c r="AK121" s="60">
        <v>270.27999999999997</v>
      </c>
      <c r="AL121" s="60">
        <v>0</v>
      </c>
      <c r="AM121" s="60">
        <v>0</v>
      </c>
      <c r="AN121" s="60">
        <v>0</v>
      </c>
      <c r="AO121" s="60">
        <v>250.94</v>
      </c>
      <c r="AP121" s="60">
        <v>248.19</v>
      </c>
      <c r="AQ121" s="60">
        <v>270.27999999999997</v>
      </c>
      <c r="AR121" s="61">
        <v>270.27999999999997</v>
      </c>
    </row>
    <row r="122" spans="1:44" x14ac:dyDescent="0.35">
      <c r="A122" s="49" t="str">
        <f t="shared" si="12"/>
        <v>15</v>
      </c>
      <c r="B122" s="27">
        <v>63792</v>
      </c>
      <c r="C122" s="25" t="str">
        <f t="shared" si="13"/>
        <v>0000000</v>
      </c>
      <c r="D122" s="26" t="s">
        <v>3663</v>
      </c>
      <c r="E122" s="25" t="s">
        <v>731</v>
      </c>
      <c r="F122" s="25" t="s">
        <v>640</v>
      </c>
      <c r="G122" s="59" t="s">
        <v>732</v>
      </c>
      <c r="H122" s="60">
        <v>2667.72</v>
      </c>
      <c r="I122" s="60">
        <v>2428.67</v>
      </c>
      <c r="J122" s="60">
        <v>2878.08</v>
      </c>
      <c r="K122" s="60">
        <v>0</v>
      </c>
      <c r="L122" s="60"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60">
        <v>0</v>
      </c>
      <c r="T122" s="60">
        <v>0</v>
      </c>
      <c r="U122" s="60"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0">
        <v>0</v>
      </c>
      <c r="AE122" s="60">
        <v>0</v>
      </c>
      <c r="AF122" s="60">
        <v>0</v>
      </c>
      <c r="AG122" s="60">
        <v>0</v>
      </c>
      <c r="AH122" s="60">
        <v>0</v>
      </c>
      <c r="AI122" s="60">
        <v>2667.72</v>
      </c>
      <c r="AJ122" s="60">
        <v>2428.67</v>
      </c>
      <c r="AK122" s="60">
        <v>2878.08</v>
      </c>
      <c r="AL122" s="60">
        <v>0</v>
      </c>
      <c r="AM122" s="60">
        <v>0</v>
      </c>
      <c r="AN122" s="60">
        <v>0</v>
      </c>
      <c r="AO122" s="60">
        <v>2667.72</v>
      </c>
      <c r="AP122" s="60">
        <v>2428.67</v>
      </c>
      <c r="AQ122" s="60">
        <v>2878.08</v>
      </c>
      <c r="AR122" s="61">
        <v>2878.08</v>
      </c>
    </row>
    <row r="123" spans="1:44" x14ac:dyDescent="0.35">
      <c r="A123" s="49" t="str">
        <f t="shared" si="12"/>
        <v>15</v>
      </c>
      <c r="B123" s="27">
        <v>63800</v>
      </c>
      <c r="C123" s="25" t="str">
        <f t="shared" si="13"/>
        <v>0000000</v>
      </c>
      <c r="D123" s="26" t="s">
        <v>3663</v>
      </c>
      <c r="E123" s="25" t="s">
        <v>733</v>
      </c>
      <c r="F123" s="25" t="s">
        <v>640</v>
      </c>
      <c r="G123" s="59" t="s">
        <v>734</v>
      </c>
      <c r="H123" s="60">
        <v>2230.02</v>
      </c>
      <c r="I123" s="60">
        <v>2055.4499999999998</v>
      </c>
      <c r="J123" s="60">
        <v>2265.3200000000002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0">
        <v>0</v>
      </c>
      <c r="AE123" s="60">
        <v>0</v>
      </c>
      <c r="AF123" s="60">
        <v>0</v>
      </c>
      <c r="AG123" s="60">
        <v>0</v>
      </c>
      <c r="AH123" s="60">
        <v>0</v>
      </c>
      <c r="AI123" s="60">
        <v>2230.02</v>
      </c>
      <c r="AJ123" s="60">
        <v>2055.4499999999998</v>
      </c>
      <c r="AK123" s="60">
        <v>2265.3200000000002</v>
      </c>
      <c r="AL123" s="60">
        <v>0</v>
      </c>
      <c r="AM123" s="60">
        <v>0</v>
      </c>
      <c r="AN123" s="60">
        <v>0</v>
      </c>
      <c r="AO123" s="60">
        <v>2230.02</v>
      </c>
      <c r="AP123" s="60">
        <v>2055.4499999999998</v>
      </c>
      <c r="AQ123" s="60">
        <v>2265.3200000000002</v>
      </c>
      <c r="AR123" s="61">
        <v>2265.3200000000002</v>
      </c>
    </row>
    <row r="124" spans="1:44" x14ac:dyDescent="0.35">
      <c r="A124" s="49" t="str">
        <f t="shared" si="12"/>
        <v>15</v>
      </c>
      <c r="B124" s="27">
        <v>63842</v>
      </c>
      <c r="C124" s="25" t="str">
        <f t="shared" si="13"/>
        <v>0000000</v>
      </c>
      <c r="D124" s="26" t="s">
        <v>3663</v>
      </c>
      <c r="E124" s="25" t="s">
        <v>741</v>
      </c>
      <c r="F124" s="25" t="s">
        <v>640</v>
      </c>
      <c r="G124" s="59" t="s">
        <v>742</v>
      </c>
      <c r="H124" s="60">
        <v>3205.56</v>
      </c>
      <c r="I124" s="60">
        <v>3141.77</v>
      </c>
      <c r="J124" s="60">
        <v>3473.2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0">
        <v>0</v>
      </c>
      <c r="AE124" s="60">
        <v>0</v>
      </c>
      <c r="AF124" s="60">
        <v>0</v>
      </c>
      <c r="AG124" s="60">
        <v>0</v>
      </c>
      <c r="AH124" s="60">
        <v>0</v>
      </c>
      <c r="AI124" s="60">
        <v>3205.56</v>
      </c>
      <c r="AJ124" s="60">
        <v>3141.77</v>
      </c>
      <c r="AK124" s="60">
        <v>3473.2</v>
      </c>
      <c r="AL124" s="60">
        <v>0</v>
      </c>
      <c r="AM124" s="60">
        <v>0</v>
      </c>
      <c r="AN124" s="60">
        <v>0</v>
      </c>
      <c r="AO124" s="60">
        <v>3205.56</v>
      </c>
      <c r="AP124" s="60">
        <v>3141.77</v>
      </c>
      <c r="AQ124" s="60">
        <v>3473.2</v>
      </c>
      <c r="AR124" s="61">
        <v>3473.2</v>
      </c>
    </row>
    <row r="125" spans="1:44" x14ac:dyDescent="0.35">
      <c r="A125" s="49" t="str">
        <f t="shared" si="12"/>
        <v>15</v>
      </c>
      <c r="B125" s="27">
        <v>63412</v>
      </c>
      <c r="C125" s="25" t="str">
        <f t="shared" si="13"/>
        <v>0000000</v>
      </c>
      <c r="D125" s="26" t="s">
        <v>3663</v>
      </c>
      <c r="E125" s="25" t="s">
        <v>665</v>
      </c>
      <c r="F125" s="25" t="s">
        <v>640</v>
      </c>
      <c r="G125" s="59" t="s">
        <v>666</v>
      </c>
      <c r="H125" s="60">
        <v>3855.23</v>
      </c>
      <c r="I125" s="60">
        <v>3679.72</v>
      </c>
      <c r="J125" s="60">
        <v>4041.1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0">
        <v>0</v>
      </c>
      <c r="AE125" s="60">
        <v>0</v>
      </c>
      <c r="AF125" s="60">
        <v>0</v>
      </c>
      <c r="AG125" s="60">
        <v>0</v>
      </c>
      <c r="AH125" s="60">
        <v>0</v>
      </c>
      <c r="AI125" s="60">
        <v>3855.23</v>
      </c>
      <c r="AJ125" s="60">
        <v>3679.72</v>
      </c>
      <c r="AK125" s="60">
        <v>4041.1</v>
      </c>
      <c r="AL125" s="60">
        <v>0</v>
      </c>
      <c r="AM125" s="60">
        <v>0</v>
      </c>
      <c r="AN125" s="60">
        <v>0</v>
      </c>
      <c r="AO125" s="60">
        <v>3855.23</v>
      </c>
      <c r="AP125" s="60">
        <v>3679.72</v>
      </c>
      <c r="AQ125" s="60">
        <v>4041.1</v>
      </c>
      <c r="AR125" s="61">
        <v>4041.1</v>
      </c>
    </row>
    <row r="126" spans="1:44" x14ac:dyDescent="0.35">
      <c r="A126" s="49" t="str">
        <f t="shared" si="12"/>
        <v>15</v>
      </c>
      <c r="B126" s="27">
        <v>63859</v>
      </c>
      <c r="C126" s="25" t="str">
        <f t="shared" si="13"/>
        <v>0000000</v>
      </c>
      <c r="D126" s="26" t="s">
        <v>3663</v>
      </c>
      <c r="E126" s="25" t="s">
        <v>743</v>
      </c>
      <c r="F126" s="25" t="s">
        <v>640</v>
      </c>
      <c r="G126" s="59" t="s">
        <v>744</v>
      </c>
      <c r="H126" s="60">
        <v>1706.58</v>
      </c>
      <c r="I126" s="60">
        <v>1724.74</v>
      </c>
      <c r="J126" s="60">
        <v>1752.5</v>
      </c>
      <c r="K126" s="60">
        <v>0</v>
      </c>
      <c r="L126" s="60">
        <v>0</v>
      </c>
      <c r="M126" s="60">
        <v>0</v>
      </c>
      <c r="N126" s="60">
        <v>0</v>
      </c>
      <c r="O126" s="60">
        <v>0</v>
      </c>
      <c r="P126" s="60">
        <v>0</v>
      </c>
      <c r="Q126" s="60">
        <v>0</v>
      </c>
      <c r="R126" s="60">
        <v>0</v>
      </c>
      <c r="S126" s="60">
        <v>0</v>
      </c>
      <c r="T126" s="60">
        <v>0</v>
      </c>
      <c r="U126" s="60"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0">
        <v>0</v>
      </c>
      <c r="AE126" s="60">
        <v>0</v>
      </c>
      <c r="AF126" s="60">
        <v>0</v>
      </c>
      <c r="AG126" s="60">
        <v>0</v>
      </c>
      <c r="AH126" s="60">
        <v>0</v>
      </c>
      <c r="AI126" s="60">
        <v>1706.58</v>
      </c>
      <c r="AJ126" s="60">
        <v>1724.74</v>
      </c>
      <c r="AK126" s="60">
        <v>1752.5</v>
      </c>
      <c r="AL126" s="60">
        <v>0</v>
      </c>
      <c r="AM126" s="60">
        <v>0</v>
      </c>
      <c r="AN126" s="60">
        <v>0</v>
      </c>
      <c r="AO126" s="60">
        <v>1706.58</v>
      </c>
      <c r="AP126" s="60">
        <v>1724.74</v>
      </c>
      <c r="AQ126" s="60">
        <v>1752.5</v>
      </c>
      <c r="AR126" s="61">
        <v>1752.5</v>
      </c>
    </row>
    <row r="127" spans="1:44" x14ac:dyDescent="0.35">
      <c r="A127" s="49" t="str">
        <f t="shared" si="12"/>
        <v>15</v>
      </c>
      <c r="B127" s="27">
        <v>63404</v>
      </c>
      <c r="C127" s="25" t="str">
        <f t="shared" si="13"/>
        <v>0000000</v>
      </c>
      <c r="D127" s="26" t="s">
        <v>3663</v>
      </c>
      <c r="E127" s="25" t="s">
        <v>663</v>
      </c>
      <c r="F127" s="25" t="s">
        <v>640</v>
      </c>
      <c r="G127" s="59" t="s">
        <v>664</v>
      </c>
      <c r="H127" s="60">
        <v>4255.21</v>
      </c>
      <c r="I127" s="60">
        <v>4369.75</v>
      </c>
      <c r="J127" s="60">
        <v>4878.22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1650.13</v>
      </c>
      <c r="AD127" s="60">
        <v>1430.46</v>
      </c>
      <c r="AE127" s="60">
        <v>1621.6</v>
      </c>
      <c r="AF127" s="60">
        <v>0</v>
      </c>
      <c r="AG127" s="60">
        <v>0</v>
      </c>
      <c r="AH127" s="60">
        <v>0</v>
      </c>
      <c r="AI127" s="60">
        <v>5905.34</v>
      </c>
      <c r="AJ127" s="60">
        <v>5800.21</v>
      </c>
      <c r="AK127" s="60">
        <v>6499.82</v>
      </c>
      <c r="AL127" s="60">
        <v>0</v>
      </c>
      <c r="AM127" s="60">
        <v>0</v>
      </c>
      <c r="AN127" s="60">
        <v>0</v>
      </c>
      <c r="AO127" s="60">
        <v>5905.34</v>
      </c>
      <c r="AP127" s="60">
        <v>5800.21</v>
      </c>
      <c r="AQ127" s="60">
        <v>6499.82</v>
      </c>
      <c r="AR127" s="61">
        <v>6499.82</v>
      </c>
    </row>
    <row r="128" spans="1:44" x14ac:dyDescent="0.35">
      <c r="A128" s="49" t="str">
        <f t="shared" si="12"/>
        <v>15</v>
      </c>
      <c r="B128" s="27">
        <v>63560</v>
      </c>
      <c r="C128" s="25" t="str">
        <f t="shared" si="13"/>
        <v>0000000</v>
      </c>
      <c r="D128" s="26" t="s">
        <v>3663</v>
      </c>
      <c r="E128" s="25" t="s">
        <v>687</v>
      </c>
      <c r="F128" s="25" t="s">
        <v>640</v>
      </c>
      <c r="G128" s="59" t="s">
        <v>688</v>
      </c>
      <c r="H128" s="60">
        <v>2502.5300000000002</v>
      </c>
      <c r="I128" s="60">
        <v>2441.09</v>
      </c>
      <c r="J128" s="60">
        <v>2819.05</v>
      </c>
      <c r="K128" s="60">
        <v>0</v>
      </c>
      <c r="L128" s="60">
        <v>0</v>
      </c>
      <c r="M128" s="60">
        <v>0</v>
      </c>
      <c r="N128" s="60">
        <v>0</v>
      </c>
      <c r="O128" s="60">
        <v>0</v>
      </c>
      <c r="P128" s="60">
        <v>0</v>
      </c>
      <c r="Q128" s="60">
        <v>0</v>
      </c>
      <c r="R128" s="60">
        <v>0</v>
      </c>
      <c r="S128" s="60">
        <v>0</v>
      </c>
      <c r="T128" s="60">
        <v>0</v>
      </c>
      <c r="U128" s="60">
        <v>0</v>
      </c>
      <c r="V128" s="60">
        <v>0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60">
        <v>0</v>
      </c>
      <c r="AC128" s="60">
        <v>0</v>
      </c>
      <c r="AD128" s="60">
        <v>0</v>
      </c>
      <c r="AE128" s="60">
        <v>0</v>
      </c>
      <c r="AF128" s="60">
        <v>0</v>
      </c>
      <c r="AG128" s="60">
        <v>0</v>
      </c>
      <c r="AH128" s="60">
        <v>0</v>
      </c>
      <c r="AI128" s="60">
        <v>2502.5300000000002</v>
      </c>
      <c r="AJ128" s="60">
        <v>2441.09</v>
      </c>
      <c r="AK128" s="60">
        <v>2819.05</v>
      </c>
      <c r="AL128" s="60">
        <v>0</v>
      </c>
      <c r="AM128" s="60">
        <v>0</v>
      </c>
      <c r="AN128" s="60">
        <v>0</v>
      </c>
      <c r="AO128" s="60">
        <v>2502.5300000000002</v>
      </c>
      <c r="AP128" s="60">
        <v>2441.09</v>
      </c>
      <c r="AQ128" s="60">
        <v>2819.05</v>
      </c>
      <c r="AR128" s="61">
        <v>2819.05</v>
      </c>
    </row>
    <row r="129" spans="1:44" x14ac:dyDescent="0.35">
      <c r="A129" s="49" t="str">
        <f t="shared" si="12"/>
        <v>15</v>
      </c>
      <c r="B129" s="27">
        <v>63750</v>
      </c>
      <c r="C129" s="25" t="str">
        <f t="shared" si="13"/>
        <v>0000000</v>
      </c>
      <c r="D129" s="26" t="s">
        <v>3663</v>
      </c>
      <c r="E129" s="25" t="s">
        <v>723</v>
      </c>
      <c r="F129" s="25" t="s">
        <v>640</v>
      </c>
      <c r="G129" s="59" t="s">
        <v>724</v>
      </c>
      <c r="H129" s="60">
        <v>5605.36</v>
      </c>
      <c r="I129" s="60">
        <v>5622.63</v>
      </c>
      <c r="J129" s="60">
        <v>5719.67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0">
        <v>0</v>
      </c>
      <c r="AE129" s="60">
        <v>0</v>
      </c>
      <c r="AF129" s="60">
        <v>0</v>
      </c>
      <c r="AG129" s="60">
        <v>0</v>
      </c>
      <c r="AH129" s="60">
        <v>0</v>
      </c>
      <c r="AI129" s="60">
        <v>5605.36</v>
      </c>
      <c r="AJ129" s="60">
        <v>5622.63</v>
      </c>
      <c r="AK129" s="60">
        <v>5719.67</v>
      </c>
      <c r="AL129" s="60">
        <v>0</v>
      </c>
      <c r="AM129" s="60">
        <v>0</v>
      </c>
      <c r="AN129" s="60">
        <v>0</v>
      </c>
      <c r="AO129" s="60">
        <v>5605.36</v>
      </c>
      <c r="AP129" s="60">
        <v>5622.63</v>
      </c>
      <c r="AQ129" s="60">
        <v>5719.67</v>
      </c>
      <c r="AR129" s="61">
        <v>5719.67</v>
      </c>
    </row>
    <row r="130" spans="1:44" x14ac:dyDescent="0.35">
      <c r="A130" s="49" t="str">
        <f t="shared" si="12"/>
        <v>15</v>
      </c>
      <c r="B130" s="27">
        <v>63818</v>
      </c>
      <c r="C130" s="25" t="str">
        <f t="shared" si="13"/>
        <v>0000000</v>
      </c>
      <c r="D130" s="26" t="s">
        <v>3663</v>
      </c>
      <c r="E130" s="25" t="s">
        <v>735</v>
      </c>
      <c r="F130" s="25" t="s">
        <v>640</v>
      </c>
      <c r="G130" s="59" t="s">
        <v>736</v>
      </c>
      <c r="H130" s="60">
        <v>1033.6400000000001</v>
      </c>
      <c r="I130" s="60">
        <v>980.05</v>
      </c>
      <c r="J130" s="60">
        <v>998.83</v>
      </c>
      <c r="K130" s="60">
        <v>0</v>
      </c>
      <c r="L130" s="60">
        <v>0</v>
      </c>
      <c r="M130" s="60">
        <v>0</v>
      </c>
      <c r="N130" s="60">
        <v>0</v>
      </c>
      <c r="O130" s="60">
        <v>0</v>
      </c>
      <c r="P130" s="60">
        <v>0</v>
      </c>
      <c r="Q130" s="60">
        <v>0</v>
      </c>
      <c r="R130" s="60">
        <v>0</v>
      </c>
      <c r="S130" s="60">
        <v>0</v>
      </c>
      <c r="T130" s="60">
        <v>0</v>
      </c>
      <c r="U130" s="60">
        <v>0</v>
      </c>
      <c r="V130" s="60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0">
        <v>0</v>
      </c>
      <c r="AE130" s="60">
        <v>0</v>
      </c>
      <c r="AF130" s="60">
        <v>0</v>
      </c>
      <c r="AG130" s="60">
        <v>0</v>
      </c>
      <c r="AH130" s="60">
        <v>0</v>
      </c>
      <c r="AI130" s="60">
        <v>1033.6400000000001</v>
      </c>
      <c r="AJ130" s="60">
        <v>980.05</v>
      </c>
      <c r="AK130" s="60">
        <v>998.83</v>
      </c>
      <c r="AL130" s="60">
        <v>0</v>
      </c>
      <c r="AM130" s="60">
        <v>0</v>
      </c>
      <c r="AN130" s="60">
        <v>0</v>
      </c>
      <c r="AO130" s="60">
        <v>1033.6400000000001</v>
      </c>
      <c r="AP130" s="60">
        <v>980.05</v>
      </c>
      <c r="AQ130" s="60">
        <v>998.83</v>
      </c>
      <c r="AR130" s="61">
        <v>1033.6400000000001</v>
      </c>
    </row>
    <row r="131" spans="1:44" x14ac:dyDescent="0.35">
      <c r="A131" s="49" t="str">
        <f t="shared" si="12"/>
        <v>15</v>
      </c>
      <c r="B131" s="27">
        <v>73908</v>
      </c>
      <c r="C131" s="25" t="str">
        <f t="shared" si="13"/>
        <v>0000000</v>
      </c>
      <c r="D131" s="26" t="s">
        <v>3663</v>
      </c>
      <c r="E131" s="25" t="s">
        <v>749</v>
      </c>
      <c r="F131" s="25" t="s">
        <v>640</v>
      </c>
      <c r="G131" s="59" t="s">
        <v>750</v>
      </c>
      <c r="H131" s="60">
        <v>3181.82</v>
      </c>
      <c r="I131" s="60">
        <v>3213.83</v>
      </c>
      <c r="J131" s="60">
        <v>3288.86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60">
        <v>0</v>
      </c>
      <c r="Y131" s="60">
        <v>0</v>
      </c>
      <c r="Z131" s="60">
        <v>0</v>
      </c>
      <c r="AA131" s="60">
        <v>0</v>
      </c>
      <c r="AB131" s="60">
        <v>0</v>
      </c>
      <c r="AC131" s="60">
        <v>0</v>
      </c>
      <c r="AD131" s="60">
        <v>0</v>
      </c>
      <c r="AE131" s="60">
        <v>0</v>
      </c>
      <c r="AF131" s="60">
        <v>0</v>
      </c>
      <c r="AG131" s="60">
        <v>0</v>
      </c>
      <c r="AH131" s="60">
        <v>0</v>
      </c>
      <c r="AI131" s="60">
        <v>3181.82</v>
      </c>
      <c r="AJ131" s="60">
        <v>3213.83</v>
      </c>
      <c r="AK131" s="60">
        <v>3288.86</v>
      </c>
      <c r="AL131" s="60">
        <v>0</v>
      </c>
      <c r="AM131" s="60">
        <v>0</v>
      </c>
      <c r="AN131" s="60">
        <v>0</v>
      </c>
      <c r="AO131" s="60">
        <v>3181.82</v>
      </c>
      <c r="AP131" s="60">
        <v>3213.83</v>
      </c>
      <c r="AQ131" s="60">
        <v>3288.86</v>
      </c>
      <c r="AR131" s="61">
        <v>3288.86</v>
      </c>
    </row>
    <row r="132" spans="1:44" x14ac:dyDescent="0.35">
      <c r="A132" s="49" t="str">
        <f t="shared" si="12"/>
        <v>15</v>
      </c>
      <c r="B132" s="27">
        <v>63677</v>
      </c>
      <c r="C132" s="25" t="str">
        <f t="shared" si="13"/>
        <v>0000000</v>
      </c>
      <c r="D132" s="26" t="s">
        <v>3663</v>
      </c>
      <c r="E132" s="25" t="s">
        <v>715</v>
      </c>
      <c r="F132" s="25" t="s">
        <v>640</v>
      </c>
      <c r="G132" s="59" t="s">
        <v>716</v>
      </c>
      <c r="H132" s="60">
        <v>2489.87</v>
      </c>
      <c r="I132" s="60">
        <v>2324.14</v>
      </c>
      <c r="J132" s="60">
        <v>2611.6</v>
      </c>
      <c r="K132" s="60">
        <v>0</v>
      </c>
      <c r="L132" s="60">
        <v>0</v>
      </c>
      <c r="M132" s="60">
        <v>0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60">
        <v>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60">
        <v>0</v>
      </c>
      <c r="AC132" s="60">
        <v>0</v>
      </c>
      <c r="AD132" s="60">
        <v>0</v>
      </c>
      <c r="AE132" s="60">
        <v>0</v>
      </c>
      <c r="AF132" s="60">
        <v>0</v>
      </c>
      <c r="AG132" s="60">
        <v>0</v>
      </c>
      <c r="AH132" s="60">
        <v>0</v>
      </c>
      <c r="AI132" s="60">
        <v>2489.87</v>
      </c>
      <c r="AJ132" s="60">
        <v>2324.14</v>
      </c>
      <c r="AK132" s="60">
        <v>2611.6</v>
      </c>
      <c r="AL132" s="60">
        <v>0</v>
      </c>
      <c r="AM132" s="60">
        <v>0</v>
      </c>
      <c r="AN132" s="60">
        <v>0</v>
      </c>
      <c r="AO132" s="60">
        <v>2489.87</v>
      </c>
      <c r="AP132" s="60">
        <v>2324.14</v>
      </c>
      <c r="AQ132" s="60">
        <v>2611.6</v>
      </c>
      <c r="AR132" s="61">
        <v>2611.6</v>
      </c>
    </row>
    <row r="133" spans="1:44" x14ac:dyDescent="0.35">
      <c r="A133" s="49" t="str">
        <f t="shared" si="12"/>
        <v>15</v>
      </c>
      <c r="B133" s="27">
        <v>63685</v>
      </c>
      <c r="C133" s="25" t="str">
        <f t="shared" si="13"/>
        <v>0000000</v>
      </c>
      <c r="D133" s="26" t="s">
        <v>3663</v>
      </c>
      <c r="E133" s="25" t="s">
        <v>717</v>
      </c>
      <c r="F133" s="25" t="s">
        <v>640</v>
      </c>
      <c r="G133" s="59" t="s">
        <v>718</v>
      </c>
      <c r="H133" s="60">
        <v>1568.14</v>
      </c>
      <c r="I133" s="60">
        <v>1471.82</v>
      </c>
      <c r="J133" s="60">
        <v>1671.8</v>
      </c>
      <c r="K133" s="60">
        <v>0</v>
      </c>
      <c r="L133" s="60"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60">
        <v>0</v>
      </c>
      <c r="T133" s="60">
        <v>0</v>
      </c>
      <c r="U133" s="60"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0">
        <v>0</v>
      </c>
      <c r="AD133" s="60">
        <v>0</v>
      </c>
      <c r="AE133" s="60">
        <v>0</v>
      </c>
      <c r="AF133" s="60">
        <v>0</v>
      </c>
      <c r="AG133" s="60">
        <v>0</v>
      </c>
      <c r="AH133" s="60">
        <v>0</v>
      </c>
      <c r="AI133" s="60">
        <v>1568.14</v>
      </c>
      <c r="AJ133" s="60">
        <v>1471.82</v>
      </c>
      <c r="AK133" s="60">
        <v>1671.8</v>
      </c>
      <c r="AL133" s="60">
        <v>0</v>
      </c>
      <c r="AM133" s="60">
        <v>0</v>
      </c>
      <c r="AN133" s="60">
        <v>0</v>
      </c>
      <c r="AO133" s="60">
        <v>1568.14</v>
      </c>
      <c r="AP133" s="60">
        <v>1471.82</v>
      </c>
      <c r="AQ133" s="60">
        <v>1671.8</v>
      </c>
      <c r="AR133" s="61">
        <v>1671.8</v>
      </c>
    </row>
    <row r="134" spans="1:44" x14ac:dyDescent="0.35">
      <c r="A134" s="49" t="str">
        <f t="shared" si="12"/>
        <v>15</v>
      </c>
      <c r="B134" s="27">
        <v>63776</v>
      </c>
      <c r="C134" s="25" t="str">
        <f t="shared" si="13"/>
        <v>0000000</v>
      </c>
      <c r="D134" s="26" t="s">
        <v>3663</v>
      </c>
      <c r="E134" s="25" t="s">
        <v>727</v>
      </c>
      <c r="F134" s="25" t="s">
        <v>640</v>
      </c>
      <c r="G134" s="59" t="s">
        <v>728</v>
      </c>
      <c r="H134" s="60">
        <v>3280.78</v>
      </c>
      <c r="I134" s="60">
        <v>3033.91</v>
      </c>
      <c r="J134" s="60">
        <v>3311.56</v>
      </c>
      <c r="K134" s="60">
        <v>0</v>
      </c>
      <c r="L134" s="60">
        <v>0</v>
      </c>
      <c r="M134" s="60">
        <v>0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60">
        <v>0</v>
      </c>
      <c r="AC134" s="60">
        <v>0</v>
      </c>
      <c r="AD134" s="60">
        <v>0</v>
      </c>
      <c r="AE134" s="60">
        <v>0</v>
      </c>
      <c r="AF134" s="60">
        <v>0</v>
      </c>
      <c r="AG134" s="60">
        <v>0</v>
      </c>
      <c r="AH134" s="60">
        <v>0</v>
      </c>
      <c r="AI134" s="60">
        <v>3280.78</v>
      </c>
      <c r="AJ134" s="60">
        <v>3033.91</v>
      </c>
      <c r="AK134" s="60">
        <v>3311.56</v>
      </c>
      <c r="AL134" s="60">
        <v>0</v>
      </c>
      <c r="AM134" s="60">
        <v>0</v>
      </c>
      <c r="AN134" s="60">
        <v>0</v>
      </c>
      <c r="AO134" s="60">
        <v>3280.78</v>
      </c>
      <c r="AP134" s="60">
        <v>3033.91</v>
      </c>
      <c r="AQ134" s="60">
        <v>3311.56</v>
      </c>
      <c r="AR134" s="61">
        <v>3311.56</v>
      </c>
    </row>
    <row r="135" spans="1:44" x14ac:dyDescent="0.35">
      <c r="A135" s="49" t="str">
        <f t="shared" si="12"/>
        <v>15</v>
      </c>
      <c r="B135" s="27">
        <v>63826</v>
      </c>
      <c r="C135" s="25" t="str">
        <f t="shared" si="13"/>
        <v>0000000</v>
      </c>
      <c r="D135" s="26" t="s">
        <v>3663</v>
      </c>
      <c r="E135" s="25" t="s">
        <v>737</v>
      </c>
      <c r="F135" s="25" t="s">
        <v>640</v>
      </c>
      <c r="G135" s="59" t="s">
        <v>738</v>
      </c>
      <c r="H135" s="60">
        <v>3779.37</v>
      </c>
      <c r="I135" s="60">
        <v>3581.85</v>
      </c>
      <c r="J135" s="60">
        <v>4012.28</v>
      </c>
      <c r="K135" s="60">
        <v>0</v>
      </c>
      <c r="L135" s="60">
        <v>0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60">
        <v>0</v>
      </c>
      <c r="T135" s="60">
        <v>0</v>
      </c>
      <c r="U135" s="60"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60">
        <v>0</v>
      </c>
      <c r="AC135" s="60">
        <v>0</v>
      </c>
      <c r="AD135" s="60">
        <v>0</v>
      </c>
      <c r="AE135" s="60">
        <v>0</v>
      </c>
      <c r="AF135" s="60">
        <v>0</v>
      </c>
      <c r="AG135" s="60">
        <v>0</v>
      </c>
      <c r="AH135" s="60">
        <v>0</v>
      </c>
      <c r="AI135" s="60">
        <v>3779.37</v>
      </c>
      <c r="AJ135" s="60">
        <v>3581.85</v>
      </c>
      <c r="AK135" s="60">
        <v>4012.28</v>
      </c>
      <c r="AL135" s="60">
        <v>0</v>
      </c>
      <c r="AM135" s="60">
        <v>0</v>
      </c>
      <c r="AN135" s="60">
        <v>0</v>
      </c>
      <c r="AO135" s="60">
        <v>3779.37</v>
      </c>
      <c r="AP135" s="60">
        <v>3581.85</v>
      </c>
      <c r="AQ135" s="60">
        <v>4012.28</v>
      </c>
      <c r="AR135" s="61">
        <v>4012.28</v>
      </c>
    </row>
    <row r="136" spans="1:44" x14ac:dyDescent="0.35">
      <c r="A136" s="49" t="str">
        <f t="shared" si="12"/>
        <v>15</v>
      </c>
      <c r="B136" s="27">
        <v>63628</v>
      </c>
      <c r="C136" s="25" t="str">
        <f t="shared" si="13"/>
        <v>0000000</v>
      </c>
      <c r="D136" s="26" t="s">
        <v>3663</v>
      </c>
      <c r="E136" s="25" t="s">
        <v>699</v>
      </c>
      <c r="F136" s="25" t="s">
        <v>640</v>
      </c>
      <c r="G136" s="59" t="s">
        <v>700</v>
      </c>
      <c r="H136" s="60">
        <v>293.48</v>
      </c>
      <c r="I136" s="60">
        <v>294.92</v>
      </c>
      <c r="J136" s="60">
        <v>285.2</v>
      </c>
      <c r="K136" s="60">
        <v>0</v>
      </c>
      <c r="L136" s="60">
        <v>0</v>
      </c>
      <c r="M136" s="60">
        <v>0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60">
        <v>0</v>
      </c>
      <c r="T136" s="60">
        <v>0</v>
      </c>
      <c r="U136" s="60"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60">
        <v>0</v>
      </c>
      <c r="AC136" s="60">
        <v>0</v>
      </c>
      <c r="AD136" s="60">
        <v>0</v>
      </c>
      <c r="AE136" s="60">
        <v>927.96</v>
      </c>
      <c r="AF136" s="60">
        <v>0</v>
      </c>
      <c r="AG136" s="60">
        <v>0</v>
      </c>
      <c r="AH136" s="60">
        <v>0</v>
      </c>
      <c r="AI136" s="60">
        <v>293.48</v>
      </c>
      <c r="AJ136" s="60">
        <v>294.92</v>
      </c>
      <c r="AK136" s="60">
        <v>1213.1600000000001</v>
      </c>
      <c r="AL136" s="60">
        <v>0</v>
      </c>
      <c r="AM136" s="60">
        <v>0</v>
      </c>
      <c r="AN136" s="60">
        <v>0</v>
      </c>
      <c r="AO136" s="60">
        <v>293.48</v>
      </c>
      <c r="AP136" s="60">
        <v>294.92</v>
      </c>
      <c r="AQ136" s="60">
        <v>1213.1600000000001</v>
      </c>
      <c r="AR136" s="61">
        <v>1213.1600000000001</v>
      </c>
    </row>
    <row r="137" spans="1:44" x14ac:dyDescent="0.35">
      <c r="A137" s="49" t="str">
        <f t="shared" si="12"/>
        <v>15</v>
      </c>
      <c r="B137" s="27">
        <v>63545</v>
      </c>
      <c r="C137" s="25" t="str">
        <f t="shared" si="13"/>
        <v>0000000</v>
      </c>
      <c r="D137" s="26" t="s">
        <v>3663</v>
      </c>
      <c r="E137" s="25" t="s">
        <v>683</v>
      </c>
      <c r="F137" s="25" t="s">
        <v>640</v>
      </c>
      <c r="G137" s="59" t="s">
        <v>684</v>
      </c>
      <c r="H137" s="60">
        <v>712.83</v>
      </c>
      <c r="I137" s="60">
        <v>654.01</v>
      </c>
      <c r="J137" s="60">
        <v>811.35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0">
        <v>0</v>
      </c>
      <c r="AC137" s="60">
        <v>0</v>
      </c>
      <c r="AD137" s="60">
        <v>0</v>
      </c>
      <c r="AE137" s="60">
        <v>0</v>
      </c>
      <c r="AF137" s="60">
        <v>0</v>
      </c>
      <c r="AG137" s="60">
        <v>0</v>
      </c>
      <c r="AH137" s="60">
        <v>0</v>
      </c>
      <c r="AI137" s="60">
        <v>712.83</v>
      </c>
      <c r="AJ137" s="60">
        <v>654.01</v>
      </c>
      <c r="AK137" s="60">
        <v>811.35</v>
      </c>
      <c r="AL137" s="60">
        <v>0</v>
      </c>
      <c r="AM137" s="60">
        <v>0</v>
      </c>
      <c r="AN137" s="60">
        <v>0</v>
      </c>
      <c r="AO137" s="60">
        <v>712.83</v>
      </c>
      <c r="AP137" s="60">
        <v>654.01</v>
      </c>
      <c r="AQ137" s="60">
        <v>811.35</v>
      </c>
      <c r="AR137" s="61">
        <v>811.35</v>
      </c>
    </row>
    <row r="138" spans="1:44" x14ac:dyDescent="0.35">
      <c r="A138" s="49" t="str">
        <f t="shared" si="12"/>
        <v>15</v>
      </c>
      <c r="B138" s="27">
        <v>63479</v>
      </c>
      <c r="C138" s="25" t="str">
        <f t="shared" si="13"/>
        <v>0000000</v>
      </c>
      <c r="D138" s="26" t="s">
        <v>3663</v>
      </c>
      <c r="E138" s="25" t="s">
        <v>675</v>
      </c>
      <c r="F138" s="25" t="s">
        <v>640</v>
      </c>
      <c r="G138" s="59" t="s">
        <v>676</v>
      </c>
      <c r="H138" s="60">
        <v>2858.24</v>
      </c>
      <c r="I138" s="60">
        <v>2850.77</v>
      </c>
      <c r="J138" s="60">
        <v>3088.83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60">
        <v>0</v>
      </c>
      <c r="AC138" s="60">
        <v>0</v>
      </c>
      <c r="AD138" s="60">
        <v>0</v>
      </c>
      <c r="AE138" s="60">
        <v>0</v>
      </c>
      <c r="AF138" s="60">
        <v>0</v>
      </c>
      <c r="AG138" s="60">
        <v>0</v>
      </c>
      <c r="AH138" s="60">
        <v>0</v>
      </c>
      <c r="AI138" s="60">
        <v>2858.24</v>
      </c>
      <c r="AJ138" s="60">
        <v>2850.77</v>
      </c>
      <c r="AK138" s="60">
        <v>3088.83</v>
      </c>
      <c r="AL138" s="60">
        <v>0</v>
      </c>
      <c r="AM138" s="60">
        <v>0</v>
      </c>
      <c r="AN138" s="60">
        <v>0</v>
      </c>
      <c r="AO138" s="60">
        <v>2858.24</v>
      </c>
      <c r="AP138" s="60">
        <v>2850.77</v>
      </c>
      <c r="AQ138" s="60">
        <v>3088.83</v>
      </c>
      <c r="AR138" s="61">
        <v>3088.83</v>
      </c>
    </row>
    <row r="139" spans="1:44" x14ac:dyDescent="0.35">
      <c r="A139" s="49" t="str">
        <f t="shared" si="12"/>
        <v>15</v>
      </c>
      <c r="B139" s="27">
        <v>63784</v>
      </c>
      <c r="C139" s="25" t="str">
        <f t="shared" si="13"/>
        <v>0000000</v>
      </c>
      <c r="D139" s="26" t="s">
        <v>3663</v>
      </c>
      <c r="E139" s="25" t="s">
        <v>729</v>
      </c>
      <c r="F139" s="25" t="s">
        <v>640</v>
      </c>
      <c r="G139" s="59" t="s">
        <v>730</v>
      </c>
      <c r="H139" s="60">
        <v>308.70999999999998</v>
      </c>
      <c r="I139" s="60">
        <v>266.39999999999998</v>
      </c>
      <c r="J139" s="60">
        <v>272.45999999999998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60">
        <v>0</v>
      </c>
      <c r="AC139" s="60">
        <v>0</v>
      </c>
      <c r="AD139" s="60">
        <v>0</v>
      </c>
      <c r="AE139" s="60">
        <v>0</v>
      </c>
      <c r="AF139" s="60">
        <v>0</v>
      </c>
      <c r="AG139" s="60">
        <v>0</v>
      </c>
      <c r="AH139" s="60">
        <v>0</v>
      </c>
      <c r="AI139" s="60">
        <v>308.70999999999998</v>
      </c>
      <c r="AJ139" s="60">
        <v>266.39999999999998</v>
      </c>
      <c r="AK139" s="60">
        <v>272.45999999999998</v>
      </c>
      <c r="AL139" s="60">
        <v>0</v>
      </c>
      <c r="AM139" s="60">
        <v>0</v>
      </c>
      <c r="AN139" s="60">
        <v>0</v>
      </c>
      <c r="AO139" s="60">
        <v>308.70999999999998</v>
      </c>
      <c r="AP139" s="60">
        <v>266.39999999999998</v>
      </c>
      <c r="AQ139" s="60">
        <v>272.45999999999998</v>
      </c>
      <c r="AR139" s="61">
        <v>308.70999999999998</v>
      </c>
    </row>
    <row r="140" spans="1:44" x14ac:dyDescent="0.35">
      <c r="A140" s="49" t="str">
        <f t="shared" si="12"/>
        <v>15</v>
      </c>
      <c r="B140" s="27">
        <v>75168</v>
      </c>
      <c r="C140" s="25" t="str">
        <f t="shared" si="13"/>
        <v>0000000</v>
      </c>
      <c r="D140" s="26" t="s">
        <v>3663</v>
      </c>
      <c r="E140" s="25" t="s">
        <v>751</v>
      </c>
      <c r="F140" s="25" t="s">
        <v>640</v>
      </c>
      <c r="G140" s="59" t="s">
        <v>752</v>
      </c>
      <c r="H140" s="60">
        <v>634.97</v>
      </c>
      <c r="I140" s="60">
        <v>619.89</v>
      </c>
      <c r="J140" s="60">
        <v>700.19</v>
      </c>
      <c r="K140" s="60">
        <v>0</v>
      </c>
      <c r="L140" s="60">
        <v>0</v>
      </c>
      <c r="M140" s="60">
        <v>0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0">
        <v>0</v>
      </c>
      <c r="T140" s="60">
        <v>0</v>
      </c>
      <c r="U140" s="60">
        <v>0</v>
      </c>
      <c r="V140" s="60">
        <v>0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60">
        <v>0</v>
      </c>
      <c r="AC140" s="60">
        <v>0</v>
      </c>
      <c r="AD140" s="60">
        <v>0</v>
      </c>
      <c r="AE140" s="60">
        <v>0</v>
      </c>
      <c r="AF140" s="60">
        <v>0</v>
      </c>
      <c r="AG140" s="60">
        <v>0</v>
      </c>
      <c r="AH140" s="60">
        <v>0</v>
      </c>
      <c r="AI140" s="60">
        <v>634.97</v>
      </c>
      <c r="AJ140" s="60">
        <v>619.89</v>
      </c>
      <c r="AK140" s="60">
        <v>700.19</v>
      </c>
      <c r="AL140" s="60">
        <v>0</v>
      </c>
      <c r="AM140" s="60">
        <v>0</v>
      </c>
      <c r="AN140" s="60">
        <v>0</v>
      </c>
      <c r="AO140" s="60">
        <v>634.97</v>
      </c>
      <c r="AP140" s="60">
        <v>619.89</v>
      </c>
      <c r="AQ140" s="60">
        <v>700.19</v>
      </c>
      <c r="AR140" s="61">
        <v>700.19</v>
      </c>
    </row>
    <row r="141" spans="1:44" x14ac:dyDescent="0.35">
      <c r="A141" s="49" t="str">
        <f t="shared" si="12"/>
        <v>15</v>
      </c>
      <c r="B141" s="27">
        <v>63578</v>
      </c>
      <c r="C141" s="25" t="str">
        <f t="shared" si="13"/>
        <v>0000000</v>
      </c>
      <c r="D141" s="26" t="s">
        <v>3663</v>
      </c>
      <c r="E141" s="25" t="s">
        <v>689</v>
      </c>
      <c r="F141" s="25" t="s">
        <v>640</v>
      </c>
      <c r="G141" s="59" t="s">
        <v>690</v>
      </c>
      <c r="H141" s="60">
        <v>2365.96</v>
      </c>
      <c r="I141" s="60">
        <v>2281.14</v>
      </c>
      <c r="J141" s="60">
        <v>2681.67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60">
        <v>0</v>
      </c>
      <c r="AC141" s="60">
        <v>0</v>
      </c>
      <c r="AD141" s="60">
        <v>0</v>
      </c>
      <c r="AE141" s="60">
        <v>0</v>
      </c>
      <c r="AF141" s="60">
        <v>0</v>
      </c>
      <c r="AG141" s="60">
        <v>0</v>
      </c>
      <c r="AH141" s="60">
        <v>0</v>
      </c>
      <c r="AI141" s="60">
        <v>2365.96</v>
      </c>
      <c r="AJ141" s="60">
        <v>2281.14</v>
      </c>
      <c r="AK141" s="60">
        <v>2681.67</v>
      </c>
      <c r="AL141" s="60">
        <v>0</v>
      </c>
      <c r="AM141" s="60">
        <v>0</v>
      </c>
      <c r="AN141" s="60">
        <v>0</v>
      </c>
      <c r="AO141" s="60">
        <v>2365.96</v>
      </c>
      <c r="AP141" s="60">
        <v>2281.14</v>
      </c>
      <c r="AQ141" s="60">
        <v>2681.67</v>
      </c>
      <c r="AR141" s="61">
        <v>2681.67</v>
      </c>
    </row>
    <row r="142" spans="1:44" x14ac:dyDescent="0.35">
      <c r="A142" s="49" t="str">
        <f t="shared" si="12"/>
        <v>15</v>
      </c>
      <c r="B142" s="27">
        <v>63693</v>
      </c>
      <c r="C142" s="25" t="str">
        <f t="shared" si="13"/>
        <v>0000000</v>
      </c>
      <c r="D142" s="26" t="s">
        <v>3663</v>
      </c>
      <c r="E142" s="25" t="s">
        <v>719</v>
      </c>
      <c r="F142" s="25" t="s">
        <v>640</v>
      </c>
      <c r="G142" s="59" t="s">
        <v>720</v>
      </c>
      <c r="H142" s="60">
        <v>3715.37</v>
      </c>
      <c r="I142" s="60">
        <v>3616.39</v>
      </c>
      <c r="J142" s="60">
        <v>4122.3999999999996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0">
        <v>0</v>
      </c>
      <c r="AC142" s="60">
        <v>0</v>
      </c>
      <c r="AD142" s="60">
        <v>0</v>
      </c>
      <c r="AE142" s="60">
        <v>0</v>
      </c>
      <c r="AF142" s="60">
        <v>0</v>
      </c>
      <c r="AG142" s="60">
        <v>0</v>
      </c>
      <c r="AH142" s="60">
        <v>0</v>
      </c>
      <c r="AI142" s="60">
        <v>3715.37</v>
      </c>
      <c r="AJ142" s="60">
        <v>3616.39</v>
      </c>
      <c r="AK142" s="60">
        <v>4122.3999999999996</v>
      </c>
      <c r="AL142" s="60">
        <v>0</v>
      </c>
      <c r="AM142" s="60">
        <v>0</v>
      </c>
      <c r="AN142" s="60">
        <v>0</v>
      </c>
      <c r="AO142" s="60">
        <v>3715.37</v>
      </c>
      <c r="AP142" s="60">
        <v>3616.39</v>
      </c>
      <c r="AQ142" s="60">
        <v>4122.3999999999996</v>
      </c>
      <c r="AR142" s="61">
        <v>4122.3999999999996</v>
      </c>
    </row>
    <row r="143" spans="1:44" x14ac:dyDescent="0.35">
      <c r="A143" s="49" t="str">
        <f t="shared" si="12"/>
        <v>15</v>
      </c>
      <c r="B143" s="27">
        <v>63370</v>
      </c>
      <c r="C143" s="25" t="str">
        <f t="shared" si="13"/>
        <v>0000000</v>
      </c>
      <c r="D143" s="26" t="s">
        <v>3663</v>
      </c>
      <c r="E143" s="25" t="s">
        <v>659</v>
      </c>
      <c r="F143" s="25" t="s">
        <v>640</v>
      </c>
      <c r="G143" s="59" t="s">
        <v>660</v>
      </c>
      <c r="H143" s="60">
        <v>268.45</v>
      </c>
      <c r="I143" s="60">
        <v>340.66</v>
      </c>
      <c r="J143" s="60">
        <v>305.66000000000003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0">
        <v>0</v>
      </c>
      <c r="AC143" s="60">
        <v>0</v>
      </c>
      <c r="AD143" s="60">
        <v>0</v>
      </c>
      <c r="AE143" s="60">
        <v>0</v>
      </c>
      <c r="AF143" s="60">
        <v>0</v>
      </c>
      <c r="AG143" s="60">
        <v>0</v>
      </c>
      <c r="AH143" s="60">
        <v>0</v>
      </c>
      <c r="AI143" s="60">
        <v>268.45</v>
      </c>
      <c r="AJ143" s="60">
        <v>340.66</v>
      </c>
      <c r="AK143" s="60">
        <v>305.66000000000003</v>
      </c>
      <c r="AL143" s="60">
        <v>0</v>
      </c>
      <c r="AM143" s="60">
        <v>0</v>
      </c>
      <c r="AN143" s="60">
        <v>0</v>
      </c>
      <c r="AO143" s="60">
        <v>268.45</v>
      </c>
      <c r="AP143" s="60">
        <v>340.66</v>
      </c>
      <c r="AQ143" s="60">
        <v>305.66000000000003</v>
      </c>
      <c r="AR143" s="61">
        <v>340.66</v>
      </c>
    </row>
    <row r="144" spans="1:44" x14ac:dyDescent="0.35">
      <c r="A144" s="49" t="str">
        <f t="shared" si="12"/>
        <v>15</v>
      </c>
      <c r="B144" s="27">
        <v>63354</v>
      </c>
      <c r="C144" s="25" t="str">
        <f t="shared" si="13"/>
        <v>0000000</v>
      </c>
      <c r="D144" s="26" t="s">
        <v>3663</v>
      </c>
      <c r="E144" s="25" t="s">
        <v>655</v>
      </c>
      <c r="F144" s="25" t="s">
        <v>640</v>
      </c>
      <c r="G144" s="59" t="s">
        <v>656</v>
      </c>
      <c r="H144" s="60">
        <v>14.88</v>
      </c>
      <c r="I144" s="60">
        <v>14.6</v>
      </c>
      <c r="J144" s="60">
        <v>15.1</v>
      </c>
      <c r="K144" s="60">
        <v>0</v>
      </c>
      <c r="L144" s="60">
        <v>0</v>
      </c>
      <c r="M144" s="60">
        <v>0</v>
      </c>
      <c r="N144" s="60">
        <v>0</v>
      </c>
      <c r="O144" s="60">
        <v>0</v>
      </c>
      <c r="P144" s="60">
        <v>0</v>
      </c>
      <c r="Q144" s="60">
        <v>0</v>
      </c>
      <c r="R144" s="60">
        <v>0</v>
      </c>
      <c r="S144" s="60">
        <v>0</v>
      </c>
      <c r="T144" s="60">
        <v>0</v>
      </c>
      <c r="U144" s="60">
        <v>0</v>
      </c>
      <c r="V144" s="60">
        <v>0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60">
        <v>0</v>
      </c>
      <c r="AC144" s="60">
        <v>0</v>
      </c>
      <c r="AD144" s="60">
        <v>0</v>
      </c>
      <c r="AE144" s="60">
        <v>0</v>
      </c>
      <c r="AF144" s="60">
        <v>0</v>
      </c>
      <c r="AG144" s="60">
        <v>0</v>
      </c>
      <c r="AH144" s="60">
        <v>0</v>
      </c>
      <c r="AI144" s="60">
        <v>14.88</v>
      </c>
      <c r="AJ144" s="60">
        <v>14.6</v>
      </c>
      <c r="AK144" s="60">
        <v>15.1</v>
      </c>
      <c r="AL144" s="60">
        <v>0</v>
      </c>
      <c r="AM144" s="60">
        <v>0</v>
      </c>
      <c r="AN144" s="60">
        <v>0</v>
      </c>
      <c r="AO144" s="60">
        <v>14.88</v>
      </c>
      <c r="AP144" s="60">
        <v>14.6</v>
      </c>
      <c r="AQ144" s="60">
        <v>15.1</v>
      </c>
      <c r="AR144" s="61">
        <v>15.1</v>
      </c>
    </row>
    <row r="145" spans="1:44" x14ac:dyDescent="0.35">
      <c r="A145" s="49" t="str">
        <f t="shared" si="12"/>
        <v>15</v>
      </c>
      <c r="B145" s="27">
        <v>63388</v>
      </c>
      <c r="C145" s="25" t="str">
        <f t="shared" si="13"/>
        <v>0000000</v>
      </c>
      <c r="D145" s="26" t="s">
        <v>3663</v>
      </c>
      <c r="E145" s="25" t="s">
        <v>661</v>
      </c>
      <c r="F145" s="25" t="s">
        <v>640</v>
      </c>
      <c r="G145" s="59" t="s">
        <v>662</v>
      </c>
      <c r="H145" s="60">
        <v>60.5</v>
      </c>
      <c r="I145" s="60">
        <v>46.38</v>
      </c>
      <c r="J145" s="60">
        <v>40.25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60">
        <v>0</v>
      </c>
      <c r="AC145" s="60">
        <v>0</v>
      </c>
      <c r="AD145" s="60">
        <v>0</v>
      </c>
      <c r="AE145" s="60">
        <v>0</v>
      </c>
      <c r="AF145" s="60">
        <v>0</v>
      </c>
      <c r="AG145" s="60">
        <v>0</v>
      </c>
      <c r="AH145" s="60">
        <v>0</v>
      </c>
      <c r="AI145" s="60">
        <v>60.5</v>
      </c>
      <c r="AJ145" s="60">
        <v>46.38</v>
      </c>
      <c r="AK145" s="60">
        <v>40.25</v>
      </c>
      <c r="AL145" s="60">
        <v>0</v>
      </c>
      <c r="AM145" s="60">
        <v>0</v>
      </c>
      <c r="AN145" s="60">
        <v>0</v>
      </c>
      <c r="AO145" s="60">
        <v>60.5</v>
      </c>
      <c r="AP145" s="60">
        <v>46.38</v>
      </c>
      <c r="AQ145" s="60">
        <v>40.25</v>
      </c>
      <c r="AR145" s="61">
        <v>60.5</v>
      </c>
    </row>
    <row r="146" spans="1:44" x14ac:dyDescent="0.35">
      <c r="A146" s="49" t="str">
        <f t="shared" si="12"/>
        <v>15</v>
      </c>
      <c r="B146" s="27">
        <v>63420</v>
      </c>
      <c r="C146" s="25" t="str">
        <f t="shared" si="13"/>
        <v>0000000</v>
      </c>
      <c r="D146" s="26" t="s">
        <v>3663</v>
      </c>
      <c r="E146" s="25" t="s">
        <v>667</v>
      </c>
      <c r="F146" s="25" t="s">
        <v>640</v>
      </c>
      <c r="G146" s="59" t="s">
        <v>668</v>
      </c>
      <c r="H146" s="60">
        <v>218.54</v>
      </c>
      <c r="I146" s="60">
        <v>191.85</v>
      </c>
      <c r="J146" s="60">
        <v>196.49</v>
      </c>
      <c r="K146" s="60">
        <v>0</v>
      </c>
      <c r="L146" s="60">
        <v>0</v>
      </c>
      <c r="M146" s="60">
        <v>0</v>
      </c>
      <c r="N146" s="60">
        <v>0</v>
      </c>
      <c r="O146" s="60">
        <v>0</v>
      </c>
      <c r="P146" s="60">
        <v>0</v>
      </c>
      <c r="Q146" s="60">
        <v>0</v>
      </c>
      <c r="R146" s="60">
        <v>0</v>
      </c>
      <c r="S146" s="60">
        <v>0</v>
      </c>
      <c r="T146" s="60">
        <v>0</v>
      </c>
      <c r="U146" s="60">
        <v>0</v>
      </c>
      <c r="V146" s="60">
        <v>0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60">
        <v>0</v>
      </c>
      <c r="AC146" s="60">
        <v>0</v>
      </c>
      <c r="AD146" s="60">
        <v>0</v>
      </c>
      <c r="AE146" s="60">
        <v>0</v>
      </c>
      <c r="AF146" s="60">
        <v>0</v>
      </c>
      <c r="AG146" s="60">
        <v>0</v>
      </c>
      <c r="AH146" s="60">
        <v>0</v>
      </c>
      <c r="AI146" s="60">
        <v>218.54</v>
      </c>
      <c r="AJ146" s="60">
        <v>191.85</v>
      </c>
      <c r="AK146" s="60">
        <v>196.49</v>
      </c>
      <c r="AL146" s="60">
        <v>0</v>
      </c>
      <c r="AM146" s="60">
        <v>0</v>
      </c>
      <c r="AN146" s="60">
        <v>0</v>
      </c>
      <c r="AO146" s="60">
        <v>218.54</v>
      </c>
      <c r="AP146" s="60">
        <v>191.85</v>
      </c>
      <c r="AQ146" s="60">
        <v>196.49</v>
      </c>
      <c r="AR146" s="61">
        <v>218.54</v>
      </c>
    </row>
    <row r="147" spans="1:44" x14ac:dyDescent="0.35">
      <c r="A147" s="49" t="str">
        <f t="shared" si="12"/>
        <v>15</v>
      </c>
      <c r="B147" s="27">
        <v>63438</v>
      </c>
      <c r="C147" s="25" t="str">
        <f t="shared" si="13"/>
        <v>0000000</v>
      </c>
      <c r="D147" s="26" t="s">
        <v>3663</v>
      </c>
      <c r="E147" s="25" t="s">
        <v>669</v>
      </c>
      <c r="F147" s="25" t="s">
        <v>640</v>
      </c>
      <c r="G147" s="59" t="s">
        <v>670</v>
      </c>
      <c r="H147" s="60">
        <v>1006.09</v>
      </c>
      <c r="I147" s="60">
        <v>942.88</v>
      </c>
      <c r="J147" s="60">
        <v>1023.4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60">
        <v>0</v>
      </c>
      <c r="Y147" s="60">
        <v>0</v>
      </c>
      <c r="Z147" s="60">
        <v>0</v>
      </c>
      <c r="AA147" s="60">
        <v>0</v>
      </c>
      <c r="AB147" s="60">
        <v>0</v>
      </c>
      <c r="AC147" s="60">
        <v>0</v>
      </c>
      <c r="AD147" s="60">
        <v>0</v>
      </c>
      <c r="AE147" s="60">
        <v>0</v>
      </c>
      <c r="AF147" s="60">
        <v>0</v>
      </c>
      <c r="AG147" s="60">
        <v>0</v>
      </c>
      <c r="AH147" s="60">
        <v>0</v>
      </c>
      <c r="AI147" s="60">
        <v>1006.09</v>
      </c>
      <c r="AJ147" s="60">
        <v>942.88</v>
      </c>
      <c r="AK147" s="60">
        <v>1023.4</v>
      </c>
      <c r="AL147" s="60">
        <v>0</v>
      </c>
      <c r="AM147" s="60">
        <v>0</v>
      </c>
      <c r="AN147" s="60">
        <v>0</v>
      </c>
      <c r="AO147" s="60">
        <v>1006.09</v>
      </c>
      <c r="AP147" s="60">
        <v>942.88</v>
      </c>
      <c r="AQ147" s="60">
        <v>1023.4</v>
      </c>
      <c r="AR147" s="61">
        <v>1023.4</v>
      </c>
    </row>
    <row r="148" spans="1:44" x14ac:dyDescent="0.35">
      <c r="A148" s="49" t="str">
        <f t="shared" si="12"/>
        <v>15</v>
      </c>
      <c r="B148" s="27">
        <v>63446</v>
      </c>
      <c r="C148" s="25" t="str">
        <f t="shared" si="13"/>
        <v>0000000</v>
      </c>
      <c r="D148" s="26" t="s">
        <v>3663</v>
      </c>
      <c r="E148" s="25" t="s">
        <v>671</v>
      </c>
      <c r="F148" s="25" t="s">
        <v>640</v>
      </c>
      <c r="G148" s="59" t="s">
        <v>672</v>
      </c>
      <c r="H148" s="60">
        <v>152</v>
      </c>
      <c r="I148" s="60">
        <v>160.32</v>
      </c>
      <c r="J148" s="60">
        <v>179.86</v>
      </c>
      <c r="K148" s="60">
        <v>0</v>
      </c>
      <c r="L148" s="60">
        <v>0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60">
        <v>0</v>
      </c>
      <c r="T148" s="60">
        <v>0</v>
      </c>
      <c r="U148" s="60">
        <v>0</v>
      </c>
      <c r="V148" s="60">
        <v>0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60">
        <v>0</v>
      </c>
      <c r="AC148" s="60">
        <v>0</v>
      </c>
      <c r="AD148" s="60">
        <v>0</v>
      </c>
      <c r="AE148" s="60">
        <v>0</v>
      </c>
      <c r="AF148" s="60">
        <v>0</v>
      </c>
      <c r="AG148" s="60">
        <v>0</v>
      </c>
      <c r="AH148" s="60">
        <v>0</v>
      </c>
      <c r="AI148" s="60">
        <v>152</v>
      </c>
      <c r="AJ148" s="60">
        <v>160.32</v>
      </c>
      <c r="AK148" s="60">
        <v>179.86</v>
      </c>
      <c r="AL148" s="60">
        <v>0</v>
      </c>
      <c r="AM148" s="60">
        <v>0</v>
      </c>
      <c r="AN148" s="60">
        <v>0</v>
      </c>
      <c r="AO148" s="60">
        <v>152</v>
      </c>
      <c r="AP148" s="60">
        <v>160.32</v>
      </c>
      <c r="AQ148" s="60">
        <v>179.86</v>
      </c>
      <c r="AR148" s="61">
        <v>179.86</v>
      </c>
    </row>
    <row r="149" spans="1:44" x14ac:dyDescent="0.35">
      <c r="A149" s="49" t="str">
        <f t="shared" si="12"/>
        <v>15</v>
      </c>
      <c r="B149" s="27">
        <v>63487</v>
      </c>
      <c r="C149" s="25" t="str">
        <f t="shared" si="13"/>
        <v>0000000</v>
      </c>
      <c r="D149" s="26" t="s">
        <v>3663</v>
      </c>
      <c r="E149" s="25" t="s">
        <v>677</v>
      </c>
      <c r="F149" s="25" t="s">
        <v>640</v>
      </c>
      <c r="G149" s="59" t="s">
        <v>678</v>
      </c>
      <c r="H149" s="60">
        <v>162.74</v>
      </c>
      <c r="I149" s="60">
        <v>162.49</v>
      </c>
      <c r="J149" s="60">
        <v>178.03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60">
        <v>0</v>
      </c>
      <c r="AC149" s="60">
        <v>0</v>
      </c>
      <c r="AD149" s="60">
        <v>0</v>
      </c>
      <c r="AE149" s="60">
        <v>0</v>
      </c>
      <c r="AF149" s="60">
        <v>0</v>
      </c>
      <c r="AG149" s="60">
        <v>0</v>
      </c>
      <c r="AH149" s="60">
        <v>0</v>
      </c>
      <c r="AI149" s="60">
        <v>162.74</v>
      </c>
      <c r="AJ149" s="60">
        <v>162.49</v>
      </c>
      <c r="AK149" s="60">
        <v>178.03</v>
      </c>
      <c r="AL149" s="60">
        <v>0</v>
      </c>
      <c r="AM149" s="60">
        <v>0</v>
      </c>
      <c r="AN149" s="60">
        <v>0</v>
      </c>
      <c r="AO149" s="60">
        <v>162.74</v>
      </c>
      <c r="AP149" s="60">
        <v>162.49</v>
      </c>
      <c r="AQ149" s="60">
        <v>178.03</v>
      </c>
      <c r="AR149" s="61">
        <v>178.03</v>
      </c>
    </row>
    <row r="150" spans="1:44" x14ac:dyDescent="0.35">
      <c r="A150" s="49" t="str">
        <f t="shared" si="12"/>
        <v>15</v>
      </c>
      <c r="B150" s="27">
        <v>63552</v>
      </c>
      <c r="C150" s="25" t="str">
        <f t="shared" si="13"/>
        <v>0000000</v>
      </c>
      <c r="D150" s="26" t="s">
        <v>3663</v>
      </c>
      <c r="E150" s="25" t="s">
        <v>685</v>
      </c>
      <c r="F150" s="25" t="s">
        <v>640</v>
      </c>
      <c r="G150" s="59" t="s">
        <v>686</v>
      </c>
      <c r="H150" s="60">
        <v>1417.2</v>
      </c>
      <c r="I150" s="60">
        <v>1327.58</v>
      </c>
      <c r="J150" s="60">
        <v>1350.21</v>
      </c>
      <c r="K150" s="60">
        <v>0</v>
      </c>
      <c r="L150" s="60">
        <v>0</v>
      </c>
      <c r="M150" s="60">
        <v>0</v>
      </c>
      <c r="N150" s="60">
        <v>0</v>
      </c>
      <c r="O150" s="60">
        <v>0</v>
      </c>
      <c r="P150" s="60">
        <v>0</v>
      </c>
      <c r="Q150" s="60">
        <v>0</v>
      </c>
      <c r="R150" s="60">
        <v>0</v>
      </c>
      <c r="S150" s="60">
        <v>0</v>
      </c>
      <c r="T150" s="60">
        <v>0</v>
      </c>
      <c r="U150" s="60"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60">
        <v>0</v>
      </c>
      <c r="AC150" s="60">
        <v>0</v>
      </c>
      <c r="AD150" s="60">
        <v>0</v>
      </c>
      <c r="AE150" s="60">
        <v>0</v>
      </c>
      <c r="AF150" s="60">
        <v>0</v>
      </c>
      <c r="AG150" s="60">
        <v>0</v>
      </c>
      <c r="AH150" s="60">
        <v>0</v>
      </c>
      <c r="AI150" s="60">
        <v>1417.2</v>
      </c>
      <c r="AJ150" s="60">
        <v>1327.58</v>
      </c>
      <c r="AK150" s="60">
        <v>1350.21</v>
      </c>
      <c r="AL150" s="60">
        <v>0</v>
      </c>
      <c r="AM150" s="60">
        <v>0</v>
      </c>
      <c r="AN150" s="60">
        <v>0</v>
      </c>
      <c r="AO150" s="60">
        <v>1417.2</v>
      </c>
      <c r="AP150" s="60">
        <v>1327.58</v>
      </c>
      <c r="AQ150" s="60">
        <v>1350.21</v>
      </c>
      <c r="AR150" s="61">
        <v>1417.2</v>
      </c>
    </row>
    <row r="151" spans="1:44" x14ac:dyDescent="0.35">
      <c r="A151" s="49" t="str">
        <f t="shared" si="12"/>
        <v>15</v>
      </c>
      <c r="B151" s="27">
        <v>63586</v>
      </c>
      <c r="C151" s="25" t="str">
        <f t="shared" si="13"/>
        <v>0000000</v>
      </c>
      <c r="D151" s="26" t="s">
        <v>3663</v>
      </c>
      <c r="E151" s="25" t="s">
        <v>693</v>
      </c>
      <c r="F151" s="25" t="s">
        <v>640</v>
      </c>
      <c r="G151" s="59" t="s">
        <v>694</v>
      </c>
      <c r="H151" s="60">
        <v>14.46</v>
      </c>
      <c r="I151" s="60">
        <v>17.14</v>
      </c>
      <c r="J151" s="60">
        <v>15.4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60">
        <v>0</v>
      </c>
      <c r="AC151" s="60">
        <v>0</v>
      </c>
      <c r="AD151" s="60">
        <v>0</v>
      </c>
      <c r="AE151" s="60">
        <v>0</v>
      </c>
      <c r="AF151" s="60">
        <v>0</v>
      </c>
      <c r="AG151" s="60">
        <v>0</v>
      </c>
      <c r="AH151" s="60">
        <v>0</v>
      </c>
      <c r="AI151" s="60">
        <v>14.46</v>
      </c>
      <c r="AJ151" s="60">
        <v>17.14</v>
      </c>
      <c r="AK151" s="60">
        <v>15.4</v>
      </c>
      <c r="AL151" s="60">
        <v>0</v>
      </c>
      <c r="AM151" s="60">
        <v>0</v>
      </c>
      <c r="AN151" s="60">
        <v>0</v>
      </c>
      <c r="AO151" s="60">
        <v>14.46</v>
      </c>
      <c r="AP151" s="60">
        <v>17.14</v>
      </c>
      <c r="AQ151" s="60">
        <v>15.4</v>
      </c>
      <c r="AR151" s="61">
        <v>17.14</v>
      </c>
    </row>
    <row r="152" spans="1:44" x14ac:dyDescent="0.35">
      <c r="A152" s="49" t="str">
        <f t="shared" si="12"/>
        <v>15</v>
      </c>
      <c r="B152" s="27">
        <v>63610</v>
      </c>
      <c r="C152" s="25" t="str">
        <f t="shared" si="13"/>
        <v>0000000</v>
      </c>
      <c r="D152" s="26" t="s">
        <v>3663</v>
      </c>
      <c r="E152" s="25" t="s">
        <v>697</v>
      </c>
      <c r="F152" s="25" t="s">
        <v>640</v>
      </c>
      <c r="G152" s="59" t="s">
        <v>698</v>
      </c>
      <c r="H152" s="60">
        <v>274.23</v>
      </c>
      <c r="I152" s="60">
        <v>269.29000000000002</v>
      </c>
      <c r="J152" s="60">
        <v>277.72000000000003</v>
      </c>
      <c r="K152" s="60">
        <v>0</v>
      </c>
      <c r="L152" s="60">
        <v>0</v>
      </c>
      <c r="M152" s="60">
        <v>0</v>
      </c>
      <c r="N152" s="60">
        <v>0</v>
      </c>
      <c r="O152" s="60">
        <v>0</v>
      </c>
      <c r="P152" s="60">
        <v>0</v>
      </c>
      <c r="Q152" s="60">
        <v>0</v>
      </c>
      <c r="R152" s="60">
        <v>0</v>
      </c>
      <c r="S152" s="60">
        <v>0</v>
      </c>
      <c r="T152" s="60">
        <v>0</v>
      </c>
      <c r="U152" s="60"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60">
        <v>0</v>
      </c>
      <c r="AC152" s="60">
        <v>0</v>
      </c>
      <c r="AD152" s="60">
        <v>0</v>
      </c>
      <c r="AE152" s="60">
        <v>0</v>
      </c>
      <c r="AF152" s="60">
        <v>0</v>
      </c>
      <c r="AG152" s="60">
        <v>0</v>
      </c>
      <c r="AH152" s="60">
        <v>0</v>
      </c>
      <c r="AI152" s="60">
        <v>274.23</v>
      </c>
      <c r="AJ152" s="60">
        <v>269.29000000000002</v>
      </c>
      <c r="AK152" s="60">
        <v>277.72000000000003</v>
      </c>
      <c r="AL152" s="60">
        <v>0</v>
      </c>
      <c r="AM152" s="60">
        <v>0</v>
      </c>
      <c r="AN152" s="60">
        <v>0</v>
      </c>
      <c r="AO152" s="60">
        <v>274.23</v>
      </c>
      <c r="AP152" s="60">
        <v>269.29000000000002</v>
      </c>
      <c r="AQ152" s="60">
        <v>277.72000000000003</v>
      </c>
      <c r="AR152" s="61">
        <v>277.72000000000003</v>
      </c>
    </row>
    <row r="153" spans="1:44" x14ac:dyDescent="0.35">
      <c r="A153" s="49" t="str">
        <f t="shared" si="12"/>
        <v>15</v>
      </c>
      <c r="B153" s="27">
        <v>63651</v>
      </c>
      <c r="C153" s="25" t="str">
        <f t="shared" si="13"/>
        <v>0000000</v>
      </c>
      <c r="D153" s="26" t="s">
        <v>3663</v>
      </c>
      <c r="E153" s="25" t="s">
        <v>711</v>
      </c>
      <c r="F153" s="25" t="s">
        <v>640</v>
      </c>
      <c r="G153" s="59" t="s">
        <v>712</v>
      </c>
      <c r="H153" s="60">
        <v>38.4</v>
      </c>
      <c r="I153" s="60">
        <v>35.83</v>
      </c>
      <c r="J153" s="60">
        <v>110.19</v>
      </c>
      <c r="K153" s="60">
        <v>0</v>
      </c>
      <c r="L153" s="60">
        <v>0</v>
      </c>
      <c r="M153" s="60">
        <v>0</v>
      </c>
      <c r="N153" s="60">
        <v>35.56</v>
      </c>
      <c r="O153" s="60">
        <v>40.46</v>
      </c>
      <c r="P153" s="60">
        <v>51.3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60">
        <v>0</v>
      </c>
      <c r="AC153" s="60">
        <v>0</v>
      </c>
      <c r="AD153" s="60">
        <v>0</v>
      </c>
      <c r="AE153" s="60">
        <v>0</v>
      </c>
      <c r="AF153" s="60">
        <v>0</v>
      </c>
      <c r="AG153" s="60">
        <v>0</v>
      </c>
      <c r="AH153" s="60">
        <v>0</v>
      </c>
      <c r="AI153" s="60">
        <v>73.959999999999994</v>
      </c>
      <c r="AJ153" s="60">
        <v>76.290000000000006</v>
      </c>
      <c r="AK153" s="60">
        <v>161.49</v>
      </c>
      <c r="AL153" s="60">
        <v>0</v>
      </c>
      <c r="AM153" s="60">
        <v>0</v>
      </c>
      <c r="AN153" s="60">
        <v>0</v>
      </c>
      <c r="AO153" s="60">
        <v>73.959999999999994</v>
      </c>
      <c r="AP153" s="60">
        <v>76.290000000000006</v>
      </c>
      <c r="AQ153" s="60">
        <v>161.49</v>
      </c>
      <c r="AR153" s="61">
        <v>161.49</v>
      </c>
    </row>
    <row r="154" spans="1:44" x14ac:dyDescent="0.35">
      <c r="A154" s="49" t="str">
        <f t="shared" si="12"/>
        <v>15</v>
      </c>
      <c r="B154" s="27">
        <v>63669</v>
      </c>
      <c r="C154" s="25" t="str">
        <f t="shared" si="13"/>
        <v>0000000</v>
      </c>
      <c r="D154" s="26" t="s">
        <v>3663</v>
      </c>
      <c r="E154" s="25" t="s">
        <v>713</v>
      </c>
      <c r="F154" s="25" t="s">
        <v>640</v>
      </c>
      <c r="G154" s="59" t="s">
        <v>714</v>
      </c>
      <c r="H154" s="60">
        <v>47.31</v>
      </c>
      <c r="I154" s="60">
        <v>37.369999999999997</v>
      </c>
      <c r="J154" s="60">
        <v>57.21</v>
      </c>
      <c r="K154" s="60">
        <v>0</v>
      </c>
      <c r="L154" s="60">
        <v>0</v>
      </c>
      <c r="M154" s="60">
        <v>0</v>
      </c>
      <c r="N154" s="60">
        <v>24.07</v>
      </c>
      <c r="O154" s="60">
        <v>22.93</v>
      </c>
      <c r="P154" s="60">
        <v>23.71</v>
      </c>
      <c r="Q154" s="60">
        <v>0</v>
      </c>
      <c r="R154" s="60">
        <v>0</v>
      </c>
      <c r="S154" s="60">
        <v>0</v>
      </c>
      <c r="T154" s="60">
        <v>0</v>
      </c>
      <c r="U154" s="60">
        <v>0</v>
      </c>
      <c r="V154" s="60">
        <v>0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60">
        <v>0</v>
      </c>
      <c r="AC154" s="60">
        <v>0</v>
      </c>
      <c r="AD154" s="60">
        <v>0</v>
      </c>
      <c r="AE154" s="60">
        <v>0</v>
      </c>
      <c r="AF154" s="60">
        <v>0</v>
      </c>
      <c r="AG154" s="60">
        <v>0</v>
      </c>
      <c r="AH154" s="60">
        <v>0</v>
      </c>
      <c r="AI154" s="60">
        <v>71.38</v>
      </c>
      <c r="AJ154" s="60">
        <v>60.3</v>
      </c>
      <c r="AK154" s="60">
        <v>80.92</v>
      </c>
      <c r="AL154" s="60">
        <v>0</v>
      </c>
      <c r="AM154" s="60">
        <v>0</v>
      </c>
      <c r="AN154" s="60">
        <v>0</v>
      </c>
      <c r="AO154" s="60">
        <v>71.38</v>
      </c>
      <c r="AP154" s="60">
        <v>60.3</v>
      </c>
      <c r="AQ154" s="60">
        <v>80.92</v>
      </c>
      <c r="AR154" s="61">
        <v>80.92</v>
      </c>
    </row>
    <row r="155" spans="1:44" x14ac:dyDescent="0.35">
      <c r="A155" s="49" t="str">
        <f t="shared" si="12"/>
        <v>15</v>
      </c>
      <c r="B155" s="27">
        <v>63719</v>
      </c>
      <c r="C155" s="25" t="str">
        <f t="shared" si="13"/>
        <v>0000000</v>
      </c>
      <c r="D155" s="26" t="s">
        <v>3663</v>
      </c>
      <c r="E155" s="25" t="s">
        <v>721</v>
      </c>
      <c r="F155" s="25" t="s">
        <v>640</v>
      </c>
      <c r="G155" s="59" t="s">
        <v>722</v>
      </c>
      <c r="H155" s="60">
        <v>170.29</v>
      </c>
      <c r="I155" s="60">
        <v>172.04</v>
      </c>
      <c r="J155" s="60">
        <v>157.63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0">
        <v>0</v>
      </c>
      <c r="AE155" s="60">
        <v>0</v>
      </c>
      <c r="AF155" s="60">
        <v>0</v>
      </c>
      <c r="AG155" s="60">
        <v>0</v>
      </c>
      <c r="AH155" s="60">
        <v>0</v>
      </c>
      <c r="AI155" s="60">
        <v>170.29</v>
      </c>
      <c r="AJ155" s="60">
        <v>172.04</v>
      </c>
      <c r="AK155" s="60">
        <v>157.63</v>
      </c>
      <c r="AL155" s="60">
        <v>0</v>
      </c>
      <c r="AM155" s="60">
        <v>0</v>
      </c>
      <c r="AN155" s="60">
        <v>0</v>
      </c>
      <c r="AO155" s="60">
        <v>170.29</v>
      </c>
      <c r="AP155" s="60">
        <v>172.04</v>
      </c>
      <c r="AQ155" s="60">
        <v>157.63</v>
      </c>
      <c r="AR155" s="61">
        <v>172.04</v>
      </c>
    </row>
    <row r="156" spans="1:44" x14ac:dyDescent="0.35">
      <c r="A156" s="49" t="str">
        <f t="shared" si="12"/>
        <v>15</v>
      </c>
      <c r="B156" s="27">
        <v>63768</v>
      </c>
      <c r="C156" s="25" t="str">
        <f t="shared" si="13"/>
        <v>0000000</v>
      </c>
      <c r="D156" s="26" t="s">
        <v>3663</v>
      </c>
      <c r="E156" s="25" t="s">
        <v>725</v>
      </c>
      <c r="F156" s="25" t="s">
        <v>640</v>
      </c>
      <c r="G156" s="59" t="s">
        <v>726</v>
      </c>
      <c r="H156" s="60">
        <v>141.72</v>
      </c>
      <c r="I156" s="60">
        <v>148.99</v>
      </c>
      <c r="J156" s="60">
        <v>195.18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0">
        <v>0</v>
      </c>
      <c r="AE156" s="60">
        <v>0</v>
      </c>
      <c r="AF156" s="60">
        <v>0</v>
      </c>
      <c r="AG156" s="60">
        <v>0</v>
      </c>
      <c r="AH156" s="60">
        <v>0</v>
      </c>
      <c r="AI156" s="60">
        <v>141.72</v>
      </c>
      <c r="AJ156" s="60">
        <v>148.99</v>
      </c>
      <c r="AK156" s="60">
        <v>195.18</v>
      </c>
      <c r="AL156" s="60">
        <v>0</v>
      </c>
      <c r="AM156" s="60">
        <v>0</v>
      </c>
      <c r="AN156" s="60">
        <v>0</v>
      </c>
      <c r="AO156" s="60">
        <v>141.72</v>
      </c>
      <c r="AP156" s="60">
        <v>148.99</v>
      </c>
      <c r="AQ156" s="60">
        <v>195.18</v>
      </c>
      <c r="AR156" s="61">
        <v>195.18</v>
      </c>
    </row>
    <row r="157" spans="1:44" x14ac:dyDescent="0.35">
      <c r="A157" s="49" t="str">
        <f t="shared" si="12"/>
        <v>15</v>
      </c>
      <c r="B157" s="27">
        <v>63834</v>
      </c>
      <c r="C157" s="25" t="str">
        <f t="shared" si="13"/>
        <v>0000000</v>
      </c>
      <c r="D157" s="26" t="s">
        <v>3663</v>
      </c>
      <c r="E157" s="25" t="s">
        <v>739</v>
      </c>
      <c r="F157" s="25" t="s">
        <v>640</v>
      </c>
      <c r="G157" s="59" t="s">
        <v>740</v>
      </c>
      <c r="H157" s="60">
        <v>610.27</v>
      </c>
      <c r="I157" s="60">
        <v>622.01</v>
      </c>
      <c r="J157" s="60">
        <v>629.48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60">
        <v>0</v>
      </c>
      <c r="AE157" s="60">
        <v>0</v>
      </c>
      <c r="AF157" s="60">
        <v>0</v>
      </c>
      <c r="AG157" s="60">
        <v>0</v>
      </c>
      <c r="AH157" s="60">
        <v>0</v>
      </c>
      <c r="AI157" s="60">
        <v>610.27</v>
      </c>
      <c r="AJ157" s="60">
        <v>622.01</v>
      </c>
      <c r="AK157" s="60">
        <v>629.48</v>
      </c>
      <c r="AL157" s="60">
        <v>0</v>
      </c>
      <c r="AM157" s="60">
        <v>0</v>
      </c>
      <c r="AN157" s="60">
        <v>0</v>
      </c>
      <c r="AO157" s="60">
        <v>610.27</v>
      </c>
      <c r="AP157" s="60">
        <v>622.01</v>
      </c>
      <c r="AQ157" s="60">
        <v>629.48</v>
      </c>
      <c r="AR157" s="61">
        <v>629.48</v>
      </c>
    </row>
    <row r="158" spans="1:44" x14ac:dyDescent="0.35">
      <c r="A158" s="49" t="str">
        <f t="shared" si="12"/>
        <v>15</v>
      </c>
      <c r="B158" s="27">
        <v>73544</v>
      </c>
      <c r="C158" s="25" t="str">
        <f t="shared" si="13"/>
        <v>0000000</v>
      </c>
      <c r="D158" s="26" t="s">
        <v>3663</v>
      </c>
      <c r="E158" s="25" t="s">
        <v>745</v>
      </c>
      <c r="F158" s="25" t="s">
        <v>640</v>
      </c>
      <c r="G158" s="59" t="s">
        <v>746</v>
      </c>
      <c r="H158" s="60">
        <v>948.69</v>
      </c>
      <c r="I158" s="60">
        <v>930.52</v>
      </c>
      <c r="J158" s="60">
        <v>1016.96</v>
      </c>
      <c r="K158" s="60">
        <v>0</v>
      </c>
      <c r="L158" s="60">
        <v>0</v>
      </c>
      <c r="M158" s="60">
        <v>0</v>
      </c>
      <c r="N158" s="60">
        <v>0</v>
      </c>
      <c r="O158" s="60">
        <v>0</v>
      </c>
      <c r="P158" s="60">
        <v>0</v>
      </c>
      <c r="Q158" s="60">
        <v>0</v>
      </c>
      <c r="R158" s="60">
        <v>0</v>
      </c>
      <c r="S158" s="60">
        <v>0</v>
      </c>
      <c r="T158" s="60">
        <v>0</v>
      </c>
      <c r="U158" s="60">
        <v>0</v>
      </c>
      <c r="V158" s="60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60">
        <v>0</v>
      </c>
      <c r="AC158" s="60">
        <v>0</v>
      </c>
      <c r="AD158" s="60">
        <v>0</v>
      </c>
      <c r="AE158" s="60">
        <v>0</v>
      </c>
      <c r="AF158" s="60">
        <v>0</v>
      </c>
      <c r="AG158" s="60">
        <v>0</v>
      </c>
      <c r="AH158" s="60">
        <v>0</v>
      </c>
      <c r="AI158" s="60">
        <v>948.69</v>
      </c>
      <c r="AJ158" s="60">
        <v>930.52</v>
      </c>
      <c r="AK158" s="60">
        <v>1016.96</v>
      </c>
      <c r="AL158" s="60">
        <v>0</v>
      </c>
      <c r="AM158" s="60">
        <v>0</v>
      </c>
      <c r="AN158" s="60">
        <v>0</v>
      </c>
      <c r="AO158" s="60">
        <v>948.69</v>
      </c>
      <c r="AP158" s="60">
        <v>930.52</v>
      </c>
      <c r="AQ158" s="60">
        <v>1016.96</v>
      </c>
      <c r="AR158" s="61">
        <v>1016.96</v>
      </c>
    </row>
    <row r="159" spans="1:44" x14ac:dyDescent="0.35">
      <c r="A159" s="49" t="str">
        <f t="shared" si="12"/>
        <v>15</v>
      </c>
      <c r="B159" s="27">
        <v>10157</v>
      </c>
      <c r="C159" s="25" t="str">
        <f>TEXT(119669,"0000000")</f>
        <v>0119669</v>
      </c>
      <c r="D159" s="27">
        <v>1078</v>
      </c>
      <c r="E159" s="25" t="s">
        <v>641</v>
      </c>
      <c r="F159" s="25" t="s">
        <v>640</v>
      </c>
      <c r="G159" s="59" t="s">
        <v>642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1752.17</v>
      </c>
      <c r="AD159" s="60">
        <v>1802.4</v>
      </c>
      <c r="AE159" s="60">
        <v>1874.6</v>
      </c>
      <c r="AF159" s="60">
        <v>0</v>
      </c>
      <c r="AG159" s="60">
        <v>0</v>
      </c>
      <c r="AH159" s="60">
        <v>0</v>
      </c>
      <c r="AI159" s="60">
        <v>1752.17</v>
      </c>
      <c r="AJ159" s="60">
        <v>1802.4</v>
      </c>
      <c r="AK159" s="60">
        <v>1874.6</v>
      </c>
      <c r="AL159" s="60">
        <v>0</v>
      </c>
      <c r="AM159" s="60">
        <v>0</v>
      </c>
      <c r="AN159" s="60">
        <v>0</v>
      </c>
      <c r="AO159" s="60">
        <v>1752.17</v>
      </c>
      <c r="AP159" s="60">
        <v>1802.4</v>
      </c>
      <c r="AQ159" s="60">
        <v>1874.6</v>
      </c>
      <c r="AR159" s="61">
        <v>1874.6</v>
      </c>
    </row>
    <row r="160" spans="1:44" x14ac:dyDescent="0.35">
      <c r="A160" s="49" t="str">
        <f t="shared" si="12"/>
        <v>15</v>
      </c>
      <c r="B160" s="27">
        <v>10157</v>
      </c>
      <c r="C160" s="25" t="str">
        <f>TEXT(124040,"0000000")</f>
        <v>0124040</v>
      </c>
      <c r="D160" s="27">
        <v>1292</v>
      </c>
      <c r="E160" s="25" t="s">
        <v>643</v>
      </c>
      <c r="F160" s="25" t="s">
        <v>640</v>
      </c>
      <c r="G160" s="59" t="s">
        <v>644</v>
      </c>
      <c r="H160" s="60">
        <v>0</v>
      </c>
      <c r="I160" s="60">
        <v>0</v>
      </c>
      <c r="J160" s="60">
        <v>0</v>
      </c>
      <c r="K160" s="60">
        <v>0</v>
      </c>
      <c r="L160" s="60">
        <v>0</v>
      </c>
      <c r="M160" s="60">
        <v>0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60">
        <v>0</v>
      </c>
      <c r="T160" s="60">
        <v>0</v>
      </c>
      <c r="U160" s="60">
        <v>0</v>
      </c>
      <c r="V160" s="60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759.17</v>
      </c>
      <c r="AD160" s="60">
        <v>710.92</v>
      </c>
      <c r="AE160" s="60">
        <v>766.21</v>
      </c>
      <c r="AF160" s="60">
        <v>0</v>
      </c>
      <c r="AG160" s="60">
        <v>0</v>
      </c>
      <c r="AH160" s="60">
        <v>0</v>
      </c>
      <c r="AI160" s="60">
        <v>759.17</v>
      </c>
      <c r="AJ160" s="60">
        <v>710.92</v>
      </c>
      <c r="AK160" s="60">
        <v>766.21</v>
      </c>
      <c r="AL160" s="60">
        <v>0</v>
      </c>
      <c r="AM160" s="60">
        <v>0</v>
      </c>
      <c r="AN160" s="60">
        <v>0</v>
      </c>
      <c r="AO160" s="60">
        <v>759.17</v>
      </c>
      <c r="AP160" s="60">
        <v>710.92</v>
      </c>
      <c r="AQ160" s="60">
        <v>766.21</v>
      </c>
      <c r="AR160" s="61">
        <v>766.21</v>
      </c>
    </row>
    <row r="161" spans="1:44" x14ac:dyDescent="0.35">
      <c r="A161" s="49" t="str">
        <f t="shared" si="12"/>
        <v>15</v>
      </c>
      <c r="B161" s="27">
        <v>63578</v>
      </c>
      <c r="C161" s="25" t="str">
        <f>TEXT(135186,"0000000")</f>
        <v>0135186</v>
      </c>
      <c r="D161" s="27">
        <v>1847</v>
      </c>
      <c r="E161" s="25" t="s">
        <v>691</v>
      </c>
      <c r="F161" s="25" t="s">
        <v>640</v>
      </c>
      <c r="G161" s="59" t="s">
        <v>692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60">
        <v>0</v>
      </c>
      <c r="Y161" s="60">
        <v>0</v>
      </c>
      <c r="Z161" s="60">
        <v>0</v>
      </c>
      <c r="AA161" s="60">
        <v>0</v>
      </c>
      <c r="AB161" s="60">
        <v>0</v>
      </c>
      <c r="AC161" s="60">
        <v>743.62</v>
      </c>
      <c r="AD161" s="60">
        <v>705.21</v>
      </c>
      <c r="AE161" s="60">
        <v>668.5</v>
      </c>
      <c r="AF161" s="60">
        <v>0</v>
      </c>
      <c r="AG161" s="60">
        <v>0</v>
      </c>
      <c r="AH161" s="60">
        <v>0</v>
      </c>
      <c r="AI161" s="60">
        <v>743.62</v>
      </c>
      <c r="AJ161" s="60">
        <v>705.21</v>
      </c>
      <c r="AK161" s="60">
        <v>668.5</v>
      </c>
      <c r="AL161" s="60">
        <v>0</v>
      </c>
      <c r="AM161" s="60">
        <v>0</v>
      </c>
      <c r="AN161" s="60">
        <v>0</v>
      </c>
      <c r="AO161" s="60">
        <v>743.62</v>
      </c>
      <c r="AP161" s="60">
        <v>705.21</v>
      </c>
      <c r="AQ161" s="60">
        <v>668.5</v>
      </c>
      <c r="AR161" s="61">
        <v>743.62</v>
      </c>
    </row>
    <row r="162" spans="1:44" x14ac:dyDescent="0.35">
      <c r="A162" s="49" t="str">
        <f t="shared" si="12"/>
        <v>15</v>
      </c>
      <c r="B162" s="27">
        <v>10157</v>
      </c>
      <c r="C162" s="25" t="str">
        <f>TEXT(135467,"0000000")</f>
        <v>0135467</v>
      </c>
      <c r="D162" s="27">
        <v>1851</v>
      </c>
      <c r="E162" s="25" t="s">
        <v>645</v>
      </c>
      <c r="F162" s="25" t="s">
        <v>640</v>
      </c>
      <c r="G162" s="59" t="s">
        <v>646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  <c r="O162" s="60">
        <v>0</v>
      </c>
      <c r="P162" s="60">
        <v>0</v>
      </c>
      <c r="Q162" s="60">
        <v>0</v>
      </c>
      <c r="R162" s="60">
        <v>0</v>
      </c>
      <c r="S162" s="60">
        <v>0</v>
      </c>
      <c r="T162" s="60">
        <v>0</v>
      </c>
      <c r="U162" s="60"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60">
        <v>0</v>
      </c>
      <c r="AC162" s="60">
        <v>467.62</v>
      </c>
      <c r="AD162" s="60">
        <v>442.01</v>
      </c>
      <c r="AE162" s="60">
        <v>393.1</v>
      </c>
      <c r="AF162" s="60">
        <v>0</v>
      </c>
      <c r="AG162" s="60">
        <v>0</v>
      </c>
      <c r="AH162" s="60">
        <v>0</v>
      </c>
      <c r="AI162" s="60">
        <v>467.62</v>
      </c>
      <c r="AJ162" s="60">
        <v>442.01</v>
      </c>
      <c r="AK162" s="60">
        <v>393.1</v>
      </c>
      <c r="AL162" s="60">
        <v>0</v>
      </c>
      <c r="AM162" s="60">
        <v>0</v>
      </c>
      <c r="AN162" s="60">
        <v>0</v>
      </c>
      <c r="AO162" s="60">
        <v>467.62</v>
      </c>
      <c r="AP162" s="60">
        <v>442.01</v>
      </c>
      <c r="AQ162" s="60">
        <v>393.1</v>
      </c>
      <c r="AR162" s="61">
        <v>467.62</v>
      </c>
    </row>
    <row r="163" spans="1:44" ht="31" x14ac:dyDescent="0.35">
      <c r="A163" s="49" t="str">
        <f t="shared" si="12"/>
        <v>15</v>
      </c>
      <c r="B163" s="27">
        <v>10157</v>
      </c>
      <c r="C163" s="25" t="str">
        <f>TEXT(1530500,"0000000")</f>
        <v>1530500</v>
      </c>
      <c r="D163" s="27">
        <v>2050</v>
      </c>
      <c r="E163" s="25" t="s">
        <v>647</v>
      </c>
      <c r="F163" s="25" t="s">
        <v>640</v>
      </c>
      <c r="G163" s="59" t="s">
        <v>648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60">
        <v>0</v>
      </c>
      <c r="AC163" s="60">
        <v>152.61000000000001</v>
      </c>
      <c r="AD163" s="60">
        <v>138.88999999999999</v>
      </c>
      <c r="AE163" s="60">
        <v>258.99</v>
      </c>
      <c r="AF163" s="60">
        <v>0</v>
      </c>
      <c r="AG163" s="60">
        <v>0</v>
      </c>
      <c r="AH163" s="60">
        <v>0</v>
      </c>
      <c r="AI163" s="60">
        <v>152.61000000000001</v>
      </c>
      <c r="AJ163" s="60">
        <v>138.88999999999999</v>
      </c>
      <c r="AK163" s="60">
        <v>258.99</v>
      </c>
      <c r="AL163" s="60">
        <v>0</v>
      </c>
      <c r="AM163" s="60">
        <v>0</v>
      </c>
      <c r="AN163" s="60">
        <v>0</v>
      </c>
      <c r="AO163" s="60">
        <v>152.61000000000001</v>
      </c>
      <c r="AP163" s="60">
        <v>138.88999999999999</v>
      </c>
      <c r="AQ163" s="60">
        <v>258.99</v>
      </c>
      <c r="AR163" s="61">
        <v>258.99</v>
      </c>
    </row>
    <row r="164" spans="1:44" x14ac:dyDescent="0.35">
      <c r="A164" s="49" t="str">
        <f t="shared" ref="A164:A184" si="14">TEXT(33,"00")</f>
        <v>33</v>
      </c>
      <c r="B164" s="27">
        <v>75242</v>
      </c>
      <c r="C164" s="25" t="str">
        <f t="shared" ref="C164:C183" si="15">TEXT(,"0000000")</f>
        <v>0000000</v>
      </c>
      <c r="D164" s="26" t="s">
        <v>3663</v>
      </c>
      <c r="E164" s="25" t="s">
        <v>1689</v>
      </c>
      <c r="F164" s="25" t="s">
        <v>1690</v>
      </c>
      <c r="G164" s="59" t="s">
        <v>1690</v>
      </c>
      <c r="H164" s="60">
        <v>17722.43</v>
      </c>
      <c r="I164" s="60">
        <v>17421.04</v>
      </c>
      <c r="J164" s="60">
        <v>19126.86</v>
      </c>
      <c r="K164" s="60">
        <v>0</v>
      </c>
      <c r="L164" s="60">
        <v>0</v>
      </c>
      <c r="M164" s="60">
        <v>0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60">
        <v>0</v>
      </c>
      <c r="T164" s="60">
        <v>0</v>
      </c>
      <c r="U164" s="60">
        <v>0</v>
      </c>
      <c r="V164" s="60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0">
        <v>0</v>
      </c>
      <c r="AE164" s="60">
        <v>0</v>
      </c>
      <c r="AF164" s="60">
        <v>0</v>
      </c>
      <c r="AG164" s="60">
        <v>0</v>
      </c>
      <c r="AH164" s="60">
        <v>0</v>
      </c>
      <c r="AI164" s="60">
        <v>17722.43</v>
      </c>
      <c r="AJ164" s="60">
        <v>17421.04</v>
      </c>
      <c r="AK164" s="60">
        <v>19126.86</v>
      </c>
      <c r="AL164" s="60">
        <v>0</v>
      </c>
      <c r="AM164" s="60">
        <v>0</v>
      </c>
      <c r="AN164" s="60">
        <v>0</v>
      </c>
      <c r="AO164" s="60">
        <v>17722.43</v>
      </c>
      <c r="AP164" s="60">
        <v>17421.04</v>
      </c>
      <c r="AQ164" s="60">
        <v>19126.86</v>
      </c>
      <c r="AR164" s="61">
        <v>19126.86</v>
      </c>
    </row>
    <row r="165" spans="1:44" x14ac:dyDescent="0.35">
      <c r="A165" s="49" t="str">
        <f t="shared" si="14"/>
        <v>33</v>
      </c>
      <c r="B165" s="27">
        <v>10330</v>
      </c>
      <c r="C165" s="25" t="str">
        <f t="shared" si="15"/>
        <v>0000000</v>
      </c>
      <c r="D165" s="26" t="s">
        <v>3663</v>
      </c>
      <c r="E165" s="25" t="s">
        <v>1691</v>
      </c>
      <c r="F165" s="25" t="s">
        <v>1690</v>
      </c>
      <c r="G165" s="59" t="s">
        <v>1692</v>
      </c>
      <c r="H165" s="60">
        <v>0</v>
      </c>
      <c r="I165" s="60">
        <v>0</v>
      </c>
      <c r="J165" s="60">
        <v>0</v>
      </c>
      <c r="K165" s="60">
        <v>0</v>
      </c>
      <c r="L165" s="60">
        <v>0</v>
      </c>
      <c r="M165" s="60">
        <v>0</v>
      </c>
      <c r="N165" s="60">
        <v>0</v>
      </c>
      <c r="O165" s="60">
        <v>0</v>
      </c>
      <c r="P165" s="60">
        <v>0</v>
      </c>
      <c r="Q165" s="60">
        <v>0</v>
      </c>
      <c r="R165" s="60">
        <v>0</v>
      </c>
      <c r="S165" s="60">
        <v>0</v>
      </c>
      <c r="T165" s="60">
        <v>220.53</v>
      </c>
      <c r="U165" s="60">
        <v>160.04</v>
      </c>
      <c r="V165" s="60">
        <v>355.06</v>
      </c>
      <c r="W165" s="60">
        <v>1076.01</v>
      </c>
      <c r="X165" s="60">
        <v>692.4</v>
      </c>
      <c r="Y165" s="60">
        <v>1344.71</v>
      </c>
      <c r="Z165" s="60">
        <v>0</v>
      </c>
      <c r="AA165" s="60">
        <v>0</v>
      </c>
      <c r="AB165" s="60">
        <v>0</v>
      </c>
      <c r="AC165" s="60">
        <v>0</v>
      </c>
      <c r="AD165" s="60">
        <v>0</v>
      </c>
      <c r="AE165" s="60">
        <v>0</v>
      </c>
      <c r="AF165" s="60">
        <v>0</v>
      </c>
      <c r="AG165" s="60">
        <v>0</v>
      </c>
      <c r="AH165" s="60">
        <v>0</v>
      </c>
      <c r="AI165" s="60">
        <v>1296.54</v>
      </c>
      <c r="AJ165" s="60">
        <v>852.44</v>
      </c>
      <c r="AK165" s="60">
        <v>1699.77</v>
      </c>
      <c r="AL165" s="60">
        <v>0</v>
      </c>
      <c r="AM165" s="60">
        <v>0</v>
      </c>
      <c r="AN165" s="60">
        <v>0</v>
      </c>
      <c r="AO165" s="60">
        <v>1296.54</v>
      </c>
      <c r="AP165" s="60">
        <v>852.44</v>
      </c>
      <c r="AQ165" s="60">
        <v>1699.77</v>
      </c>
      <c r="AR165" s="61">
        <v>1699.77</v>
      </c>
    </row>
    <row r="166" spans="1:44" x14ac:dyDescent="0.35">
      <c r="A166" s="49" t="str">
        <f t="shared" si="14"/>
        <v>33</v>
      </c>
      <c r="B166" s="27">
        <v>67116</v>
      </c>
      <c r="C166" s="25" t="str">
        <f t="shared" si="15"/>
        <v>0000000</v>
      </c>
      <c r="D166" s="26" t="s">
        <v>3663</v>
      </c>
      <c r="E166" s="25" t="s">
        <v>1740</v>
      </c>
      <c r="F166" s="25" t="s">
        <v>1690</v>
      </c>
      <c r="G166" s="59" t="s">
        <v>1741</v>
      </c>
      <c r="H166" s="60">
        <v>10989.29</v>
      </c>
      <c r="I166" s="60">
        <v>10182.35</v>
      </c>
      <c r="J166" s="60">
        <v>10274.43</v>
      </c>
      <c r="K166" s="60">
        <v>0</v>
      </c>
      <c r="L166" s="60">
        <v>0</v>
      </c>
      <c r="M166" s="60">
        <v>0</v>
      </c>
      <c r="N166" s="60">
        <v>0</v>
      </c>
      <c r="O166" s="60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0</v>
      </c>
      <c r="U166" s="60">
        <v>0</v>
      </c>
      <c r="V166" s="60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0">
        <v>0</v>
      </c>
      <c r="AE166" s="60">
        <v>0</v>
      </c>
      <c r="AF166" s="60">
        <v>0</v>
      </c>
      <c r="AG166" s="60">
        <v>0</v>
      </c>
      <c r="AH166" s="60">
        <v>0</v>
      </c>
      <c r="AI166" s="60">
        <v>10989.29</v>
      </c>
      <c r="AJ166" s="60">
        <v>10182.35</v>
      </c>
      <c r="AK166" s="60">
        <v>10274.43</v>
      </c>
      <c r="AL166" s="60">
        <v>0</v>
      </c>
      <c r="AM166" s="60">
        <v>0</v>
      </c>
      <c r="AN166" s="60">
        <v>0</v>
      </c>
      <c r="AO166" s="60">
        <v>10989.29</v>
      </c>
      <c r="AP166" s="60">
        <v>10182.35</v>
      </c>
      <c r="AQ166" s="60">
        <v>10274.43</v>
      </c>
      <c r="AR166" s="61">
        <v>10989.29</v>
      </c>
    </row>
    <row r="167" spans="1:44" x14ac:dyDescent="0.35">
      <c r="A167" s="49" t="str">
        <f t="shared" si="14"/>
        <v>33</v>
      </c>
      <c r="B167" s="27">
        <v>67157</v>
      </c>
      <c r="C167" s="25" t="str">
        <f t="shared" si="15"/>
        <v>0000000</v>
      </c>
      <c r="D167" s="26" t="s">
        <v>3663</v>
      </c>
      <c r="E167" s="25" t="s">
        <v>1747</v>
      </c>
      <c r="F167" s="25" t="s">
        <v>1690</v>
      </c>
      <c r="G167" s="59" t="s">
        <v>1748</v>
      </c>
      <c r="H167" s="60">
        <v>1377.42</v>
      </c>
      <c r="I167" s="60">
        <v>1295.1400000000001</v>
      </c>
      <c r="J167" s="60">
        <v>1487.19</v>
      </c>
      <c r="K167" s="60">
        <v>0</v>
      </c>
      <c r="L167" s="60">
        <v>0</v>
      </c>
      <c r="M167" s="60">
        <v>0</v>
      </c>
      <c r="N167" s="60">
        <v>0</v>
      </c>
      <c r="O167" s="60">
        <v>0</v>
      </c>
      <c r="P167" s="60">
        <v>0</v>
      </c>
      <c r="Q167" s="60">
        <v>0</v>
      </c>
      <c r="R167" s="60">
        <v>0</v>
      </c>
      <c r="S167" s="60">
        <v>0</v>
      </c>
      <c r="T167" s="60">
        <v>0</v>
      </c>
      <c r="U167" s="60">
        <v>0</v>
      </c>
      <c r="V167" s="60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616.27</v>
      </c>
      <c r="AD167" s="60">
        <v>604.38</v>
      </c>
      <c r="AE167" s="60">
        <v>627.83000000000004</v>
      </c>
      <c r="AF167" s="60">
        <v>0</v>
      </c>
      <c r="AG167" s="60">
        <v>0</v>
      </c>
      <c r="AH167" s="60">
        <v>0</v>
      </c>
      <c r="AI167" s="60">
        <v>1993.69</v>
      </c>
      <c r="AJ167" s="60">
        <v>1899.52</v>
      </c>
      <c r="AK167" s="60">
        <v>2115.02</v>
      </c>
      <c r="AL167" s="60">
        <v>0</v>
      </c>
      <c r="AM167" s="60">
        <v>0</v>
      </c>
      <c r="AN167" s="60">
        <v>0</v>
      </c>
      <c r="AO167" s="60">
        <v>1993.69</v>
      </c>
      <c r="AP167" s="60">
        <v>1899.52</v>
      </c>
      <c r="AQ167" s="60">
        <v>2115.02</v>
      </c>
      <c r="AR167" s="61">
        <v>2115.02</v>
      </c>
    </row>
    <row r="168" spans="1:44" x14ac:dyDescent="0.35">
      <c r="A168" s="49" t="str">
        <f t="shared" si="14"/>
        <v>33</v>
      </c>
      <c r="B168" s="27">
        <v>67199</v>
      </c>
      <c r="C168" s="25" t="str">
        <f t="shared" si="15"/>
        <v>0000000</v>
      </c>
      <c r="D168" s="26" t="s">
        <v>3663</v>
      </c>
      <c r="E168" s="25" t="s">
        <v>1755</v>
      </c>
      <c r="F168" s="25" t="s">
        <v>1690</v>
      </c>
      <c r="G168" s="59" t="s">
        <v>1756</v>
      </c>
      <c r="H168" s="60">
        <v>4172.66</v>
      </c>
      <c r="I168" s="60">
        <v>3936.68</v>
      </c>
      <c r="J168" s="60">
        <v>4465.13</v>
      </c>
      <c r="K168" s="60">
        <v>0</v>
      </c>
      <c r="L168" s="60">
        <v>0</v>
      </c>
      <c r="M168" s="60">
        <v>0</v>
      </c>
      <c r="N168" s="60">
        <v>0</v>
      </c>
      <c r="O168" s="60">
        <v>0</v>
      </c>
      <c r="P168" s="60">
        <v>0</v>
      </c>
      <c r="Q168" s="60">
        <v>0</v>
      </c>
      <c r="R168" s="60">
        <v>0</v>
      </c>
      <c r="S168" s="60">
        <v>0</v>
      </c>
      <c r="T168" s="60">
        <v>0</v>
      </c>
      <c r="U168" s="60"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821.39</v>
      </c>
      <c r="AD168" s="60">
        <v>785.31</v>
      </c>
      <c r="AE168" s="60">
        <v>888.45</v>
      </c>
      <c r="AF168" s="60">
        <v>0</v>
      </c>
      <c r="AG168" s="60">
        <v>0</v>
      </c>
      <c r="AH168" s="60">
        <v>0</v>
      </c>
      <c r="AI168" s="60">
        <v>4994.05</v>
      </c>
      <c r="AJ168" s="60">
        <v>4721.99</v>
      </c>
      <c r="AK168" s="60">
        <v>5353.58</v>
      </c>
      <c r="AL168" s="60">
        <v>0</v>
      </c>
      <c r="AM168" s="60">
        <v>0</v>
      </c>
      <c r="AN168" s="60">
        <v>0</v>
      </c>
      <c r="AO168" s="60">
        <v>4994.05</v>
      </c>
      <c r="AP168" s="60">
        <v>4721.99</v>
      </c>
      <c r="AQ168" s="60">
        <v>5353.58</v>
      </c>
      <c r="AR168" s="61">
        <v>5353.58</v>
      </c>
    </row>
    <row r="169" spans="1:44" x14ac:dyDescent="0.35">
      <c r="A169" s="49" t="str">
        <f t="shared" si="14"/>
        <v>33</v>
      </c>
      <c r="B169" s="27">
        <v>67231</v>
      </c>
      <c r="C169" s="25" t="str">
        <f t="shared" si="15"/>
        <v>0000000</v>
      </c>
      <c r="D169" s="26" t="s">
        <v>3663</v>
      </c>
      <c r="E169" s="25" t="s">
        <v>1763</v>
      </c>
      <c r="F169" s="25" t="s">
        <v>1690</v>
      </c>
      <c r="G169" s="59" t="s">
        <v>1764</v>
      </c>
      <c r="H169" s="60">
        <v>4156.43</v>
      </c>
      <c r="I169" s="60">
        <v>3881.98</v>
      </c>
      <c r="J169" s="60">
        <v>4001.33</v>
      </c>
      <c r="K169" s="60">
        <v>0</v>
      </c>
      <c r="L169" s="60">
        <v>0</v>
      </c>
      <c r="M169" s="60">
        <v>0</v>
      </c>
      <c r="N169" s="60">
        <v>0</v>
      </c>
      <c r="O169" s="60">
        <v>0</v>
      </c>
      <c r="P169" s="60">
        <v>0</v>
      </c>
      <c r="Q169" s="60">
        <v>0</v>
      </c>
      <c r="R169" s="60">
        <v>0</v>
      </c>
      <c r="S169" s="60">
        <v>0</v>
      </c>
      <c r="T169" s="60">
        <v>0</v>
      </c>
      <c r="U169" s="60"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0">
        <v>0</v>
      </c>
      <c r="AE169" s="60">
        <v>0</v>
      </c>
      <c r="AF169" s="60">
        <v>0</v>
      </c>
      <c r="AG169" s="60">
        <v>0</v>
      </c>
      <c r="AH169" s="60">
        <v>0</v>
      </c>
      <c r="AI169" s="60">
        <v>4156.43</v>
      </c>
      <c r="AJ169" s="60">
        <v>3881.98</v>
      </c>
      <c r="AK169" s="60">
        <v>4001.33</v>
      </c>
      <c r="AL169" s="60">
        <v>0</v>
      </c>
      <c r="AM169" s="60">
        <v>0</v>
      </c>
      <c r="AN169" s="60">
        <v>0</v>
      </c>
      <c r="AO169" s="60">
        <v>4156.43</v>
      </c>
      <c r="AP169" s="60">
        <v>3881.98</v>
      </c>
      <c r="AQ169" s="60">
        <v>4001.33</v>
      </c>
      <c r="AR169" s="61">
        <v>4156.43</v>
      </c>
    </row>
    <row r="170" spans="1:44" x14ac:dyDescent="0.35">
      <c r="A170" s="49" t="str">
        <f t="shared" si="14"/>
        <v>33</v>
      </c>
      <c r="B170" s="27">
        <v>67207</v>
      </c>
      <c r="C170" s="25" t="str">
        <f t="shared" si="15"/>
        <v>0000000</v>
      </c>
      <c r="D170" s="26" t="s">
        <v>3663</v>
      </c>
      <c r="E170" s="25" t="s">
        <v>1757</v>
      </c>
      <c r="F170" s="25" t="s">
        <v>1690</v>
      </c>
      <c r="G170" s="59" t="s">
        <v>1758</v>
      </c>
      <c r="H170" s="60">
        <v>9401.6</v>
      </c>
      <c r="I170" s="60">
        <v>9029.4699999999993</v>
      </c>
      <c r="J170" s="60">
        <v>9122.23</v>
      </c>
      <c r="K170" s="60">
        <v>0</v>
      </c>
      <c r="L170" s="60">
        <v>0</v>
      </c>
      <c r="M170" s="60">
        <v>0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60">
        <v>0</v>
      </c>
      <c r="T170" s="60">
        <v>0</v>
      </c>
      <c r="U170" s="60"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929.29</v>
      </c>
      <c r="AD170" s="60">
        <v>925.91</v>
      </c>
      <c r="AE170" s="60">
        <v>1001.38</v>
      </c>
      <c r="AF170" s="60">
        <v>0</v>
      </c>
      <c r="AG170" s="60">
        <v>0</v>
      </c>
      <c r="AH170" s="60">
        <v>0</v>
      </c>
      <c r="AI170" s="60">
        <v>10330.89</v>
      </c>
      <c r="AJ170" s="60">
        <v>9955.3799999999992</v>
      </c>
      <c r="AK170" s="60">
        <v>10123.61</v>
      </c>
      <c r="AL170" s="60">
        <v>0</v>
      </c>
      <c r="AM170" s="60">
        <v>0</v>
      </c>
      <c r="AN170" s="60">
        <v>0</v>
      </c>
      <c r="AO170" s="60">
        <v>10330.89</v>
      </c>
      <c r="AP170" s="60">
        <v>9955.3799999999992</v>
      </c>
      <c r="AQ170" s="60">
        <v>10123.61</v>
      </c>
      <c r="AR170" s="61">
        <v>10330.89</v>
      </c>
    </row>
    <row r="171" spans="1:44" x14ac:dyDescent="0.35">
      <c r="A171" s="49" t="str">
        <f t="shared" si="14"/>
        <v>33</v>
      </c>
      <c r="B171" s="27">
        <v>66977</v>
      </c>
      <c r="C171" s="25" t="str">
        <f t="shared" si="15"/>
        <v>0000000</v>
      </c>
      <c r="D171" s="26" t="s">
        <v>3663</v>
      </c>
      <c r="E171" s="25" t="s">
        <v>1720</v>
      </c>
      <c r="F171" s="25" t="s">
        <v>1690</v>
      </c>
      <c r="G171" s="59" t="s">
        <v>1721</v>
      </c>
      <c r="H171" s="60">
        <v>15665.3</v>
      </c>
      <c r="I171" s="60">
        <v>15575.76</v>
      </c>
      <c r="J171" s="60">
        <v>17354.97</v>
      </c>
      <c r="K171" s="60">
        <v>0</v>
      </c>
      <c r="L171" s="60">
        <v>0</v>
      </c>
      <c r="M171" s="60">
        <v>0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60">
        <v>0</v>
      </c>
      <c r="T171" s="60">
        <v>0</v>
      </c>
      <c r="U171" s="60"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60">
        <v>0</v>
      </c>
      <c r="AC171" s="60">
        <v>0</v>
      </c>
      <c r="AD171" s="60">
        <v>0</v>
      </c>
      <c r="AE171" s="60">
        <v>0</v>
      </c>
      <c r="AF171" s="60">
        <v>0</v>
      </c>
      <c r="AG171" s="60">
        <v>0</v>
      </c>
      <c r="AH171" s="60">
        <v>0</v>
      </c>
      <c r="AI171" s="60">
        <v>15665.3</v>
      </c>
      <c r="AJ171" s="60">
        <v>15575.76</v>
      </c>
      <c r="AK171" s="60">
        <v>17354.97</v>
      </c>
      <c r="AL171" s="60">
        <v>0</v>
      </c>
      <c r="AM171" s="60">
        <v>0</v>
      </c>
      <c r="AN171" s="60">
        <v>0</v>
      </c>
      <c r="AO171" s="60">
        <v>15665.3</v>
      </c>
      <c r="AP171" s="60">
        <v>15575.76</v>
      </c>
      <c r="AQ171" s="60">
        <v>17354.97</v>
      </c>
      <c r="AR171" s="61">
        <v>17354.97</v>
      </c>
    </row>
    <row r="172" spans="1:44" x14ac:dyDescent="0.35">
      <c r="A172" s="49" t="str">
        <f t="shared" si="14"/>
        <v>33</v>
      </c>
      <c r="B172" s="27">
        <v>66985</v>
      </c>
      <c r="C172" s="25" t="str">
        <f t="shared" si="15"/>
        <v>0000000</v>
      </c>
      <c r="D172" s="26" t="s">
        <v>3663</v>
      </c>
      <c r="E172" s="25" t="s">
        <v>1722</v>
      </c>
      <c r="F172" s="25" t="s">
        <v>1690</v>
      </c>
      <c r="G172" s="59" t="s">
        <v>1723</v>
      </c>
      <c r="H172" s="60">
        <v>3924.85</v>
      </c>
      <c r="I172" s="60">
        <v>3703.78</v>
      </c>
      <c r="J172" s="60">
        <v>4274.55</v>
      </c>
      <c r="K172" s="60">
        <v>0</v>
      </c>
      <c r="L172" s="60">
        <v>0</v>
      </c>
      <c r="M172" s="60">
        <v>0</v>
      </c>
      <c r="N172" s="60">
        <v>0</v>
      </c>
      <c r="O172" s="60">
        <v>0</v>
      </c>
      <c r="P172" s="60">
        <v>0</v>
      </c>
      <c r="Q172" s="60">
        <v>0</v>
      </c>
      <c r="R172" s="60">
        <v>0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0">
        <v>0</v>
      </c>
      <c r="AE172" s="60">
        <v>0</v>
      </c>
      <c r="AF172" s="60">
        <v>0</v>
      </c>
      <c r="AG172" s="60">
        <v>0</v>
      </c>
      <c r="AH172" s="60">
        <v>0</v>
      </c>
      <c r="AI172" s="60">
        <v>3924.85</v>
      </c>
      <c r="AJ172" s="60">
        <v>3703.78</v>
      </c>
      <c r="AK172" s="60">
        <v>4274.55</v>
      </c>
      <c r="AL172" s="60">
        <v>0</v>
      </c>
      <c r="AM172" s="60">
        <v>0</v>
      </c>
      <c r="AN172" s="60">
        <v>0</v>
      </c>
      <c r="AO172" s="60">
        <v>3924.85</v>
      </c>
      <c r="AP172" s="60">
        <v>3703.78</v>
      </c>
      <c r="AQ172" s="60">
        <v>4274.55</v>
      </c>
      <c r="AR172" s="61">
        <v>4274.55</v>
      </c>
    </row>
    <row r="173" spans="1:44" x14ac:dyDescent="0.35">
      <c r="A173" s="49" t="str">
        <f t="shared" si="14"/>
        <v>33</v>
      </c>
      <c r="B173" s="27">
        <v>66993</v>
      </c>
      <c r="C173" s="25" t="str">
        <f t="shared" si="15"/>
        <v>0000000</v>
      </c>
      <c r="D173" s="26" t="s">
        <v>3663</v>
      </c>
      <c r="E173" s="25" t="s">
        <v>1724</v>
      </c>
      <c r="F173" s="25" t="s">
        <v>1690</v>
      </c>
      <c r="G173" s="59" t="s">
        <v>1725</v>
      </c>
      <c r="H173" s="60">
        <v>10766.81</v>
      </c>
      <c r="I173" s="60">
        <v>10193.64</v>
      </c>
      <c r="J173" s="60">
        <v>10301.66</v>
      </c>
      <c r="K173" s="60">
        <v>0</v>
      </c>
      <c r="L173" s="60">
        <v>0</v>
      </c>
      <c r="M173" s="60">
        <v>0</v>
      </c>
      <c r="N173" s="60">
        <v>0</v>
      </c>
      <c r="O173" s="60">
        <v>0</v>
      </c>
      <c r="P173" s="60">
        <v>0</v>
      </c>
      <c r="Q173" s="60">
        <v>0</v>
      </c>
      <c r="R173" s="60">
        <v>0</v>
      </c>
      <c r="S173" s="60">
        <v>0</v>
      </c>
      <c r="T173" s="60">
        <v>0</v>
      </c>
      <c r="U173" s="60">
        <v>0</v>
      </c>
      <c r="V173" s="60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60">
        <v>0</v>
      </c>
      <c r="AE173" s="60">
        <v>327.73</v>
      </c>
      <c r="AF173" s="60">
        <v>0</v>
      </c>
      <c r="AG173" s="60">
        <v>0</v>
      </c>
      <c r="AH173" s="60">
        <v>0</v>
      </c>
      <c r="AI173" s="60">
        <v>10766.81</v>
      </c>
      <c r="AJ173" s="60">
        <v>10193.64</v>
      </c>
      <c r="AK173" s="60">
        <v>10629.39</v>
      </c>
      <c r="AL173" s="60">
        <v>0</v>
      </c>
      <c r="AM173" s="60">
        <v>0</v>
      </c>
      <c r="AN173" s="60">
        <v>0</v>
      </c>
      <c r="AO173" s="60">
        <v>10766.81</v>
      </c>
      <c r="AP173" s="60">
        <v>10193.64</v>
      </c>
      <c r="AQ173" s="60">
        <v>10629.39</v>
      </c>
      <c r="AR173" s="61">
        <v>10766.81</v>
      </c>
    </row>
    <row r="174" spans="1:44" x14ac:dyDescent="0.35">
      <c r="A174" s="49" t="str">
        <f t="shared" si="14"/>
        <v>33</v>
      </c>
      <c r="B174" s="27">
        <v>73676</v>
      </c>
      <c r="C174" s="25" t="str">
        <f t="shared" si="15"/>
        <v>0000000</v>
      </c>
      <c r="D174" s="26" t="s">
        <v>3663</v>
      </c>
      <c r="E174" s="25" t="s">
        <v>1767</v>
      </c>
      <c r="F174" s="25" t="s">
        <v>1690</v>
      </c>
      <c r="G174" s="59" t="s">
        <v>1768</v>
      </c>
      <c r="H174" s="60">
        <v>14672.99</v>
      </c>
      <c r="I174" s="60">
        <v>14741.43</v>
      </c>
      <c r="J174" s="60">
        <v>16687</v>
      </c>
      <c r="K174" s="60">
        <v>0</v>
      </c>
      <c r="L174" s="60">
        <v>0</v>
      </c>
      <c r="M174" s="60">
        <v>0</v>
      </c>
      <c r="N174" s="60">
        <v>0</v>
      </c>
      <c r="O174" s="60">
        <v>0</v>
      </c>
      <c r="P174" s="60">
        <v>0</v>
      </c>
      <c r="Q174" s="60">
        <v>0</v>
      </c>
      <c r="R174" s="60">
        <v>0</v>
      </c>
      <c r="S174" s="60">
        <v>0</v>
      </c>
      <c r="T174" s="60">
        <v>0</v>
      </c>
      <c r="U174" s="60">
        <v>0</v>
      </c>
      <c r="V174" s="60">
        <v>0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60">
        <v>0</v>
      </c>
      <c r="AC174" s="60">
        <v>0</v>
      </c>
      <c r="AD174" s="60">
        <v>0</v>
      </c>
      <c r="AE174" s="60">
        <v>0</v>
      </c>
      <c r="AF174" s="60">
        <v>0</v>
      </c>
      <c r="AG174" s="60">
        <v>0</v>
      </c>
      <c r="AH174" s="60">
        <v>0</v>
      </c>
      <c r="AI174" s="60">
        <v>14672.99</v>
      </c>
      <c r="AJ174" s="60">
        <v>14741.43</v>
      </c>
      <c r="AK174" s="60">
        <v>16687</v>
      </c>
      <c r="AL174" s="60">
        <v>0</v>
      </c>
      <c r="AM174" s="60">
        <v>0</v>
      </c>
      <c r="AN174" s="60">
        <v>0</v>
      </c>
      <c r="AO174" s="60">
        <v>14672.99</v>
      </c>
      <c r="AP174" s="60">
        <v>14741.43</v>
      </c>
      <c r="AQ174" s="60">
        <v>16687</v>
      </c>
      <c r="AR174" s="61">
        <v>16687</v>
      </c>
    </row>
    <row r="175" spans="1:44" x14ac:dyDescent="0.35">
      <c r="A175" s="49" t="str">
        <f t="shared" si="14"/>
        <v>33</v>
      </c>
      <c r="B175" s="27">
        <v>67041</v>
      </c>
      <c r="C175" s="25" t="str">
        <f t="shared" si="15"/>
        <v>0000000</v>
      </c>
      <c r="D175" s="26" t="s">
        <v>3663</v>
      </c>
      <c r="E175" s="25" t="s">
        <v>1732</v>
      </c>
      <c r="F175" s="25" t="s">
        <v>1690</v>
      </c>
      <c r="G175" s="59" t="s">
        <v>1733</v>
      </c>
      <c r="H175" s="60">
        <v>22.45</v>
      </c>
      <c r="I175" s="60">
        <v>24.22</v>
      </c>
      <c r="J175" s="60">
        <v>25.51</v>
      </c>
      <c r="K175" s="60">
        <v>0</v>
      </c>
      <c r="L175" s="60">
        <v>0</v>
      </c>
      <c r="M175" s="60">
        <v>0</v>
      </c>
      <c r="N175" s="60">
        <v>0</v>
      </c>
      <c r="O175" s="60">
        <v>0</v>
      </c>
      <c r="P175" s="60">
        <v>0</v>
      </c>
      <c r="Q175" s="60">
        <v>0</v>
      </c>
      <c r="R175" s="60">
        <v>0</v>
      </c>
      <c r="S175" s="60">
        <v>0</v>
      </c>
      <c r="T175" s="60">
        <v>0</v>
      </c>
      <c r="U175" s="60">
        <v>0</v>
      </c>
      <c r="V175" s="60">
        <v>0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60">
        <v>0</v>
      </c>
      <c r="AC175" s="60">
        <v>0</v>
      </c>
      <c r="AD175" s="60">
        <v>0</v>
      </c>
      <c r="AE175" s="60">
        <v>0</v>
      </c>
      <c r="AF175" s="60">
        <v>0</v>
      </c>
      <c r="AG175" s="60">
        <v>0</v>
      </c>
      <c r="AH175" s="60">
        <v>0</v>
      </c>
      <c r="AI175" s="60">
        <v>22.45</v>
      </c>
      <c r="AJ175" s="60">
        <v>24.22</v>
      </c>
      <c r="AK175" s="60">
        <v>25.51</v>
      </c>
      <c r="AL175" s="60">
        <v>0</v>
      </c>
      <c r="AM175" s="60">
        <v>0</v>
      </c>
      <c r="AN175" s="60">
        <v>0</v>
      </c>
      <c r="AO175" s="60">
        <v>22.45</v>
      </c>
      <c r="AP175" s="60">
        <v>24.22</v>
      </c>
      <c r="AQ175" s="60">
        <v>25.51</v>
      </c>
      <c r="AR175" s="61">
        <v>25.51</v>
      </c>
    </row>
    <row r="176" spans="1:44" x14ac:dyDescent="0.35">
      <c r="A176" s="49" t="str">
        <f t="shared" si="14"/>
        <v>33</v>
      </c>
      <c r="B176" s="27">
        <v>67058</v>
      </c>
      <c r="C176" s="25" t="str">
        <f t="shared" si="15"/>
        <v>0000000</v>
      </c>
      <c r="D176" s="26" t="s">
        <v>3663</v>
      </c>
      <c r="E176" s="25" t="s">
        <v>1734</v>
      </c>
      <c r="F176" s="25" t="s">
        <v>1690</v>
      </c>
      <c r="G176" s="59" t="s">
        <v>1735</v>
      </c>
      <c r="H176" s="60">
        <v>21789.05</v>
      </c>
      <c r="I176" s="60">
        <v>21837.21</v>
      </c>
      <c r="J176" s="60">
        <v>24499.95</v>
      </c>
      <c r="K176" s="60">
        <v>0</v>
      </c>
      <c r="L176" s="60">
        <v>0</v>
      </c>
      <c r="M176" s="60">
        <v>0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0">
        <v>0</v>
      </c>
      <c r="T176" s="60">
        <v>0</v>
      </c>
      <c r="U176" s="60">
        <v>0</v>
      </c>
      <c r="V176" s="60">
        <v>0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60">
        <v>0</v>
      </c>
      <c r="AC176" s="60">
        <v>1954.91</v>
      </c>
      <c r="AD176" s="60">
        <v>1888.39</v>
      </c>
      <c r="AE176" s="60">
        <v>2124.09</v>
      </c>
      <c r="AF176" s="60">
        <v>0</v>
      </c>
      <c r="AG176" s="60">
        <v>0</v>
      </c>
      <c r="AH176" s="60">
        <v>0</v>
      </c>
      <c r="AI176" s="60">
        <v>23743.96</v>
      </c>
      <c r="AJ176" s="60">
        <v>23725.599999999999</v>
      </c>
      <c r="AK176" s="60">
        <v>26624.04</v>
      </c>
      <c r="AL176" s="60">
        <v>0</v>
      </c>
      <c r="AM176" s="60">
        <v>0</v>
      </c>
      <c r="AN176" s="60">
        <v>0</v>
      </c>
      <c r="AO176" s="60">
        <v>23743.96</v>
      </c>
      <c r="AP176" s="60">
        <v>23725.599999999999</v>
      </c>
      <c r="AQ176" s="60">
        <v>26624.04</v>
      </c>
      <c r="AR176" s="61">
        <v>26624.04</v>
      </c>
    </row>
    <row r="177" spans="1:44" x14ac:dyDescent="0.35">
      <c r="A177" s="49" t="str">
        <f t="shared" si="14"/>
        <v>33</v>
      </c>
      <c r="B177" s="27">
        <v>67082</v>
      </c>
      <c r="C177" s="25" t="str">
        <f t="shared" si="15"/>
        <v>0000000</v>
      </c>
      <c r="D177" s="26" t="s">
        <v>3663</v>
      </c>
      <c r="E177" s="25" t="s">
        <v>1736</v>
      </c>
      <c r="F177" s="25" t="s">
        <v>1690</v>
      </c>
      <c r="G177" s="59" t="s">
        <v>1737</v>
      </c>
      <c r="H177" s="60">
        <v>19322.060000000001</v>
      </c>
      <c r="I177" s="60">
        <v>18293.8</v>
      </c>
      <c r="J177" s="60">
        <v>20513.740000000002</v>
      </c>
      <c r="K177" s="60">
        <v>0</v>
      </c>
      <c r="L177" s="60">
        <v>0</v>
      </c>
      <c r="M177" s="60">
        <v>0</v>
      </c>
      <c r="N177" s="60">
        <v>0</v>
      </c>
      <c r="O177" s="60">
        <v>0</v>
      </c>
      <c r="P177" s="60">
        <v>0</v>
      </c>
      <c r="Q177" s="60">
        <v>0</v>
      </c>
      <c r="R177" s="60">
        <v>0</v>
      </c>
      <c r="S177" s="60">
        <v>0</v>
      </c>
      <c r="T177" s="60">
        <v>0</v>
      </c>
      <c r="U177" s="60">
        <v>0</v>
      </c>
      <c r="V177" s="60">
        <v>0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60">
        <v>0</v>
      </c>
      <c r="AC177" s="60">
        <v>707.47</v>
      </c>
      <c r="AD177" s="60">
        <v>687.64</v>
      </c>
      <c r="AE177" s="60">
        <v>696.35</v>
      </c>
      <c r="AF177" s="60">
        <v>0</v>
      </c>
      <c r="AG177" s="60">
        <v>0</v>
      </c>
      <c r="AH177" s="60">
        <v>0</v>
      </c>
      <c r="AI177" s="60">
        <v>20029.53</v>
      </c>
      <c r="AJ177" s="60">
        <v>18981.439999999999</v>
      </c>
      <c r="AK177" s="60">
        <v>21210.09</v>
      </c>
      <c r="AL177" s="60">
        <v>0</v>
      </c>
      <c r="AM177" s="60">
        <v>0</v>
      </c>
      <c r="AN177" s="60">
        <v>0</v>
      </c>
      <c r="AO177" s="60">
        <v>20029.53</v>
      </c>
      <c r="AP177" s="60">
        <v>18981.439999999999</v>
      </c>
      <c r="AQ177" s="60">
        <v>21210.09</v>
      </c>
      <c r="AR177" s="61">
        <v>21210.09</v>
      </c>
    </row>
    <row r="178" spans="1:44" x14ac:dyDescent="0.35">
      <c r="A178" s="49" t="str">
        <f t="shared" si="14"/>
        <v>33</v>
      </c>
      <c r="B178" s="27">
        <v>67090</v>
      </c>
      <c r="C178" s="25" t="str">
        <f t="shared" si="15"/>
        <v>0000000</v>
      </c>
      <c r="D178" s="26" t="s">
        <v>3663</v>
      </c>
      <c r="E178" s="25" t="s">
        <v>1738</v>
      </c>
      <c r="F178" s="25" t="s">
        <v>1690</v>
      </c>
      <c r="G178" s="59" t="s">
        <v>1739</v>
      </c>
      <c r="H178" s="60">
        <v>16847.330000000002</v>
      </c>
      <c r="I178" s="60">
        <v>16731.97</v>
      </c>
      <c r="J178" s="60">
        <v>18261.46</v>
      </c>
      <c r="K178" s="60">
        <v>0</v>
      </c>
      <c r="L178" s="60"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60">
        <v>0</v>
      </c>
      <c r="T178" s="60">
        <v>0</v>
      </c>
      <c r="U178" s="60"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60">
        <v>0</v>
      </c>
      <c r="AC178" s="60">
        <v>0</v>
      </c>
      <c r="AD178" s="60">
        <v>0</v>
      </c>
      <c r="AE178" s="60">
        <v>0</v>
      </c>
      <c r="AF178" s="60">
        <v>0</v>
      </c>
      <c r="AG178" s="60">
        <v>0</v>
      </c>
      <c r="AH178" s="60">
        <v>0</v>
      </c>
      <c r="AI178" s="60">
        <v>16847.330000000002</v>
      </c>
      <c r="AJ178" s="60">
        <v>16731.97</v>
      </c>
      <c r="AK178" s="60">
        <v>18261.46</v>
      </c>
      <c r="AL178" s="60">
        <v>0</v>
      </c>
      <c r="AM178" s="60">
        <v>0</v>
      </c>
      <c r="AN178" s="60">
        <v>0</v>
      </c>
      <c r="AO178" s="60">
        <v>16847.330000000002</v>
      </c>
      <c r="AP178" s="60">
        <v>16731.97</v>
      </c>
      <c r="AQ178" s="60">
        <v>18261.46</v>
      </c>
      <c r="AR178" s="61">
        <v>18261.46</v>
      </c>
    </row>
    <row r="179" spans="1:44" x14ac:dyDescent="0.35">
      <c r="A179" s="49" t="str">
        <f t="shared" si="14"/>
        <v>33</v>
      </c>
      <c r="B179" s="27">
        <v>67173</v>
      </c>
      <c r="C179" s="25" t="str">
        <f t="shared" si="15"/>
        <v>0000000</v>
      </c>
      <c r="D179" s="26" t="s">
        <v>3663</v>
      </c>
      <c r="E179" s="25" t="s">
        <v>1749</v>
      </c>
      <c r="F179" s="25" t="s">
        <v>1690</v>
      </c>
      <c r="G179" s="59" t="s">
        <v>1750</v>
      </c>
      <c r="H179" s="60">
        <v>17787.75</v>
      </c>
      <c r="I179" s="60">
        <v>17546.88</v>
      </c>
      <c r="J179" s="60">
        <v>20301.54</v>
      </c>
      <c r="K179" s="60">
        <v>0</v>
      </c>
      <c r="L179" s="60"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60">
        <v>0</v>
      </c>
      <c r="T179" s="60">
        <v>0</v>
      </c>
      <c r="U179" s="60"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60">
        <v>0</v>
      </c>
      <c r="AC179" s="60">
        <v>811.05</v>
      </c>
      <c r="AD179" s="60">
        <v>780.25</v>
      </c>
      <c r="AE179" s="60">
        <v>851.26</v>
      </c>
      <c r="AF179" s="60">
        <v>0</v>
      </c>
      <c r="AG179" s="60">
        <v>0</v>
      </c>
      <c r="AH179" s="60">
        <v>0</v>
      </c>
      <c r="AI179" s="60">
        <v>18598.8</v>
      </c>
      <c r="AJ179" s="60">
        <v>18327.13</v>
      </c>
      <c r="AK179" s="60">
        <v>21152.799999999999</v>
      </c>
      <c r="AL179" s="60">
        <v>0</v>
      </c>
      <c r="AM179" s="60">
        <v>0</v>
      </c>
      <c r="AN179" s="60">
        <v>0</v>
      </c>
      <c r="AO179" s="60">
        <v>18598.8</v>
      </c>
      <c r="AP179" s="60">
        <v>18327.13</v>
      </c>
      <c r="AQ179" s="60">
        <v>21152.799999999999</v>
      </c>
      <c r="AR179" s="61">
        <v>21152.799999999999</v>
      </c>
    </row>
    <row r="180" spans="1:44" x14ac:dyDescent="0.35">
      <c r="A180" s="49" t="str">
        <f t="shared" si="14"/>
        <v>33</v>
      </c>
      <c r="B180" s="27">
        <v>67181</v>
      </c>
      <c r="C180" s="25" t="str">
        <f t="shared" si="15"/>
        <v>0000000</v>
      </c>
      <c r="D180" s="26" t="s">
        <v>3663</v>
      </c>
      <c r="E180" s="25" t="s">
        <v>1751</v>
      </c>
      <c r="F180" s="25" t="s">
        <v>1690</v>
      </c>
      <c r="G180" s="59" t="s">
        <v>1752</v>
      </c>
      <c r="H180" s="60">
        <v>2473.12</v>
      </c>
      <c r="I180" s="60">
        <v>2342.69</v>
      </c>
      <c r="J180" s="60">
        <v>2728.1</v>
      </c>
      <c r="K180" s="60">
        <v>0</v>
      </c>
      <c r="L180" s="60"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60">
        <v>0</v>
      </c>
      <c r="T180" s="60">
        <v>0</v>
      </c>
      <c r="U180" s="60"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60">
        <v>0</v>
      </c>
      <c r="AC180" s="60">
        <v>0</v>
      </c>
      <c r="AD180" s="60">
        <v>0</v>
      </c>
      <c r="AE180" s="60">
        <v>1143.98</v>
      </c>
      <c r="AF180" s="60">
        <v>0</v>
      </c>
      <c r="AG180" s="60">
        <v>0</v>
      </c>
      <c r="AH180" s="60">
        <v>0</v>
      </c>
      <c r="AI180" s="60">
        <v>2473.12</v>
      </c>
      <c r="AJ180" s="60">
        <v>2342.69</v>
      </c>
      <c r="AK180" s="60">
        <v>3872.08</v>
      </c>
      <c r="AL180" s="60">
        <v>0</v>
      </c>
      <c r="AM180" s="60">
        <v>0</v>
      </c>
      <c r="AN180" s="60">
        <v>0</v>
      </c>
      <c r="AO180" s="60">
        <v>2473.12</v>
      </c>
      <c r="AP180" s="60">
        <v>2342.69</v>
      </c>
      <c r="AQ180" s="60">
        <v>3872.08</v>
      </c>
      <c r="AR180" s="61">
        <v>3872.08</v>
      </c>
    </row>
    <row r="181" spans="1:44" x14ac:dyDescent="0.35">
      <c r="A181" s="49" t="str">
        <f t="shared" si="14"/>
        <v>33</v>
      </c>
      <c r="B181" s="27">
        <v>67249</v>
      </c>
      <c r="C181" s="25" t="str">
        <f t="shared" si="15"/>
        <v>0000000</v>
      </c>
      <c r="D181" s="26" t="s">
        <v>3663</v>
      </c>
      <c r="E181" s="25" t="s">
        <v>1765</v>
      </c>
      <c r="F181" s="25" t="s">
        <v>1690</v>
      </c>
      <c r="G181" s="59" t="s">
        <v>1766</v>
      </c>
      <c r="H181" s="60">
        <v>9321.26</v>
      </c>
      <c r="I181" s="60">
        <v>8930.86</v>
      </c>
      <c r="J181" s="60">
        <v>9645.14</v>
      </c>
      <c r="K181" s="60">
        <v>0</v>
      </c>
      <c r="L181" s="60"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60">
        <v>0</v>
      </c>
      <c r="T181" s="60">
        <v>0</v>
      </c>
      <c r="U181" s="60"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60">
        <v>0</v>
      </c>
      <c r="AC181" s="60">
        <v>1502.08</v>
      </c>
      <c r="AD181" s="60">
        <v>1436.75</v>
      </c>
      <c r="AE181" s="60">
        <v>1460.7</v>
      </c>
      <c r="AF181" s="60">
        <v>0</v>
      </c>
      <c r="AG181" s="60">
        <v>0</v>
      </c>
      <c r="AH181" s="60">
        <v>0</v>
      </c>
      <c r="AI181" s="60">
        <v>10823.34</v>
      </c>
      <c r="AJ181" s="60">
        <v>10367.61</v>
      </c>
      <c r="AK181" s="60">
        <v>11105.84</v>
      </c>
      <c r="AL181" s="60">
        <v>0</v>
      </c>
      <c r="AM181" s="60">
        <v>0</v>
      </c>
      <c r="AN181" s="60">
        <v>0</v>
      </c>
      <c r="AO181" s="60">
        <v>10823.34</v>
      </c>
      <c r="AP181" s="60">
        <v>10367.61</v>
      </c>
      <c r="AQ181" s="60">
        <v>11105.84</v>
      </c>
      <c r="AR181" s="61">
        <v>11105.84</v>
      </c>
    </row>
    <row r="182" spans="1:44" x14ac:dyDescent="0.35">
      <c r="A182" s="49" t="str">
        <f t="shared" si="14"/>
        <v>33</v>
      </c>
      <c r="B182" s="27">
        <v>75176</v>
      </c>
      <c r="C182" s="25" t="str">
        <f t="shared" si="15"/>
        <v>0000000</v>
      </c>
      <c r="D182" s="26" t="s">
        <v>3663</v>
      </c>
      <c r="E182" s="25" t="s">
        <v>1771</v>
      </c>
      <c r="F182" s="25" t="s">
        <v>1690</v>
      </c>
      <c r="G182" s="59" t="s">
        <v>1772</v>
      </c>
      <c r="H182" s="60">
        <v>19025.93</v>
      </c>
      <c r="I182" s="60">
        <v>17512.43</v>
      </c>
      <c r="J182" s="60">
        <v>20014.54</v>
      </c>
      <c r="K182" s="60">
        <v>0</v>
      </c>
      <c r="L182" s="60"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60">
        <v>0</v>
      </c>
      <c r="T182" s="60">
        <v>0</v>
      </c>
      <c r="U182" s="60"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60">
        <v>0</v>
      </c>
      <c r="AC182" s="60">
        <v>0</v>
      </c>
      <c r="AD182" s="60">
        <v>0</v>
      </c>
      <c r="AE182" s="60">
        <v>0</v>
      </c>
      <c r="AF182" s="60">
        <v>0</v>
      </c>
      <c r="AG182" s="60">
        <v>0</v>
      </c>
      <c r="AH182" s="60">
        <v>0</v>
      </c>
      <c r="AI182" s="60">
        <v>19025.93</v>
      </c>
      <c r="AJ182" s="60">
        <v>17512.43</v>
      </c>
      <c r="AK182" s="60">
        <v>20014.54</v>
      </c>
      <c r="AL182" s="60">
        <v>0</v>
      </c>
      <c r="AM182" s="60">
        <v>0</v>
      </c>
      <c r="AN182" s="60">
        <v>0</v>
      </c>
      <c r="AO182" s="60">
        <v>19025.93</v>
      </c>
      <c r="AP182" s="60">
        <v>17512.43</v>
      </c>
      <c r="AQ182" s="60">
        <v>20014.54</v>
      </c>
      <c r="AR182" s="61">
        <v>20014.54</v>
      </c>
    </row>
    <row r="183" spans="1:44" x14ac:dyDescent="0.35">
      <c r="A183" s="49" t="str">
        <f t="shared" si="14"/>
        <v>33</v>
      </c>
      <c r="B183" s="27">
        <v>75200</v>
      </c>
      <c r="C183" s="25" t="str">
        <f t="shared" si="15"/>
        <v>0000000</v>
      </c>
      <c r="D183" s="26" t="s">
        <v>3663</v>
      </c>
      <c r="E183" s="25" t="s">
        <v>1783</v>
      </c>
      <c r="F183" s="25" t="s">
        <v>1690</v>
      </c>
      <c r="G183" s="59" t="s">
        <v>1784</v>
      </c>
      <c r="H183" s="60">
        <v>20641.939999999999</v>
      </c>
      <c r="I183" s="60">
        <v>20722.55</v>
      </c>
      <c r="J183" s="60">
        <v>22340.04</v>
      </c>
      <c r="K183" s="60">
        <v>0</v>
      </c>
      <c r="L183" s="60"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60">
        <v>0</v>
      </c>
      <c r="T183" s="60">
        <v>0</v>
      </c>
      <c r="U183" s="60"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60">
        <v>0</v>
      </c>
      <c r="AC183" s="60">
        <v>0</v>
      </c>
      <c r="AD183" s="60">
        <v>0</v>
      </c>
      <c r="AE183" s="60">
        <v>0</v>
      </c>
      <c r="AF183" s="60">
        <v>0</v>
      </c>
      <c r="AG183" s="60">
        <v>0</v>
      </c>
      <c r="AH183" s="60">
        <v>0</v>
      </c>
      <c r="AI183" s="60">
        <v>20641.939999999999</v>
      </c>
      <c r="AJ183" s="60">
        <v>20722.55</v>
      </c>
      <c r="AK183" s="60">
        <v>22340.04</v>
      </c>
      <c r="AL183" s="60">
        <v>0</v>
      </c>
      <c r="AM183" s="60">
        <v>0</v>
      </c>
      <c r="AN183" s="60">
        <v>0</v>
      </c>
      <c r="AO183" s="60">
        <v>20641.939999999999</v>
      </c>
      <c r="AP183" s="60">
        <v>20722.55</v>
      </c>
      <c r="AQ183" s="60">
        <v>22340.04</v>
      </c>
      <c r="AR183" s="61">
        <v>22340.04</v>
      </c>
    </row>
    <row r="184" spans="1:44" x14ac:dyDescent="0.35">
      <c r="A184" s="49" t="str">
        <f t="shared" si="14"/>
        <v>33</v>
      </c>
      <c r="B184" s="27">
        <v>10330</v>
      </c>
      <c r="C184" s="25" t="str">
        <f>TEXT(110833,"0000000")</f>
        <v>0110833</v>
      </c>
      <c r="D184" s="26" t="s">
        <v>1695</v>
      </c>
      <c r="E184" s="25" t="s">
        <v>1693</v>
      </c>
      <c r="F184" s="25" t="s">
        <v>1690</v>
      </c>
      <c r="G184" s="59" t="s">
        <v>1694</v>
      </c>
      <c r="H184" s="60">
        <v>0</v>
      </c>
      <c r="I184" s="60">
        <v>0</v>
      </c>
      <c r="J184" s="60">
        <v>0</v>
      </c>
      <c r="K184" s="60">
        <v>0</v>
      </c>
      <c r="L184" s="60"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6697.13</v>
      </c>
      <c r="AA184" s="60">
        <v>6328.36</v>
      </c>
      <c r="AB184" s="60">
        <v>6619.09</v>
      </c>
      <c r="AC184" s="60">
        <v>0</v>
      </c>
      <c r="AD184" s="60">
        <v>0</v>
      </c>
      <c r="AE184" s="60">
        <v>0</v>
      </c>
      <c r="AF184" s="60">
        <v>0</v>
      </c>
      <c r="AG184" s="60">
        <v>0</v>
      </c>
      <c r="AH184" s="60">
        <v>0</v>
      </c>
      <c r="AI184" s="60">
        <v>6697.13</v>
      </c>
      <c r="AJ184" s="60">
        <v>6328.36</v>
      </c>
      <c r="AK184" s="60">
        <v>6619.09</v>
      </c>
      <c r="AL184" s="60">
        <v>0</v>
      </c>
      <c r="AM184" s="60">
        <v>0</v>
      </c>
      <c r="AN184" s="60">
        <v>0</v>
      </c>
      <c r="AO184" s="60">
        <v>6697.13</v>
      </c>
      <c r="AP184" s="60">
        <v>6328.36</v>
      </c>
      <c r="AQ184" s="60">
        <v>6619.09</v>
      </c>
      <c r="AR184" s="61">
        <v>6697.13</v>
      </c>
    </row>
    <row r="185" spans="1:44" x14ac:dyDescent="0.35">
      <c r="A185" s="49" t="str">
        <f>TEXT(37,"00")</f>
        <v>37</v>
      </c>
      <c r="B185" s="27">
        <v>68163</v>
      </c>
      <c r="C185" s="25" t="str">
        <f>TEXT(128421,"0000000")</f>
        <v>0128421</v>
      </c>
      <c r="D185" s="27">
        <v>1589</v>
      </c>
      <c r="E185" s="25" t="s">
        <v>2136</v>
      </c>
      <c r="F185" s="25" t="s">
        <v>1690</v>
      </c>
      <c r="G185" s="59" t="s">
        <v>2137</v>
      </c>
      <c r="H185" s="60">
        <v>0</v>
      </c>
      <c r="I185" s="60">
        <v>0</v>
      </c>
      <c r="J185" s="60">
        <v>0</v>
      </c>
      <c r="K185" s="60">
        <v>0</v>
      </c>
      <c r="L185" s="60"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60">
        <v>0</v>
      </c>
      <c r="T185" s="60">
        <v>0</v>
      </c>
      <c r="U185" s="60"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60">
        <v>0</v>
      </c>
      <c r="AC185" s="60">
        <v>274.14</v>
      </c>
      <c r="AD185" s="60">
        <v>257.79000000000002</v>
      </c>
      <c r="AE185" s="60">
        <v>246.13</v>
      </c>
      <c r="AF185" s="60">
        <v>0</v>
      </c>
      <c r="AG185" s="60">
        <v>0</v>
      </c>
      <c r="AH185" s="60">
        <v>0</v>
      </c>
      <c r="AI185" s="60">
        <v>274.14</v>
      </c>
      <c r="AJ185" s="60">
        <v>257.79000000000002</v>
      </c>
      <c r="AK185" s="60">
        <v>246.13</v>
      </c>
      <c r="AL185" s="60">
        <v>0</v>
      </c>
      <c r="AM185" s="60">
        <v>0</v>
      </c>
      <c r="AN185" s="60">
        <v>0</v>
      </c>
      <c r="AO185" s="60">
        <v>274.14</v>
      </c>
      <c r="AP185" s="60">
        <v>257.79000000000002</v>
      </c>
      <c r="AQ185" s="60">
        <v>246.13</v>
      </c>
      <c r="AR185" s="61">
        <v>274.14</v>
      </c>
    </row>
    <row r="186" spans="1:44" x14ac:dyDescent="0.35">
      <c r="A186" s="49" t="str">
        <f>TEXT(36,"00")</f>
        <v>36</v>
      </c>
      <c r="B186" s="27">
        <v>67736</v>
      </c>
      <c r="C186" s="25" t="str">
        <f>TEXT(128439,"0000000")</f>
        <v>0128439</v>
      </c>
      <c r="D186" s="27">
        <v>1592</v>
      </c>
      <c r="E186" s="25" t="s">
        <v>1951</v>
      </c>
      <c r="F186" s="25" t="s">
        <v>1690</v>
      </c>
      <c r="G186" s="59" t="s">
        <v>1952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60">
        <v>0</v>
      </c>
      <c r="T186" s="60">
        <v>0</v>
      </c>
      <c r="U186" s="60"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60">
        <v>0</v>
      </c>
      <c r="AC186" s="60">
        <v>1487.99</v>
      </c>
      <c r="AD186" s="60">
        <v>1389.75</v>
      </c>
      <c r="AE186" s="60">
        <v>1290.3900000000001</v>
      </c>
      <c r="AF186" s="60">
        <v>0</v>
      </c>
      <c r="AG186" s="60">
        <v>0</v>
      </c>
      <c r="AH186" s="60">
        <v>0</v>
      </c>
      <c r="AI186" s="60">
        <v>1487.99</v>
      </c>
      <c r="AJ186" s="60">
        <v>1389.75</v>
      </c>
      <c r="AK186" s="60">
        <v>1290.3900000000001</v>
      </c>
      <c r="AL186" s="60">
        <v>0</v>
      </c>
      <c r="AM186" s="60">
        <v>0</v>
      </c>
      <c r="AN186" s="60">
        <v>0</v>
      </c>
      <c r="AO186" s="60">
        <v>1487.99</v>
      </c>
      <c r="AP186" s="60">
        <v>1389.75</v>
      </c>
      <c r="AQ186" s="60">
        <v>1290.3900000000001</v>
      </c>
      <c r="AR186" s="61">
        <v>1487.99</v>
      </c>
    </row>
    <row r="187" spans="1:44" x14ac:dyDescent="0.35">
      <c r="A187" s="49" t="str">
        <f>TEXT(33,"00")</f>
        <v>33</v>
      </c>
      <c r="B187" s="27">
        <v>67116</v>
      </c>
      <c r="C187" s="25" t="str">
        <f>TEXT(109843,"0000000")</f>
        <v>0109843</v>
      </c>
      <c r="D187" s="26" t="s">
        <v>1744</v>
      </c>
      <c r="E187" s="25" t="s">
        <v>1742</v>
      </c>
      <c r="F187" s="25" t="s">
        <v>1690</v>
      </c>
      <c r="G187" s="59" t="s">
        <v>1743</v>
      </c>
      <c r="H187" s="60">
        <v>0</v>
      </c>
      <c r="I187" s="60">
        <v>0</v>
      </c>
      <c r="J187" s="60">
        <v>0</v>
      </c>
      <c r="K187" s="60">
        <v>0</v>
      </c>
      <c r="L187" s="60"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0</v>
      </c>
      <c r="U187" s="60"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60">
        <v>0</v>
      </c>
      <c r="AC187" s="60">
        <v>1475.54</v>
      </c>
      <c r="AD187" s="60">
        <v>1444.93</v>
      </c>
      <c r="AE187" s="60">
        <v>1539.9</v>
      </c>
      <c r="AF187" s="60">
        <v>0</v>
      </c>
      <c r="AG187" s="60">
        <v>0</v>
      </c>
      <c r="AH187" s="60">
        <v>0</v>
      </c>
      <c r="AI187" s="60">
        <v>1475.54</v>
      </c>
      <c r="AJ187" s="60">
        <v>1444.93</v>
      </c>
      <c r="AK187" s="60">
        <v>1539.9</v>
      </c>
      <c r="AL187" s="60">
        <v>0</v>
      </c>
      <c r="AM187" s="60">
        <v>0</v>
      </c>
      <c r="AN187" s="60">
        <v>0</v>
      </c>
      <c r="AO187" s="60">
        <v>1475.54</v>
      </c>
      <c r="AP187" s="60">
        <v>1444.93</v>
      </c>
      <c r="AQ187" s="60">
        <v>1539.9</v>
      </c>
      <c r="AR187" s="61">
        <v>1539.9</v>
      </c>
    </row>
    <row r="188" spans="1:44" x14ac:dyDescent="0.35">
      <c r="A188" s="49" t="str">
        <f>TEXT(33,"00")</f>
        <v>33</v>
      </c>
      <c r="B188" s="27">
        <v>10330</v>
      </c>
      <c r="C188" s="25" t="str">
        <f>TEXT(125237,"0000000")</f>
        <v>0125237</v>
      </c>
      <c r="D188" s="27">
        <v>1366</v>
      </c>
      <c r="E188" s="25" t="s">
        <v>1696</v>
      </c>
      <c r="F188" s="25" t="s">
        <v>1690</v>
      </c>
      <c r="G188" s="59" t="s">
        <v>1697</v>
      </c>
      <c r="H188" s="60">
        <v>0</v>
      </c>
      <c r="I188" s="60">
        <v>0</v>
      </c>
      <c r="J188" s="60">
        <v>0</v>
      </c>
      <c r="K188" s="60">
        <v>0</v>
      </c>
      <c r="L188" s="60"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60">
        <v>0</v>
      </c>
      <c r="T188" s="60">
        <v>21.49</v>
      </c>
      <c r="U188" s="60">
        <v>16.84</v>
      </c>
      <c r="V188" s="60">
        <v>20.54</v>
      </c>
      <c r="W188" s="60">
        <v>116.83</v>
      </c>
      <c r="X188" s="60">
        <v>144.21</v>
      </c>
      <c r="Y188" s="60">
        <v>254.17</v>
      </c>
      <c r="Z188" s="60">
        <v>0</v>
      </c>
      <c r="AA188" s="60">
        <v>0</v>
      </c>
      <c r="AB188" s="60">
        <v>0</v>
      </c>
      <c r="AC188" s="60">
        <v>0</v>
      </c>
      <c r="AD188" s="60">
        <v>0</v>
      </c>
      <c r="AE188" s="60">
        <v>0</v>
      </c>
      <c r="AF188" s="60">
        <v>0</v>
      </c>
      <c r="AG188" s="60">
        <v>0</v>
      </c>
      <c r="AH188" s="60">
        <v>0</v>
      </c>
      <c r="AI188" s="60">
        <v>138.32</v>
      </c>
      <c r="AJ188" s="60">
        <v>161.05000000000001</v>
      </c>
      <c r="AK188" s="60">
        <v>274.70999999999998</v>
      </c>
      <c r="AL188" s="60">
        <v>0</v>
      </c>
      <c r="AM188" s="60">
        <v>0</v>
      </c>
      <c r="AN188" s="60">
        <v>0</v>
      </c>
      <c r="AO188" s="60">
        <v>138.32</v>
      </c>
      <c r="AP188" s="60">
        <v>161.05000000000001</v>
      </c>
      <c r="AQ188" s="60">
        <v>274.70999999999998</v>
      </c>
      <c r="AR188" s="61">
        <v>274.70999999999998</v>
      </c>
    </row>
    <row r="189" spans="1:44" x14ac:dyDescent="0.35">
      <c r="A189" s="49" t="str">
        <f>TEXT(33,"00")</f>
        <v>33</v>
      </c>
      <c r="B189" s="27">
        <v>67181</v>
      </c>
      <c r="C189" s="25" t="str">
        <f>TEXT(138610,"0000000")</f>
        <v>0138610</v>
      </c>
      <c r="D189" s="27">
        <v>2019</v>
      </c>
      <c r="E189" s="25" t="s">
        <v>1753</v>
      </c>
      <c r="F189" s="25" t="s">
        <v>1690</v>
      </c>
      <c r="G189" s="59" t="s">
        <v>1754</v>
      </c>
      <c r="H189" s="60">
        <v>0</v>
      </c>
      <c r="I189" s="60">
        <v>0</v>
      </c>
      <c r="J189" s="60">
        <v>0</v>
      </c>
      <c r="K189" s="60">
        <v>0</v>
      </c>
      <c r="L189" s="60"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60">
        <v>0</v>
      </c>
      <c r="T189" s="60">
        <v>0</v>
      </c>
      <c r="U189" s="60"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60">
        <v>0</v>
      </c>
      <c r="AC189" s="60">
        <v>1118.03</v>
      </c>
      <c r="AD189" s="60">
        <v>911.69</v>
      </c>
      <c r="AE189" s="60">
        <v>0</v>
      </c>
      <c r="AF189" s="60">
        <v>0</v>
      </c>
      <c r="AG189" s="60">
        <v>0</v>
      </c>
      <c r="AH189" s="60">
        <v>0</v>
      </c>
      <c r="AI189" s="60">
        <v>1118.03</v>
      </c>
      <c r="AJ189" s="60">
        <v>911.69</v>
      </c>
      <c r="AK189" s="60">
        <v>0</v>
      </c>
      <c r="AL189" s="60">
        <v>0</v>
      </c>
      <c r="AM189" s="60">
        <v>0</v>
      </c>
      <c r="AN189" s="60">
        <v>0</v>
      </c>
      <c r="AO189" s="60">
        <v>1118.03</v>
      </c>
      <c r="AP189" s="60">
        <v>911.69</v>
      </c>
      <c r="AQ189" s="60">
        <v>0</v>
      </c>
      <c r="AR189" s="61">
        <v>1118.03</v>
      </c>
    </row>
    <row r="190" spans="1:44" x14ac:dyDescent="0.35">
      <c r="A190" s="49" t="str">
        <f t="shared" ref="A190:A218" si="16">TEXT(45,"00")</f>
        <v>45</v>
      </c>
      <c r="B190" s="27">
        <v>10454</v>
      </c>
      <c r="C190" s="25" t="str">
        <f t="shared" ref="C190:C214" si="17">TEXT(,"0000000")</f>
        <v>0000000</v>
      </c>
      <c r="D190" s="26" t="s">
        <v>3663</v>
      </c>
      <c r="E190" s="25" t="s">
        <v>2885</v>
      </c>
      <c r="F190" s="25" t="s">
        <v>2886</v>
      </c>
      <c r="G190" s="59" t="s">
        <v>2886</v>
      </c>
      <c r="H190" s="60">
        <v>0</v>
      </c>
      <c r="I190" s="60">
        <v>0</v>
      </c>
      <c r="J190" s="60">
        <v>0</v>
      </c>
      <c r="K190" s="60">
        <v>0</v>
      </c>
      <c r="L190" s="60"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60">
        <v>0</v>
      </c>
      <c r="T190" s="60">
        <v>38.200000000000003</v>
      </c>
      <c r="U190" s="60">
        <v>30.13</v>
      </c>
      <c r="V190" s="60">
        <v>52.29</v>
      </c>
      <c r="W190" s="60">
        <v>125.85</v>
      </c>
      <c r="X190" s="60">
        <v>120.04</v>
      </c>
      <c r="Y190" s="60">
        <v>139.04</v>
      </c>
      <c r="Z190" s="60">
        <v>0</v>
      </c>
      <c r="AA190" s="60">
        <v>0</v>
      </c>
      <c r="AB190" s="60">
        <v>0</v>
      </c>
      <c r="AC190" s="60">
        <v>0</v>
      </c>
      <c r="AD190" s="60">
        <v>0</v>
      </c>
      <c r="AE190" s="60">
        <v>0</v>
      </c>
      <c r="AF190" s="60">
        <v>0</v>
      </c>
      <c r="AG190" s="60">
        <v>0</v>
      </c>
      <c r="AH190" s="60">
        <v>0</v>
      </c>
      <c r="AI190" s="60">
        <v>164.05</v>
      </c>
      <c r="AJ190" s="60">
        <v>150.16999999999999</v>
      </c>
      <c r="AK190" s="60">
        <v>191.33</v>
      </c>
      <c r="AL190" s="60">
        <v>0</v>
      </c>
      <c r="AM190" s="60">
        <v>0</v>
      </c>
      <c r="AN190" s="60">
        <v>0</v>
      </c>
      <c r="AO190" s="60">
        <v>164.05</v>
      </c>
      <c r="AP190" s="60">
        <v>150.16999999999999</v>
      </c>
      <c r="AQ190" s="60">
        <v>191.33</v>
      </c>
      <c r="AR190" s="61">
        <v>191.33</v>
      </c>
    </row>
    <row r="191" spans="1:44" x14ac:dyDescent="0.35">
      <c r="A191" s="49" t="str">
        <f t="shared" si="16"/>
        <v>45</v>
      </c>
      <c r="B191" s="27">
        <v>69914</v>
      </c>
      <c r="C191" s="25" t="str">
        <f t="shared" si="17"/>
        <v>0000000</v>
      </c>
      <c r="D191" s="26" t="s">
        <v>3663</v>
      </c>
      <c r="E191" s="25" t="s">
        <v>2900</v>
      </c>
      <c r="F191" s="25" t="s">
        <v>2886</v>
      </c>
      <c r="G191" s="59" t="s">
        <v>2901</v>
      </c>
      <c r="H191" s="60">
        <v>976.39</v>
      </c>
      <c r="I191" s="60">
        <v>909.3</v>
      </c>
      <c r="J191" s="60">
        <v>1035.77</v>
      </c>
      <c r="K191" s="60">
        <v>0</v>
      </c>
      <c r="L191" s="60"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60">
        <v>0</v>
      </c>
      <c r="T191" s="60">
        <v>0</v>
      </c>
      <c r="U191" s="60"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60">
        <v>0</v>
      </c>
      <c r="AC191" s="60">
        <v>300.88</v>
      </c>
      <c r="AD191" s="60">
        <v>263.87</v>
      </c>
      <c r="AE191" s="60">
        <v>227.3</v>
      </c>
      <c r="AF191" s="60">
        <v>0</v>
      </c>
      <c r="AG191" s="60">
        <v>0</v>
      </c>
      <c r="AH191" s="60">
        <v>0</v>
      </c>
      <c r="AI191" s="60">
        <v>1277.27</v>
      </c>
      <c r="AJ191" s="60">
        <v>1173.17</v>
      </c>
      <c r="AK191" s="60">
        <v>1263.07</v>
      </c>
      <c r="AL191" s="60">
        <v>0</v>
      </c>
      <c r="AM191" s="60">
        <v>0</v>
      </c>
      <c r="AN191" s="60">
        <v>0</v>
      </c>
      <c r="AO191" s="60">
        <v>1277.27</v>
      </c>
      <c r="AP191" s="60">
        <v>1173.17</v>
      </c>
      <c r="AQ191" s="60">
        <v>1263.07</v>
      </c>
      <c r="AR191" s="61">
        <v>1277.27</v>
      </c>
    </row>
    <row r="192" spans="1:44" x14ac:dyDescent="0.35">
      <c r="A192" s="49" t="str">
        <f t="shared" si="16"/>
        <v>45</v>
      </c>
      <c r="B192" s="27">
        <v>69955</v>
      </c>
      <c r="C192" s="25" t="str">
        <f t="shared" si="17"/>
        <v>0000000</v>
      </c>
      <c r="D192" s="26" t="s">
        <v>3663</v>
      </c>
      <c r="E192" s="25" t="s">
        <v>2912</v>
      </c>
      <c r="F192" s="25" t="s">
        <v>2886</v>
      </c>
      <c r="G192" s="59" t="s">
        <v>2913</v>
      </c>
      <c r="H192" s="60">
        <v>824.37</v>
      </c>
      <c r="I192" s="60">
        <v>825.34</v>
      </c>
      <c r="J192" s="60">
        <v>898.54</v>
      </c>
      <c r="K192" s="60">
        <v>0</v>
      </c>
      <c r="L192" s="60">
        <v>0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60">
        <v>0</v>
      </c>
      <c r="T192" s="60">
        <v>0</v>
      </c>
      <c r="U192" s="60"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60">
        <v>0</v>
      </c>
      <c r="AC192" s="60">
        <v>0</v>
      </c>
      <c r="AD192" s="60">
        <v>0</v>
      </c>
      <c r="AE192" s="60">
        <v>0</v>
      </c>
      <c r="AF192" s="60">
        <v>0</v>
      </c>
      <c r="AG192" s="60">
        <v>0</v>
      </c>
      <c r="AH192" s="60">
        <v>0</v>
      </c>
      <c r="AI192" s="60">
        <v>824.37</v>
      </c>
      <c r="AJ192" s="60">
        <v>825.34</v>
      </c>
      <c r="AK192" s="60">
        <v>898.54</v>
      </c>
      <c r="AL192" s="60">
        <v>0</v>
      </c>
      <c r="AM192" s="60">
        <v>0</v>
      </c>
      <c r="AN192" s="60">
        <v>0</v>
      </c>
      <c r="AO192" s="60">
        <v>824.37</v>
      </c>
      <c r="AP192" s="60">
        <v>825.34</v>
      </c>
      <c r="AQ192" s="60">
        <v>898.54</v>
      </c>
      <c r="AR192" s="61">
        <v>898.54</v>
      </c>
    </row>
    <row r="193" spans="1:44" x14ac:dyDescent="0.35">
      <c r="A193" s="49" t="str">
        <f t="shared" si="16"/>
        <v>45</v>
      </c>
      <c r="B193" s="27">
        <v>69971</v>
      </c>
      <c r="C193" s="25" t="str">
        <f t="shared" si="17"/>
        <v>0000000</v>
      </c>
      <c r="D193" s="26" t="s">
        <v>3663</v>
      </c>
      <c r="E193" s="25" t="s">
        <v>2916</v>
      </c>
      <c r="F193" s="25" t="s">
        <v>2886</v>
      </c>
      <c r="G193" s="59" t="s">
        <v>2917</v>
      </c>
      <c r="H193" s="60">
        <v>3067.07</v>
      </c>
      <c r="I193" s="60">
        <v>2942.37</v>
      </c>
      <c r="J193" s="60">
        <v>3427.52</v>
      </c>
      <c r="K193" s="60">
        <v>0</v>
      </c>
      <c r="L193" s="60">
        <v>0</v>
      </c>
      <c r="M193" s="60">
        <v>0</v>
      </c>
      <c r="N193" s="60">
        <v>0</v>
      </c>
      <c r="O193" s="60">
        <v>0</v>
      </c>
      <c r="P193" s="60">
        <v>0</v>
      </c>
      <c r="Q193" s="60">
        <v>0</v>
      </c>
      <c r="R193" s="60">
        <v>0</v>
      </c>
      <c r="S193" s="60">
        <v>0</v>
      </c>
      <c r="T193" s="60">
        <v>0</v>
      </c>
      <c r="U193" s="60"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60">
        <v>0</v>
      </c>
      <c r="AC193" s="60">
        <v>199.44</v>
      </c>
      <c r="AD193" s="60">
        <v>239.07</v>
      </c>
      <c r="AE193" s="60">
        <v>258.75</v>
      </c>
      <c r="AF193" s="60">
        <v>0</v>
      </c>
      <c r="AG193" s="60">
        <v>0</v>
      </c>
      <c r="AH193" s="60">
        <v>0</v>
      </c>
      <c r="AI193" s="60">
        <v>3266.51</v>
      </c>
      <c r="AJ193" s="60">
        <v>3181.44</v>
      </c>
      <c r="AK193" s="60">
        <v>3686.27</v>
      </c>
      <c r="AL193" s="60">
        <v>0</v>
      </c>
      <c r="AM193" s="60">
        <v>0</v>
      </c>
      <c r="AN193" s="60">
        <v>0</v>
      </c>
      <c r="AO193" s="60">
        <v>3266.51</v>
      </c>
      <c r="AP193" s="60">
        <v>3181.44</v>
      </c>
      <c r="AQ193" s="60">
        <v>3686.27</v>
      </c>
      <c r="AR193" s="61">
        <v>3686.27</v>
      </c>
    </row>
    <row r="194" spans="1:44" x14ac:dyDescent="0.35">
      <c r="A194" s="49" t="str">
        <f t="shared" si="16"/>
        <v>45</v>
      </c>
      <c r="B194" s="27">
        <v>70045</v>
      </c>
      <c r="C194" s="25" t="str">
        <f t="shared" si="17"/>
        <v>0000000</v>
      </c>
      <c r="D194" s="26" t="s">
        <v>3663</v>
      </c>
      <c r="E194" s="25" t="s">
        <v>2928</v>
      </c>
      <c r="F194" s="25" t="s">
        <v>2886</v>
      </c>
      <c r="G194" s="59" t="s">
        <v>2929</v>
      </c>
      <c r="H194" s="60">
        <v>345.72</v>
      </c>
      <c r="I194" s="60">
        <v>318.69</v>
      </c>
      <c r="J194" s="60">
        <v>317.81</v>
      </c>
      <c r="K194" s="60">
        <v>0</v>
      </c>
      <c r="L194" s="60">
        <v>0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60">
        <v>0</v>
      </c>
      <c r="T194" s="60">
        <v>0</v>
      </c>
      <c r="U194" s="60"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60">
        <v>0</v>
      </c>
      <c r="AC194" s="60">
        <v>0</v>
      </c>
      <c r="AD194" s="60">
        <v>0</v>
      </c>
      <c r="AE194" s="60">
        <v>0</v>
      </c>
      <c r="AF194" s="60">
        <v>0</v>
      </c>
      <c r="AG194" s="60">
        <v>0</v>
      </c>
      <c r="AH194" s="60">
        <v>0</v>
      </c>
      <c r="AI194" s="60">
        <v>345.72</v>
      </c>
      <c r="AJ194" s="60">
        <v>318.69</v>
      </c>
      <c r="AK194" s="60">
        <v>317.81</v>
      </c>
      <c r="AL194" s="60">
        <v>0</v>
      </c>
      <c r="AM194" s="60">
        <v>0</v>
      </c>
      <c r="AN194" s="60">
        <v>0</v>
      </c>
      <c r="AO194" s="60">
        <v>345.72</v>
      </c>
      <c r="AP194" s="60">
        <v>318.69</v>
      </c>
      <c r="AQ194" s="60">
        <v>317.81</v>
      </c>
      <c r="AR194" s="61">
        <v>345.72</v>
      </c>
    </row>
    <row r="195" spans="1:44" x14ac:dyDescent="0.35">
      <c r="A195" s="49" t="str">
        <f t="shared" si="16"/>
        <v>45</v>
      </c>
      <c r="B195" s="27">
        <v>70094</v>
      </c>
      <c r="C195" s="25" t="str">
        <f t="shared" si="17"/>
        <v>0000000</v>
      </c>
      <c r="D195" s="26" t="s">
        <v>3663</v>
      </c>
      <c r="E195" s="25" t="s">
        <v>2936</v>
      </c>
      <c r="F195" s="25" t="s">
        <v>2886</v>
      </c>
      <c r="G195" s="59" t="s">
        <v>2937</v>
      </c>
      <c r="H195" s="60">
        <v>638.25</v>
      </c>
      <c r="I195" s="60">
        <v>629.27</v>
      </c>
      <c r="J195" s="60">
        <v>624.28</v>
      </c>
      <c r="K195" s="60">
        <v>0</v>
      </c>
      <c r="L195" s="60">
        <v>0</v>
      </c>
      <c r="M195" s="60">
        <v>0</v>
      </c>
      <c r="N195" s="60">
        <v>0</v>
      </c>
      <c r="O195" s="60">
        <v>0</v>
      </c>
      <c r="P195" s="60">
        <v>0</v>
      </c>
      <c r="Q195" s="60">
        <v>0</v>
      </c>
      <c r="R195" s="60">
        <v>0</v>
      </c>
      <c r="S195" s="60">
        <v>0</v>
      </c>
      <c r="T195" s="60">
        <v>0</v>
      </c>
      <c r="U195" s="60">
        <v>0</v>
      </c>
      <c r="V195" s="60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60">
        <v>0</v>
      </c>
      <c r="AC195" s="60">
        <v>0</v>
      </c>
      <c r="AD195" s="60">
        <v>0</v>
      </c>
      <c r="AE195" s="60">
        <v>0</v>
      </c>
      <c r="AF195" s="60">
        <v>0</v>
      </c>
      <c r="AG195" s="60">
        <v>0</v>
      </c>
      <c r="AH195" s="60">
        <v>0</v>
      </c>
      <c r="AI195" s="60">
        <v>638.25</v>
      </c>
      <c r="AJ195" s="60">
        <v>629.27</v>
      </c>
      <c r="AK195" s="60">
        <v>624.28</v>
      </c>
      <c r="AL195" s="60">
        <v>0</v>
      </c>
      <c r="AM195" s="60">
        <v>0</v>
      </c>
      <c r="AN195" s="60">
        <v>0</v>
      </c>
      <c r="AO195" s="60">
        <v>638.25</v>
      </c>
      <c r="AP195" s="60">
        <v>629.27</v>
      </c>
      <c r="AQ195" s="60">
        <v>624.28</v>
      </c>
      <c r="AR195" s="61">
        <v>638.25</v>
      </c>
    </row>
    <row r="196" spans="1:44" x14ac:dyDescent="0.35">
      <c r="A196" s="49" t="str">
        <f t="shared" si="16"/>
        <v>45</v>
      </c>
      <c r="B196" s="27">
        <v>70110</v>
      </c>
      <c r="C196" s="25" t="str">
        <f t="shared" si="17"/>
        <v>0000000</v>
      </c>
      <c r="D196" s="26" t="s">
        <v>3663</v>
      </c>
      <c r="E196" s="25" t="s">
        <v>2938</v>
      </c>
      <c r="F196" s="25" t="s">
        <v>2886</v>
      </c>
      <c r="G196" s="59" t="s">
        <v>2939</v>
      </c>
      <c r="H196" s="60">
        <v>2538.71</v>
      </c>
      <c r="I196" s="60">
        <v>2544.75</v>
      </c>
      <c r="J196" s="60">
        <v>2808.57</v>
      </c>
      <c r="K196" s="60">
        <v>0</v>
      </c>
      <c r="L196" s="60">
        <v>0</v>
      </c>
      <c r="M196" s="60">
        <v>0</v>
      </c>
      <c r="N196" s="60">
        <v>0</v>
      </c>
      <c r="O196" s="60">
        <v>0</v>
      </c>
      <c r="P196" s="60">
        <v>0</v>
      </c>
      <c r="Q196" s="60">
        <v>0</v>
      </c>
      <c r="R196" s="60">
        <v>0</v>
      </c>
      <c r="S196" s="60">
        <v>0</v>
      </c>
      <c r="T196" s="60">
        <v>0</v>
      </c>
      <c r="U196" s="60">
        <v>0</v>
      </c>
      <c r="V196" s="60">
        <v>0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60">
        <v>0</v>
      </c>
      <c r="AC196" s="60">
        <v>197.16</v>
      </c>
      <c r="AD196" s="60">
        <v>274.63</v>
      </c>
      <c r="AE196" s="60">
        <v>304.19</v>
      </c>
      <c r="AF196" s="60">
        <v>0</v>
      </c>
      <c r="AG196" s="60">
        <v>0</v>
      </c>
      <c r="AH196" s="60">
        <v>0</v>
      </c>
      <c r="AI196" s="60">
        <v>2735.87</v>
      </c>
      <c r="AJ196" s="60">
        <v>2819.38</v>
      </c>
      <c r="AK196" s="60">
        <v>3112.76</v>
      </c>
      <c r="AL196" s="60">
        <v>0</v>
      </c>
      <c r="AM196" s="60">
        <v>-83.33</v>
      </c>
      <c r="AN196" s="60">
        <v>-98.19</v>
      </c>
      <c r="AO196" s="60">
        <v>2735.87</v>
      </c>
      <c r="AP196" s="60">
        <v>2736.05</v>
      </c>
      <c r="AQ196" s="60">
        <v>3014.57</v>
      </c>
      <c r="AR196" s="61">
        <v>3014.57</v>
      </c>
    </row>
    <row r="197" spans="1:44" x14ac:dyDescent="0.35">
      <c r="A197" s="49" t="str">
        <f t="shared" si="16"/>
        <v>45</v>
      </c>
      <c r="B197" s="27">
        <v>69856</v>
      </c>
      <c r="C197" s="25" t="str">
        <f t="shared" si="17"/>
        <v>0000000</v>
      </c>
      <c r="D197" s="26" t="s">
        <v>3663</v>
      </c>
      <c r="E197" s="25" t="s">
        <v>2894</v>
      </c>
      <c r="F197" s="25" t="s">
        <v>2886</v>
      </c>
      <c r="G197" s="59" t="s">
        <v>2895</v>
      </c>
      <c r="H197" s="60">
        <v>1345.47</v>
      </c>
      <c r="I197" s="60">
        <v>1322.19</v>
      </c>
      <c r="J197" s="60">
        <v>1413.74</v>
      </c>
      <c r="K197" s="60">
        <v>0</v>
      </c>
      <c r="L197" s="60">
        <v>0</v>
      </c>
      <c r="M197" s="60">
        <v>0</v>
      </c>
      <c r="N197" s="60">
        <v>0</v>
      </c>
      <c r="O197" s="60">
        <v>0</v>
      </c>
      <c r="P197" s="60">
        <v>0</v>
      </c>
      <c r="Q197" s="60">
        <v>0</v>
      </c>
      <c r="R197" s="60">
        <v>0</v>
      </c>
      <c r="S197" s="60">
        <v>0</v>
      </c>
      <c r="T197" s="60">
        <v>0</v>
      </c>
      <c r="U197" s="60">
        <v>0</v>
      </c>
      <c r="V197" s="60">
        <v>0</v>
      </c>
      <c r="W197" s="60">
        <v>0</v>
      </c>
      <c r="X197" s="60">
        <v>0</v>
      </c>
      <c r="Y197" s="60">
        <v>0</v>
      </c>
      <c r="Z197" s="60">
        <v>0</v>
      </c>
      <c r="AA197" s="60">
        <v>0</v>
      </c>
      <c r="AB197" s="60">
        <v>0</v>
      </c>
      <c r="AC197" s="60">
        <v>92.8</v>
      </c>
      <c r="AD197" s="60">
        <v>95.77</v>
      </c>
      <c r="AE197" s="60">
        <v>119.4</v>
      </c>
      <c r="AF197" s="60">
        <v>0</v>
      </c>
      <c r="AG197" s="60">
        <v>0</v>
      </c>
      <c r="AH197" s="60">
        <v>0</v>
      </c>
      <c r="AI197" s="60">
        <v>1438.27</v>
      </c>
      <c r="AJ197" s="60">
        <v>1417.96</v>
      </c>
      <c r="AK197" s="60">
        <v>1533.14</v>
      </c>
      <c r="AL197" s="60">
        <v>0</v>
      </c>
      <c r="AM197" s="60">
        <v>0</v>
      </c>
      <c r="AN197" s="60">
        <v>0</v>
      </c>
      <c r="AO197" s="60">
        <v>1438.27</v>
      </c>
      <c r="AP197" s="60">
        <v>1417.96</v>
      </c>
      <c r="AQ197" s="60">
        <v>1533.14</v>
      </c>
      <c r="AR197" s="61">
        <v>1533.14</v>
      </c>
    </row>
    <row r="198" spans="1:44" x14ac:dyDescent="0.35">
      <c r="A198" s="49" t="str">
        <f t="shared" si="16"/>
        <v>45</v>
      </c>
      <c r="B198" s="27">
        <v>70136</v>
      </c>
      <c r="C198" s="25" t="str">
        <f t="shared" si="17"/>
        <v>0000000</v>
      </c>
      <c r="D198" s="26" t="s">
        <v>3663</v>
      </c>
      <c r="E198" s="25" t="s">
        <v>2945</v>
      </c>
      <c r="F198" s="25" t="s">
        <v>2886</v>
      </c>
      <c r="G198" s="59" t="s">
        <v>2946</v>
      </c>
      <c r="H198" s="60">
        <v>3871.37</v>
      </c>
      <c r="I198" s="60">
        <v>3851.52</v>
      </c>
      <c r="J198" s="60">
        <v>4016</v>
      </c>
      <c r="K198" s="60">
        <v>0</v>
      </c>
      <c r="L198" s="60">
        <v>0</v>
      </c>
      <c r="M198" s="60">
        <v>0</v>
      </c>
      <c r="N198" s="60">
        <v>0</v>
      </c>
      <c r="O198" s="60">
        <v>0</v>
      </c>
      <c r="P198" s="60">
        <v>0</v>
      </c>
      <c r="Q198" s="60">
        <v>0</v>
      </c>
      <c r="R198" s="60">
        <v>0</v>
      </c>
      <c r="S198" s="60">
        <v>0</v>
      </c>
      <c r="T198" s="60">
        <v>0</v>
      </c>
      <c r="U198" s="60">
        <v>0</v>
      </c>
      <c r="V198" s="60">
        <v>0</v>
      </c>
      <c r="W198" s="60">
        <v>0</v>
      </c>
      <c r="X198" s="60">
        <v>0</v>
      </c>
      <c r="Y198" s="60">
        <v>0</v>
      </c>
      <c r="Z198" s="60">
        <v>0</v>
      </c>
      <c r="AA198" s="60">
        <v>0</v>
      </c>
      <c r="AB198" s="60">
        <v>0</v>
      </c>
      <c r="AC198" s="60">
        <v>980</v>
      </c>
      <c r="AD198" s="60">
        <v>945.14</v>
      </c>
      <c r="AE198" s="60">
        <v>938.72</v>
      </c>
      <c r="AF198" s="60">
        <v>0</v>
      </c>
      <c r="AG198" s="60">
        <v>0</v>
      </c>
      <c r="AH198" s="60">
        <v>0</v>
      </c>
      <c r="AI198" s="60">
        <v>4851.37</v>
      </c>
      <c r="AJ198" s="60">
        <v>4796.66</v>
      </c>
      <c r="AK198" s="60">
        <v>4954.72</v>
      </c>
      <c r="AL198" s="60">
        <v>0</v>
      </c>
      <c r="AM198" s="60">
        <v>0</v>
      </c>
      <c r="AN198" s="60">
        <v>0</v>
      </c>
      <c r="AO198" s="60">
        <v>4851.37</v>
      </c>
      <c r="AP198" s="60">
        <v>4796.66</v>
      </c>
      <c r="AQ198" s="60">
        <v>4954.72</v>
      </c>
      <c r="AR198" s="61">
        <v>4954.72</v>
      </c>
    </row>
    <row r="199" spans="1:44" x14ac:dyDescent="0.35">
      <c r="A199" s="49" t="str">
        <f t="shared" si="16"/>
        <v>45</v>
      </c>
      <c r="B199" s="27">
        <v>69989</v>
      </c>
      <c r="C199" s="25" t="str">
        <f t="shared" si="17"/>
        <v>0000000</v>
      </c>
      <c r="D199" s="26" t="s">
        <v>3663</v>
      </c>
      <c r="E199" s="25" t="s">
        <v>2918</v>
      </c>
      <c r="F199" s="25" t="s">
        <v>2886</v>
      </c>
      <c r="G199" s="59" t="s">
        <v>2919</v>
      </c>
      <c r="H199" s="60">
        <v>1065.01</v>
      </c>
      <c r="I199" s="60">
        <v>994.42</v>
      </c>
      <c r="J199" s="60">
        <v>1115.22</v>
      </c>
      <c r="K199" s="60">
        <v>0</v>
      </c>
      <c r="L199" s="60">
        <v>0</v>
      </c>
      <c r="M199" s="60">
        <v>0</v>
      </c>
      <c r="N199" s="60">
        <v>0</v>
      </c>
      <c r="O199" s="60">
        <v>0</v>
      </c>
      <c r="P199" s="60">
        <v>0</v>
      </c>
      <c r="Q199" s="60">
        <v>0</v>
      </c>
      <c r="R199" s="60">
        <v>0</v>
      </c>
      <c r="S199" s="60">
        <v>0</v>
      </c>
      <c r="T199" s="60">
        <v>0</v>
      </c>
      <c r="U199" s="60">
        <v>0</v>
      </c>
      <c r="V199" s="60">
        <v>0</v>
      </c>
      <c r="W199" s="60">
        <v>0</v>
      </c>
      <c r="X199" s="60">
        <v>0</v>
      </c>
      <c r="Y199" s="60">
        <v>0</v>
      </c>
      <c r="Z199" s="60">
        <v>0</v>
      </c>
      <c r="AA199" s="60">
        <v>0</v>
      </c>
      <c r="AB199" s="60">
        <v>0</v>
      </c>
      <c r="AC199" s="60">
        <v>0</v>
      </c>
      <c r="AD199" s="60">
        <v>0</v>
      </c>
      <c r="AE199" s="60">
        <v>0</v>
      </c>
      <c r="AF199" s="60">
        <v>0</v>
      </c>
      <c r="AG199" s="60">
        <v>0</v>
      </c>
      <c r="AH199" s="60">
        <v>0</v>
      </c>
      <c r="AI199" s="60">
        <v>1065.01</v>
      </c>
      <c r="AJ199" s="60">
        <v>994.42</v>
      </c>
      <c r="AK199" s="60">
        <v>1115.22</v>
      </c>
      <c r="AL199" s="60">
        <v>0</v>
      </c>
      <c r="AM199" s="60">
        <v>0</v>
      </c>
      <c r="AN199" s="60">
        <v>0</v>
      </c>
      <c r="AO199" s="60">
        <v>1065.01</v>
      </c>
      <c r="AP199" s="60">
        <v>994.42</v>
      </c>
      <c r="AQ199" s="60">
        <v>1115.22</v>
      </c>
      <c r="AR199" s="61">
        <v>1115.22</v>
      </c>
    </row>
    <row r="200" spans="1:44" x14ac:dyDescent="0.35">
      <c r="A200" s="49" t="str">
        <f t="shared" si="16"/>
        <v>45</v>
      </c>
      <c r="B200" s="27">
        <v>69948</v>
      </c>
      <c r="C200" s="25" t="str">
        <f t="shared" si="17"/>
        <v>0000000</v>
      </c>
      <c r="D200" s="26" t="s">
        <v>3663</v>
      </c>
      <c r="E200" s="25" t="s">
        <v>2904</v>
      </c>
      <c r="F200" s="25" t="s">
        <v>2886</v>
      </c>
      <c r="G200" s="59" t="s">
        <v>2905</v>
      </c>
      <c r="H200" s="60">
        <v>697.05</v>
      </c>
      <c r="I200" s="60">
        <v>659.29</v>
      </c>
      <c r="J200" s="60">
        <v>735.23</v>
      </c>
      <c r="K200" s="60">
        <v>0</v>
      </c>
      <c r="L200" s="60">
        <v>0</v>
      </c>
      <c r="M200" s="60">
        <v>0</v>
      </c>
      <c r="N200" s="60">
        <v>0</v>
      </c>
      <c r="O200" s="60">
        <v>0</v>
      </c>
      <c r="P200" s="60">
        <v>0</v>
      </c>
      <c r="Q200" s="60">
        <v>0</v>
      </c>
      <c r="R200" s="60">
        <v>0</v>
      </c>
      <c r="S200" s="60">
        <v>0</v>
      </c>
      <c r="T200" s="60">
        <v>0</v>
      </c>
      <c r="U200" s="60">
        <v>0</v>
      </c>
      <c r="V200" s="60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v>0</v>
      </c>
      <c r="AD200" s="60">
        <v>0</v>
      </c>
      <c r="AE200" s="60">
        <v>0</v>
      </c>
      <c r="AF200" s="60">
        <v>0</v>
      </c>
      <c r="AG200" s="60">
        <v>0</v>
      </c>
      <c r="AH200" s="60">
        <v>0</v>
      </c>
      <c r="AI200" s="60">
        <v>697.05</v>
      </c>
      <c r="AJ200" s="60">
        <v>659.29</v>
      </c>
      <c r="AK200" s="60">
        <v>735.23</v>
      </c>
      <c r="AL200" s="60">
        <v>0</v>
      </c>
      <c r="AM200" s="60">
        <v>0</v>
      </c>
      <c r="AN200" s="60">
        <v>0</v>
      </c>
      <c r="AO200" s="60">
        <v>697.05</v>
      </c>
      <c r="AP200" s="60">
        <v>659.29</v>
      </c>
      <c r="AQ200" s="60">
        <v>735.23</v>
      </c>
      <c r="AR200" s="61">
        <v>735.23</v>
      </c>
    </row>
    <row r="201" spans="1:44" x14ac:dyDescent="0.35">
      <c r="A201" s="49" t="str">
        <f t="shared" si="16"/>
        <v>45</v>
      </c>
      <c r="B201" s="27">
        <v>70003</v>
      </c>
      <c r="C201" s="25" t="str">
        <f t="shared" si="17"/>
        <v>0000000</v>
      </c>
      <c r="D201" s="26" t="s">
        <v>3663</v>
      </c>
      <c r="E201" s="25" t="s">
        <v>2922</v>
      </c>
      <c r="F201" s="25" t="s">
        <v>2886</v>
      </c>
      <c r="G201" s="59" t="s">
        <v>2923</v>
      </c>
      <c r="H201" s="60">
        <v>616.73</v>
      </c>
      <c r="I201" s="60">
        <v>567.25</v>
      </c>
      <c r="J201" s="60">
        <v>609.74</v>
      </c>
      <c r="K201" s="60">
        <v>0</v>
      </c>
      <c r="L201" s="60">
        <v>0</v>
      </c>
      <c r="M201" s="60">
        <v>0</v>
      </c>
      <c r="N201" s="60">
        <v>0</v>
      </c>
      <c r="O201" s="60">
        <v>0</v>
      </c>
      <c r="P201" s="60">
        <v>0</v>
      </c>
      <c r="Q201" s="60">
        <v>0</v>
      </c>
      <c r="R201" s="60">
        <v>0</v>
      </c>
      <c r="S201" s="60">
        <v>0</v>
      </c>
      <c r="T201" s="60">
        <v>0</v>
      </c>
      <c r="U201" s="60">
        <v>0</v>
      </c>
      <c r="V201" s="60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0">
        <v>0</v>
      </c>
      <c r="AE201" s="60">
        <v>0</v>
      </c>
      <c r="AF201" s="60">
        <v>0</v>
      </c>
      <c r="AG201" s="60">
        <v>0</v>
      </c>
      <c r="AH201" s="60">
        <v>0</v>
      </c>
      <c r="AI201" s="60">
        <v>616.73</v>
      </c>
      <c r="AJ201" s="60">
        <v>567.25</v>
      </c>
      <c r="AK201" s="60">
        <v>609.74</v>
      </c>
      <c r="AL201" s="60">
        <v>0</v>
      </c>
      <c r="AM201" s="60">
        <v>0</v>
      </c>
      <c r="AN201" s="60">
        <v>0</v>
      </c>
      <c r="AO201" s="60">
        <v>616.73</v>
      </c>
      <c r="AP201" s="60">
        <v>567.25</v>
      </c>
      <c r="AQ201" s="60">
        <v>609.74</v>
      </c>
      <c r="AR201" s="61">
        <v>616.73</v>
      </c>
    </row>
    <row r="202" spans="1:44" x14ac:dyDescent="0.35">
      <c r="A202" s="49" t="str">
        <f t="shared" si="16"/>
        <v>45</v>
      </c>
      <c r="B202" s="27">
        <v>75267</v>
      </c>
      <c r="C202" s="25" t="str">
        <f t="shared" si="17"/>
        <v>0000000</v>
      </c>
      <c r="D202" s="26" t="s">
        <v>3663</v>
      </c>
      <c r="E202" s="25" t="s">
        <v>2954</v>
      </c>
      <c r="F202" s="25" t="s">
        <v>2886</v>
      </c>
      <c r="G202" s="59" t="s">
        <v>2955</v>
      </c>
      <c r="H202" s="60">
        <v>1952.47</v>
      </c>
      <c r="I202" s="60">
        <v>1861.5</v>
      </c>
      <c r="J202" s="60">
        <v>2075.84</v>
      </c>
      <c r="K202" s="60">
        <v>0</v>
      </c>
      <c r="L202" s="60">
        <v>0</v>
      </c>
      <c r="M202" s="60">
        <v>0</v>
      </c>
      <c r="N202" s="60">
        <v>0</v>
      </c>
      <c r="O202" s="60">
        <v>0</v>
      </c>
      <c r="P202" s="60">
        <v>0</v>
      </c>
      <c r="Q202" s="60">
        <v>0</v>
      </c>
      <c r="R202" s="60">
        <v>0</v>
      </c>
      <c r="S202" s="60">
        <v>0</v>
      </c>
      <c r="T202" s="60">
        <v>0</v>
      </c>
      <c r="U202" s="60">
        <v>0</v>
      </c>
      <c r="V202" s="60">
        <v>0</v>
      </c>
      <c r="W202" s="60">
        <v>0</v>
      </c>
      <c r="X202" s="60">
        <v>0</v>
      </c>
      <c r="Y202" s="60">
        <v>0</v>
      </c>
      <c r="Z202" s="60">
        <v>0</v>
      </c>
      <c r="AA202" s="60">
        <v>0</v>
      </c>
      <c r="AB202" s="60">
        <v>0</v>
      </c>
      <c r="AC202" s="60">
        <v>0</v>
      </c>
      <c r="AD202" s="60">
        <v>0</v>
      </c>
      <c r="AE202" s="60">
        <v>0</v>
      </c>
      <c r="AF202" s="60">
        <v>0</v>
      </c>
      <c r="AG202" s="60">
        <v>0</v>
      </c>
      <c r="AH202" s="60">
        <v>0</v>
      </c>
      <c r="AI202" s="60">
        <v>1952.47</v>
      </c>
      <c r="AJ202" s="60">
        <v>1861.5</v>
      </c>
      <c r="AK202" s="60">
        <v>2075.84</v>
      </c>
      <c r="AL202" s="60">
        <v>0</v>
      </c>
      <c r="AM202" s="60">
        <v>0</v>
      </c>
      <c r="AN202" s="60">
        <v>0</v>
      </c>
      <c r="AO202" s="60">
        <v>1952.47</v>
      </c>
      <c r="AP202" s="60">
        <v>1861.5</v>
      </c>
      <c r="AQ202" s="60">
        <v>2075.84</v>
      </c>
      <c r="AR202" s="61">
        <v>2075.84</v>
      </c>
    </row>
    <row r="203" spans="1:44" x14ac:dyDescent="0.35">
      <c r="A203" s="49" t="str">
        <f t="shared" si="16"/>
        <v>45</v>
      </c>
      <c r="B203" s="27">
        <v>69880</v>
      </c>
      <c r="C203" s="25" t="str">
        <f t="shared" si="17"/>
        <v>0000000</v>
      </c>
      <c r="D203" s="26" t="s">
        <v>3663</v>
      </c>
      <c r="E203" s="25" t="s">
        <v>2898</v>
      </c>
      <c r="F203" s="25" t="s">
        <v>2886</v>
      </c>
      <c r="G203" s="59" t="s">
        <v>2899</v>
      </c>
      <c r="H203" s="60">
        <v>203.39</v>
      </c>
      <c r="I203" s="60">
        <v>163.89</v>
      </c>
      <c r="J203" s="60">
        <v>212.71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  <c r="AG203" s="60">
        <v>0</v>
      </c>
      <c r="AH203" s="60">
        <v>0</v>
      </c>
      <c r="AI203" s="60">
        <v>203.39</v>
      </c>
      <c r="AJ203" s="60">
        <v>163.89</v>
      </c>
      <c r="AK203" s="60">
        <v>212.71</v>
      </c>
      <c r="AL203" s="60">
        <v>0</v>
      </c>
      <c r="AM203" s="60">
        <v>0</v>
      </c>
      <c r="AN203" s="60">
        <v>0</v>
      </c>
      <c r="AO203" s="60">
        <v>203.39</v>
      </c>
      <c r="AP203" s="60">
        <v>163.89</v>
      </c>
      <c r="AQ203" s="60">
        <v>212.71</v>
      </c>
      <c r="AR203" s="61">
        <v>212.71</v>
      </c>
    </row>
    <row r="204" spans="1:44" x14ac:dyDescent="0.35">
      <c r="A204" s="49" t="str">
        <f t="shared" si="16"/>
        <v>45</v>
      </c>
      <c r="B204" s="27">
        <v>69872</v>
      </c>
      <c r="C204" s="25" t="str">
        <f t="shared" si="17"/>
        <v>0000000</v>
      </c>
      <c r="D204" s="26" t="s">
        <v>3663</v>
      </c>
      <c r="E204" s="25" t="s">
        <v>2896</v>
      </c>
      <c r="F204" s="25" t="s">
        <v>2886</v>
      </c>
      <c r="G204" s="59" t="s">
        <v>2897</v>
      </c>
      <c r="H204" s="60">
        <v>304.10000000000002</v>
      </c>
      <c r="I204" s="60">
        <v>287.2</v>
      </c>
      <c r="J204" s="60">
        <v>335.98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  <c r="AG204" s="60">
        <v>0</v>
      </c>
      <c r="AH204" s="60">
        <v>0</v>
      </c>
      <c r="AI204" s="60">
        <v>304.10000000000002</v>
      </c>
      <c r="AJ204" s="60">
        <v>287.2</v>
      </c>
      <c r="AK204" s="60">
        <v>335.98</v>
      </c>
      <c r="AL204" s="60">
        <v>0</v>
      </c>
      <c r="AM204" s="60">
        <v>0</v>
      </c>
      <c r="AN204" s="60">
        <v>0</v>
      </c>
      <c r="AO204" s="60">
        <v>304.10000000000002</v>
      </c>
      <c r="AP204" s="60">
        <v>287.2</v>
      </c>
      <c r="AQ204" s="60">
        <v>335.98</v>
      </c>
      <c r="AR204" s="61">
        <v>335.98</v>
      </c>
    </row>
    <row r="205" spans="1:44" x14ac:dyDescent="0.35">
      <c r="A205" s="49" t="str">
        <f t="shared" si="16"/>
        <v>45</v>
      </c>
      <c r="B205" s="27">
        <v>69922</v>
      </c>
      <c r="C205" s="25" t="str">
        <f t="shared" si="17"/>
        <v>0000000</v>
      </c>
      <c r="D205" s="26" t="s">
        <v>3663</v>
      </c>
      <c r="E205" s="25" t="s">
        <v>2902</v>
      </c>
      <c r="F205" s="25" t="s">
        <v>2886</v>
      </c>
      <c r="G205" s="59" t="s">
        <v>2903</v>
      </c>
      <c r="H205" s="60">
        <v>32.86</v>
      </c>
      <c r="I205" s="60">
        <v>44.83</v>
      </c>
      <c r="J205" s="60">
        <v>62.17</v>
      </c>
      <c r="K205" s="60">
        <v>0</v>
      </c>
      <c r="L205" s="60">
        <v>0</v>
      </c>
      <c r="M205" s="60">
        <v>0</v>
      </c>
      <c r="N205" s="60">
        <v>0</v>
      </c>
      <c r="O205" s="60">
        <v>0</v>
      </c>
      <c r="P205" s="60">
        <v>0</v>
      </c>
      <c r="Q205" s="60">
        <v>0</v>
      </c>
      <c r="R205" s="60">
        <v>0</v>
      </c>
      <c r="S205" s="60">
        <v>0</v>
      </c>
      <c r="T205" s="60">
        <v>0</v>
      </c>
      <c r="U205" s="60">
        <v>0</v>
      </c>
      <c r="V205" s="60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0">
        <v>0</v>
      </c>
      <c r="AE205" s="60">
        <v>0</v>
      </c>
      <c r="AF205" s="60">
        <v>0</v>
      </c>
      <c r="AG205" s="60">
        <v>0</v>
      </c>
      <c r="AH205" s="60">
        <v>0</v>
      </c>
      <c r="AI205" s="60">
        <v>32.86</v>
      </c>
      <c r="AJ205" s="60">
        <v>44.83</v>
      </c>
      <c r="AK205" s="60">
        <v>62.17</v>
      </c>
      <c r="AL205" s="60">
        <v>0</v>
      </c>
      <c r="AM205" s="60">
        <v>0</v>
      </c>
      <c r="AN205" s="60">
        <v>0</v>
      </c>
      <c r="AO205" s="60">
        <v>32.86</v>
      </c>
      <c r="AP205" s="60">
        <v>44.83</v>
      </c>
      <c r="AQ205" s="60">
        <v>62.17</v>
      </c>
      <c r="AR205" s="61">
        <v>62.17</v>
      </c>
    </row>
    <row r="206" spans="1:44" x14ac:dyDescent="0.35">
      <c r="A206" s="49" t="str">
        <f t="shared" si="16"/>
        <v>45</v>
      </c>
      <c r="B206" s="27">
        <v>69997</v>
      </c>
      <c r="C206" s="25" t="str">
        <f t="shared" si="17"/>
        <v>0000000</v>
      </c>
      <c r="D206" s="26" t="s">
        <v>3663</v>
      </c>
      <c r="E206" s="25" t="s">
        <v>2920</v>
      </c>
      <c r="F206" s="25" t="s">
        <v>2886</v>
      </c>
      <c r="G206" s="59" t="s">
        <v>2921</v>
      </c>
      <c r="H206" s="60">
        <v>18.61</v>
      </c>
      <c r="I206" s="60">
        <v>25.02</v>
      </c>
      <c r="J206" s="60">
        <v>24.21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60">
        <v>0</v>
      </c>
      <c r="AG206" s="60">
        <v>0</v>
      </c>
      <c r="AH206" s="60">
        <v>0</v>
      </c>
      <c r="AI206" s="60">
        <v>18.61</v>
      </c>
      <c r="AJ206" s="60">
        <v>25.02</v>
      </c>
      <c r="AK206" s="60">
        <v>24.21</v>
      </c>
      <c r="AL206" s="60">
        <v>0</v>
      </c>
      <c r="AM206" s="60">
        <v>0</v>
      </c>
      <c r="AN206" s="60">
        <v>0</v>
      </c>
      <c r="AO206" s="60">
        <v>18.61</v>
      </c>
      <c r="AP206" s="60">
        <v>25.02</v>
      </c>
      <c r="AQ206" s="60">
        <v>24.21</v>
      </c>
      <c r="AR206" s="61">
        <v>25.02</v>
      </c>
    </row>
    <row r="207" spans="1:44" x14ac:dyDescent="0.35">
      <c r="A207" s="49" t="str">
        <f t="shared" si="16"/>
        <v>45</v>
      </c>
      <c r="B207" s="27">
        <v>70011</v>
      </c>
      <c r="C207" s="25" t="str">
        <f t="shared" si="17"/>
        <v>0000000</v>
      </c>
      <c r="D207" s="26" t="s">
        <v>3663</v>
      </c>
      <c r="E207" s="25" t="s">
        <v>2924</v>
      </c>
      <c r="F207" s="25" t="s">
        <v>2886</v>
      </c>
      <c r="G207" s="59" t="s">
        <v>2925</v>
      </c>
      <c r="H207" s="60">
        <v>463.15</v>
      </c>
      <c r="I207" s="60">
        <v>444.37</v>
      </c>
      <c r="J207" s="60">
        <v>463.83</v>
      </c>
      <c r="K207" s="60">
        <v>0</v>
      </c>
      <c r="L207" s="60">
        <v>0</v>
      </c>
      <c r="M207" s="60">
        <v>0</v>
      </c>
      <c r="N207" s="60">
        <v>0</v>
      </c>
      <c r="O207" s="60">
        <v>0</v>
      </c>
      <c r="P207" s="60">
        <v>0</v>
      </c>
      <c r="Q207" s="60">
        <v>0</v>
      </c>
      <c r="R207" s="60">
        <v>0</v>
      </c>
      <c r="S207" s="60">
        <v>0</v>
      </c>
      <c r="T207" s="60">
        <v>0</v>
      </c>
      <c r="U207" s="60">
        <v>0</v>
      </c>
      <c r="V207" s="60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0">
        <v>0</v>
      </c>
      <c r="AE207" s="60">
        <v>0</v>
      </c>
      <c r="AF207" s="60">
        <v>0</v>
      </c>
      <c r="AG207" s="60">
        <v>0</v>
      </c>
      <c r="AH207" s="60">
        <v>0</v>
      </c>
      <c r="AI207" s="60">
        <v>463.15</v>
      </c>
      <c r="AJ207" s="60">
        <v>444.37</v>
      </c>
      <c r="AK207" s="60">
        <v>463.83</v>
      </c>
      <c r="AL207" s="60">
        <v>0</v>
      </c>
      <c r="AM207" s="60">
        <v>0</v>
      </c>
      <c r="AN207" s="60">
        <v>0</v>
      </c>
      <c r="AO207" s="60">
        <v>463.15</v>
      </c>
      <c r="AP207" s="60">
        <v>444.37</v>
      </c>
      <c r="AQ207" s="60">
        <v>463.83</v>
      </c>
      <c r="AR207" s="61">
        <v>463.83</v>
      </c>
    </row>
    <row r="208" spans="1:44" x14ac:dyDescent="0.35">
      <c r="A208" s="49" t="str">
        <f t="shared" si="16"/>
        <v>45</v>
      </c>
      <c r="B208" s="27">
        <v>70029</v>
      </c>
      <c r="C208" s="25" t="str">
        <f t="shared" si="17"/>
        <v>0000000</v>
      </c>
      <c r="D208" s="26" t="s">
        <v>3663</v>
      </c>
      <c r="E208" s="25" t="s">
        <v>2926</v>
      </c>
      <c r="F208" s="25" t="s">
        <v>2886</v>
      </c>
      <c r="G208" s="59" t="s">
        <v>2927</v>
      </c>
      <c r="H208" s="60">
        <v>30.05</v>
      </c>
      <c r="I208" s="60">
        <v>29.35</v>
      </c>
      <c r="J208" s="60">
        <v>32.950000000000003</v>
      </c>
      <c r="K208" s="60">
        <v>0</v>
      </c>
      <c r="L208" s="60">
        <v>0</v>
      </c>
      <c r="M208" s="60">
        <v>0</v>
      </c>
      <c r="N208" s="60">
        <v>0</v>
      </c>
      <c r="O208" s="60">
        <v>0</v>
      </c>
      <c r="P208" s="60">
        <v>0</v>
      </c>
      <c r="Q208" s="60">
        <v>0</v>
      </c>
      <c r="R208" s="60">
        <v>0</v>
      </c>
      <c r="S208" s="60">
        <v>0</v>
      </c>
      <c r="T208" s="60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0">
        <v>0</v>
      </c>
      <c r="AE208" s="60">
        <v>0</v>
      </c>
      <c r="AF208" s="60">
        <v>0</v>
      </c>
      <c r="AG208" s="60">
        <v>0</v>
      </c>
      <c r="AH208" s="60">
        <v>0</v>
      </c>
      <c r="AI208" s="60">
        <v>30.05</v>
      </c>
      <c r="AJ208" s="60">
        <v>29.35</v>
      </c>
      <c r="AK208" s="60">
        <v>32.950000000000003</v>
      </c>
      <c r="AL208" s="60">
        <v>0</v>
      </c>
      <c r="AM208" s="60">
        <v>0</v>
      </c>
      <c r="AN208" s="60">
        <v>0</v>
      </c>
      <c r="AO208" s="60">
        <v>30.05</v>
      </c>
      <c r="AP208" s="60">
        <v>29.35</v>
      </c>
      <c r="AQ208" s="60">
        <v>32.950000000000003</v>
      </c>
      <c r="AR208" s="61">
        <v>32.950000000000003</v>
      </c>
    </row>
    <row r="209" spans="1:44" x14ac:dyDescent="0.35">
      <c r="A209" s="49" t="str">
        <f t="shared" si="16"/>
        <v>45</v>
      </c>
      <c r="B209" s="27">
        <v>70052</v>
      </c>
      <c r="C209" s="25" t="str">
        <f t="shared" si="17"/>
        <v>0000000</v>
      </c>
      <c r="D209" s="26" t="s">
        <v>3663</v>
      </c>
      <c r="E209" s="25" t="s">
        <v>2930</v>
      </c>
      <c r="F209" s="25" t="s">
        <v>2886</v>
      </c>
      <c r="G209" s="59" t="s">
        <v>2931</v>
      </c>
      <c r="H209" s="60">
        <v>225.25</v>
      </c>
      <c r="I209" s="60">
        <v>218.77</v>
      </c>
      <c r="J209" s="60">
        <v>258.36</v>
      </c>
      <c r="K209" s="60">
        <v>0</v>
      </c>
      <c r="L209" s="60">
        <v>0</v>
      </c>
      <c r="M209" s="60">
        <v>0</v>
      </c>
      <c r="N209" s="60">
        <v>0</v>
      </c>
      <c r="O209" s="60">
        <v>0</v>
      </c>
      <c r="P209" s="60">
        <v>0</v>
      </c>
      <c r="Q209" s="60">
        <v>0</v>
      </c>
      <c r="R209" s="60">
        <v>0</v>
      </c>
      <c r="S209" s="60">
        <v>0</v>
      </c>
      <c r="T209" s="60">
        <v>0</v>
      </c>
      <c r="U209" s="60">
        <v>0</v>
      </c>
      <c r="V209" s="60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0">
        <v>0</v>
      </c>
      <c r="AE209" s="60">
        <v>0</v>
      </c>
      <c r="AF209" s="60">
        <v>0</v>
      </c>
      <c r="AG209" s="60">
        <v>0</v>
      </c>
      <c r="AH209" s="60">
        <v>0</v>
      </c>
      <c r="AI209" s="60">
        <v>225.25</v>
      </c>
      <c r="AJ209" s="60">
        <v>218.77</v>
      </c>
      <c r="AK209" s="60">
        <v>258.36</v>
      </c>
      <c r="AL209" s="60">
        <v>0</v>
      </c>
      <c r="AM209" s="60">
        <v>0</v>
      </c>
      <c r="AN209" s="60">
        <v>0</v>
      </c>
      <c r="AO209" s="60">
        <v>225.25</v>
      </c>
      <c r="AP209" s="60">
        <v>218.77</v>
      </c>
      <c r="AQ209" s="60">
        <v>258.36</v>
      </c>
      <c r="AR209" s="61">
        <v>258.36</v>
      </c>
    </row>
    <row r="210" spans="1:44" x14ac:dyDescent="0.35">
      <c r="A210" s="49" t="str">
        <f t="shared" si="16"/>
        <v>45</v>
      </c>
      <c r="B210" s="27">
        <v>70078</v>
      </c>
      <c r="C210" s="25" t="str">
        <f t="shared" si="17"/>
        <v>0000000</v>
      </c>
      <c r="D210" s="26" t="s">
        <v>3663</v>
      </c>
      <c r="E210" s="25" t="s">
        <v>2932</v>
      </c>
      <c r="F210" s="25" t="s">
        <v>2886</v>
      </c>
      <c r="G210" s="59" t="s">
        <v>2933</v>
      </c>
      <c r="H210" s="60">
        <v>241.31</v>
      </c>
      <c r="I210" s="60">
        <v>238.03</v>
      </c>
      <c r="J210" s="60">
        <v>248.73</v>
      </c>
      <c r="K210" s="60">
        <v>0</v>
      </c>
      <c r="L210" s="60">
        <v>0</v>
      </c>
      <c r="M210" s="60">
        <v>0</v>
      </c>
      <c r="N210" s="60">
        <v>0</v>
      </c>
      <c r="O210" s="60">
        <v>0</v>
      </c>
      <c r="P210" s="60">
        <v>0</v>
      </c>
      <c r="Q210" s="60">
        <v>0</v>
      </c>
      <c r="R210" s="60">
        <v>0</v>
      </c>
      <c r="S210" s="60">
        <v>0</v>
      </c>
      <c r="T210" s="60">
        <v>0</v>
      </c>
      <c r="U210" s="60">
        <v>0</v>
      </c>
      <c r="V210" s="60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0">
        <v>0</v>
      </c>
      <c r="AE210" s="60">
        <v>0</v>
      </c>
      <c r="AF210" s="60">
        <v>0</v>
      </c>
      <c r="AG210" s="60">
        <v>0</v>
      </c>
      <c r="AH210" s="60">
        <v>0</v>
      </c>
      <c r="AI210" s="60">
        <v>241.31</v>
      </c>
      <c r="AJ210" s="60">
        <v>238.03</v>
      </c>
      <c r="AK210" s="60">
        <v>248.73</v>
      </c>
      <c r="AL210" s="60">
        <v>0</v>
      </c>
      <c r="AM210" s="60">
        <v>0</v>
      </c>
      <c r="AN210" s="60">
        <v>0</v>
      </c>
      <c r="AO210" s="60">
        <v>241.31</v>
      </c>
      <c r="AP210" s="60">
        <v>238.03</v>
      </c>
      <c r="AQ210" s="60">
        <v>248.73</v>
      </c>
      <c r="AR210" s="61">
        <v>248.73</v>
      </c>
    </row>
    <row r="211" spans="1:44" x14ac:dyDescent="0.35">
      <c r="A211" s="49" t="str">
        <f t="shared" si="16"/>
        <v>45</v>
      </c>
      <c r="B211" s="27">
        <v>70086</v>
      </c>
      <c r="C211" s="25" t="str">
        <f t="shared" si="17"/>
        <v>0000000</v>
      </c>
      <c r="D211" s="26" t="s">
        <v>3663</v>
      </c>
      <c r="E211" s="25" t="s">
        <v>2934</v>
      </c>
      <c r="F211" s="25" t="s">
        <v>2886</v>
      </c>
      <c r="G211" s="59" t="s">
        <v>2935</v>
      </c>
      <c r="H211" s="60">
        <v>46.93</v>
      </c>
      <c r="I211" s="60">
        <v>51.88</v>
      </c>
      <c r="J211" s="60">
        <v>47.63</v>
      </c>
      <c r="K211" s="60">
        <v>0</v>
      </c>
      <c r="L211" s="60">
        <v>0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60">
        <v>0</v>
      </c>
      <c r="T211" s="60">
        <v>0</v>
      </c>
      <c r="U211" s="60">
        <v>0</v>
      </c>
      <c r="V211" s="60">
        <v>0</v>
      </c>
      <c r="W211" s="60">
        <v>0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v>0</v>
      </c>
      <c r="AD211" s="60">
        <v>0</v>
      </c>
      <c r="AE211" s="60">
        <v>0</v>
      </c>
      <c r="AF211" s="60">
        <v>0</v>
      </c>
      <c r="AG211" s="60">
        <v>0</v>
      </c>
      <c r="AH211" s="60">
        <v>0</v>
      </c>
      <c r="AI211" s="60">
        <v>46.93</v>
      </c>
      <c r="AJ211" s="60">
        <v>51.88</v>
      </c>
      <c r="AK211" s="60">
        <v>47.63</v>
      </c>
      <c r="AL211" s="60">
        <v>0</v>
      </c>
      <c r="AM211" s="60">
        <v>0</v>
      </c>
      <c r="AN211" s="60">
        <v>0</v>
      </c>
      <c r="AO211" s="60">
        <v>46.93</v>
      </c>
      <c r="AP211" s="60">
        <v>51.88</v>
      </c>
      <c r="AQ211" s="60">
        <v>47.63</v>
      </c>
      <c r="AR211" s="61">
        <v>51.88</v>
      </c>
    </row>
    <row r="212" spans="1:44" x14ac:dyDescent="0.35">
      <c r="A212" s="49" t="str">
        <f t="shared" si="16"/>
        <v>45</v>
      </c>
      <c r="B212" s="27">
        <v>70128</v>
      </c>
      <c r="C212" s="25" t="str">
        <f t="shared" si="17"/>
        <v>0000000</v>
      </c>
      <c r="D212" s="26" t="s">
        <v>3663</v>
      </c>
      <c r="E212" s="25" t="s">
        <v>2943</v>
      </c>
      <c r="F212" s="25" t="s">
        <v>2886</v>
      </c>
      <c r="G212" s="59" t="s">
        <v>2944</v>
      </c>
      <c r="H212" s="60">
        <v>81.489999999999995</v>
      </c>
      <c r="I212" s="60">
        <v>92.41</v>
      </c>
      <c r="J212" s="60">
        <v>137.19</v>
      </c>
      <c r="K212" s="60">
        <v>0</v>
      </c>
      <c r="L212" s="60">
        <v>0</v>
      </c>
      <c r="M212" s="60">
        <v>0</v>
      </c>
      <c r="N212" s="60">
        <v>0</v>
      </c>
      <c r="O212" s="60">
        <v>0</v>
      </c>
      <c r="P212" s="60">
        <v>0</v>
      </c>
      <c r="Q212" s="60">
        <v>0</v>
      </c>
      <c r="R212" s="60">
        <v>0</v>
      </c>
      <c r="S212" s="60">
        <v>0</v>
      </c>
      <c r="T212" s="60">
        <v>0</v>
      </c>
      <c r="U212" s="60">
        <v>0</v>
      </c>
      <c r="V212" s="60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0">
        <v>0</v>
      </c>
      <c r="AE212" s="60">
        <v>0</v>
      </c>
      <c r="AF212" s="60">
        <v>0</v>
      </c>
      <c r="AG212" s="60">
        <v>0</v>
      </c>
      <c r="AH212" s="60">
        <v>0</v>
      </c>
      <c r="AI212" s="60">
        <v>81.489999999999995</v>
      </c>
      <c r="AJ212" s="60">
        <v>92.41</v>
      </c>
      <c r="AK212" s="60">
        <v>137.19</v>
      </c>
      <c r="AL212" s="60">
        <v>0</v>
      </c>
      <c r="AM212" s="60">
        <v>0</v>
      </c>
      <c r="AN212" s="60">
        <v>0</v>
      </c>
      <c r="AO212" s="60">
        <v>81.489999999999995</v>
      </c>
      <c r="AP212" s="60">
        <v>92.41</v>
      </c>
      <c r="AQ212" s="60">
        <v>137.19</v>
      </c>
      <c r="AR212" s="61">
        <v>137.19</v>
      </c>
    </row>
    <row r="213" spans="1:44" x14ac:dyDescent="0.35">
      <c r="A213" s="49" t="str">
        <f t="shared" si="16"/>
        <v>45</v>
      </c>
      <c r="B213" s="27">
        <v>70169</v>
      </c>
      <c r="C213" s="25" t="str">
        <f t="shared" si="17"/>
        <v>0000000</v>
      </c>
      <c r="D213" s="26" t="s">
        <v>3663</v>
      </c>
      <c r="E213" s="25" t="s">
        <v>2950</v>
      </c>
      <c r="F213" s="25" t="s">
        <v>2886</v>
      </c>
      <c r="G213" s="59" t="s">
        <v>2951</v>
      </c>
      <c r="H213" s="60">
        <v>60.99</v>
      </c>
      <c r="I213" s="60">
        <v>43.04</v>
      </c>
      <c r="J213" s="60">
        <v>45.15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0">
        <v>0</v>
      </c>
      <c r="U213" s="60">
        <v>0</v>
      </c>
      <c r="V213" s="60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0">
        <v>0</v>
      </c>
      <c r="AE213" s="60">
        <v>0</v>
      </c>
      <c r="AF213" s="60">
        <v>0</v>
      </c>
      <c r="AG213" s="60">
        <v>0</v>
      </c>
      <c r="AH213" s="60">
        <v>0</v>
      </c>
      <c r="AI213" s="60">
        <v>60.99</v>
      </c>
      <c r="AJ213" s="60">
        <v>43.04</v>
      </c>
      <c r="AK213" s="60">
        <v>45.15</v>
      </c>
      <c r="AL213" s="60">
        <v>0</v>
      </c>
      <c r="AM213" s="60">
        <v>0</v>
      </c>
      <c r="AN213" s="60">
        <v>0</v>
      </c>
      <c r="AO213" s="60">
        <v>60.99</v>
      </c>
      <c r="AP213" s="60">
        <v>43.04</v>
      </c>
      <c r="AQ213" s="60">
        <v>45.15</v>
      </c>
      <c r="AR213" s="61">
        <v>60.99</v>
      </c>
    </row>
    <row r="214" spans="1:44" x14ac:dyDescent="0.35">
      <c r="A214" s="49" t="str">
        <f t="shared" si="16"/>
        <v>45</v>
      </c>
      <c r="B214" s="27">
        <v>73700</v>
      </c>
      <c r="C214" s="25" t="str">
        <f t="shared" si="17"/>
        <v>0000000</v>
      </c>
      <c r="D214" s="26" t="s">
        <v>3663</v>
      </c>
      <c r="E214" s="25" t="s">
        <v>2952</v>
      </c>
      <c r="F214" s="25" t="s">
        <v>2886</v>
      </c>
      <c r="G214" s="59" t="s">
        <v>2953</v>
      </c>
      <c r="H214" s="60">
        <v>68.06</v>
      </c>
      <c r="I214" s="60">
        <v>84.45</v>
      </c>
      <c r="J214" s="60">
        <v>81.92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0</v>
      </c>
      <c r="AD214" s="60">
        <v>0</v>
      </c>
      <c r="AE214" s="60">
        <v>0</v>
      </c>
      <c r="AF214" s="60">
        <v>0</v>
      </c>
      <c r="AG214" s="60">
        <v>0</v>
      </c>
      <c r="AH214" s="60">
        <v>0</v>
      </c>
      <c r="AI214" s="60">
        <v>68.06</v>
      </c>
      <c r="AJ214" s="60">
        <v>84.45</v>
      </c>
      <c r="AK214" s="60">
        <v>81.92</v>
      </c>
      <c r="AL214" s="60">
        <v>0</v>
      </c>
      <c r="AM214" s="60">
        <v>0</v>
      </c>
      <c r="AN214" s="60">
        <v>0</v>
      </c>
      <c r="AO214" s="60">
        <v>68.06</v>
      </c>
      <c r="AP214" s="60">
        <v>84.45</v>
      </c>
      <c r="AQ214" s="60">
        <v>81.92</v>
      </c>
      <c r="AR214" s="61">
        <v>84.45</v>
      </c>
    </row>
    <row r="215" spans="1:44" x14ac:dyDescent="0.35">
      <c r="A215" s="49" t="str">
        <f t="shared" si="16"/>
        <v>45</v>
      </c>
      <c r="B215" s="27">
        <v>75267</v>
      </c>
      <c r="C215" s="25" t="str">
        <f>TEXT(113407,"0000000")</f>
        <v>0113407</v>
      </c>
      <c r="D215" s="26" t="s">
        <v>2958</v>
      </c>
      <c r="E215" s="25" t="s">
        <v>2956</v>
      </c>
      <c r="F215" s="25" t="s">
        <v>2886</v>
      </c>
      <c r="G215" s="59" t="s">
        <v>2957</v>
      </c>
      <c r="H215" s="60">
        <v>0</v>
      </c>
      <c r="I215" s="60">
        <v>0</v>
      </c>
      <c r="J215" s="60">
        <v>0</v>
      </c>
      <c r="K215" s="60">
        <v>0</v>
      </c>
      <c r="L215" s="60">
        <v>0</v>
      </c>
      <c r="M215" s="60">
        <v>0</v>
      </c>
      <c r="N215" s="60">
        <v>0</v>
      </c>
      <c r="O215" s="60">
        <v>0</v>
      </c>
      <c r="P215" s="60">
        <v>0</v>
      </c>
      <c r="Q215" s="60">
        <v>0</v>
      </c>
      <c r="R215" s="60">
        <v>0</v>
      </c>
      <c r="S215" s="60">
        <v>0</v>
      </c>
      <c r="T215" s="60">
        <v>0</v>
      </c>
      <c r="U215" s="60">
        <v>0</v>
      </c>
      <c r="V215" s="60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60">
        <v>0</v>
      </c>
      <c r="AC215" s="60">
        <v>151.61000000000001</v>
      </c>
      <c r="AD215" s="60">
        <v>132.99</v>
      </c>
      <c r="AE215" s="60">
        <v>154.72999999999999</v>
      </c>
      <c r="AF215" s="60">
        <v>0</v>
      </c>
      <c r="AG215" s="60">
        <v>0</v>
      </c>
      <c r="AH215" s="60">
        <v>0</v>
      </c>
      <c r="AI215" s="60">
        <v>151.61000000000001</v>
      </c>
      <c r="AJ215" s="60">
        <v>132.99</v>
      </c>
      <c r="AK215" s="60">
        <v>154.72999999999999</v>
      </c>
      <c r="AL215" s="60">
        <v>0</v>
      </c>
      <c r="AM215" s="60">
        <v>0</v>
      </c>
      <c r="AN215" s="60">
        <v>0</v>
      </c>
      <c r="AO215" s="60">
        <v>151.61000000000001</v>
      </c>
      <c r="AP215" s="60">
        <v>132.99</v>
      </c>
      <c r="AQ215" s="60">
        <v>154.72999999999999</v>
      </c>
      <c r="AR215" s="61">
        <v>154.72999999999999</v>
      </c>
    </row>
    <row r="216" spans="1:44" x14ac:dyDescent="0.35">
      <c r="A216" s="49" t="str">
        <f t="shared" si="16"/>
        <v>45</v>
      </c>
      <c r="B216" s="27">
        <v>69955</v>
      </c>
      <c r="C216" s="25" t="str">
        <f>TEXT(121640,"0000000")</f>
        <v>0121640</v>
      </c>
      <c r="D216" s="27">
        <v>1183</v>
      </c>
      <c r="E216" s="25" t="s">
        <v>2914</v>
      </c>
      <c r="F216" s="25" t="s">
        <v>2886</v>
      </c>
      <c r="G216" s="59" t="s">
        <v>2915</v>
      </c>
      <c r="H216" s="60">
        <v>0</v>
      </c>
      <c r="I216" s="60">
        <v>0</v>
      </c>
      <c r="J216" s="60">
        <v>0</v>
      </c>
      <c r="K216" s="60">
        <v>0</v>
      </c>
      <c r="L216" s="60">
        <v>0</v>
      </c>
      <c r="M216" s="60">
        <v>0</v>
      </c>
      <c r="N216" s="60">
        <v>0</v>
      </c>
      <c r="O216" s="60">
        <v>0</v>
      </c>
      <c r="P216" s="60">
        <v>0</v>
      </c>
      <c r="Q216" s="60">
        <v>0</v>
      </c>
      <c r="R216" s="60">
        <v>0</v>
      </c>
      <c r="S216" s="60">
        <v>0</v>
      </c>
      <c r="T216" s="60">
        <v>0</v>
      </c>
      <c r="U216" s="60">
        <v>0</v>
      </c>
      <c r="V216" s="60">
        <v>0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60">
        <v>0</v>
      </c>
      <c r="AC216" s="60">
        <v>258.18</v>
      </c>
      <c r="AD216" s="60">
        <v>248.16</v>
      </c>
      <c r="AE216" s="60">
        <v>225.53</v>
      </c>
      <c r="AF216" s="60">
        <v>0</v>
      </c>
      <c r="AG216" s="60">
        <v>0</v>
      </c>
      <c r="AH216" s="60">
        <v>0</v>
      </c>
      <c r="AI216" s="60">
        <v>258.18</v>
      </c>
      <c r="AJ216" s="60">
        <v>248.16</v>
      </c>
      <c r="AK216" s="60">
        <v>225.53</v>
      </c>
      <c r="AL216" s="60">
        <v>0</v>
      </c>
      <c r="AM216" s="60">
        <v>0</v>
      </c>
      <c r="AN216" s="60">
        <v>0</v>
      </c>
      <c r="AO216" s="60">
        <v>258.18</v>
      </c>
      <c r="AP216" s="60">
        <v>248.16</v>
      </c>
      <c r="AQ216" s="60">
        <v>225.53</v>
      </c>
      <c r="AR216" s="61">
        <v>258.18</v>
      </c>
    </row>
    <row r="217" spans="1:44" x14ac:dyDescent="0.35">
      <c r="A217" s="49" t="str">
        <f t="shared" si="16"/>
        <v>45</v>
      </c>
      <c r="B217" s="27">
        <v>10454</v>
      </c>
      <c r="C217" s="25" t="str">
        <f>TEXT(129957,"0000000")</f>
        <v>0129957</v>
      </c>
      <c r="D217" s="27">
        <v>2076</v>
      </c>
      <c r="E217" s="25" t="s">
        <v>2890</v>
      </c>
      <c r="F217" s="25" t="s">
        <v>2886</v>
      </c>
      <c r="G217" s="59" t="s">
        <v>2891</v>
      </c>
      <c r="H217" s="60">
        <v>0</v>
      </c>
      <c r="I217" s="60">
        <v>0</v>
      </c>
      <c r="J217" s="60">
        <v>0</v>
      </c>
      <c r="K217" s="60">
        <v>0</v>
      </c>
      <c r="L217" s="60">
        <v>0</v>
      </c>
      <c r="M217" s="60">
        <v>0</v>
      </c>
      <c r="N217" s="60">
        <v>0</v>
      </c>
      <c r="O217" s="60">
        <v>0</v>
      </c>
      <c r="P217" s="60">
        <v>0</v>
      </c>
      <c r="Q217" s="60">
        <v>0</v>
      </c>
      <c r="R217" s="60">
        <v>0</v>
      </c>
      <c r="S217" s="60">
        <v>0</v>
      </c>
      <c r="T217" s="60">
        <v>0</v>
      </c>
      <c r="U217" s="60">
        <v>0</v>
      </c>
      <c r="V217" s="60">
        <v>0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60">
        <v>0</v>
      </c>
      <c r="AC217" s="60">
        <v>188.51</v>
      </c>
      <c r="AD217" s="60">
        <v>179.09</v>
      </c>
      <c r="AE217" s="60">
        <v>166.7</v>
      </c>
      <c r="AF217" s="60">
        <v>0</v>
      </c>
      <c r="AG217" s="60">
        <v>0</v>
      </c>
      <c r="AH217" s="60">
        <v>0</v>
      </c>
      <c r="AI217" s="60">
        <v>188.51</v>
      </c>
      <c r="AJ217" s="60">
        <v>179.09</v>
      </c>
      <c r="AK217" s="60">
        <v>166.7</v>
      </c>
      <c r="AL217" s="60">
        <v>0</v>
      </c>
      <c r="AM217" s="60">
        <v>0</v>
      </c>
      <c r="AN217" s="60">
        <v>0</v>
      </c>
      <c r="AO217" s="60">
        <v>188.51</v>
      </c>
      <c r="AP217" s="60">
        <v>179.09</v>
      </c>
      <c r="AQ217" s="60">
        <v>166.7</v>
      </c>
      <c r="AR217" s="61">
        <v>188.51</v>
      </c>
    </row>
    <row r="218" spans="1:44" x14ac:dyDescent="0.35">
      <c r="A218" s="49" t="str">
        <f t="shared" si="16"/>
        <v>45</v>
      </c>
      <c r="B218" s="27">
        <v>70110</v>
      </c>
      <c r="C218" s="25" t="str">
        <f>TEXT(6117931,"0000000")</f>
        <v>6117931</v>
      </c>
      <c r="D218" s="26" t="s">
        <v>2942</v>
      </c>
      <c r="E218" s="25" t="s">
        <v>2940</v>
      </c>
      <c r="F218" s="25" t="s">
        <v>2886</v>
      </c>
      <c r="G218" s="59" t="s">
        <v>2941</v>
      </c>
      <c r="H218" s="60">
        <v>0</v>
      </c>
      <c r="I218" s="60">
        <v>0</v>
      </c>
      <c r="J218" s="60">
        <v>0</v>
      </c>
      <c r="K218" s="60">
        <v>0</v>
      </c>
      <c r="L218" s="60">
        <v>0</v>
      </c>
      <c r="M218" s="60">
        <v>0</v>
      </c>
      <c r="N218" s="60">
        <v>0</v>
      </c>
      <c r="O218" s="60">
        <v>0</v>
      </c>
      <c r="P218" s="60">
        <v>0</v>
      </c>
      <c r="Q218" s="60">
        <v>0</v>
      </c>
      <c r="R218" s="60">
        <v>0</v>
      </c>
      <c r="S218" s="60">
        <v>0</v>
      </c>
      <c r="T218" s="60">
        <v>0</v>
      </c>
      <c r="U218" s="60">
        <v>0</v>
      </c>
      <c r="V218" s="60">
        <v>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84.29</v>
      </c>
      <c r="AD218" s="60">
        <v>0</v>
      </c>
      <c r="AE218" s="60">
        <v>0</v>
      </c>
      <c r="AF218" s="60">
        <v>0</v>
      </c>
      <c r="AG218" s="60">
        <v>0</v>
      </c>
      <c r="AH218" s="60">
        <v>0</v>
      </c>
      <c r="AI218" s="60">
        <v>84.29</v>
      </c>
      <c r="AJ218" s="60">
        <v>0</v>
      </c>
      <c r="AK218" s="60">
        <v>0</v>
      </c>
      <c r="AL218" s="60">
        <v>0</v>
      </c>
      <c r="AM218" s="60">
        <v>83.33</v>
      </c>
      <c r="AN218" s="60">
        <v>98.19</v>
      </c>
      <c r="AO218" s="60">
        <v>84.29</v>
      </c>
      <c r="AP218" s="60">
        <v>83.33</v>
      </c>
      <c r="AQ218" s="60">
        <v>98.19</v>
      </c>
      <c r="AR218" s="61">
        <v>98.19</v>
      </c>
    </row>
    <row r="219" spans="1:44" x14ac:dyDescent="0.35">
      <c r="A219" s="49" t="str">
        <f>TEXT(33,"00")</f>
        <v>33</v>
      </c>
      <c r="B219" s="27">
        <v>75192</v>
      </c>
      <c r="C219" s="25" t="str">
        <f t="shared" ref="C219:C252" si="18">TEXT(,"0000000")</f>
        <v>0000000</v>
      </c>
      <c r="D219" s="26" t="s">
        <v>3663</v>
      </c>
      <c r="E219" s="25" t="s">
        <v>1775</v>
      </c>
      <c r="F219" s="25" t="s">
        <v>1776</v>
      </c>
      <c r="G219" s="59" t="s">
        <v>1776</v>
      </c>
      <c r="H219" s="60">
        <v>24619.599999999999</v>
      </c>
      <c r="I219" s="60">
        <v>24318.03</v>
      </c>
      <c r="J219" s="60">
        <v>26736.09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  <c r="AG219" s="60">
        <v>0</v>
      </c>
      <c r="AH219" s="60">
        <v>0</v>
      </c>
      <c r="AI219" s="60">
        <v>24619.599999999999</v>
      </c>
      <c r="AJ219" s="60">
        <v>24318.03</v>
      </c>
      <c r="AK219" s="60">
        <v>26736.09</v>
      </c>
      <c r="AL219" s="60">
        <v>0</v>
      </c>
      <c r="AM219" s="60">
        <v>0</v>
      </c>
      <c r="AN219" s="60">
        <v>0</v>
      </c>
      <c r="AO219" s="60">
        <v>24619.599999999999</v>
      </c>
      <c r="AP219" s="60">
        <v>24318.03</v>
      </c>
      <c r="AQ219" s="60">
        <v>26736.09</v>
      </c>
      <c r="AR219" s="61">
        <v>26736.09</v>
      </c>
    </row>
    <row r="220" spans="1:44" x14ac:dyDescent="0.35">
      <c r="A220" s="49" t="str">
        <f t="shared" ref="A220:A232" si="19">TEXT(23,"00")</f>
        <v>23</v>
      </c>
      <c r="B220" s="27">
        <v>10231</v>
      </c>
      <c r="C220" s="25" t="str">
        <f t="shared" si="18"/>
        <v>0000000</v>
      </c>
      <c r="D220" s="26" t="s">
        <v>3663</v>
      </c>
      <c r="E220" s="25" t="s">
        <v>1294</v>
      </c>
      <c r="F220" s="25" t="s">
        <v>1295</v>
      </c>
      <c r="G220" s="59" t="s">
        <v>1295</v>
      </c>
      <c r="H220" s="60">
        <v>0</v>
      </c>
      <c r="I220" s="60">
        <v>0</v>
      </c>
      <c r="J220" s="60">
        <v>0</v>
      </c>
      <c r="K220" s="60">
        <v>0</v>
      </c>
      <c r="L220" s="60">
        <v>0</v>
      </c>
      <c r="M220" s="60">
        <v>0</v>
      </c>
      <c r="N220" s="60">
        <v>0</v>
      </c>
      <c r="O220" s="60">
        <v>0</v>
      </c>
      <c r="P220" s="60">
        <v>0</v>
      </c>
      <c r="Q220" s="60">
        <v>0</v>
      </c>
      <c r="R220" s="60">
        <v>0</v>
      </c>
      <c r="S220" s="60">
        <v>0</v>
      </c>
      <c r="T220" s="60">
        <v>23.06</v>
      </c>
      <c r="U220" s="60">
        <v>15.75</v>
      </c>
      <c r="V220" s="60">
        <v>34.82</v>
      </c>
      <c r="W220" s="60">
        <v>50.69</v>
      </c>
      <c r="X220" s="60">
        <v>53.43</v>
      </c>
      <c r="Y220" s="60">
        <v>75.3</v>
      </c>
      <c r="Z220" s="60">
        <v>0</v>
      </c>
      <c r="AA220" s="60">
        <v>0</v>
      </c>
      <c r="AB220" s="60">
        <v>0</v>
      </c>
      <c r="AC220" s="60">
        <v>0</v>
      </c>
      <c r="AD220" s="60">
        <v>0</v>
      </c>
      <c r="AE220" s="60">
        <v>0</v>
      </c>
      <c r="AF220" s="60">
        <v>0</v>
      </c>
      <c r="AG220" s="60">
        <v>0</v>
      </c>
      <c r="AH220" s="60">
        <v>0</v>
      </c>
      <c r="AI220" s="60">
        <v>73.75</v>
      </c>
      <c r="AJ220" s="60">
        <v>69.180000000000007</v>
      </c>
      <c r="AK220" s="60">
        <v>110.12</v>
      </c>
      <c r="AL220" s="60">
        <v>0</v>
      </c>
      <c r="AM220" s="60">
        <v>0</v>
      </c>
      <c r="AN220" s="60">
        <v>0</v>
      </c>
      <c r="AO220" s="60">
        <v>73.75</v>
      </c>
      <c r="AP220" s="60">
        <v>69.180000000000007</v>
      </c>
      <c r="AQ220" s="60">
        <v>110.12</v>
      </c>
      <c r="AR220" s="61">
        <v>110.12</v>
      </c>
    </row>
    <row r="221" spans="1:44" x14ac:dyDescent="0.35">
      <c r="A221" s="49" t="str">
        <f t="shared" si="19"/>
        <v>23</v>
      </c>
      <c r="B221" s="27">
        <v>65540</v>
      </c>
      <c r="C221" s="25" t="str">
        <f t="shared" si="18"/>
        <v>0000000</v>
      </c>
      <c r="D221" s="26" t="s">
        <v>3663</v>
      </c>
      <c r="E221" s="25" t="s">
        <v>1296</v>
      </c>
      <c r="F221" s="25" t="s">
        <v>1295</v>
      </c>
      <c r="G221" s="59" t="s">
        <v>1297</v>
      </c>
      <c r="H221" s="60">
        <v>373.65</v>
      </c>
      <c r="I221" s="60">
        <v>395.28</v>
      </c>
      <c r="J221" s="60">
        <v>414.19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0</v>
      </c>
      <c r="S221" s="60">
        <v>0</v>
      </c>
      <c r="T221" s="60">
        <v>0</v>
      </c>
      <c r="U221" s="60">
        <v>0</v>
      </c>
      <c r="V221" s="60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0">
        <v>0</v>
      </c>
      <c r="AE221" s="60">
        <v>0</v>
      </c>
      <c r="AF221" s="60">
        <v>0</v>
      </c>
      <c r="AG221" s="60">
        <v>0</v>
      </c>
      <c r="AH221" s="60">
        <v>0</v>
      </c>
      <c r="AI221" s="60">
        <v>373.65</v>
      </c>
      <c r="AJ221" s="60">
        <v>395.28</v>
      </c>
      <c r="AK221" s="60">
        <v>414.19</v>
      </c>
      <c r="AL221" s="60">
        <v>0</v>
      </c>
      <c r="AM221" s="60">
        <v>0</v>
      </c>
      <c r="AN221" s="60">
        <v>0</v>
      </c>
      <c r="AO221" s="60">
        <v>373.65</v>
      </c>
      <c r="AP221" s="60">
        <v>395.28</v>
      </c>
      <c r="AQ221" s="60">
        <v>414.19</v>
      </c>
      <c r="AR221" s="61">
        <v>414.19</v>
      </c>
    </row>
    <row r="222" spans="1:44" x14ac:dyDescent="0.35">
      <c r="A222" s="49" t="str">
        <f t="shared" si="19"/>
        <v>23</v>
      </c>
      <c r="B222" s="27">
        <v>65557</v>
      </c>
      <c r="C222" s="25" t="str">
        <f t="shared" si="18"/>
        <v>0000000</v>
      </c>
      <c r="D222" s="26" t="s">
        <v>3663</v>
      </c>
      <c r="E222" s="25" t="s">
        <v>1298</v>
      </c>
      <c r="F222" s="25" t="s">
        <v>1295</v>
      </c>
      <c r="G222" s="59" t="s">
        <v>1299</v>
      </c>
      <c r="H222" s="60">
        <v>198.8</v>
      </c>
      <c r="I222" s="60">
        <v>186.51</v>
      </c>
      <c r="J222" s="60">
        <v>215.95</v>
      </c>
      <c r="K222" s="60">
        <v>0</v>
      </c>
      <c r="L222" s="60">
        <v>0</v>
      </c>
      <c r="M222" s="60">
        <v>0</v>
      </c>
      <c r="N222" s="60">
        <v>0</v>
      </c>
      <c r="O222" s="60">
        <v>0</v>
      </c>
      <c r="P222" s="60">
        <v>0</v>
      </c>
      <c r="Q222" s="60">
        <v>0</v>
      </c>
      <c r="R222" s="60">
        <v>0</v>
      </c>
      <c r="S222" s="60">
        <v>0</v>
      </c>
      <c r="T222" s="60">
        <v>0</v>
      </c>
      <c r="U222" s="60">
        <v>0</v>
      </c>
      <c r="V222" s="60">
        <v>0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60">
        <v>0</v>
      </c>
      <c r="AC222" s="60">
        <v>58.82</v>
      </c>
      <c r="AD222" s="60">
        <v>59.78</v>
      </c>
      <c r="AE222" s="60">
        <v>64.11</v>
      </c>
      <c r="AF222" s="60">
        <v>0</v>
      </c>
      <c r="AG222" s="60">
        <v>0</v>
      </c>
      <c r="AH222" s="60">
        <v>0</v>
      </c>
      <c r="AI222" s="60">
        <v>257.62</v>
      </c>
      <c r="AJ222" s="60">
        <v>246.29</v>
      </c>
      <c r="AK222" s="60">
        <v>280.06</v>
      </c>
      <c r="AL222" s="60">
        <v>0</v>
      </c>
      <c r="AM222" s="60">
        <v>0</v>
      </c>
      <c r="AN222" s="60">
        <v>0</v>
      </c>
      <c r="AO222" s="60">
        <v>257.62</v>
      </c>
      <c r="AP222" s="60">
        <v>246.29</v>
      </c>
      <c r="AQ222" s="60">
        <v>280.06</v>
      </c>
      <c r="AR222" s="61">
        <v>280.06</v>
      </c>
    </row>
    <row r="223" spans="1:44" x14ac:dyDescent="0.35">
      <c r="A223" s="49" t="str">
        <f t="shared" si="19"/>
        <v>23</v>
      </c>
      <c r="B223" s="27">
        <v>65565</v>
      </c>
      <c r="C223" s="25" t="str">
        <f t="shared" si="18"/>
        <v>0000000</v>
      </c>
      <c r="D223" s="26" t="s">
        <v>3663</v>
      </c>
      <c r="E223" s="25" t="s">
        <v>1300</v>
      </c>
      <c r="F223" s="25" t="s">
        <v>1295</v>
      </c>
      <c r="G223" s="59" t="s">
        <v>1301</v>
      </c>
      <c r="H223" s="60">
        <v>1522.12</v>
      </c>
      <c r="I223" s="60">
        <v>1515.69</v>
      </c>
      <c r="J223" s="60">
        <v>1700.71</v>
      </c>
      <c r="K223" s="60">
        <v>0</v>
      </c>
      <c r="L223" s="60">
        <v>0</v>
      </c>
      <c r="M223" s="60">
        <v>0</v>
      </c>
      <c r="N223" s="60">
        <v>0</v>
      </c>
      <c r="O223" s="60">
        <v>0</v>
      </c>
      <c r="P223" s="60">
        <v>0</v>
      </c>
      <c r="Q223" s="60">
        <v>0</v>
      </c>
      <c r="R223" s="60">
        <v>0</v>
      </c>
      <c r="S223" s="60">
        <v>0</v>
      </c>
      <c r="T223" s="60">
        <v>0</v>
      </c>
      <c r="U223" s="60">
        <v>0</v>
      </c>
      <c r="V223" s="60">
        <v>0</v>
      </c>
      <c r="W223" s="60">
        <v>0</v>
      </c>
      <c r="X223" s="60">
        <v>0</v>
      </c>
      <c r="Y223" s="60">
        <v>0</v>
      </c>
      <c r="Z223" s="60">
        <v>0</v>
      </c>
      <c r="AA223" s="60">
        <v>0</v>
      </c>
      <c r="AB223" s="60">
        <v>0</v>
      </c>
      <c r="AC223" s="60">
        <v>76.69</v>
      </c>
      <c r="AD223" s="60">
        <v>80.510000000000005</v>
      </c>
      <c r="AE223" s="60">
        <v>90.49</v>
      </c>
      <c r="AF223" s="60">
        <v>0</v>
      </c>
      <c r="AG223" s="60">
        <v>0</v>
      </c>
      <c r="AH223" s="60">
        <v>0</v>
      </c>
      <c r="AI223" s="60">
        <v>1598.81</v>
      </c>
      <c r="AJ223" s="60">
        <v>1596.2</v>
      </c>
      <c r="AK223" s="60">
        <v>1791.2</v>
      </c>
      <c r="AL223" s="60">
        <v>0</v>
      </c>
      <c r="AM223" s="60">
        <v>0</v>
      </c>
      <c r="AN223" s="60">
        <v>0</v>
      </c>
      <c r="AO223" s="60">
        <v>1598.81</v>
      </c>
      <c r="AP223" s="60">
        <v>1596.2</v>
      </c>
      <c r="AQ223" s="60">
        <v>1791.2</v>
      </c>
      <c r="AR223" s="61">
        <v>1791.2</v>
      </c>
    </row>
    <row r="224" spans="1:44" x14ac:dyDescent="0.35">
      <c r="A224" s="49" t="str">
        <f t="shared" si="19"/>
        <v>23</v>
      </c>
      <c r="B224" s="27">
        <v>65573</v>
      </c>
      <c r="C224" s="25" t="str">
        <f t="shared" si="18"/>
        <v>0000000</v>
      </c>
      <c r="D224" s="26" t="s">
        <v>3663</v>
      </c>
      <c r="E224" s="25" t="s">
        <v>1302</v>
      </c>
      <c r="F224" s="25" t="s">
        <v>1295</v>
      </c>
      <c r="G224" s="59" t="s">
        <v>1303</v>
      </c>
      <c r="H224" s="60">
        <v>31.04</v>
      </c>
      <c r="I224" s="60">
        <v>27.69</v>
      </c>
      <c r="J224" s="60">
        <v>41.79</v>
      </c>
      <c r="K224" s="60">
        <v>0</v>
      </c>
      <c r="L224" s="60">
        <v>0</v>
      </c>
      <c r="M224" s="60">
        <v>0</v>
      </c>
      <c r="N224" s="60">
        <v>0</v>
      </c>
      <c r="O224" s="60">
        <v>0</v>
      </c>
      <c r="P224" s="60">
        <v>0</v>
      </c>
      <c r="Q224" s="60">
        <v>0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0</v>
      </c>
      <c r="AD224" s="60">
        <v>0</v>
      </c>
      <c r="AE224" s="60">
        <v>0</v>
      </c>
      <c r="AF224" s="60">
        <v>0</v>
      </c>
      <c r="AG224" s="60">
        <v>0</v>
      </c>
      <c r="AH224" s="60">
        <v>0</v>
      </c>
      <c r="AI224" s="60">
        <v>31.04</v>
      </c>
      <c r="AJ224" s="60">
        <v>27.69</v>
      </c>
      <c r="AK224" s="60">
        <v>41.79</v>
      </c>
      <c r="AL224" s="60">
        <v>0</v>
      </c>
      <c r="AM224" s="60">
        <v>0</v>
      </c>
      <c r="AN224" s="60">
        <v>0</v>
      </c>
      <c r="AO224" s="60">
        <v>31.04</v>
      </c>
      <c r="AP224" s="60">
        <v>27.69</v>
      </c>
      <c r="AQ224" s="60">
        <v>41.79</v>
      </c>
      <c r="AR224" s="61">
        <v>41.79</v>
      </c>
    </row>
    <row r="225" spans="1:44" x14ac:dyDescent="0.35">
      <c r="A225" s="49" t="str">
        <f t="shared" si="19"/>
        <v>23</v>
      </c>
      <c r="B225" s="27">
        <v>65581</v>
      </c>
      <c r="C225" s="25" t="str">
        <f t="shared" si="18"/>
        <v>0000000</v>
      </c>
      <c r="D225" s="26" t="s">
        <v>3663</v>
      </c>
      <c r="E225" s="25" t="s">
        <v>1304</v>
      </c>
      <c r="F225" s="25" t="s">
        <v>1295</v>
      </c>
      <c r="G225" s="59" t="s">
        <v>1305</v>
      </c>
      <c r="H225" s="60">
        <v>366.52</v>
      </c>
      <c r="I225" s="60">
        <v>357.19</v>
      </c>
      <c r="J225" s="60">
        <v>421.98</v>
      </c>
      <c r="K225" s="60">
        <v>0</v>
      </c>
      <c r="L225" s="60">
        <v>0</v>
      </c>
      <c r="M225" s="60">
        <v>0</v>
      </c>
      <c r="N225" s="60">
        <v>39.81</v>
      </c>
      <c r="O225" s="60">
        <v>47.98</v>
      </c>
      <c r="P225" s="60">
        <v>66.38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  <c r="AG225" s="60">
        <v>0</v>
      </c>
      <c r="AH225" s="60">
        <v>0</v>
      </c>
      <c r="AI225" s="60">
        <v>406.33</v>
      </c>
      <c r="AJ225" s="60">
        <v>405.17</v>
      </c>
      <c r="AK225" s="60">
        <v>488.36</v>
      </c>
      <c r="AL225" s="60">
        <v>0</v>
      </c>
      <c r="AM225" s="60">
        <v>0</v>
      </c>
      <c r="AN225" s="60">
        <v>0</v>
      </c>
      <c r="AO225" s="60">
        <v>406.33</v>
      </c>
      <c r="AP225" s="60">
        <v>405.17</v>
      </c>
      <c r="AQ225" s="60">
        <v>488.36</v>
      </c>
      <c r="AR225" s="61">
        <v>488.36</v>
      </c>
    </row>
    <row r="226" spans="1:44" x14ac:dyDescent="0.35">
      <c r="A226" s="49" t="str">
        <f t="shared" si="19"/>
        <v>23</v>
      </c>
      <c r="B226" s="27">
        <v>65599</v>
      </c>
      <c r="C226" s="25" t="str">
        <f t="shared" si="18"/>
        <v>0000000</v>
      </c>
      <c r="D226" s="26" t="s">
        <v>3663</v>
      </c>
      <c r="E226" s="25" t="s">
        <v>1306</v>
      </c>
      <c r="F226" s="25" t="s">
        <v>1295</v>
      </c>
      <c r="G226" s="59" t="s">
        <v>1307</v>
      </c>
      <c r="H226" s="60">
        <v>117.26</v>
      </c>
      <c r="I226" s="60">
        <v>122.74</v>
      </c>
      <c r="J226" s="60">
        <v>134.61000000000001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  <c r="AG226" s="60">
        <v>0</v>
      </c>
      <c r="AH226" s="60">
        <v>0</v>
      </c>
      <c r="AI226" s="60">
        <v>117.26</v>
      </c>
      <c r="AJ226" s="60">
        <v>122.74</v>
      </c>
      <c r="AK226" s="60">
        <v>134.61000000000001</v>
      </c>
      <c r="AL226" s="60">
        <v>0</v>
      </c>
      <c r="AM226" s="60">
        <v>0</v>
      </c>
      <c r="AN226" s="60">
        <v>0</v>
      </c>
      <c r="AO226" s="60">
        <v>117.26</v>
      </c>
      <c r="AP226" s="60">
        <v>122.74</v>
      </c>
      <c r="AQ226" s="60">
        <v>134.61000000000001</v>
      </c>
      <c r="AR226" s="61">
        <v>134.61000000000001</v>
      </c>
    </row>
    <row r="227" spans="1:44" x14ac:dyDescent="0.35">
      <c r="A227" s="49" t="str">
        <f t="shared" si="19"/>
        <v>23</v>
      </c>
      <c r="B227" s="27">
        <v>65607</v>
      </c>
      <c r="C227" s="25" t="str">
        <f t="shared" si="18"/>
        <v>0000000</v>
      </c>
      <c r="D227" s="26" t="s">
        <v>3663</v>
      </c>
      <c r="E227" s="25" t="s">
        <v>1308</v>
      </c>
      <c r="F227" s="25" t="s">
        <v>1295</v>
      </c>
      <c r="G227" s="59" t="s">
        <v>1309</v>
      </c>
      <c r="H227" s="60">
        <v>386.43</v>
      </c>
      <c r="I227" s="60">
        <v>337.54</v>
      </c>
      <c r="J227" s="60">
        <v>408.8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51.1</v>
      </c>
      <c r="AD227" s="60">
        <v>49.2</v>
      </c>
      <c r="AE227" s="60">
        <v>53.1</v>
      </c>
      <c r="AF227" s="60">
        <v>0</v>
      </c>
      <c r="AG227" s="60">
        <v>0</v>
      </c>
      <c r="AH227" s="60">
        <v>0</v>
      </c>
      <c r="AI227" s="60">
        <v>437.53</v>
      </c>
      <c r="AJ227" s="60">
        <v>386.74</v>
      </c>
      <c r="AK227" s="60">
        <v>461.9</v>
      </c>
      <c r="AL227" s="60">
        <v>0</v>
      </c>
      <c r="AM227" s="60">
        <v>0</v>
      </c>
      <c r="AN227" s="60">
        <v>0</v>
      </c>
      <c r="AO227" s="60">
        <v>437.53</v>
      </c>
      <c r="AP227" s="60">
        <v>386.74</v>
      </c>
      <c r="AQ227" s="60">
        <v>461.9</v>
      </c>
      <c r="AR227" s="61">
        <v>461.9</v>
      </c>
    </row>
    <row r="228" spans="1:44" x14ac:dyDescent="0.35">
      <c r="A228" s="49" t="str">
        <f t="shared" si="19"/>
        <v>23</v>
      </c>
      <c r="B228" s="27">
        <v>65615</v>
      </c>
      <c r="C228" s="25" t="str">
        <f t="shared" si="18"/>
        <v>0000000</v>
      </c>
      <c r="D228" s="26" t="s">
        <v>3663</v>
      </c>
      <c r="E228" s="25" t="s">
        <v>1310</v>
      </c>
      <c r="F228" s="25" t="s">
        <v>1295</v>
      </c>
      <c r="G228" s="59" t="s">
        <v>1311</v>
      </c>
      <c r="H228" s="60">
        <v>5221.21</v>
      </c>
      <c r="I228" s="60">
        <v>5152.13</v>
      </c>
      <c r="J228" s="60">
        <v>5661.09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570.65</v>
      </c>
      <c r="AD228" s="60">
        <v>537.98</v>
      </c>
      <c r="AE228" s="60">
        <v>508.38</v>
      </c>
      <c r="AF228" s="60">
        <v>0</v>
      </c>
      <c r="AG228" s="60">
        <v>0</v>
      </c>
      <c r="AH228" s="60">
        <v>0</v>
      </c>
      <c r="AI228" s="60">
        <v>5791.86</v>
      </c>
      <c r="AJ228" s="60">
        <v>5690.11</v>
      </c>
      <c r="AK228" s="60">
        <v>6169.47</v>
      </c>
      <c r="AL228" s="60">
        <v>0</v>
      </c>
      <c r="AM228" s="60">
        <v>0</v>
      </c>
      <c r="AN228" s="60">
        <v>0</v>
      </c>
      <c r="AO228" s="60">
        <v>5791.86</v>
      </c>
      <c r="AP228" s="60">
        <v>5690.11</v>
      </c>
      <c r="AQ228" s="60">
        <v>6169.47</v>
      </c>
      <c r="AR228" s="61">
        <v>6169.47</v>
      </c>
    </row>
    <row r="229" spans="1:44" x14ac:dyDescent="0.35">
      <c r="A229" s="49" t="str">
        <f t="shared" si="19"/>
        <v>23</v>
      </c>
      <c r="B229" s="27">
        <v>65623</v>
      </c>
      <c r="C229" s="25" t="str">
        <f t="shared" si="18"/>
        <v>0000000</v>
      </c>
      <c r="D229" s="26" t="s">
        <v>3663</v>
      </c>
      <c r="E229" s="25" t="s">
        <v>1315</v>
      </c>
      <c r="F229" s="25" t="s">
        <v>1295</v>
      </c>
      <c r="G229" s="59" t="s">
        <v>1316</v>
      </c>
      <c r="H229" s="60">
        <v>1348.59</v>
      </c>
      <c r="I229" s="60">
        <v>1260.51</v>
      </c>
      <c r="J229" s="60">
        <v>1454.86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305.14</v>
      </c>
      <c r="AD229" s="60">
        <v>314.68</v>
      </c>
      <c r="AE229" s="60">
        <v>328.67</v>
      </c>
      <c r="AF229" s="60">
        <v>0</v>
      </c>
      <c r="AG229" s="60">
        <v>0</v>
      </c>
      <c r="AH229" s="60">
        <v>0</v>
      </c>
      <c r="AI229" s="60">
        <v>1653.73</v>
      </c>
      <c r="AJ229" s="60">
        <v>1575.19</v>
      </c>
      <c r="AK229" s="60">
        <v>1783.53</v>
      </c>
      <c r="AL229" s="60">
        <v>0</v>
      </c>
      <c r="AM229" s="60">
        <v>0</v>
      </c>
      <c r="AN229" s="60">
        <v>0</v>
      </c>
      <c r="AO229" s="60">
        <v>1653.73</v>
      </c>
      <c r="AP229" s="60">
        <v>1575.19</v>
      </c>
      <c r="AQ229" s="60">
        <v>1783.53</v>
      </c>
      <c r="AR229" s="61">
        <v>1783.53</v>
      </c>
    </row>
    <row r="230" spans="1:44" x14ac:dyDescent="0.35">
      <c r="A230" s="49" t="str">
        <f t="shared" si="19"/>
        <v>23</v>
      </c>
      <c r="B230" s="27">
        <v>73866</v>
      </c>
      <c r="C230" s="25" t="str">
        <f t="shared" si="18"/>
        <v>0000000</v>
      </c>
      <c r="D230" s="26" t="s">
        <v>3663</v>
      </c>
      <c r="E230" s="25" t="s">
        <v>1317</v>
      </c>
      <c r="F230" s="25" t="s">
        <v>1295</v>
      </c>
      <c r="G230" s="59" t="s">
        <v>1318</v>
      </c>
      <c r="H230" s="60">
        <v>257.82</v>
      </c>
      <c r="I230" s="60">
        <v>254.03</v>
      </c>
      <c r="J230" s="60">
        <v>272.93</v>
      </c>
      <c r="K230" s="60">
        <v>0</v>
      </c>
      <c r="L230" s="60">
        <v>0</v>
      </c>
      <c r="M230" s="60">
        <v>0</v>
      </c>
      <c r="N230" s="60">
        <v>0</v>
      </c>
      <c r="O230" s="60">
        <v>0</v>
      </c>
      <c r="P230" s="60">
        <v>0</v>
      </c>
      <c r="Q230" s="60">
        <v>0</v>
      </c>
      <c r="R230" s="60">
        <v>0</v>
      </c>
      <c r="S230" s="60">
        <v>0</v>
      </c>
      <c r="T230" s="60">
        <v>0</v>
      </c>
      <c r="U230" s="60">
        <v>0</v>
      </c>
      <c r="V230" s="60">
        <v>0</v>
      </c>
      <c r="W230" s="60">
        <v>0</v>
      </c>
      <c r="X230" s="60">
        <v>0</v>
      </c>
      <c r="Y230" s="60">
        <v>0</v>
      </c>
      <c r="Z230" s="60">
        <v>0</v>
      </c>
      <c r="AA230" s="60">
        <v>0</v>
      </c>
      <c r="AB230" s="60">
        <v>0</v>
      </c>
      <c r="AC230" s="60">
        <v>0</v>
      </c>
      <c r="AD230" s="60">
        <v>0</v>
      </c>
      <c r="AE230" s="60">
        <v>0</v>
      </c>
      <c r="AF230" s="60">
        <v>0</v>
      </c>
      <c r="AG230" s="60">
        <v>0</v>
      </c>
      <c r="AH230" s="60">
        <v>0</v>
      </c>
      <c r="AI230" s="60">
        <v>257.82</v>
      </c>
      <c r="AJ230" s="60">
        <v>254.03</v>
      </c>
      <c r="AK230" s="60">
        <v>272.93</v>
      </c>
      <c r="AL230" s="60">
        <v>0</v>
      </c>
      <c r="AM230" s="60">
        <v>0</v>
      </c>
      <c r="AN230" s="60">
        <v>0</v>
      </c>
      <c r="AO230" s="60">
        <v>257.82</v>
      </c>
      <c r="AP230" s="60">
        <v>254.03</v>
      </c>
      <c r="AQ230" s="60">
        <v>272.93</v>
      </c>
      <c r="AR230" s="61">
        <v>272.93</v>
      </c>
    </row>
    <row r="231" spans="1:44" x14ac:dyDescent="0.35">
      <c r="A231" s="49" t="str">
        <f t="shared" si="19"/>
        <v>23</v>
      </c>
      <c r="B231" s="27">
        <v>73916</v>
      </c>
      <c r="C231" s="25" t="str">
        <f t="shared" si="18"/>
        <v>0000000</v>
      </c>
      <c r="D231" s="26" t="s">
        <v>3663</v>
      </c>
      <c r="E231" s="25" t="s">
        <v>1319</v>
      </c>
      <c r="F231" s="25" t="s">
        <v>1295</v>
      </c>
      <c r="G231" s="59" t="s">
        <v>1320</v>
      </c>
      <c r="H231" s="60">
        <v>276.98</v>
      </c>
      <c r="I231" s="60">
        <v>303.47000000000003</v>
      </c>
      <c r="J231" s="60">
        <v>337.37</v>
      </c>
      <c r="K231" s="60">
        <v>0</v>
      </c>
      <c r="L231" s="60">
        <v>0</v>
      </c>
      <c r="M231" s="60">
        <v>0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  <c r="W231" s="60">
        <v>0</v>
      </c>
      <c r="X231" s="60">
        <v>0</v>
      </c>
      <c r="Y231" s="60">
        <v>0</v>
      </c>
      <c r="Z231" s="60">
        <v>0</v>
      </c>
      <c r="AA231" s="60">
        <v>0</v>
      </c>
      <c r="AB231" s="60">
        <v>0</v>
      </c>
      <c r="AC231" s="60">
        <v>0</v>
      </c>
      <c r="AD231" s="60">
        <v>0</v>
      </c>
      <c r="AE231" s="60">
        <v>0</v>
      </c>
      <c r="AF231" s="60">
        <v>0</v>
      </c>
      <c r="AG231" s="60">
        <v>0</v>
      </c>
      <c r="AH231" s="60">
        <v>0</v>
      </c>
      <c r="AI231" s="60">
        <v>276.98</v>
      </c>
      <c r="AJ231" s="60">
        <v>303.47000000000003</v>
      </c>
      <c r="AK231" s="60">
        <v>337.37</v>
      </c>
      <c r="AL231" s="60">
        <v>0</v>
      </c>
      <c r="AM231" s="60">
        <v>0</v>
      </c>
      <c r="AN231" s="60">
        <v>0</v>
      </c>
      <c r="AO231" s="60">
        <v>276.98</v>
      </c>
      <c r="AP231" s="60">
        <v>303.47000000000003</v>
      </c>
      <c r="AQ231" s="60">
        <v>337.37</v>
      </c>
      <c r="AR231" s="61">
        <v>337.37</v>
      </c>
    </row>
    <row r="232" spans="1:44" x14ac:dyDescent="0.35">
      <c r="A232" s="49" t="str">
        <f t="shared" si="19"/>
        <v>23</v>
      </c>
      <c r="B232" s="27">
        <v>75218</v>
      </c>
      <c r="C232" s="25" t="str">
        <f t="shared" si="18"/>
        <v>0000000</v>
      </c>
      <c r="D232" s="26" t="s">
        <v>3663</v>
      </c>
      <c r="E232" s="25" t="s">
        <v>1321</v>
      </c>
      <c r="F232" s="25" t="s">
        <v>1295</v>
      </c>
      <c r="G232" s="59" t="s">
        <v>1322</v>
      </c>
      <c r="H232" s="60">
        <v>107.8</v>
      </c>
      <c r="I232" s="60">
        <v>112.53</v>
      </c>
      <c r="J232" s="60">
        <v>124.61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0</v>
      </c>
      <c r="W232" s="60">
        <v>0</v>
      </c>
      <c r="X232" s="60">
        <v>0</v>
      </c>
      <c r="Y232" s="60">
        <v>0</v>
      </c>
      <c r="Z232" s="60">
        <v>0</v>
      </c>
      <c r="AA232" s="60">
        <v>0</v>
      </c>
      <c r="AB232" s="60">
        <v>0</v>
      </c>
      <c r="AC232" s="60">
        <v>0</v>
      </c>
      <c r="AD232" s="60">
        <v>0</v>
      </c>
      <c r="AE232" s="60">
        <v>0</v>
      </c>
      <c r="AF232" s="60">
        <v>0</v>
      </c>
      <c r="AG232" s="60">
        <v>0</v>
      </c>
      <c r="AH232" s="60">
        <v>0</v>
      </c>
      <c r="AI232" s="60">
        <v>107.8</v>
      </c>
      <c r="AJ232" s="60">
        <v>112.53</v>
      </c>
      <c r="AK232" s="60">
        <v>124.61</v>
      </c>
      <c r="AL232" s="60">
        <v>0</v>
      </c>
      <c r="AM232" s="60">
        <v>0</v>
      </c>
      <c r="AN232" s="60">
        <v>0</v>
      </c>
      <c r="AO232" s="60">
        <v>107.8</v>
      </c>
      <c r="AP232" s="60">
        <v>112.53</v>
      </c>
      <c r="AQ232" s="60">
        <v>124.61</v>
      </c>
      <c r="AR232" s="61">
        <v>124.61</v>
      </c>
    </row>
    <row r="233" spans="1:44" x14ac:dyDescent="0.35">
      <c r="A233" s="49" t="str">
        <f t="shared" ref="A233:A257" si="20">TEXT(42,"00")</f>
        <v>42</v>
      </c>
      <c r="B233" s="27">
        <v>69195</v>
      </c>
      <c r="C233" s="25" t="str">
        <f t="shared" si="18"/>
        <v>0000000</v>
      </c>
      <c r="D233" s="26" t="s">
        <v>3663</v>
      </c>
      <c r="E233" s="25" t="s">
        <v>2615</v>
      </c>
      <c r="F233" s="25" t="s">
        <v>2616</v>
      </c>
      <c r="G233" s="59" t="s">
        <v>2616</v>
      </c>
      <c r="H233" s="60">
        <v>3196.02</v>
      </c>
      <c r="I233" s="60">
        <v>3171.76</v>
      </c>
      <c r="J233" s="60">
        <v>3490.66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  <c r="W233" s="60">
        <v>0</v>
      </c>
      <c r="X233" s="60">
        <v>0</v>
      </c>
      <c r="Y233" s="60">
        <v>0</v>
      </c>
      <c r="Z233" s="60">
        <v>0</v>
      </c>
      <c r="AA233" s="60">
        <v>0</v>
      </c>
      <c r="AB233" s="60">
        <v>0</v>
      </c>
      <c r="AC233" s="60">
        <v>0</v>
      </c>
      <c r="AD233" s="60">
        <v>0</v>
      </c>
      <c r="AE233" s="60">
        <v>0</v>
      </c>
      <c r="AF233" s="60">
        <v>0</v>
      </c>
      <c r="AG233" s="60">
        <v>0</v>
      </c>
      <c r="AH233" s="60">
        <v>0</v>
      </c>
      <c r="AI233" s="60">
        <v>3196.02</v>
      </c>
      <c r="AJ233" s="60">
        <v>3171.76</v>
      </c>
      <c r="AK233" s="60">
        <v>3490.66</v>
      </c>
      <c r="AL233" s="60">
        <v>0</v>
      </c>
      <c r="AM233" s="60">
        <v>0</v>
      </c>
      <c r="AN233" s="60">
        <v>0</v>
      </c>
      <c r="AO233" s="60">
        <v>3196.02</v>
      </c>
      <c r="AP233" s="60">
        <v>3171.76</v>
      </c>
      <c r="AQ233" s="60">
        <v>3490.66</v>
      </c>
      <c r="AR233" s="61">
        <v>3490.66</v>
      </c>
    </row>
    <row r="234" spans="1:44" x14ac:dyDescent="0.35">
      <c r="A234" s="49" t="str">
        <f t="shared" si="20"/>
        <v>42</v>
      </c>
      <c r="B234" s="27">
        <v>69211</v>
      </c>
      <c r="C234" s="25" t="str">
        <f t="shared" si="18"/>
        <v>0000000</v>
      </c>
      <c r="D234" s="26" t="s">
        <v>3663</v>
      </c>
      <c r="E234" s="25" t="s">
        <v>2644</v>
      </c>
      <c r="F234" s="25" t="s">
        <v>2616</v>
      </c>
      <c r="G234" s="59" t="s">
        <v>2645</v>
      </c>
      <c r="H234" s="60">
        <v>788.66</v>
      </c>
      <c r="I234" s="60">
        <v>779.21</v>
      </c>
      <c r="J234" s="60">
        <v>894.43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0</v>
      </c>
      <c r="AG234" s="60">
        <v>0</v>
      </c>
      <c r="AH234" s="60">
        <v>0</v>
      </c>
      <c r="AI234" s="60">
        <v>788.66</v>
      </c>
      <c r="AJ234" s="60">
        <v>779.21</v>
      </c>
      <c r="AK234" s="60">
        <v>894.43</v>
      </c>
      <c r="AL234" s="60">
        <v>0</v>
      </c>
      <c r="AM234" s="60">
        <v>0</v>
      </c>
      <c r="AN234" s="60">
        <v>0</v>
      </c>
      <c r="AO234" s="60">
        <v>788.66</v>
      </c>
      <c r="AP234" s="60">
        <v>779.21</v>
      </c>
      <c r="AQ234" s="60">
        <v>894.43</v>
      </c>
      <c r="AR234" s="61">
        <v>894.43</v>
      </c>
    </row>
    <row r="235" spans="1:44" x14ac:dyDescent="0.35">
      <c r="A235" s="49" t="str">
        <f t="shared" si="20"/>
        <v>42</v>
      </c>
      <c r="B235" s="27">
        <v>69260</v>
      </c>
      <c r="C235" s="25" t="str">
        <f t="shared" si="18"/>
        <v>0000000</v>
      </c>
      <c r="D235" s="26" t="s">
        <v>3663</v>
      </c>
      <c r="E235" s="25" t="s">
        <v>2655</v>
      </c>
      <c r="F235" s="25" t="s">
        <v>2616</v>
      </c>
      <c r="G235" s="59" t="s">
        <v>2656</v>
      </c>
      <c r="H235" s="60">
        <v>3624.36</v>
      </c>
      <c r="I235" s="60">
        <v>3589.9</v>
      </c>
      <c r="J235" s="60">
        <v>4112.3500000000004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710.11</v>
      </c>
      <c r="AD235" s="60">
        <v>689.78</v>
      </c>
      <c r="AE235" s="60">
        <v>771.7</v>
      </c>
      <c r="AF235" s="60">
        <v>0</v>
      </c>
      <c r="AG235" s="60">
        <v>0</v>
      </c>
      <c r="AH235" s="60">
        <v>0</v>
      </c>
      <c r="AI235" s="60">
        <v>4334.47</v>
      </c>
      <c r="AJ235" s="60">
        <v>4279.68</v>
      </c>
      <c r="AK235" s="60">
        <v>4884.05</v>
      </c>
      <c r="AL235" s="60">
        <v>0</v>
      </c>
      <c r="AM235" s="60">
        <v>0</v>
      </c>
      <c r="AN235" s="60">
        <v>0</v>
      </c>
      <c r="AO235" s="60">
        <v>4334.47</v>
      </c>
      <c r="AP235" s="60">
        <v>4279.68</v>
      </c>
      <c r="AQ235" s="60">
        <v>4884.05</v>
      </c>
      <c r="AR235" s="61">
        <v>4884.05</v>
      </c>
    </row>
    <row r="236" spans="1:44" x14ac:dyDescent="0.35">
      <c r="A236" s="49" t="str">
        <f t="shared" si="20"/>
        <v>42</v>
      </c>
      <c r="B236" s="27">
        <v>69120</v>
      </c>
      <c r="C236" s="25" t="str">
        <f t="shared" si="18"/>
        <v>0000000</v>
      </c>
      <c r="D236" s="26" t="s">
        <v>3663</v>
      </c>
      <c r="E236" s="25" t="s">
        <v>2632</v>
      </c>
      <c r="F236" s="25" t="s">
        <v>2616</v>
      </c>
      <c r="G236" s="59" t="s">
        <v>2633</v>
      </c>
      <c r="H236" s="60">
        <v>15603.86</v>
      </c>
      <c r="I236" s="60">
        <v>14833.6</v>
      </c>
      <c r="J236" s="60">
        <v>16346.33</v>
      </c>
      <c r="K236" s="60">
        <v>0</v>
      </c>
      <c r="L236" s="60">
        <v>0</v>
      </c>
      <c r="M236" s="60">
        <v>0</v>
      </c>
      <c r="N236" s="60">
        <v>0</v>
      </c>
      <c r="O236" s="60">
        <v>0</v>
      </c>
      <c r="P236" s="60">
        <v>0</v>
      </c>
      <c r="Q236" s="60">
        <v>0</v>
      </c>
      <c r="R236" s="60">
        <v>0</v>
      </c>
      <c r="S236" s="60">
        <v>0</v>
      </c>
      <c r="T236" s="60">
        <v>0</v>
      </c>
      <c r="U236" s="60">
        <v>0</v>
      </c>
      <c r="V236" s="60">
        <v>0</v>
      </c>
      <c r="W236" s="60">
        <v>0</v>
      </c>
      <c r="X236" s="60">
        <v>0</v>
      </c>
      <c r="Y236" s="60">
        <v>0</v>
      </c>
      <c r="Z236" s="60">
        <v>0</v>
      </c>
      <c r="AA236" s="60">
        <v>0</v>
      </c>
      <c r="AB236" s="60">
        <v>0</v>
      </c>
      <c r="AC236" s="60">
        <v>0</v>
      </c>
      <c r="AD236" s="60">
        <v>0</v>
      </c>
      <c r="AE236" s="60">
        <v>0</v>
      </c>
      <c r="AF236" s="60">
        <v>0</v>
      </c>
      <c r="AG236" s="60">
        <v>0</v>
      </c>
      <c r="AH236" s="60">
        <v>0</v>
      </c>
      <c r="AI236" s="60">
        <v>15603.86</v>
      </c>
      <c r="AJ236" s="60">
        <v>14833.6</v>
      </c>
      <c r="AK236" s="60">
        <v>16346.33</v>
      </c>
      <c r="AL236" s="60">
        <v>0</v>
      </c>
      <c r="AM236" s="60">
        <v>0</v>
      </c>
      <c r="AN236" s="60">
        <v>0</v>
      </c>
      <c r="AO236" s="60">
        <v>15603.86</v>
      </c>
      <c r="AP236" s="60">
        <v>14833.6</v>
      </c>
      <c r="AQ236" s="60">
        <v>16346.33</v>
      </c>
      <c r="AR236" s="61">
        <v>16346.33</v>
      </c>
    </row>
    <row r="237" spans="1:44" x14ac:dyDescent="0.35">
      <c r="A237" s="49" t="str">
        <f t="shared" si="20"/>
        <v>42</v>
      </c>
      <c r="B237" s="27">
        <v>69310</v>
      </c>
      <c r="C237" s="25" t="str">
        <f t="shared" si="18"/>
        <v>0000000</v>
      </c>
      <c r="D237" s="26" t="s">
        <v>3663</v>
      </c>
      <c r="E237" s="25" t="s">
        <v>2657</v>
      </c>
      <c r="F237" s="25" t="s">
        <v>2616</v>
      </c>
      <c r="G237" s="59" t="s">
        <v>2658</v>
      </c>
      <c r="H237" s="60">
        <v>8553.2900000000009</v>
      </c>
      <c r="I237" s="60">
        <v>8441.99</v>
      </c>
      <c r="J237" s="60">
        <v>8385.7999999999993</v>
      </c>
      <c r="K237" s="60">
        <v>0</v>
      </c>
      <c r="L237" s="60">
        <v>0</v>
      </c>
      <c r="M237" s="60">
        <v>0</v>
      </c>
      <c r="N237" s="60">
        <v>0</v>
      </c>
      <c r="O237" s="60">
        <v>0</v>
      </c>
      <c r="P237" s="60">
        <v>0</v>
      </c>
      <c r="Q237" s="60">
        <v>0</v>
      </c>
      <c r="R237" s="60">
        <v>0</v>
      </c>
      <c r="S237" s="60">
        <v>0</v>
      </c>
      <c r="T237" s="60">
        <v>0</v>
      </c>
      <c r="U237" s="60">
        <v>0</v>
      </c>
      <c r="V237" s="60">
        <v>0</v>
      </c>
      <c r="W237" s="60">
        <v>0</v>
      </c>
      <c r="X237" s="60">
        <v>0</v>
      </c>
      <c r="Y237" s="60">
        <v>0</v>
      </c>
      <c r="Z237" s="60">
        <v>0</v>
      </c>
      <c r="AA237" s="60">
        <v>0</v>
      </c>
      <c r="AB237" s="60">
        <v>0</v>
      </c>
      <c r="AC237" s="60">
        <v>0</v>
      </c>
      <c r="AD237" s="60">
        <v>0</v>
      </c>
      <c r="AE237" s="60">
        <v>0</v>
      </c>
      <c r="AF237" s="60">
        <v>0</v>
      </c>
      <c r="AG237" s="60">
        <v>0</v>
      </c>
      <c r="AH237" s="60">
        <v>0</v>
      </c>
      <c r="AI237" s="60">
        <v>8553.2900000000009</v>
      </c>
      <c r="AJ237" s="60">
        <v>8441.99</v>
      </c>
      <c r="AK237" s="60">
        <v>8385.7999999999993</v>
      </c>
      <c r="AL237" s="60">
        <v>0</v>
      </c>
      <c r="AM237" s="60">
        <v>0</v>
      </c>
      <c r="AN237" s="60">
        <v>0</v>
      </c>
      <c r="AO237" s="60">
        <v>8553.2900000000009</v>
      </c>
      <c r="AP237" s="60">
        <v>8441.99</v>
      </c>
      <c r="AQ237" s="60">
        <v>8385.7999999999993</v>
      </c>
      <c r="AR237" s="61">
        <v>8553.2900000000009</v>
      </c>
    </row>
    <row r="238" spans="1:44" x14ac:dyDescent="0.35">
      <c r="A238" s="49" t="str">
        <f t="shared" si="20"/>
        <v>42</v>
      </c>
      <c r="B238" s="27">
        <v>69146</v>
      </c>
      <c r="C238" s="25" t="str">
        <f t="shared" si="18"/>
        <v>0000000</v>
      </c>
      <c r="D238" s="26" t="s">
        <v>3663</v>
      </c>
      <c r="E238" s="25" t="s">
        <v>2636</v>
      </c>
      <c r="F238" s="25" t="s">
        <v>2616</v>
      </c>
      <c r="G238" s="59" t="s">
        <v>2637</v>
      </c>
      <c r="H238" s="60">
        <v>1864</v>
      </c>
      <c r="I238" s="60">
        <v>1938.61</v>
      </c>
      <c r="J238" s="60">
        <v>2045.75</v>
      </c>
      <c r="K238" s="60">
        <v>0</v>
      </c>
      <c r="L238" s="60">
        <v>0</v>
      </c>
      <c r="M238" s="60">
        <v>0</v>
      </c>
      <c r="N238" s="60">
        <v>0</v>
      </c>
      <c r="O238" s="60">
        <v>0</v>
      </c>
      <c r="P238" s="60">
        <v>0</v>
      </c>
      <c r="Q238" s="60">
        <v>0</v>
      </c>
      <c r="R238" s="60">
        <v>0</v>
      </c>
      <c r="S238" s="60">
        <v>0</v>
      </c>
      <c r="T238" s="60">
        <v>0</v>
      </c>
      <c r="U238" s="60">
        <v>0</v>
      </c>
      <c r="V238" s="60">
        <v>0</v>
      </c>
      <c r="W238" s="60">
        <v>0</v>
      </c>
      <c r="X238" s="60">
        <v>0</v>
      </c>
      <c r="Y238" s="60">
        <v>0</v>
      </c>
      <c r="Z238" s="60">
        <v>0</v>
      </c>
      <c r="AA238" s="60">
        <v>0</v>
      </c>
      <c r="AB238" s="60">
        <v>0</v>
      </c>
      <c r="AC238" s="60">
        <v>0</v>
      </c>
      <c r="AD238" s="60">
        <v>0</v>
      </c>
      <c r="AE238" s="60">
        <v>0</v>
      </c>
      <c r="AF238" s="60">
        <v>0</v>
      </c>
      <c r="AG238" s="60">
        <v>0</v>
      </c>
      <c r="AH238" s="60">
        <v>0</v>
      </c>
      <c r="AI238" s="60">
        <v>1864</v>
      </c>
      <c r="AJ238" s="60">
        <v>1938.61</v>
      </c>
      <c r="AK238" s="60">
        <v>2045.75</v>
      </c>
      <c r="AL238" s="60">
        <v>0</v>
      </c>
      <c r="AM238" s="60">
        <v>0</v>
      </c>
      <c r="AN238" s="60">
        <v>0</v>
      </c>
      <c r="AO238" s="60">
        <v>1864</v>
      </c>
      <c r="AP238" s="60">
        <v>1938.61</v>
      </c>
      <c r="AQ238" s="60">
        <v>2045.75</v>
      </c>
      <c r="AR238" s="61">
        <v>2045.75</v>
      </c>
    </row>
    <row r="239" spans="1:44" x14ac:dyDescent="0.35">
      <c r="A239" s="49" t="str">
        <f t="shared" si="20"/>
        <v>42</v>
      </c>
      <c r="B239" s="27">
        <v>69229</v>
      </c>
      <c r="C239" s="25" t="str">
        <f t="shared" si="18"/>
        <v>0000000</v>
      </c>
      <c r="D239" s="26" t="s">
        <v>3663</v>
      </c>
      <c r="E239" s="25" t="s">
        <v>2646</v>
      </c>
      <c r="F239" s="25" t="s">
        <v>2616</v>
      </c>
      <c r="G239" s="59" t="s">
        <v>2647</v>
      </c>
      <c r="H239" s="60">
        <v>8191.48</v>
      </c>
      <c r="I239" s="60">
        <v>8142.1</v>
      </c>
      <c r="J239" s="60">
        <v>9098.77</v>
      </c>
      <c r="K239" s="60">
        <v>0</v>
      </c>
      <c r="L239" s="60">
        <v>0</v>
      </c>
      <c r="M239" s="60">
        <v>0</v>
      </c>
      <c r="N239" s="60">
        <v>0</v>
      </c>
      <c r="O239" s="60">
        <v>0</v>
      </c>
      <c r="P239" s="60">
        <v>0</v>
      </c>
      <c r="Q239" s="60">
        <v>0</v>
      </c>
      <c r="R239" s="60">
        <v>0</v>
      </c>
      <c r="S239" s="60">
        <v>0</v>
      </c>
      <c r="T239" s="60">
        <v>0</v>
      </c>
      <c r="U239" s="60">
        <v>0</v>
      </c>
      <c r="V239" s="60">
        <v>0</v>
      </c>
      <c r="W239" s="60">
        <v>0</v>
      </c>
      <c r="X239" s="60">
        <v>0</v>
      </c>
      <c r="Y239" s="60">
        <v>0</v>
      </c>
      <c r="Z239" s="60">
        <v>0</v>
      </c>
      <c r="AA239" s="60">
        <v>0</v>
      </c>
      <c r="AB239" s="60">
        <v>0</v>
      </c>
      <c r="AC239" s="60">
        <v>0</v>
      </c>
      <c r="AD239" s="60">
        <v>0</v>
      </c>
      <c r="AE239" s="60">
        <v>0</v>
      </c>
      <c r="AF239" s="60">
        <v>0</v>
      </c>
      <c r="AG239" s="60">
        <v>0</v>
      </c>
      <c r="AH239" s="60">
        <v>0</v>
      </c>
      <c r="AI239" s="60">
        <v>8191.48</v>
      </c>
      <c r="AJ239" s="60">
        <v>8142.1</v>
      </c>
      <c r="AK239" s="60">
        <v>9098.77</v>
      </c>
      <c r="AL239" s="60">
        <v>0</v>
      </c>
      <c r="AM239" s="60">
        <v>0</v>
      </c>
      <c r="AN239" s="60">
        <v>0</v>
      </c>
      <c r="AO239" s="60">
        <v>8191.48</v>
      </c>
      <c r="AP239" s="60">
        <v>8142.1</v>
      </c>
      <c r="AQ239" s="60">
        <v>9098.77</v>
      </c>
      <c r="AR239" s="61">
        <v>9098.77</v>
      </c>
    </row>
    <row r="240" spans="1:44" x14ac:dyDescent="0.35">
      <c r="A240" s="49" t="str">
        <f t="shared" si="20"/>
        <v>42</v>
      </c>
      <c r="B240" s="27">
        <v>10421</v>
      </c>
      <c r="C240" s="25" t="str">
        <f t="shared" si="18"/>
        <v>0000000</v>
      </c>
      <c r="D240" s="26" t="s">
        <v>3663</v>
      </c>
      <c r="E240" s="25" t="s">
        <v>2617</v>
      </c>
      <c r="F240" s="25" t="s">
        <v>2616</v>
      </c>
      <c r="G240" s="59" t="s">
        <v>2618</v>
      </c>
      <c r="H240" s="60">
        <v>0</v>
      </c>
      <c r="I240" s="60">
        <v>0</v>
      </c>
      <c r="J240" s="60">
        <v>0</v>
      </c>
      <c r="K240" s="60">
        <v>0</v>
      </c>
      <c r="L240" s="60">
        <v>0</v>
      </c>
      <c r="M240" s="60">
        <v>0</v>
      </c>
      <c r="N240" s="60">
        <v>0</v>
      </c>
      <c r="O240" s="60">
        <v>0</v>
      </c>
      <c r="P240" s="60">
        <v>0</v>
      </c>
      <c r="Q240" s="60">
        <v>0</v>
      </c>
      <c r="R240" s="60">
        <v>0</v>
      </c>
      <c r="S240" s="60">
        <v>0</v>
      </c>
      <c r="T240" s="60">
        <v>42.11</v>
      </c>
      <c r="U240" s="60">
        <v>33.64</v>
      </c>
      <c r="V240" s="60">
        <v>100.9</v>
      </c>
      <c r="W240" s="60">
        <v>80.069999999999993</v>
      </c>
      <c r="X240" s="60">
        <v>58.92</v>
      </c>
      <c r="Y240" s="60">
        <v>75.89</v>
      </c>
      <c r="Z240" s="60">
        <v>0</v>
      </c>
      <c r="AA240" s="60">
        <v>0</v>
      </c>
      <c r="AB240" s="60">
        <v>0</v>
      </c>
      <c r="AC240" s="60">
        <v>0</v>
      </c>
      <c r="AD240" s="60">
        <v>0</v>
      </c>
      <c r="AE240" s="60">
        <v>0</v>
      </c>
      <c r="AF240" s="60">
        <v>0</v>
      </c>
      <c r="AG240" s="60">
        <v>0</v>
      </c>
      <c r="AH240" s="60">
        <v>0</v>
      </c>
      <c r="AI240" s="60">
        <v>122.18</v>
      </c>
      <c r="AJ240" s="60">
        <v>92.56</v>
      </c>
      <c r="AK240" s="60">
        <v>176.79</v>
      </c>
      <c r="AL240" s="60">
        <v>0</v>
      </c>
      <c r="AM240" s="60">
        <v>0</v>
      </c>
      <c r="AN240" s="60">
        <v>0</v>
      </c>
      <c r="AO240" s="60">
        <v>122.18</v>
      </c>
      <c r="AP240" s="60">
        <v>92.56</v>
      </c>
      <c r="AQ240" s="60">
        <v>176.79</v>
      </c>
      <c r="AR240" s="61">
        <v>176.79</v>
      </c>
    </row>
    <row r="241" spans="1:44" x14ac:dyDescent="0.35">
      <c r="A241" s="49" t="str">
        <f t="shared" si="20"/>
        <v>42</v>
      </c>
      <c r="B241" s="27">
        <v>69104</v>
      </c>
      <c r="C241" s="25" t="str">
        <f t="shared" si="18"/>
        <v>0000000</v>
      </c>
      <c r="D241" s="26" t="s">
        <v>3663</v>
      </c>
      <c r="E241" s="25" t="s">
        <v>2619</v>
      </c>
      <c r="F241" s="25" t="s">
        <v>2616</v>
      </c>
      <c r="G241" s="59" t="s">
        <v>2620</v>
      </c>
      <c r="H241" s="60">
        <v>111.52</v>
      </c>
      <c r="I241" s="60">
        <v>120.82</v>
      </c>
      <c r="J241" s="60">
        <v>138.02000000000001</v>
      </c>
      <c r="K241" s="60">
        <v>0</v>
      </c>
      <c r="L241" s="60">
        <v>0</v>
      </c>
      <c r="M241" s="60">
        <v>0</v>
      </c>
      <c r="N241" s="60">
        <v>0</v>
      </c>
      <c r="O241" s="60">
        <v>0</v>
      </c>
      <c r="P241" s="60">
        <v>0</v>
      </c>
      <c r="Q241" s="60">
        <v>0</v>
      </c>
      <c r="R241" s="60">
        <v>0</v>
      </c>
      <c r="S241" s="60">
        <v>0</v>
      </c>
      <c r="T241" s="60">
        <v>0</v>
      </c>
      <c r="U241" s="60">
        <v>0</v>
      </c>
      <c r="V241" s="60">
        <v>0</v>
      </c>
      <c r="W241" s="60">
        <v>0</v>
      </c>
      <c r="X241" s="60">
        <v>0</v>
      </c>
      <c r="Y241" s="60">
        <v>0</v>
      </c>
      <c r="Z241" s="60">
        <v>0</v>
      </c>
      <c r="AA241" s="60">
        <v>0</v>
      </c>
      <c r="AB241" s="60">
        <v>0</v>
      </c>
      <c r="AC241" s="60">
        <v>0</v>
      </c>
      <c r="AD241" s="60">
        <v>0</v>
      </c>
      <c r="AE241" s="60">
        <v>0</v>
      </c>
      <c r="AF241" s="60">
        <v>0</v>
      </c>
      <c r="AG241" s="60">
        <v>0</v>
      </c>
      <c r="AH241" s="60">
        <v>0</v>
      </c>
      <c r="AI241" s="60">
        <v>111.52</v>
      </c>
      <c r="AJ241" s="60">
        <v>120.82</v>
      </c>
      <c r="AK241" s="60">
        <v>138.02000000000001</v>
      </c>
      <c r="AL241" s="60">
        <v>0</v>
      </c>
      <c r="AM241" s="60">
        <v>0</v>
      </c>
      <c r="AN241" s="60">
        <v>0</v>
      </c>
      <c r="AO241" s="60">
        <v>111.52</v>
      </c>
      <c r="AP241" s="60">
        <v>120.82</v>
      </c>
      <c r="AQ241" s="60">
        <v>138.02000000000001</v>
      </c>
      <c r="AR241" s="61">
        <v>138.02000000000001</v>
      </c>
    </row>
    <row r="242" spans="1:44" x14ac:dyDescent="0.35">
      <c r="A242" s="49" t="str">
        <f t="shared" si="20"/>
        <v>42</v>
      </c>
      <c r="B242" s="27">
        <v>69112</v>
      </c>
      <c r="C242" s="25" t="str">
        <f t="shared" si="18"/>
        <v>0000000</v>
      </c>
      <c r="D242" s="26" t="s">
        <v>3663</v>
      </c>
      <c r="E242" s="25" t="s">
        <v>2621</v>
      </c>
      <c r="F242" s="25" t="s">
        <v>2616</v>
      </c>
      <c r="G242" s="59" t="s">
        <v>2622</v>
      </c>
      <c r="H242" s="60">
        <v>180.1</v>
      </c>
      <c r="I242" s="60">
        <v>167.01</v>
      </c>
      <c r="J242" s="60">
        <v>200.91</v>
      </c>
      <c r="K242" s="60">
        <v>0</v>
      </c>
      <c r="L242" s="60">
        <v>0</v>
      </c>
      <c r="M242" s="60">
        <v>0</v>
      </c>
      <c r="N242" s="60">
        <v>0</v>
      </c>
      <c r="O242" s="60">
        <v>0</v>
      </c>
      <c r="P242" s="60">
        <v>0</v>
      </c>
      <c r="Q242" s="60">
        <v>0</v>
      </c>
      <c r="R242" s="60">
        <v>0</v>
      </c>
      <c r="S242" s="60">
        <v>0</v>
      </c>
      <c r="T242" s="60">
        <v>0</v>
      </c>
      <c r="U242" s="60">
        <v>0</v>
      </c>
      <c r="V242" s="60">
        <v>0</v>
      </c>
      <c r="W242" s="60">
        <v>0</v>
      </c>
      <c r="X242" s="60">
        <v>0</v>
      </c>
      <c r="Y242" s="60">
        <v>0</v>
      </c>
      <c r="Z242" s="60">
        <v>0</v>
      </c>
      <c r="AA242" s="60">
        <v>0</v>
      </c>
      <c r="AB242" s="60">
        <v>0</v>
      </c>
      <c r="AC242" s="60">
        <v>0</v>
      </c>
      <c r="AD242" s="60">
        <v>0</v>
      </c>
      <c r="AE242" s="60">
        <v>0</v>
      </c>
      <c r="AF242" s="60">
        <v>0</v>
      </c>
      <c r="AG242" s="60">
        <v>0</v>
      </c>
      <c r="AH242" s="60">
        <v>0</v>
      </c>
      <c r="AI242" s="60">
        <v>180.1</v>
      </c>
      <c r="AJ242" s="60">
        <v>167.01</v>
      </c>
      <c r="AK242" s="60">
        <v>200.91</v>
      </c>
      <c r="AL242" s="60">
        <v>0</v>
      </c>
      <c r="AM242" s="60">
        <v>0</v>
      </c>
      <c r="AN242" s="60">
        <v>0</v>
      </c>
      <c r="AO242" s="60">
        <v>180.1</v>
      </c>
      <c r="AP242" s="60">
        <v>167.01</v>
      </c>
      <c r="AQ242" s="60">
        <v>200.91</v>
      </c>
      <c r="AR242" s="61">
        <v>200.91</v>
      </c>
    </row>
    <row r="243" spans="1:44" x14ac:dyDescent="0.35">
      <c r="A243" s="49" t="str">
        <f t="shared" si="20"/>
        <v>42</v>
      </c>
      <c r="B243" s="27">
        <v>69138</v>
      </c>
      <c r="C243" s="25" t="str">
        <f t="shared" si="18"/>
        <v>0000000</v>
      </c>
      <c r="D243" s="26" t="s">
        <v>3663</v>
      </c>
      <c r="E243" s="25" t="s">
        <v>2634</v>
      </c>
      <c r="F243" s="25" t="s">
        <v>2616</v>
      </c>
      <c r="G243" s="59" t="s">
        <v>2635</v>
      </c>
      <c r="H243" s="60">
        <v>512.65</v>
      </c>
      <c r="I243" s="60">
        <v>548.63</v>
      </c>
      <c r="J243" s="60">
        <v>653.85</v>
      </c>
      <c r="K243" s="60">
        <v>0</v>
      </c>
      <c r="L243" s="60">
        <v>0</v>
      </c>
      <c r="M243" s="60">
        <v>0</v>
      </c>
      <c r="N243" s="60">
        <v>0</v>
      </c>
      <c r="O243" s="60">
        <v>0</v>
      </c>
      <c r="P243" s="60">
        <v>0</v>
      </c>
      <c r="Q243" s="60">
        <v>0</v>
      </c>
      <c r="R243" s="60">
        <v>0</v>
      </c>
      <c r="S243" s="60">
        <v>0</v>
      </c>
      <c r="T243" s="60">
        <v>0</v>
      </c>
      <c r="U243" s="60">
        <v>0</v>
      </c>
      <c r="V243" s="60">
        <v>0</v>
      </c>
      <c r="W243" s="60">
        <v>0</v>
      </c>
      <c r="X243" s="60">
        <v>0</v>
      </c>
      <c r="Y243" s="60">
        <v>0</v>
      </c>
      <c r="Z243" s="60">
        <v>0</v>
      </c>
      <c r="AA243" s="60">
        <v>0</v>
      </c>
      <c r="AB243" s="60">
        <v>0</v>
      </c>
      <c r="AC243" s="60">
        <v>0</v>
      </c>
      <c r="AD243" s="60">
        <v>0</v>
      </c>
      <c r="AE243" s="60">
        <v>0</v>
      </c>
      <c r="AF243" s="60">
        <v>0</v>
      </c>
      <c r="AG243" s="60">
        <v>0</v>
      </c>
      <c r="AH243" s="60">
        <v>0</v>
      </c>
      <c r="AI243" s="60">
        <v>512.65</v>
      </c>
      <c r="AJ243" s="60">
        <v>548.63</v>
      </c>
      <c r="AK243" s="60">
        <v>653.85</v>
      </c>
      <c r="AL243" s="60">
        <v>0</v>
      </c>
      <c r="AM243" s="60">
        <v>0</v>
      </c>
      <c r="AN243" s="60">
        <v>0</v>
      </c>
      <c r="AO243" s="60">
        <v>512.65</v>
      </c>
      <c r="AP243" s="60">
        <v>548.63</v>
      </c>
      <c r="AQ243" s="60">
        <v>653.85</v>
      </c>
      <c r="AR243" s="61">
        <v>653.85</v>
      </c>
    </row>
    <row r="244" spans="1:44" x14ac:dyDescent="0.35">
      <c r="A244" s="49" t="str">
        <f t="shared" si="20"/>
        <v>42</v>
      </c>
      <c r="B244" s="27">
        <v>69161</v>
      </c>
      <c r="C244" s="25" t="str">
        <f t="shared" si="18"/>
        <v>0000000</v>
      </c>
      <c r="D244" s="26" t="s">
        <v>3663</v>
      </c>
      <c r="E244" s="25" t="s">
        <v>2638</v>
      </c>
      <c r="F244" s="25" t="s">
        <v>2616</v>
      </c>
      <c r="G244" s="59" t="s">
        <v>2639</v>
      </c>
      <c r="H244" s="60">
        <v>180.25</v>
      </c>
      <c r="I244" s="60">
        <v>184.45</v>
      </c>
      <c r="J244" s="60">
        <v>164.76</v>
      </c>
      <c r="K244" s="60">
        <v>0</v>
      </c>
      <c r="L244" s="60">
        <v>0</v>
      </c>
      <c r="M244" s="60">
        <v>0</v>
      </c>
      <c r="N244" s="60">
        <v>0</v>
      </c>
      <c r="O244" s="60">
        <v>0</v>
      </c>
      <c r="P244" s="60">
        <v>0</v>
      </c>
      <c r="Q244" s="60">
        <v>0</v>
      </c>
      <c r="R244" s="60">
        <v>0</v>
      </c>
      <c r="S244" s="60">
        <v>0</v>
      </c>
      <c r="T244" s="60">
        <v>0</v>
      </c>
      <c r="U244" s="60">
        <v>0</v>
      </c>
      <c r="V244" s="60">
        <v>0</v>
      </c>
      <c r="W244" s="60">
        <v>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0">
        <v>0</v>
      </c>
      <c r="AE244" s="60">
        <v>0</v>
      </c>
      <c r="AF244" s="60">
        <v>0</v>
      </c>
      <c r="AG244" s="60">
        <v>0</v>
      </c>
      <c r="AH244" s="60">
        <v>0</v>
      </c>
      <c r="AI244" s="60">
        <v>180.25</v>
      </c>
      <c r="AJ244" s="60">
        <v>184.45</v>
      </c>
      <c r="AK244" s="60">
        <v>164.76</v>
      </c>
      <c r="AL244" s="60">
        <v>0</v>
      </c>
      <c r="AM244" s="60">
        <v>0</v>
      </c>
      <c r="AN244" s="60">
        <v>0</v>
      </c>
      <c r="AO244" s="60">
        <v>180.25</v>
      </c>
      <c r="AP244" s="60">
        <v>184.45</v>
      </c>
      <c r="AQ244" s="60">
        <v>164.76</v>
      </c>
      <c r="AR244" s="61">
        <v>184.45</v>
      </c>
    </row>
    <row r="245" spans="1:44" x14ac:dyDescent="0.35">
      <c r="A245" s="49" t="str">
        <f t="shared" si="20"/>
        <v>42</v>
      </c>
      <c r="B245" s="27">
        <v>69179</v>
      </c>
      <c r="C245" s="25" t="str">
        <f t="shared" si="18"/>
        <v>0000000</v>
      </c>
      <c r="D245" s="26" t="s">
        <v>3663</v>
      </c>
      <c r="E245" s="25" t="s">
        <v>2640</v>
      </c>
      <c r="F245" s="25" t="s">
        <v>2616</v>
      </c>
      <c r="G245" s="59" t="s">
        <v>2641</v>
      </c>
      <c r="H245" s="60">
        <v>162.69</v>
      </c>
      <c r="I245" s="60">
        <v>152.04</v>
      </c>
      <c r="J245" s="60">
        <v>169.68</v>
      </c>
      <c r="K245" s="60">
        <v>0</v>
      </c>
      <c r="L245" s="60">
        <v>0</v>
      </c>
      <c r="M245" s="60">
        <v>0</v>
      </c>
      <c r="N245" s="60">
        <v>19.97</v>
      </c>
      <c r="O245" s="60">
        <v>16.32</v>
      </c>
      <c r="P245" s="60">
        <v>18.54</v>
      </c>
      <c r="Q245" s="60">
        <v>0</v>
      </c>
      <c r="R245" s="60">
        <v>0</v>
      </c>
      <c r="S245" s="60">
        <v>0</v>
      </c>
      <c r="T245" s="60">
        <v>0</v>
      </c>
      <c r="U245" s="60">
        <v>0</v>
      </c>
      <c r="V245" s="60">
        <v>0</v>
      </c>
      <c r="W245" s="60">
        <v>0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149.47</v>
      </c>
      <c r="AD245" s="60">
        <v>159.12</v>
      </c>
      <c r="AE245" s="60">
        <v>167.04</v>
      </c>
      <c r="AF245" s="60">
        <v>0</v>
      </c>
      <c r="AG245" s="60">
        <v>0</v>
      </c>
      <c r="AH245" s="60">
        <v>0</v>
      </c>
      <c r="AI245" s="60">
        <v>332.13</v>
      </c>
      <c r="AJ245" s="60">
        <v>327.48</v>
      </c>
      <c r="AK245" s="60">
        <v>355.26</v>
      </c>
      <c r="AL245" s="60">
        <v>0</v>
      </c>
      <c r="AM245" s="60">
        <v>0</v>
      </c>
      <c r="AN245" s="60">
        <v>0</v>
      </c>
      <c r="AO245" s="60">
        <v>332.13</v>
      </c>
      <c r="AP245" s="60">
        <v>327.48</v>
      </c>
      <c r="AQ245" s="60">
        <v>355.26</v>
      </c>
      <c r="AR245" s="61">
        <v>355.26</v>
      </c>
    </row>
    <row r="246" spans="1:44" x14ac:dyDescent="0.35">
      <c r="A246" s="49" t="str">
        <f t="shared" si="20"/>
        <v>42</v>
      </c>
      <c r="B246" s="27">
        <v>69203</v>
      </c>
      <c r="C246" s="25" t="str">
        <f t="shared" si="18"/>
        <v>0000000</v>
      </c>
      <c r="D246" s="26" t="s">
        <v>3663</v>
      </c>
      <c r="E246" s="25" t="s">
        <v>2642</v>
      </c>
      <c r="F246" s="25" t="s">
        <v>2616</v>
      </c>
      <c r="G246" s="59" t="s">
        <v>2643</v>
      </c>
      <c r="H246" s="60">
        <v>1170.01</v>
      </c>
      <c r="I246" s="60">
        <v>1209.04</v>
      </c>
      <c r="J246" s="60">
        <v>1236.8900000000001</v>
      </c>
      <c r="K246" s="60">
        <v>0</v>
      </c>
      <c r="L246" s="60">
        <v>0</v>
      </c>
      <c r="M246" s="60">
        <v>0</v>
      </c>
      <c r="N246" s="60">
        <v>0</v>
      </c>
      <c r="O246" s="60">
        <v>0</v>
      </c>
      <c r="P246" s="60">
        <v>0</v>
      </c>
      <c r="Q246" s="60">
        <v>0</v>
      </c>
      <c r="R246" s="60">
        <v>0</v>
      </c>
      <c r="S246" s="60">
        <v>0</v>
      </c>
      <c r="T246" s="60">
        <v>0</v>
      </c>
      <c r="U246" s="60">
        <v>0</v>
      </c>
      <c r="V246" s="60">
        <v>0</v>
      </c>
      <c r="W246" s="60">
        <v>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0">
        <v>0</v>
      </c>
      <c r="AE246" s="60">
        <v>0</v>
      </c>
      <c r="AF246" s="60">
        <v>0</v>
      </c>
      <c r="AG246" s="60">
        <v>0</v>
      </c>
      <c r="AH246" s="60">
        <v>0</v>
      </c>
      <c r="AI246" s="60">
        <v>1170.01</v>
      </c>
      <c r="AJ246" s="60">
        <v>1209.04</v>
      </c>
      <c r="AK246" s="60">
        <v>1236.8900000000001</v>
      </c>
      <c r="AL246" s="60">
        <v>0</v>
      </c>
      <c r="AM246" s="60">
        <v>0</v>
      </c>
      <c r="AN246" s="60">
        <v>0</v>
      </c>
      <c r="AO246" s="60">
        <v>1170.01</v>
      </c>
      <c r="AP246" s="60">
        <v>1209.04</v>
      </c>
      <c r="AQ246" s="60">
        <v>1236.8900000000001</v>
      </c>
      <c r="AR246" s="61">
        <v>1236.8900000000001</v>
      </c>
    </row>
    <row r="247" spans="1:44" x14ac:dyDescent="0.35">
      <c r="A247" s="49" t="str">
        <f t="shared" si="20"/>
        <v>42</v>
      </c>
      <c r="B247" s="27">
        <v>69245</v>
      </c>
      <c r="C247" s="25" t="str">
        <f t="shared" si="18"/>
        <v>0000000</v>
      </c>
      <c r="D247" s="26" t="s">
        <v>3663</v>
      </c>
      <c r="E247" s="25" t="s">
        <v>2651</v>
      </c>
      <c r="F247" s="25" t="s">
        <v>2616</v>
      </c>
      <c r="G247" s="59" t="s">
        <v>2652</v>
      </c>
      <c r="H247" s="60">
        <v>148.26</v>
      </c>
      <c r="I247" s="60">
        <v>156.18</v>
      </c>
      <c r="J247" s="60">
        <v>139.75</v>
      </c>
      <c r="K247" s="60">
        <v>0</v>
      </c>
      <c r="L247" s="60">
        <v>0</v>
      </c>
      <c r="M247" s="60">
        <v>0</v>
      </c>
      <c r="N247" s="60">
        <v>0</v>
      </c>
      <c r="O247" s="60">
        <v>0</v>
      </c>
      <c r="P247" s="60">
        <v>0</v>
      </c>
      <c r="Q247" s="60">
        <v>0</v>
      </c>
      <c r="R247" s="60">
        <v>0</v>
      </c>
      <c r="S247" s="60">
        <v>0</v>
      </c>
      <c r="T247" s="60">
        <v>0</v>
      </c>
      <c r="U247" s="60">
        <v>0</v>
      </c>
      <c r="V247" s="60">
        <v>0</v>
      </c>
      <c r="W247" s="60">
        <v>0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0">
        <v>0</v>
      </c>
      <c r="AE247" s="60">
        <v>0</v>
      </c>
      <c r="AF247" s="60">
        <v>0</v>
      </c>
      <c r="AG247" s="60">
        <v>0</v>
      </c>
      <c r="AH247" s="60">
        <v>0</v>
      </c>
      <c r="AI247" s="60">
        <v>148.26</v>
      </c>
      <c r="AJ247" s="60">
        <v>156.18</v>
      </c>
      <c r="AK247" s="60">
        <v>139.75</v>
      </c>
      <c r="AL247" s="60">
        <v>0</v>
      </c>
      <c r="AM247" s="60">
        <v>0</v>
      </c>
      <c r="AN247" s="60">
        <v>0</v>
      </c>
      <c r="AO247" s="60">
        <v>148.26</v>
      </c>
      <c r="AP247" s="60">
        <v>156.18</v>
      </c>
      <c r="AQ247" s="60">
        <v>139.75</v>
      </c>
      <c r="AR247" s="61">
        <v>156.18</v>
      </c>
    </row>
    <row r="248" spans="1:44" x14ac:dyDescent="0.35">
      <c r="A248" s="49" t="str">
        <f t="shared" si="20"/>
        <v>42</v>
      </c>
      <c r="B248" s="27">
        <v>69252</v>
      </c>
      <c r="C248" s="25" t="str">
        <f t="shared" si="18"/>
        <v>0000000</v>
      </c>
      <c r="D248" s="26" t="s">
        <v>3663</v>
      </c>
      <c r="E248" s="25" t="s">
        <v>2653</v>
      </c>
      <c r="F248" s="25" t="s">
        <v>2616</v>
      </c>
      <c r="G248" s="59" t="s">
        <v>2654</v>
      </c>
      <c r="H248" s="60">
        <v>331.41</v>
      </c>
      <c r="I248" s="60">
        <v>359.47</v>
      </c>
      <c r="J248" s="60">
        <v>353.63</v>
      </c>
      <c r="K248" s="60">
        <v>0</v>
      </c>
      <c r="L248" s="60">
        <v>0</v>
      </c>
      <c r="M248" s="60">
        <v>0</v>
      </c>
      <c r="N248" s="60">
        <v>0</v>
      </c>
      <c r="O248" s="60">
        <v>0</v>
      </c>
      <c r="P248" s="60">
        <v>0</v>
      </c>
      <c r="Q248" s="60">
        <v>0</v>
      </c>
      <c r="R248" s="60">
        <v>0</v>
      </c>
      <c r="S248" s="60">
        <v>0</v>
      </c>
      <c r="T248" s="60">
        <v>0</v>
      </c>
      <c r="U248" s="60">
        <v>0</v>
      </c>
      <c r="V248" s="60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0">
        <v>0</v>
      </c>
      <c r="AE248" s="60">
        <v>0</v>
      </c>
      <c r="AF248" s="60">
        <v>0</v>
      </c>
      <c r="AG248" s="60">
        <v>0</v>
      </c>
      <c r="AH248" s="60">
        <v>0</v>
      </c>
      <c r="AI248" s="60">
        <v>331.41</v>
      </c>
      <c r="AJ248" s="60">
        <v>359.47</v>
      </c>
      <c r="AK248" s="60">
        <v>353.63</v>
      </c>
      <c r="AL248" s="60">
        <v>0</v>
      </c>
      <c r="AM248" s="60">
        <v>0</v>
      </c>
      <c r="AN248" s="60">
        <v>0</v>
      </c>
      <c r="AO248" s="60">
        <v>331.41</v>
      </c>
      <c r="AP248" s="60">
        <v>359.47</v>
      </c>
      <c r="AQ248" s="60">
        <v>353.63</v>
      </c>
      <c r="AR248" s="61">
        <v>359.47</v>
      </c>
    </row>
    <row r="249" spans="1:44" x14ac:dyDescent="0.35">
      <c r="A249" s="49" t="str">
        <f t="shared" si="20"/>
        <v>42</v>
      </c>
      <c r="B249" s="27">
        <v>69328</v>
      </c>
      <c r="C249" s="25" t="str">
        <f t="shared" si="18"/>
        <v>0000000</v>
      </c>
      <c r="D249" s="26" t="s">
        <v>3663</v>
      </c>
      <c r="E249" s="25" t="s">
        <v>2659</v>
      </c>
      <c r="F249" s="25" t="s">
        <v>2616</v>
      </c>
      <c r="G249" s="59" t="s">
        <v>2660</v>
      </c>
      <c r="H249" s="60">
        <v>802.14</v>
      </c>
      <c r="I249" s="60">
        <v>791.25</v>
      </c>
      <c r="J249" s="60">
        <v>853.2</v>
      </c>
      <c r="K249" s="60">
        <v>0</v>
      </c>
      <c r="L249" s="60">
        <v>0</v>
      </c>
      <c r="M249" s="60">
        <v>0</v>
      </c>
      <c r="N249" s="60">
        <v>0</v>
      </c>
      <c r="O249" s="60">
        <v>0</v>
      </c>
      <c r="P249" s="60">
        <v>0</v>
      </c>
      <c r="Q249" s="60">
        <v>0</v>
      </c>
      <c r="R249" s="60">
        <v>0</v>
      </c>
      <c r="S249" s="60">
        <v>0</v>
      </c>
      <c r="T249" s="60">
        <v>0</v>
      </c>
      <c r="U249" s="60">
        <v>0</v>
      </c>
      <c r="V249" s="60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0">
        <v>0</v>
      </c>
      <c r="AE249" s="60">
        <v>0</v>
      </c>
      <c r="AF249" s="60">
        <v>0</v>
      </c>
      <c r="AG249" s="60">
        <v>0</v>
      </c>
      <c r="AH249" s="60">
        <v>0</v>
      </c>
      <c r="AI249" s="60">
        <v>802.14</v>
      </c>
      <c r="AJ249" s="60">
        <v>791.25</v>
      </c>
      <c r="AK249" s="60">
        <v>853.2</v>
      </c>
      <c r="AL249" s="60">
        <v>0</v>
      </c>
      <c r="AM249" s="60">
        <v>0</v>
      </c>
      <c r="AN249" s="60">
        <v>0</v>
      </c>
      <c r="AO249" s="60">
        <v>802.14</v>
      </c>
      <c r="AP249" s="60">
        <v>791.25</v>
      </c>
      <c r="AQ249" s="60">
        <v>853.2</v>
      </c>
      <c r="AR249" s="61">
        <v>853.2</v>
      </c>
    </row>
    <row r="250" spans="1:44" x14ac:dyDescent="0.35">
      <c r="A250" s="49" t="str">
        <f t="shared" si="20"/>
        <v>42</v>
      </c>
      <c r="B250" s="27">
        <v>69336</v>
      </c>
      <c r="C250" s="25" t="str">
        <f t="shared" si="18"/>
        <v>0000000</v>
      </c>
      <c r="D250" s="26" t="s">
        <v>3663</v>
      </c>
      <c r="E250" s="25" t="s">
        <v>2661</v>
      </c>
      <c r="F250" s="25" t="s">
        <v>2616</v>
      </c>
      <c r="G250" s="59" t="s">
        <v>2662</v>
      </c>
      <c r="H250" s="60">
        <v>556.55999999999995</v>
      </c>
      <c r="I250" s="60">
        <v>543.03</v>
      </c>
      <c r="J250" s="60">
        <v>600.04</v>
      </c>
      <c r="K250" s="60">
        <v>0</v>
      </c>
      <c r="L250" s="60">
        <v>0</v>
      </c>
      <c r="M250" s="60">
        <v>0</v>
      </c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>
        <v>0</v>
      </c>
      <c r="T250" s="60">
        <v>0</v>
      </c>
      <c r="U250" s="60">
        <v>0</v>
      </c>
      <c r="V250" s="60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0">
        <v>0</v>
      </c>
      <c r="AE250" s="60">
        <v>0</v>
      </c>
      <c r="AF250" s="60">
        <v>0</v>
      </c>
      <c r="AG250" s="60">
        <v>0</v>
      </c>
      <c r="AH250" s="60">
        <v>0</v>
      </c>
      <c r="AI250" s="60">
        <v>556.55999999999995</v>
      </c>
      <c r="AJ250" s="60">
        <v>543.03</v>
      </c>
      <c r="AK250" s="60">
        <v>600.04</v>
      </c>
      <c r="AL250" s="60">
        <v>0</v>
      </c>
      <c r="AM250" s="60">
        <v>0</v>
      </c>
      <c r="AN250" s="60">
        <v>0</v>
      </c>
      <c r="AO250" s="60">
        <v>556.55999999999995</v>
      </c>
      <c r="AP250" s="60">
        <v>543.03</v>
      </c>
      <c r="AQ250" s="60">
        <v>600.04</v>
      </c>
      <c r="AR250" s="61">
        <v>600.04</v>
      </c>
    </row>
    <row r="251" spans="1:44" x14ac:dyDescent="0.35">
      <c r="A251" s="49" t="str">
        <f t="shared" si="20"/>
        <v>42</v>
      </c>
      <c r="B251" s="27">
        <v>69344</v>
      </c>
      <c r="C251" s="25" t="str">
        <f t="shared" si="18"/>
        <v>0000000</v>
      </c>
      <c r="D251" s="26" t="s">
        <v>3663</v>
      </c>
      <c r="E251" s="25" t="s">
        <v>2663</v>
      </c>
      <c r="F251" s="25" t="s">
        <v>2616</v>
      </c>
      <c r="G251" s="59" t="s">
        <v>2664</v>
      </c>
      <c r="H251" s="60">
        <v>25.01</v>
      </c>
      <c r="I251" s="60">
        <v>19.600000000000001</v>
      </c>
      <c r="J251" s="60">
        <v>18.670000000000002</v>
      </c>
      <c r="K251" s="60">
        <v>0</v>
      </c>
      <c r="L251" s="60">
        <v>0</v>
      </c>
      <c r="M251" s="60">
        <v>0</v>
      </c>
      <c r="N251" s="60">
        <v>11.02</v>
      </c>
      <c r="O251" s="60">
        <v>7.37</v>
      </c>
      <c r="P251" s="60">
        <v>4.22</v>
      </c>
      <c r="Q251" s="60">
        <v>0</v>
      </c>
      <c r="R251" s="60">
        <v>0</v>
      </c>
      <c r="S251" s="60">
        <v>0</v>
      </c>
      <c r="T251" s="60">
        <v>0</v>
      </c>
      <c r="U251" s="60">
        <v>0</v>
      </c>
      <c r="V251" s="60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0</v>
      </c>
      <c r="AD251" s="60">
        <v>0</v>
      </c>
      <c r="AE251" s="60">
        <v>0</v>
      </c>
      <c r="AF251" s="60">
        <v>0</v>
      </c>
      <c r="AG251" s="60">
        <v>0</v>
      </c>
      <c r="AH251" s="60">
        <v>0</v>
      </c>
      <c r="AI251" s="60">
        <v>36.03</v>
      </c>
      <c r="AJ251" s="60">
        <v>26.97</v>
      </c>
      <c r="AK251" s="60">
        <v>22.89</v>
      </c>
      <c r="AL251" s="60">
        <v>0</v>
      </c>
      <c r="AM251" s="60">
        <v>0</v>
      </c>
      <c r="AN251" s="60">
        <v>0</v>
      </c>
      <c r="AO251" s="60">
        <v>36.03</v>
      </c>
      <c r="AP251" s="60">
        <v>26.97</v>
      </c>
      <c r="AQ251" s="60">
        <v>22.89</v>
      </c>
      <c r="AR251" s="61">
        <v>36.03</v>
      </c>
    </row>
    <row r="252" spans="1:44" x14ac:dyDescent="0.35">
      <c r="A252" s="49" t="str">
        <f t="shared" si="20"/>
        <v>42</v>
      </c>
      <c r="B252" s="27">
        <v>75010</v>
      </c>
      <c r="C252" s="25" t="str">
        <f t="shared" si="18"/>
        <v>0000000</v>
      </c>
      <c r="D252" s="26" t="s">
        <v>3663</v>
      </c>
      <c r="E252" s="25" t="s">
        <v>2665</v>
      </c>
      <c r="F252" s="25" t="s">
        <v>2616</v>
      </c>
      <c r="G252" s="59" t="s">
        <v>2666</v>
      </c>
      <c r="H252" s="60">
        <v>159.53</v>
      </c>
      <c r="I252" s="60">
        <v>159.18</v>
      </c>
      <c r="J252" s="60">
        <v>190.26</v>
      </c>
      <c r="K252" s="60">
        <v>0</v>
      </c>
      <c r="L252" s="60">
        <v>0</v>
      </c>
      <c r="M252" s="60">
        <v>0</v>
      </c>
      <c r="N252" s="60">
        <v>0</v>
      </c>
      <c r="O252" s="60">
        <v>0</v>
      </c>
      <c r="P252" s="60">
        <v>0</v>
      </c>
      <c r="Q252" s="60">
        <v>0</v>
      </c>
      <c r="R252" s="60">
        <v>0</v>
      </c>
      <c r="S252" s="60">
        <v>0</v>
      </c>
      <c r="T252" s="60">
        <v>0</v>
      </c>
      <c r="U252" s="60">
        <v>0</v>
      </c>
      <c r="V252" s="60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60">
        <v>0</v>
      </c>
      <c r="AE252" s="60">
        <v>0</v>
      </c>
      <c r="AF252" s="60">
        <v>0</v>
      </c>
      <c r="AG252" s="60">
        <v>0</v>
      </c>
      <c r="AH252" s="60">
        <v>0</v>
      </c>
      <c r="AI252" s="60">
        <v>159.53</v>
      </c>
      <c r="AJ252" s="60">
        <v>159.18</v>
      </c>
      <c r="AK252" s="60">
        <v>190.26</v>
      </c>
      <c r="AL252" s="60">
        <v>0</v>
      </c>
      <c r="AM252" s="60">
        <v>0</v>
      </c>
      <c r="AN252" s="60">
        <v>0</v>
      </c>
      <c r="AO252" s="60">
        <v>159.53</v>
      </c>
      <c r="AP252" s="60">
        <v>159.18</v>
      </c>
      <c r="AQ252" s="60">
        <v>190.26</v>
      </c>
      <c r="AR252" s="61">
        <v>190.26</v>
      </c>
    </row>
    <row r="253" spans="1:44" x14ac:dyDescent="0.35">
      <c r="A253" s="49" t="str">
        <f t="shared" si="20"/>
        <v>42</v>
      </c>
      <c r="B253" s="27">
        <v>69112</v>
      </c>
      <c r="C253" s="25" t="str">
        <f>TEXT(111773,"0000000")</f>
        <v>0111773</v>
      </c>
      <c r="D253" s="26" t="s">
        <v>2625</v>
      </c>
      <c r="E253" s="25" t="s">
        <v>2623</v>
      </c>
      <c r="F253" s="25" t="s">
        <v>2616</v>
      </c>
      <c r="G253" s="59" t="s">
        <v>2624</v>
      </c>
      <c r="H253" s="60">
        <v>0</v>
      </c>
      <c r="I253" s="60">
        <v>0</v>
      </c>
      <c r="J253" s="60">
        <v>0</v>
      </c>
      <c r="K253" s="60">
        <v>0</v>
      </c>
      <c r="L253" s="60">
        <v>0</v>
      </c>
      <c r="M253" s="60">
        <v>0</v>
      </c>
      <c r="N253" s="60">
        <v>0</v>
      </c>
      <c r="O253" s="60">
        <v>0</v>
      </c>
      <c r="P253" s="60">
        <v>0</v>
      </c>
      <c r="Q253" s="60">
        <v>0</v>
      </c>
      <c r="R253" s="60">
        <v>0</v>
      </c>
      <c r="S253" s="60">
        <v>0</v>
      </c>
      <c r="T253" s="60">
        <v>0</v>
      </c>
      <c r="U253" s="60">
        <v>0</v>
      </c>
      <c r="V253" s="60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372.49</v>
      </c>
      <c r="AD253" s="60">
        <v>406.19</v>
      </c>
      <c r="AE253" s="60">
        <v>359.1</v>
      </c>
      <c r="AF253" s="60">
        <v>0</v>
      </c>
      <c r="AG253" s="60">
        <v>0</v>
      </c>
      <c r="AH253" s="60">
        <v>0</v>
      </c>
      <c r="AI253" s="60">
        <v>372.49</v>
      </c>
      <c r="AJ253" s="60">
        <v>406.19</v>
      </c>
      <c r="AK253" s="60">
        <v>359.1</v>
      </c>
      <c r="AL253" s="60">
        <v>0</v>
      </c>
      <c r="AM253" s="60">
        <v>0</v>
      </c>
      <c r="AN253" s="60">
        <v>0</v>
      </c>
      <c r="AO253" s="60">
        <v>372.49</v>
      </c>
      <c r="AP253" s="60">
        <v>406.19</v>
      </c>
      <c r="AQ253" s="60">
        <v>359.1</v>
      </c>
      <c r="AR253" s="61">
        <v>406.19</v>
      </c>
    </row>
    <row r="254" spans="1:44" x14ac:dyDescent="0.35">
      <c r="A254" s="49" t="str">
        <f t="shared" si="20"/>
        <v>42</v>
      </c>
      <c r="B254" s="27">
        <v>76786</v>
      </c>
      <c r="C254" s="25" t="str">
        <f>TEXT(,"0000000")</f>
        <v>0000000</v>
      </c>
      <c r="D254" s="26" t="s">
        <v>3663</v>
      </c>
      <c r="E254" s="25" t="s">
        <v>2669</v>
      </c>
      <c r="F254" s="25" t="s">
        <v>2616</v>
      </c>
      <c r="G254" s="59" t="s">
        <v>2670</v>
      </c>
      <c r="H254" s="60">
        <v>11213.85</v>
      </c>
      <c r="I254" s="60">
        <v>11447.95</v>
      </c>
      <c r="J254" s="60">
        <v>12460.77</v>
      </c>
      <c r="K254" s="60">
        <v>0</v>
      </c>
      <c r="L254" s="60">
        <v>0</v>
      </c>
      <c r="M254" s="60">
        <v>0</v>
      </c>
      <c r="N254" s="60">
        <v>0</v>
      </c>
      <c r="O254" s="60">
        <v>0</v>
      </c>
      <c r="P254" s="60">
        <v>0</v>
      </c>
      <c r="Q254" s="60">
        <v>0</v>
      </c>
      <c r="R254" s="60">
        <v>0</v>
      </c>
      <c r="S254" s="60">
        <v>0</v>
      </c>
      <c r="T254" s="60">
        <v>0</v>
      </c>
      <c r="U254" s="60">
        <v>0</v>
      </c>
      <c r="V254" s="60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721.63</v>
      </c>
      <c r="AD254" s="60">
        <v>710.99</v>
      </c>
      <c r="AE254" s="60">
        <v>725.79</v>
      </c>
      <c r="AF254" s="60">
        <v>0</v>
      </c>
      <c r="AG254" s="60">
        <v>0</v>
      </c>
      <c r="AH254" s="60">
        <v>0</v>
      </c>
      <c r="AI254" s="60">
        <v>11935.48</v>
      </c>
      <c r="AJ254" s="60">
        <v>12158.94</v>
      </c>
      <c r="AK254" s="60">
        <v>13186.56</v>
      </c>
      <c r="AL254" s="60">
        <v>0</v>
      </c>
      <c r="AM254" s="60">
        <v>0</v>
      </c>
      <c r="AN254" s="60">
        <v>0</v>
      </c>
      <c r="AO254" s="60">
        <v>11935.48</v>
      </c>
      <c r="AP254" s="60">
        <v>12158.94</v>
      </c>
      <c r="AQ254" s="60">
        <v>13186.56</v>
      </c>
      <c r="AR254" s="61">
        <v>13186.56</v>
      </c>
    </row>
    <row r="255" spans="1:44" x14ac:dyDescent="0.35">
      <c r="A255" s="49" t="str">
        <f t="shared" si="20"/>
        <v>42</v>
      </c>
      <c r="B255" s="27">
        <v>76786</v>
      </c>
      <c r="C255" s="25" t="str">
        <f>TEXT(6111603,"0000000")</f>
        <v>6111603</v>
      </c>
      <c r="D255" s="26" t="s">
        <v>2673</v>
      </c>
      <c r="E255" s="25" t="s">
        <v>2671</v>
      </c>
      <c r="F255" s="25" t="s">
        <v>2616</v>
      </c>
      <c r="G255" s="59" t="s">
        <v>2672</v>
      </c>
      <c r="H255" s="60">
        <v>0</v>
      </c>
      <c r="I255" s="60">
        <v>0</v>
      </c>
      <c r="J255" s="60">
        <v>0</v>
      </c>
      <c r="K255" s="60">
        <v>0</v>
      </c>
      <c r="L255" s="60">
        <v>0</v>
      </c>
      <c r="M255" s="60">
        <v>0</v>
      </c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>
        <v>0</v>
      </c>
      <c r="T255" s="60">
        <v>0</v>
      </c>
      <c r="U255" s="60">
        <v>0</v>
      </c>
      <c r="V255" s="60">
        <v>0</v>
      </c>
      <c r="W255" s="60">
        <v>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264.52</v>
      </c>
      <c r="AD255" s="60">
        <v>256.94</v>
      </c>
      <c r="AE255" s="60">
        <v>272.18</v>
      </c>
      <c r="AF255" s="60">
        <v>0</v>
      </c>
      <c r="AG255" s="60">
        <v>0</v>
      </c>
      <c r="AH255" s="60">
        <v>0</v>
      </c>
      <c r="AI255" s="60">
        <v>264.52</v>
      </c>
      <c r="AJ255" s="60">
        <v>256.94</v>
      </c>
      <c r="AK255" s="60">
        <v>272.18</v>
      </c>
      <c r="AL255" s="60">
        <v>0</v>
      </c>
      <c r="AM255" s="60">
        <v>0</v>
      </c>
      <c r="AN255" s="60">
        <v>0</v>
      </c>
      <c r="AO255" s="60">
        <v>264.52</v>
      </c>
      <c r="AP255" s="60">
        <v>256.94</v>
      </c>
      <c r="AQ255" s="60">
        <v>272.18</v>
      </c>
      <c r="AR255" s="61">
        <v>272.18</v>
      </c>
    </row>
    <row r="256" spans="1:44" x14ac:dyDescent="0.35">
      <c r="A256" s="49" t="str">
        <f t="shared" si="20"/>
        <v>42</v>
      </c>
      <c r="B256" s="27">
        <v>69229</v>
      </c>
      <c r="C256" s="25" t="str">
        <f>TEXT(116921,"0000000")</f>
        <v>0116921</v>
      </c>
      <c r="D256" s="26" t="s">
        <v>2650</v>
      </c>
      <c r="E256" s="25" t="s">
        <v>2648</v>
      </c>
      <c r="F256" s="25" t="s">
        <v>2616</v>
      </c>
      <c r="G256" s="59" t="s">
        <v>2649</v>
      </c>
      <c r="H256" s="60">
        <v>0</v>
      </c>
      <c r="I256" s="60">
        <v>0</v>
      </c>
      <c r="J256" s="60">
        <v>0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  <c r="P256" s="60">
        <v>0</v>
      </c>
      <c r="Q256" s="60">
        <v>0</v>
      </c>
      <c r="R256" s="60">
        <v>0</v>
      </c>
      <c r="S256" s="60">
        <v>0</v>
      </c>
      <c r="T256" s="60">
        <v>0</v>
      </c>
      <c r="U256" s="60">
        <v>0</v>
      </c>
      <c r="V256" s="60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424.74</v>
      </c>
      <c r="AD256" s="60">
        <v>407.48</v>
      </c>
      <c r="AE256" s="60">
        <v>404.44</v>
      </c>
      <c r="AF256" s="60">
        <v>0</v>
      </c>
      <c r="AG256" s="60">
        <v>0</v>
      </c>
      <c r="AH256" s="60">
        <v>0</v>
      </c>
      <c r="AI256" s="60">
        <v>424.74</v>
      </c>
      <c r="AJ256" s="60">
        <v>407.48</v>
      </c>
      <c r="AK256" s="60">
        <v>404.44</v>
      </c>
      <c r="AL256" s="60">
        <v>0</v>
      </c>
      <c r="AM256" s="60">
        <v>0</v>
      </c>
      <c r="AN256" s="60">
        <v>0</v>
      </c>
      <c r="AO256" s="60">
        <v>424.74</v>
      </c>
      <c r="AP256" s="60">
        <v>407.48</v>
      </c>
      <c r="AQ256" s="60">
        <v>404.44</v>
      </c>
      <c r="AR256" s="61">
        <v>424.74</v>
      </c>
    </row>
    <row r="257" spans="1:44" x14ac:dyDescent="0.35">
      <c r="A257" s="49" t="str">
        <f t="shared" si="20"/>
        <v>42</v>
      </c>
      <c r="B257" s="27">
        <v>76786</v>
      </c>
      <c r="C257" s="25" t="str">
        <f>TEXT(6118202,"0000000")</f>
        <v>6118202</v>
      </c>
      <c r="D257" s="26" t="s">
        <v>2676</v>
      </c>
      <c r="E257" s="25" t="s">
        <v>2674</v>
      </c>
      <c r="F257" s="25" t="s">
        <v>2616</v>
      </c>
      <c r="G257" s="59" t="s">
        <v>2675</v>
      </c>
      <c r="H257" s="60">
        <v>0</v>
      </c>
      <c r="I257" s="60">
        <v>0</v>
      </c>
      <c r="J257" s="60">
        <v>0</v>
      </c>
      <c r="K257" s="60">
        <v>0</v>
      </c>
      <c r="L257" s="60">
        <v>0</v>
      </c>
      <c r="M257" s="60">
        <v>0</v>
      </c>
      <c r="N257" s="60">
        <v>0</v>
      </c>
      <c r="O257" s="60">
        <v>0</v>
      </c>
      <c r="P257" s="60">
        <v>0</v>
      </c>
      <c r="Q257" s="60">
        <v>0</v>
      </c>
      <c r="R257" s="60">
        <v>0</v>
      </c>
      <c r="S257" s="60">
        <v>0</v>
      </c>
      <c r="T257" s="60">
        <v>0</v>
      </c>
      <c r="U257" s="60">
        <v>0</v>
      </c>
      <c r="V257" s="60">
        <v>0</v>
      </c>
      <c r="W257" s="60">
        <v>0</v>
      </c>
      <c r="X257" s="60">
        <v>0</v>
      </c>
      <c r="Y257" s="60">
        <v>0</v>
      </c>
      <c r="Z257" s="60">
        <v>0</v>
      </c>
      <c r="AA257" s="60">
        <v>0</v>
      </c>
      <c r="AB257" s="60">
        <v>0</v>
      </c>
      <c r="AC257" s="60">
        <v>273.39</v>
      </c>
      <c r="AD257" s="60">
        <v>272.5</v>
      </c>
      <c r="AE257" s="60">
        <v>287.41000000000003</v>
      </c>
      <c r="AF257" s="60">
        <v>0</v>
      </c>
      <c r="AG257" s="60">
        <v>0</v>
      </c>
      <c r="AH257" s="60">
        <v>0</v>
      </c>
      <c r="AI257" s="60">
        <v>273.39</v>
      </c>
      <c r="AJ257" s="60">
        <v>272.5</v>
      </c>
      <c r="AK257" s="60">
        <v>287.41000000000003</v>
      </c>
      <c r="AL257" s="60">
        <v>0</v>
      </c>
      <c r="AM257" s="60">
        <v>0</v>
      </c>
      <c r="AN257" s="60">
        <v>0</v>
      </c>
      <c r="AO257" s="60">
        <v>273.39</v>
      </c>
      <c r="AP257" s="60">
        <v>272.5</v>
      </c>
      <c r="AQ257" s="60">
        <v>287.41000000000003</v>
      </c>
      <c r="AR257" s="61">
        <v>287.41000000000003</v>
      </c>
    </row>
    <row r="258" spans="1:44" x14ac:dyDescent="0.35">
      <c r="A258" s="49" t="str">
        <f t="shared" ref="A258:A282" si="21">TEXT(27,"00")</f>
        <v>27</v>
      </c>
      <c r="B258" s="27">
        <v>10272</v>
      </c>
      <c r="C258" s="25" t="str">
        <f t="shared" ref="C258:C289" si="22">TEXT(,"0000000")</f>
        <v>0000000</v>
      </c>
      <c r="D258" s="26" t="s">
        <v>3663</v>
      </c>
      <c r="E258" s="25" t="s">
        <v>1379</v>
      </c>
      <c r="F258" s="25" t="s">
        <v>1380</v>
      </c>
      <c r="G258" s="59" t="s">
        <v>1380</v>
      </c>
      <c r="H258" s="60">
        <v>0</v>
      </c>
      <c r="I258" s="60">
        <v>0</v>
      </c>
      <c r="J258" s="60">
        <v>0</v>
      </c>
      <c r="K258" s="60">
        <v>0</v>
      </c>
      <c r="L258" s="60">
        <v>0</v>
      </c>
      <c r="M258" s="60">
        <v>0</v>
      </c>
      <c r="N258" s="60">
        <v>0</v>
      </c>
      <c r="O258" s="60">
        <v>0</v>
      </c>
      <c r="P258" s="60">
        <v>0</v>
      </c>
      <c r="Q258" s="60">
        <v>0</v>
      </c>
      <c r="R258" s="60">
        <v>0</v>
      </c>
      <c r="S258" s="60">
        <v>0</v>
      </c>
      <c r="T258" s="60">
        <v>90.61</v>
      </c>
      <c r="U258" s="60">
        <v>77.94</v>
      </c>
      <c r="V258" s="60">
        <v>199.25</v>
      </c>
      <c r="W258" s="60">
        <v>273.36</v>
      </c>
      <c r="X258" s="60">
        <v>308.99</v>
      </c>
      <c r="Y258" s="60">
        <v>307.49</v>
      </c>
      <c r="Z258" s="60">
        <v>284.24</v>
      </c>
      <c r="AA258" s="60">
        <v>282.33999999999997</v>
      </c>
      <c r="AB258" s="60">
        <v>298.44</v>
      </c>
      <c r="AC258" s="60">
        <v>0</v>
      </c>
      <c r="AD258" s="60">
        <v>0</v>
      </c>
      <c r="AE258" s="60">
        <v>0</v>
      </c>
      <c r="AF258" s="60">
        <v>0</v>
      </c>
      <c r="AG258" s="60">
        <v>0</v>
      </c>
      <c r="AH258" s="60">
        <v>0</v>
      </c>
      <c r="AI258" s="60">
        <v>648.21</v>
      </c>
      <c r="AJ258" s="60">
        <v>669.27</v>
      </c>
      <c r="AK258" s="60">
        <v>805.18</v>
      </c>
      <c r="AL258" s="60">
        <v>0</v>
      </c>
      <c r="AM258" s="60">
        <v>0</v>
      </c>
      <c r="AN258" s="60">
        <v>0</v>
      </c>
      <c r="AO258" s="60">
        <v>648.21</v>
      </c>
      <c r="AP258" s="60">
        <v>669.27</v>
      </c>
      <c r="AQ258" s="60">
        <v>805.18</v>
      </c>
      <c r="AR258" s="61">
        <v>805.18</v>
      </c>
    </row>
    <row r="259" spans="1:44" x14ac:dyDescent="0.35">
      <c r="A259" s="49" t="str">
        <f t="shared" si="21"/>
        <v>27</v>
      </c>
      <c r="B259" s="27">
        <v>65961</v>
      </c>
      <c r="C259" s="25" t="str">
        <f t="shared" si="22"/>
        <v>0000000</v>
      </c>
      <c r="D259" s="26" t="s">
        <v>3663</v>
      </c>
      <c r="E259" s="25" t="s">
        <v>1389</v>
      </c>
      <c r="F259" s="25" t="s">
        <v>1380</v>
      </c>
      <c r="G259" s="59" t="s">
        <v>1390</v>
      </c>
      <c r="H259" s="60">
        <v>6971.61</v>
      </c>
      <c r="I259" s="60">
        <v>7120.18</v>
      </c>
      <c r="J259" s="60">
        <v>8221.59</v>
      </c>
      <c r="K259" s="60">
        <v>0</v>
      </c>
      <c r="L259" s="60">
        <v>0</v>
      </c>
      <c r="M259" s="60">
        <v>0</v>
      </c>
      <c r="N259" s="60">
        <v>0</v>
      </c>
      <c r="O259" s="60">
        <v>0</v>
      </c>
      <c r="P259" s="60">
        <v>0</v>
      </c>
      <c r="Q259" s="60">
        <v>0</v>
      </c>
      <c r="R259" s="60">
        <v>0</v>
      </c>
      <c r="S259" s="60">
        <v>0</v>
      </c>
      <c r="T259" s="60">
        <v>0</v>
      </c>
      <c r="U259" s="60">
        <v>0</v>
      </c>
      <c r="V259" s="60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0">
        <v>0</v>
      </c>
      <c r="AE259" s="60">
        <v>0</v>
      </c>
      <c r="AF259" s="60">
        <v>0</v>
      </c>
      <c r="AG259" s="60">
        <v>0</v>
      </c>
      <c r="AH259" s="60">
        <v>0</v>
      </c>
      <c r="AI259" s="60">
        <v>6971.61</v>
      </c>
      <c r="AJ259" s="60">
        <v>7120.18</v>
      </c>
      <c r="AK259" s="60">
        <v>8221.59</v>
      </c>
      <c r="AL259" s="60">
        <v>0</v>
      </c>
      <c r="AM259" s="60">
        <v>0</v>
      </c>
      <c r="AN259" s="60">
        <v>0</v>
      </c>
      <c r="AO259" s="60">
        <v>6971.61</v>
      </c>
      <c r="AP259" s="60">
        <v>7120.18</v>
      </c>
      <c r="AQ259" s="60">
        <v>8221.59</v>
      </c>
      <c r="AR259" s="61">
        <v>8221.59</v>
      </c>
    </row>
    <row r="260" spans="1:44" x14ac:dyDescent="0.35">
      <c r="A260" s="49" t="str">
        <f t="shared" si="21"/>
        <v>27</v>
      </c>
      <c r="B260" s="27">
        <v>65995</v>
      </c>
      <c r="C260" s="25" t="str">
        <f t="shared" si="22"/>
        <v>0000000</v>
      </c>
      <c r="D260" s="26" t="s">
        <v>3663</v>
      </c>
      <c r="E260" s="25" t="s">
        <v>1395</v>
      </c>
      <c r="F260" s="25" t="s">
        <v>1380</v>
      </c>
      <c r="G260" s="59" t="s">
        <v>1396</v>
      </c>
      <c r="H260" s="60">
        <v>245.26</v>
      </c>
      <c r="I260" s="60">
        <v>251.71</v>
      </c>
      <c r="J260" s="60">
        <v>284.42</v>
      </c>
      <c r="K260" s="60">
        <v>0</v>
      </c>
      <c r="L260" s="60">
        <v>0</v>
      </c>
      <c r="M260" s="60">
        <v>0</v>
      </c>
      <c r="N260" s="60">
        <v>0</v>
      </c>
      <c r="O260" s="60">
        <v>0</v>
      </c>
      <c r="P260" s="60">
        <v>0</v>
      </c>
      <c r="Q260" s="60">
        <v>0</v>
      </c>
      <c r="R260" s="60">
        <v>0</v>
      </c>
      <c r="S260" s="60">
        <v>0</v>
      </c>
      <c r="T260" s="60">
        <v>0</v>
      </c>
      <c r="U260" s="60">
        <v>0</v>
      </c>
      <c r="V260" s="60">
        <v>0</v>
      </c>
      <c r="W260" s="60">
        <v>0</v>
      </c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0">
        <v>0</v>
      </c>
      <c r="AE260" s="60">
        <v>0</v>
      </c>
      <c r="AF260" s="60">
        <v>0</v>
      </c>
      <c r="AG260" s="60">
        <v>0</v>
      </c>
      <c r="AH260" s="60">
        <v>0</v>
      </c>
      <c r="AI260" s="60">
        <v>245.26</v>
      </c>
      <c r="AJ260" s="60">
        <v>251.71</v>
      </c>
      <c r="AK260" s="60">
        <v>284.42</v>
      </c>
      <c r="AL260" s="60">
        <v>0</v>
      </c>
      <c r="AM260" s="60">
        <v>0</v>
      </c>
      <c r="AN260" s="60">
        <v>0</v>
      </c>
      <c r="AO260" s="60">
        <v>245.26</v>
      </c>
      <c r="AP260" s="60">
        <v>251.71</v>
      </c>
      <c r="AQ260" s="60">
        <v>284.42</v>
      </c>
      <c r="AR260" s="61">
        <v>284.42</v>
      </c>
    </row>
    <row r="261" spans="1:44" x14ac:dyDescent="0.35">
      <c r="A261" s="49" t="str">
        <f t="shared" si="21"/>
        <v>27</v>
      </c>
      <c r="B261" s="27">
        <v>66035</v>
      </c>
      <c r="C261" s="25" t="str">
        <f t="shared" si="22"/>
        <v>0000000</v>
      </c>
      <c r="D261" s="26" t="s">
        <v>3663</v>
      </c>
      <c r="E261" s="25" t="s">
        <v>1399</v>
      </c>
      <c r="F261" s="25" t="s">
        <v>1380</v>
      </c>
      <c r="G261" s="59" t="s">
        <v>1400</v>
      </c>
      <c r="H261" s="60">
        <v>3187.15</v>
      </c>
      <c r="I261" s="60">
        <v>3209.46</v>
      </c>
      <c r="J261" s="60">
        <v>3412.82</v>
      </c>
      <c r="K261" s="60">
        <v>0</v>
      </c>
      <c r="L261" s="60">
        <v>0</v>
      </c>
      <c r="M261" s="60">
        <v>0</v>
      </c>
      <c r="N261" s="60">
        <v>0</v>
      </c>
      <c r="O261" s="60">
        <v>0</v>
      </c>
      <c r="P261" s="60">
        <v>0</v>
      </c>
      <c r="Q261" s="60">
        <v>0</v>
      </c>
      <c r="R261" s="60">
        <v>0</v>
      </c>
      <c r="S261" s="60">
        <v>0</v>
      </c>
      <c r="T261" s="60">
        <v>0</v>
      </c>
      <c r="U261" s="60">
        <v>0</v>
      </c>
      <c r="V261" s="60">
        <v>0</v>
      </c>
      <c r="W261" s="60">
        <v>0</v>
      </c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0">
        <v>0</v>
      </c>
      <c r="AD261" s="60">
        <v>0</v>
      </c>
      <c r="AE261" s="60">
        <v>0</v>
      </c>
      <c r="AF261" s="60">
        <v>0</v>
      </c>
      <c r="AG261" s="60">
        <v>0</v>
      </c>
      <c r="AH261" s="60">
        <v>0</v>
      </c>
      <c r="AI261" s="60">
        <v>3187.15</v>
      </c>
      <c r="AJ261" s="60">
        <v>3209.46</v>
      </c>
      <c r="AK261" s="60">
        <v>3412.82</v>
      </c>
      <c r="AL261" s="60">
        <v>0</v>
      </c>
      <c r="AM261" s="60">
        <v>0</v>
      </c>
      <c r="AN261" s="60">
        <v>0</v>
      </c>
      <c r="AO261" s="60">
        <v>3187.15</v>
      </c>
      <c r="AP261" s="60">
        <v>3209.46</v>
      </c>
      <c r="AQ261" s="60">
        <v>3412.82</v>
      </c>
      <c r="AR261" s="61">
        <v>3412.82</v>
      </c>
    </row>
    <row r="262" spans="1:44" x14ac:dyDescent="0.35">
      <c r="A262" s="49" t="str">
        <f t="shared" si="21"/>
        <v>27</v>
      </c>
      <c r="B262" s="27">
        <v>66050</v>
      </c>
      <c r="C262" s="25" t="str">
        <f t="shared" si="22"/>
        <v>0000000</v>
      </c>
      <c r="D262" s="26" t="s">
        <v>3663</v>
      </c>
      <c r="E262" s="25" t="s">
        <v>1401</v>
      </c>
      <c r="F262" s="25" t="s">
        <v>1380</v>
      </c>
      <c r="G262" s="59" t="s">
        <v>1402</v>
      </c>
      <c r="H262" s="60">
        <v>2370.7800000000002</v>
      </c>
      <c r="I262" s="60">
        <v>2260.48</v>
      </c>
      <c r="J262" s="60">
        <v>2523.42</v>
      </c>
      <c r="K262" s="60">
        <v>0</v>
      </c>
      <c r="L262" s="60">
        <v>0</v>
      </c>
      <c r="M262" s="60">
        <v>0</v>
      </c>
      <c r="N262" s="60">
        <v>0</v>
      </c>
      <c r="O262" s="60">
        <v>0</v>
      </c>
      <c r="P262" s="60">
        <v>0</v>
      </c>
      <c r="Q262" s="60">
        <v>0</v>
      </c>
      <c r="R262" s="60">
        <v>0</v>
      </c>
      <c r="S262" s="60">
        <v>0</v>
      </c>
      <c r="T262" s="60">
        <v>0</v>
      </c>
      <c r="U262" s="60">
        <v>0</v>
      </c>
      <c r="V262" s="60">
        <v>0</v>
      </c>
      <c r="W262" s="60">
        <v>0</v>
      </c>
      <c r="X262" s="60">
        <v>0</v>
      </c>
      <c r="Y262" s="60">
        <v>0</v>
      </c>
      <c r="Z262" s="60">
        <v>0</v>
      </c>
      <c r="AA262" s="60">
        <v>0</v>
      </c>
      <c r="AB262" s="60">
        <v>0</v>
      </c>
      <c r="AC262" s="60">
        <v>0</v>
      </c>
      <c r="AD262" s="60">
        <v>0</v>
      </c>
      <c r="AE262" s="60">
        <v>0</v>
      </c>
      <c r="AF262" s="60">
        <v>0</v>
      </c>
      <c r="AG262" s="60">
        <v>0</v>
      </c>
      <c r="AH262" s="60">
        <v>0</v>
      </c>
      <c r="AI262" s="60">
        <v>2370.7800000000002</v>
      </c>
      <c r="AJ262" s="60">
        <v>2260.48</v>
      </c>
      <c r="AK262" s="60">
        <v>2523.42</v>
      </c>
      <c r="AL262" s="60">
        <v>0</v>
      </c>
      <c r="AM262" s="60">
        <v>0</v>
      </c>
      <c r="AN262" s="60">
        <v>0</v>
      </c>
      <c r="AO262" s="60">
        <v>2370.7800000000002</v>
      </c>
      <c r="AP262" s="60">
        <v>2260.48</v>
      </c>
      <c r="AQ262" s="60">
        <v>2523.42</v>
      </c>
      <c r="AR262" s="61">
        <v>2523.42</v>
      </c>
    </row>
    <row r="263" spans="1:44" x14ac:dyDescent="0.35">
      <c r="A263" s="49" t="str">
        <f t="shared" si="21"/>
        <v>27</v>
      </c>
      <c r="B263" s="27">
        <v>66142</v>
      </c>
      <c r="C263" s="25" t="str">
        <f t="shared" si="22"/>
        <v>0000000</v>
      </c>
      <c r="D263" s="26" t="s">
        <v>3663</v>
      </c>
      <c r="E263" s="25" t="s">
        <v>1419</v>
      </c>
      <c r="F263" s="25" t="s">
        <v>1380</v>
      </c>
      <c r="G263" s="59" t="s">
        <v>1420</v>
      </c>
      <c r="H263" s="60">
        <v>7543.04</v>
      </c>
      <c r="I263" s="60">
        <v>7294.72</v>
      </c>
      <c r="J263" s="60">
        <v>8156.43</v>
      </c>
      <c r="K263" s="60">
        <v>0</v>
      </c>
      <c r="L263" s="60">
        <v>0</v>
      </c>
      <c r="M263" s="60">
        <v>0</v>
      </c>
      <c r="N263" s="60">
        <v>0</v>
      </c>
      <c r="O263" s="60">
        <v>0</v>
      </c>
      <c r="P263" s="60">
        <v>0</v>
      </c>
      <c r="Q263" s="60">
        <v>0</v>
      </c>
      <c r="R263" s="60">
        <v>0</v>
      </c>
      <c r="S263" s="60">
        <v>0</v>
      </c>
      <c r="T263" s="60">
        <v>0</v>
      </c>
      <c r="U263" s="60">
        <v>0</v>
      </c>
      <c r="V263" s="60">
        <v>0</v>
      </c>
      <c r="W263" s="60">
        <v>0</v>
      </c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0">
        <v>0</v>
      </c>
      <c r="AD263" s="60">
        <v>0</v>
      </c>
      <c r="AE263" s="60">
        <v>0</v>
      </c>
      <c r="AF263" s="60">
        <v>0</v>
      </c>
      <c r="AG263" s="60">
        <v>0</v>
      </c>
      <c r="AH263" s="60">
        <v>0</v>
      </c>
      <c r="AI263" s="60">
        <v>7543.04</v>
      </c>
      <c r="AJ263" s="60">
        <v>7294.72</v>
      </c>
      <c r="AK263" s="60">
        <v>8156.43</v>
      </c>
      <c r="AL263" s="60">
        <v>0</v>
      </c>
      <c r="AM263" s="60">
        <v>0</v>
      </c>
      <c r="AN263" s="60">
        <v>0</v>
      </c>
      <c r="AO263" s="60">
        <v>7543.04</v>
      </c>
      <c r="AP263" s="60">
        <v>7294.72</v>
      </c>
      <c r="AQ263" s="60">
        <v>8156.43</v>
      </c>
      <c r="AR263" s="61">
        <v>8156.43</v>
      </c>
    </row>
    <row r="264" spans="1:44" x14ac:dyDescent="0.35">
      <c r="A264" s="49" t="str">
        <f t="shared" si="21"/>
        <v>27</v>
      </c>
      <c r="B264" s="27">
        <v>66167</v>
      </c>
      <c r="C264" s="25" t="str">
        <f t="shared" si="22"/>
        <v>0000000</v>
      </c>
      <c r="D264" s="26" t="s">
        <v>3663</v>
      </c>
      <c r="E264" s="25" t="s">
        <v>1423</v>
      </c>
      <c r="F264" s="25" t="s">
        <v>1380</v>
      </c>
      <c r="G264" s="59" t="s">
        <v>1424</v>
      </c>
      <c r="H264" s="60">
        <v>121.03</v>
      </c>
      <c r="I264" s="60">
        <v>119.8</v>
      </c>
      <c r="J264" s="60">
        <v>126.44</v>
      </c>
      <c r="K264" s="60">
        <v>0</v>
      </c>
      <c r="L264" s="60">
        <v>0</v>
      </c>
      <c r="M264" s="60">
        <v>0</v>
      </c>
      <c r="N264" s="60">
        <v>0</v>
      </c>
      <c r="O264" s="60">
        <v>0</v>
      </c>
      <c r="P264" s="60">
        <v>0</v>
      </c>
      <c r="Q264" s="60">
        <v>0</v>
      </c>
      <c r="R264" s="60">
        <v>0</v>
      </c>
      <c r="S264" s="60">
        <v>0</v>
      </c>
      <c r="T264" s="60">
        <v>0</v>
      </c>
      <c r="U264" s="60">
        <v>0</v>
      </c>
      <c r="V264" s="60">
        <v>0</v>
      </c>
      <c r="W264" s="60">
        <v>0</v>
      </c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0">
        <v>0</v>
      </c>
      <c r="AE264" s="60">
        <v>0</v>
      </c>
      <c r="AF264" s="60">
        <v>0</v>
      </c>
      <c r="AG264" s="60">
        <v>0</v>
      </c>
      <c r="AH264" s="60">
        <v>0</v>
      </c>
      <c r="AI264" s="60">
        <v>121.03</v>
      </c>
      <c r="AJ264" s="60">
        <v>119.8</v>
      </c>
      <c r="AK264" s="60">
        <v>126.44</v>
      </c>
      <c r="AL264" s="60">
        <v>0</v>
      </c>
      <c r="AM264" s="60">
        <v>0</v>
      </c>
      <c r="AN264" s="60">
        <v>0</v>
      </c>
      <c r="AO264" s="60">
        <v>121.03</v>
      </c>
      <c r="AP264" s="60">
        <v>119.8</v>
      </c>
      <c r="AQ264" s="60">
        <v>126.44</v>
      </c>
      <c r="AR264" s="61">
        <v>126.44</v>
      </c>
    </row>
    <row r="265" spans="1:44" x14ac:dyDescent="0.35">
      <c r="A265" s="49" t="str">
        <f t="shared" si="21"/>
        <v>27</v>
      </c>
      <c r="B265" s="27">
        <v>66191</v>
      </c>
      <c r="C265" s="25" t="str">
        <f t="shared" si="22"/>
        <v>0000000</v>
      </c>
      <c r="D265" s="26" t="s">
        <v>3663</v>
      </c>
      <c r="E265" s="25" t="s">
        <v>1429</v>
      </c>
      <c r="F265" s="25" t="s">
        <v>1380</v>
      </c>
      <c r="G265" s="59" t="s">
        <v>1430</v>
      </c>
      <c r="H265" s="60">
        <v>2989.13</v>
      </c>
      <c r="I265" s="60">
        <v>3015.9</v>
      </c>
      <c r="J265" s="60">
        <v>3444.65</v>
      </c>
      <c r="K265" s="60">
        <v>0</v>
      </c>
      <c r="L265" s="60">
        <v>0</v>
      </c>
      <c r="M265" s="60">
        <v>0</v>
      </c>
      <c r="N265" s="60">
        <v>0</v>
      </c>
      <c r="O265" s="60">
        <v>0</v>
      </c>
      <c r="P265" s="60">
        <v>0</v>
      </c>
      <c r="Q265" s="60">
        <v>0</v>
      </c>
      <c r="R265" s="60">
        <v>0</v>
      </c>
      <c r="S265" s="60">
        <v>0</v>
      </c>
      <c r="T265" s="60">
        <v>0</v>
      </c>
      <c r="U265" s="60">
        <v>0</v>
      </c>
      <c r="V265" s="60">
        <v>0</v>
      </c>
      <c r="W265" s="60">
        <v>0</v>
      </c>
      <c r="X265" s="60">
        <v>0</v>
      </c>
      <c r="Y265" s="60">
        <v>0</v>
      </c>
      <c r="Z265" s="60">
        <v>0</v>
      </c>
      <c r="AA265" s="60">
        <v>0</v>
      </c>
      <c r="AB265" s="60">
        <v>0</v>
      </c>
      <c r="AC265" s="60">
        <v>0</v>
      </c>
      <c r="AD265" s="60">
        <v>0</v>
      </c>
      <c r="AE265" s="60">
        <v>0</v>
      </c>
      <c r="AF265" s="60">
        <v>0</v>
      </c>
      <c r="AG265" s="60">
        <v>0</v>
      </c>
      <c r="AH265" s="60">
        <v>0</v>
      </c>
      <c r="AI265" s="60">
        <v>2989.13</v>
      </c>
      <c r="AJ265" s="60">
        <v>3015.9</v>
      </c>
      <c r="AK265" s="60">
        <v>3444.65</v>
      </c>
      <c r="AL265" s="60">
        <v>0</v>
      </c>
      <c r="AM265" s="60">
        <v>0</v>
      </c>
      <c r="AN265" s="60">
        <v>0</v>
      </c>
      <c r="AO265" s="60">
        <v>2989.13</v>
      </c>
      <c r="AP265" s="60">
        <v>3015.9</v>
      </c>
      <c r="AQ265" s="60">
        <v>3444.65</v>
      </c>
      <c r="AR265" s="61">
        <v>3444.65</v>
      </c>
    </row>
    <row r="266" spans="1:44" x14ac:dyDescent="0.35">
      <c r="A266" s="49" t="str">
        <f t="shared" si="21"/>
        <v>27</v>
      </c>
      <c r="B266" s="27">
        <v>66225</v>
      </c>
      <c r="C266" s="25" t="str">
        <f t="shared" si="22"/>
        <v>0000000</v>
      </c>
      <c r="D266" s="26" t="s">
        <v>3663</v>
      </c>
      <c r="E266" s="25" t="s">
        <v>1431</v>
      </c>
      <c r="F266" s="25" t="s">
        <v>1380</v>
      </c>
      <c r="G266" s="59" t="s">
        <v>1432</v>
      </c>
      <c r="H266" s="60">
        <v>863.74</v>
      </c>
      <c r="I266" s="60">
        <v>875.64</v>
      </c>
      <c r="J266" s="60">
        <v>958.7</v>
      </c>
      <c r="K266" s="60">
        <v>0</v>
      </c>
      <c r="L266" s="60">
        <v>0</v>
      </c>
      <c r="M266" s="60">
        <v>0</v>
      </c>
      <c r="N266" s="60">
        <v>0</v>
      </c>
      <c r="O266" s="60">
        <v>0</v>
      </c>
      <c r="P266" s="60">
        <v>0</v>
      </c>
      <c r="Q266" s="60">
        <v>0</v>
      </c>
      <c r="R266" s="60">
        <v>0</v>
      </c>
      <c r="S266" s="60">
        <v>0</v>
      </c>
      <c r="T266" s="60">
        <v>0</v>
      </c>
      <c r="U266" s="60">
        <v>0</v>
      </c>
      <c r="V266" s="60">
        <v>0</v>
      </c>
      <c r="W266" s="60">
        <v>0</v>
      </c>
      <c r="X266" s="60">
        <v>0</v>
      </c>
      <c r="Y266" s="60">
        <v>0</v>
      </c>
      <c r="Z266" s="60">
        <v>0</v>
      </c>
      <c r="AA266" s="60">
        <v>0</v>
      </c>
      <c r="AB266" s="60">
        <v>0</v>
      </c>
      <c r="AC266" s="60">
        <v>0</v>
      </c>
      <c r="AD266" s="60">
        <v>0</v>
      </c>
      <c r="AE266" s="60">
        <v>0</v>
      </c>
      <c r="AF266" s="60">
        <v>0</v>
      </c>
      <c r="AG266" s="60">
        <v>0</v>
      </c>
      <c r="AH266" s="60">
        <v>0</v>
      </c>
      <c r="AI266" s="60">
        <v>863.74</v>
      </c>
      <c r="AJ266" s="60">
        <v>875.64</v>
      </c>
      <c r="AK266" s="60">
        <v>958.7</v>
      </c>
      <c r="AL266" s="60">
        <v>0</v>
      </c>
      <c r="AM266" s="60">
        <v>0</v>
      </c>
      <c r="AN266" s="60">
        <v>0</v>
      </c>
      <c r="AO266" s="60">
        <v>863.74</v>
      </c>
      <c r="AP266" s="60">
        <v>875.64</v>
      </c>
      <c r="AQ266" s="60">
        <v>958.7</v>
      </c>
      <c r="AR266" s="61">
        <v>958.7</v>
      </c>
    </row>
    <row r="267" spans="1:44" x14ac:dyDescent="0.35">
      <c r="A267" s="49" t="str">
        <f t="shared" si="21"/>
        <v>27</v>
      </c>
      <c r="B267" s="27">
        <v>66233</v>
      </c>
      <c r="C267" s="25" t="str">
        <f t="shared" si="22"/>
        <v>0000000</v>
      </c>
      <c r="D267" s="26" t="s">
        <v>3663</v>
      </c>
      <c r="E267" s="25" t="s">
        <v>1433</v>
      </c>
      <c r="F267" s="25" t="s">
        <v>1380</v>
      </c>
      <c r="G267" s="59" t="s">
        <v>1434</v>
      </c>
      <c r="H267" s="60">
        <v>690.84</v>
      </c>
      <c r="I267" s="60">
        <v>717.7</v>
      </c>
      <c r="J267" s="60">
        <v>844.72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  <c r="P267" s="60">
        <v>0</v>
      </c>
      <c r="Q267" s="60">
        <v>0</v>
      </c>
      <c r="R267" s="60">
        <v>0</v>
      </c>
      <c r="S267" s="60">
        <v>0</v>
      </c>
      <c r="T267" s="60">
        <v>0</v>
      </c>
      <c r="U267" s="60">
        <v>0</v>
      </c>
      <c r="V267" s="60">
        <v>0</v>
      </c>
      <c r="W267" s="60">
        <v>0</v>
      </c>
      <c r="X267" s="60">
        <v>0</v>
      </c>
      <c r="Y267" s="60">
        <v>0</v>
      </c>
      <c r="Z267" s="60">
        <v>0</v>
      </c>
      <c r="AA267" s="60">
        <v>0</v>
      </c>
      <c r="AB267" s="60">
        <v>0</v>
      </c>
      <c r="AC267" s="60">
        <v>0</v>
      </c>
      <c r="AD267" s="60">
        <v>0</v>
      </c>
      <c r="AE267" s="60">
        <v>0</v>
      </c>
      <c r="AF267" s="60">
        <v>0</v>
      </c>
      <c r="AG267" s="60">
        <v>0</v>
      </c>
      <c r="AH267" s="60">
        <v>0</v>
      </c>
      <c r="AI267" s="60">
        <v>690.84</v>
      </c>
      <c r="AJ267" s="60">
        <v>717.7</v>
      </c>
      <c r="AK267" s="60">
        <v>844.72</v>
      </c>
      <c r="AL267" s="60">
        <v>0</v>
      </c>
      <c r="AM267" s="60">
        <v>0</v>
      </c>
      <c r="AN267" s="60">
        <v>0</v>
      </c>
      <c r="AO267" s="60">
        <v>690.84</v>
      </c>
      <c r="AP267" s="60">
        <v>717.7</v>
      </c>
      <c r="AQ267" s="60">
        <v>844.72</v>
      </c>
      <c r="AR267" s="61">
        <v>844.72</v>
      </c>
    </row>
    <row r="268" spans="1:44" x14ac:dyDescent="0.35">
      <c r="A268" s="49" t="str">
        <f t="shared" si="21"/>
        <v>27</v>
      </c>
      <c r="B268" s="27">
        <v>66068</v>
      </c>
      <c r="C268" s="25" t="str">
        <f t="shared" si="22"/>
        <v>0000000</v>
      </c>
      <c r="D268" s="26" t="s">
        <v>3663</v>
      </c>
      <c r="E268" s="25" t="s">
        <v>1403</v>
      </c>
      <c r="F268" s="25" t="s">
        <v>1380</v>
      </c>
      <c r="G268" s="59" t="s">
        <v>1404</v>
      </c>
      <c r="H268" s="60">
        <v>2531.6799999999998</v>
      </c>
      <c r="I268" s="60">
        <v>2504.19</v>
      </c>
      <c r="J268" s="60">
        <v>2356.3000000000002</v>
      </c>
      <c r="K268" s="60">
        <v>0</v>
      </c>
      <c r="L268" s="60">
        <v>0</v>
      </c>
      <c r="M268" s="60">
        <v>0</v>
      </c>
      <c r="N268" s="60">
        <v>0</v>
      </c>
      <c r="O268" s="60">
        <v>0</v>
      </c>
      <c r="P268" s="60">
        <v>0</v>
      </c>
      <c r="Q268" s="60">
        <v>0</v>
      </c>
      <c r="R268" s="60">
        <v>0</v>
      </c>
      <c r="S268" s="60">
        <v>0</v>
      </c>
      <c r="T268" s="60">
        <v>0</v>
      </c>
      <c r="U268" s="60">
        <v>0</v>
      </c>
      <c r="V268" s="60">
        <v>0</v>
      </c>
      <c r="W268" s="60">
        <v>0</v>
      </c>
      <c r="X268" s="60">
        <v>0</v>
      </c>
      <c r="Y268" s="60">
        <v>0</v>
      </c>
      <c r="Z268" s="60">
        <v>0</v>
      </c>
      <c r="AA268" s="60">
        <v>0</v>
      </c>
      <c r="AB268" s="60">
        <v>0</v>
      </c>
      <c r="AC268" s="60">
        <v>0</v>
      </c>
      <c r="AD268" s="60">
        <v>0</v>
      </c>
      <c r="AE268" s="60">
        <v>65.72</v>
      </c>
      <c r="AF268" s="60">
        <v>0</v>
      </c>
      <c r="AG268" s="60">
        <v>0</v>
      </c>
      <c r="AH268" s="60">
        <v>0</v>
      </c>
      <c r="AI268" s="60">
        <v>2531.6799999999998</v>
      </c>
      <c r="AJ268" s="60">
        <v>2504.19</v>
      </c>
      <c r="AK268" s="60">
        <v>2422.02</v>
      </c>
      <c r="AL268" s="60">
        <v>0</v>
      </c>
      <c r="AM268" s="60">
        <v>0</v>
      </c>
      <c r="AN268" s="60">
        <v>0</v>
      </c>
      <c r="AO268" s="60">
        <v>2531.6799999999998</v>
      </c>
      <c r="AP268" s="60">
        <v>2504.19</v>
      </c>
      <c r="AQ268" s="60">
        <v>2422.02</v>
      </c>
      <c r="AR268" s="61">
        <v>2531.6799999999998</v>
      </c>
    </row>
    <row r="269" spans="1:44" x14ac:dyDescent="0.35">
      <c r="A269" s="49" t="str">
        <f t="shared" si="21"/>
        <v>27</v>
      </c>
      <c r="B269" s="27">
        <v>66159</v>
      </c>
      <c r="C269" s="25" t="str">
        <f t="shared" si="22"/>
        <v>0000000</v>
      </c>
      <c r="D269" s="26" t="s">
        <v>3663</v>
      </c>
      <c r="E269" s="25" t="s">
        <v>1421</v>
      </c>
      <c r="F269" s="25" t="s">
        <v>1380</v>
      </c>
      <c r="G269" s="59" t="s">
        <v>1422</v>
      </c>
      <c r="H269" s="60">
        <v>15066.34</v>
      </c>
      <c r="I269" s="60">
        <v>14900.65</v>
      </c>
      <c r="J269" s="60">
        <v>15388.6</v>
      </c>
      <c r="K269" s="60">
        <v>0</v>
      </c>
      <c r="L269" s="60">
        <v>0</v>
      </c>
      <c r="M269" s="60">
        <v>0</v>
      </c>
      <c r="N269" s="60">
        <v>0</v>
      </c>
      <c r="O269" s="60">
        <v>0</v>
      </c>
      <c r="P269" s="60">
        <v>0</v>
      </c>
      <c r="Q269" s="60">
        <v>0</v>
      </c>
      <c r="R269" s="60">
        <v>0</v>
      </c>
      <c r="S269" s="60">
        <v>0</v>
      </c>
      <c r="T269" s="60">
        <v>0</v>
      </c>
      <c r="U269" s="60">
        <v>0</v>
      </c>
      <c r="V269" s="60">
        <v>0</v>
      </c>
      <c r="W269" s="60">
        <v>0</v>
      </c>
      <c r="X269" s="60">
        <v>0</v>
      </c>
      <c r="Y269" s="60">
        <v>0</v>
      </c>
      <c r="Z269" s="60">
        <v>0</v>
      </c>
      <c r="AA269" s="60">
        <v>0</v>
      </c>
      <c r="AB269" s="60">
        <v>0</v>
      </c>
      <c r="AC269" s="60">
        <v>0</v>
      </c>
      <c r="AD269" s="60">
        <v>0</v>
      </c>
      <c r="AE269" s="60">
        <v>0</v>
      </c>
      <c r="AF269" s="60">
        <v>0</v>
      </c>
      <c r="AG269" s="60">
        <v>0</v>
      </c>
      <c r="AH269" s="60">
        <v>0</v>
      </c>
      <c r="AI269" s="60">
        <v>15066.34</v>
      </c>
      <c r="AJ269" s="60">
        <v>14900.65</v>
      </c>
      <c r="AK269" s="60">
        <v>15388.6</v>
      </c>
      <c r="AL269" s="60">
        <v>0</v>
      </c>
      <c r="AM269" s="60">
        <v>0</v>
      </c>
      <c r="AN269" s="60">
        <v>0</v>
      </c>
      <c r="AO269" s="60">
        <v>15066.34</v>
      </c>
      <c r="AP269" s="60">
        <v>14900.65</v>
      </c>
      <c r="AQ269" s="60">
        <v>15388.6</v>
      </c>
      <c r="AR269" s="61">
        <v>15388.6</v>
      </c>
    </row>
    <row r="270" spans="1:44" x14ac:dyDescent="0.35">
      <c r="A270" s="49" t="str">
        <f t="shared" si="21"/>
        <v>27</v>
      </c>
      <c r="B270" s="27">
        <v>65987</v>
      </c>
      <c r="C270" s="25" t="str">
        <f t="shared" si="22"/>
        <v>0000000</v>
      </c>
      <c r="D270" s="26" t="s">
        <v>3663</v>
      </c>
      <c r="E270" s="25" t="s">
        <v>1393</v>
      </c>
      <c r="F270" s="25" t="s">
        <v>1380</v>
      </c>
      <c r="G270" s="59" t="s">
        <v>1394</v>
      </c>
      <c r="H270" s="60">
        <v>2121.4499999999998</v>
      </c>
      <c r="I270" s="60">
        <v>2124.09</v>
      </c>
      <c r="J270" s="60">
        <v>2385.37</v>
      </c>
      <c r="K270" s="60">
        <v>0</v>
      </c>
      <c r="L270" s="60">
        <v>0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>
        <v>0</v>
      </c>
      <c r="T270" s="60">
        <v>0</v>
      </c>
      <c r="U270" s="60">
        <v>0</v>
      </c>
      <c r="V270" s="60">
        <v>0</v>
      </c>
      <c r="W270" s="60">
        <v>0</v>
      </c>
      <c r="X270" s="60">
        <v>0</v>
      </c>
      <c r="Y270" s="60">
        <v>0</v>
      </c>
      <c r="Z270" s="60">
        <v>0</v>
      </c>
      <c r="AA270" s="60">
        <v>0</v>
      </c>
      <c r="AB270" s="60">
        <v>0</v>
      </c>
      <c r="AC270" s="60">
        <v>0</v>
      </c>
      <c r="AD270" s="60">
        <v>0</v>
      </c>
      <c r="AE270" s="60">
        <v>0</v>
      </c>
      <c r="AF270" s="60">
        <v>0</v>
      </c>
      <c r="AG270" s="60">
        <v>0</v>
      </c>
      <c r="AH270" s="60">
        <v>0</v>
      </c>
      <c r="AI270" s="60">
        <v>2121.4499999999998</v>
      </c>
      <c r="AJ270" s="60">
        <v>2124.09</v>
      </c>
      <c r="AK270" s="60">
        <v>2385.37</v>
      </c>
      <c r="AL270" s="60">
        <v>0</v>
      </c>
      <c r="AM270" s="60">
        <v>0</v>
      </c>
      <c r="AN270" s="60">
        <v>0</v>
      </c>
      <c r="AO270" s="60">
        <v>2121.4499999999998</v>
      </c>
      <c r="AP270" s="60">
        <v>2124.09</v>
      </c>
      <c r="AQ270" s="60">
        <v>2385.37</v>
      </c>
      <c r="AR270" s="61">
        <v>2385.37</v>
      </c>
    </row>
    <row r="271" spans="1:44" x14ac:dyDescent="0.35">
      <c r="A271" s="49" t="str">
        <f t="shared" si="21"/>
        <v>27</v>
      </c>
      <c r="B271" s="27">
        <v>66092</v>
      </c>
      <c r="C271" s="25" t="str">
        <f t="shared" si="22"/>
        <v>0000000</v>
      </c>
      <c r="D271" s="26" t="s">
        <v>3663</v>
      </c>
      <c r="E271" s="25" t="s">
        <v>1409</v>
      </c>
      <c r="F271" s="25" t="s">
        <v>1380</v>
      </c>
      <c r="G271" s="59" t="s">
        <v>1410</v>
      </c>
      <c r="H271" s="60">
        <v>8642.82</v>
      </c>
      <c r="I271" s="60">
        <v>8546.2000000000007</v>
      </c>
      <c r="J271" s="60">
        <v>9396.19</v>
      </c>
      <c r="K271" s="60">
        <v>0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>
        <v>0</v>
      </c>
      <c r="T271" s="60">
        <v>0</v>
      </c>
      <c r="U271" s="60">
        <v>0</v>
      </c>
      <c r="V271" s="60">
        <v>0</v>
      </c>
      <c r="W271" s="60">
        <v>0</v>
      </c>
      <c r="X271" s="60">
        <v>0</v>
      </c>
      <c r="Y271" s="60">
        <v>0</v>
      </c>
      <c r="Z271" s="60">
        <v>0</v>
      </c>
      <c r="AA271" s="60">
        <v>0</v>
      </c>
      <c r="AB271" s="60">
        <v>0</v>
      </c>
      <c r="AC271" s="60">
        <v>0</v>
      </c>
      <c r="AD271" s="60">
        <v>0</v>
      </c>
      <c r="AE271" s="60">
        <v>410.67</v>
      </c>
      <c r="AF271" s="60">
        <v>0</v>
      </c>
      <c r="AG271" s="60">
        <v>0</v>
      </c>
      <c r="AH271" s="60">
        <v>0</v>
      </c>
      <c r="AI271" s="60">
        <v>8642.82</v>
      </c>
      <c r="AJ271" s="60">
        <v>8546.2000000000007</v>
      </c>
      <c r="AK271" s="60">
        <v>9806.86</v>
      </c>
      <c r="AL271" s="60">
        <v>0</v>
      </c>
      <c r="AM271" s="60">
        <v>0</v>
      </c>
      <c r="AN271" s="60">
        <v>0</v>
      </c>
      <c r="AO271" s="60">
        <v>8642.82</v>
      </c>
      <c r="AP271" s="60">
        <v>8546.2000000000007</v>
      </c>
      <c r="AQ271" s="60">
        <v>9806.86</v>
      </c>
      <c r="AR271" s="61">
        <v>9806.86</v>
      </c>
    </row>
    <row r="272" spans="1:44" x14ac:dyDescent="0.35">
      <c r="A272" s="49" t="str">
        <f t="shared" si="21"/>
        <v>27</v>
      </c>
      <c r="B272" s="27">
        <v>73825</v>
      </c>
      <c r="C272" s="25" t="str">
        <f t="shared" si="22"/>
        <v>0000000</v>
      </c>
      <c r="D272" s="26" t="s">
        <v>3663</v>
      </c>
      <c r="E272" s="25" t="s">
        <v>1435</v>
      </c>
      <c r="F272" s="25" t="s">
        <v>1380</v>
      </c>
      <c r="G272" s="59" t="s">
        <v>1436</v>
      </c>
      <c r="H272" s="60">
        <v>4098.47</v>
      </c>
      <c r="I272" s="60">
        <v>3924.83</v>
      </c>
      <c r="J272" s="60">
        <v>4341.97</v>
      </c>
      <c r="K272" s="60">
        <v>0</v>
      </c>
      <c r="L272" s="60">
        <v>0</v>
      </c>
      <c r="M272" s="60">
        <v>0</v>
      </c>
      <c r="N272" s="60">
        <v>0</v>
      </c>
      <c r="O272" s="60">
        <v>0</v>
      </c>
      <c r="P272" s="60">
        <v>0</v>
      </c>
      <c r="Q272" s="60">
        <v>0</v>
      </c>
      <c r="R272" s="60">
        <v>0</v>
      </c>
      <c r="S272" s="60">
        <v>0</v>
      </c>
      <c r="T272" s="60">
        <v>0</v>
      </c>
      <c r="U272" s="60">
        <v>0</v>
      </c>
      <c r="V272" s="60">
        <v>0</v>
      </c>
      <c r="W272" s="60">
        <v>0</v>
      </c>
      <c r="X272" s="60">
        <v>0</v>
      </c>
      <c r="Y272" s="60">
        <v>0</v>
      </c>
      <c r="Z272" s="60">
        <v>0</v>
      </c>
      <c r="AA272" s="60">
        <v>0</v>
      </c>
      <c r="AB272" s="60">
        <v>0</v>
      </c>
      <c r="AC272" s="60">
        <v>0</v>
      </c>
      <c r="AD272" s="60">
        <v>0</v>
      </c>
      <c r="AE272" s="60">
        <v>0</v>
      </c>
      <c r="AF272" s="60">
        <v>0</v>
      </c>
      <c r="AG272" s="60">
        <v>0</v>
      </c>
      <c r="AH272" s="60">
        <v>0</v>
      </c>
      <c r="AI272" s="60">
        <v>4098.47</v>
      </c>
      <c r="AJ272" s="60">
        <v>3924.83</v>
      </c>
      <c r="AK272" s="60">
        <v>4341.97</v>
      </c>
      <c r="AL272" s="60">
        <v>0</v>
      </c>
      <c r="AM272" s="60">
        <v>0</v>
      </c>
      <c r="AN272" s="60">
        <v>0</v>
      </c>
      <c r="AO272" s="60">
        <v>4098.47</v>
      </c>
      <c r="AP272" s="60">
        <v>3924.83</v>
      </c>
      <c r="AQ272" s="60">
        <v>4341.97</v>
      </c>
      <c r="AR272" s="61">
        <v>4341.97</v>
      </c>
    </row>
    <row r="273" spans="1:44" x14ac:dyDescent="0.35">
      <c r="A273" s="49" t="str">
        <f t="shared" si="21"/>
        <v>27</v>
      </c>
      <c r="B273" s="27">
        <v>66134</v>
      </c>
      <c r="C273" s="25" t="str">
        <f t="shared" si="22"/>
        <v>0000000</v>
      </c>
      <c r="D273" s="26" t="s">
        <v>3663</v>
      </c>
      <c r="E273" s="25" t="s">
        <v>1417</v>
      </c>
      <c r="F273" s="25" t="s">
        <v>1380</v>
      </c>
      <c r="G273" s="59" t="s">
        <v>1418</v>
      </c>
      <c r="H273" s="60">
        <v>1526.56</v>
      </c>
      <c r="I273" s="60">
        <v>1557.63</v>
      </c>
      <c r="J273" s="60">
        <v>1909.92</v>
      </c>
      <c r="K273" s="60">
        <v>0</v>
      </c>
      <c r="L273" s="60">
        <v>0</v>
      </c>
      <c r="M273" s="60">
        <v>0</v>
      </c>
      <c r="N273" s="60">
        <v>0</v>
      </c>
      <c r="O273" s="60">
        <v>0</v>
      </c>
      <c r="P273" s="60">
        <v>0</v>
      </c>
      <c r="Q273" s="60">
        <v>0</v>
      </c>
      <c r="R273" s="60">
        <v>0</v>
      </c>
      <c r="S273" s="60">
        <v>0</v>
      </c>
      <c r="T273" s="60">
        <v>0</v>
      </c>
      <c r="U273" s="60">
        <v>0</v>
      </c>
      <c r="V273" s="60">
        <v>0</v>
      </c>
      <c r="W273" s="60">
        <v>0</v>
      </c>
      <c r="X273" s="60">
        <v>0</v>
      </c>
      <c r="Y273" s="60">
        <v>0</v>
      </c>
      <c r="Z273" s="60">
        <v>0</v>
      </c>
      <c r="AA273" s="60">
        <v>0</v>
      </c>
      <c r="AB273" s="60">
        <v>0</v>
      </c>
      <c r="AC273" s="60">
        <v>0</v>
      </c>
      <c r="AD273" s="60">
        <v>0</v>
      </c>
      <c r="AE273" s="60">
        <v>0</v>
      </c>
      <c r="AF273" s="60">
        <v>0</v>
      </c>
      <c r="AG273" s="60">
        <v>0</v>
      </c>
      <c r="AH273" s="60">
        <v>0</v>
      </c>
      <c r="AI273" s="60">
        <v>1526.56</v>
      </c>
      <c r="AJ273" s="60">
        <v>1557.63</v>
      </c>
      <c r="AK273" s="60">
        <v>1909.92</v>
      </c>
      <c r="AL273" s="60">
        <v>0</v>
      </c>
      <c r="AM273" s="60">
        <v>0</v>
      </c>
      <c r="AN273" s="60">
        <v>0</v>
      </c>
      <c r="AO273" s="60">
        <v>1526.56</v>
      </c>
      <c r="AP273" s="60">
        <v>1557.63</v>
      </c>
      <c r="AQ273" s="60">
        <v>1909.92</v>
      </c>
      <c r="AR273" s="61">
        <v>1909.92</v>
      </c>
    </row>
    <row r="274" spans="1:44" x14ac:dyDescent="0.35">
      <c r="A274" s="49" t="str">
        <f t="shared" si="21"/>
        <v>27</v>
      </c>
      <c r="B274" s="27">
        <v>66175</v>
      </c>
      <c r="C274" s="25" t="str">
        <f t="shared" si="22"/>
        <v>0000000</v>
      </c>
      <c r="D274" s="26" t="s">
        <v>3663</v>
      </c>
      <c r="E274" s="25" t="s">
        <v>1425</v>
      </c>
      <c r="F274" s="25" t="s">
        <v>1380</v>
      </c>
      <c r="G274" s="59" t="s">
        <v>1426</v>
      </c>
      <c r="H274" s="60">
        <v>76.92</v>
      </c>
      <c r="I274" s="60">
        <v>85.27</v>
      </c>
      <c r="J274" s="60">
        <v>107.34</v>
      </c>
      <c r="K274" s="60">
        <v>0</v>
      </c>
      <c r="L274" s="60">
        <v>0</v>
      </c>
      <c r="M274" s="60">
        <v>0</v>
      </c>
      <c r="N274" s="60">
        <v>0</v>
      </c>
      <c r="O274" s="60">
        <v>0</v>
      </c>
      <c r="P274" s="60">
        <v>0</v>
      </c>
      <c r="Q274" s="60">
        <v>0</v>
      </c>
      <c r="R274" s="60">
        <v>0</v>
      </c>
      <c r="S274" s="60">
        <v>0</v>
      </c>
      <c r="T274" s="60">
        <v>0</v>
      </c>
      <c r="U274" s="60">
        <v>0</v>
      </c>
      <c r="V274" s="60">
        <v>0</v>
      </c>
      <c r="W274" s="60">
        <v>0</v>
      </c>
      <c r="X274" s="60">
        <v>0</v>
      </c>
      <c r="Y274" s="60">
        <v>0</v>
      </c>
      <c r="Z274" s="60">
        <v>0</v>
      </c>
      <c r="AA274" s="60">
        <v>0</v>
      </c>
      <c r="AB274" s="60">
        <v>0</v>
      </c>
      <c r="AC274" s="60">
        <v>0</v>
      </c>
      <c r="AD274" s="60">
        <v>0</v>
      </c>
      <c r="AE274" s="60">
        <v>0</v>
      </c>
      <c r="AF274" s="60">
        <v>0</v>
      </c>
      <c r="AG274" s="60">
        <v>0</v>
      </c>
      <c r="AH274" s="60">
        <v>0</v>
      </c>
      <c r="AI274" s="60">
        <v>76.92</v>
      </c>
      <c r="AJ274" s="60">
        <v>85.27</v>
      </c>
      <c r="AK274" s="60">
        <v>107.34</v>
      </c>
      <c r="AL274" s="60">
        <v>0</v>
      </c>
      <c r="AM274" s="60">
        <v>0</v>
      </c>
      <c r="AN274" s="60">
        <v>0</v>
      </c>
      <c r="AO274" s="60">
        <v>76.92</v>
      </c>
      <c r="AP274" s="60">
        <v>85.27</v>
      </c>
      <c r="AQ274" s="60">
        <v>107.34</v>
      </c>
      <c r="AR274" s="61">
        <v>107.34</v>
      </c>
    </row>
    <row r="275" spans="1:44" x14ac:dyDescent="0.35">
      <c r="A275" s="49" t="str">
        <f t="shared" si="21"/>
        <v>27</v>
      </c>
      <c r="B275" s="27">
        <v>66183</v>
      </c>
      <c r="C275" s="25" t="str">
        <f t="shared" si="22"/>
        <v>0000000</v>
      </c>
      <c r="D275" s="26" t="s">
        <v>3663</v>
      </c>
      <c r="E275" s="25" t="s">
        <v>1427</v>
      </c>
      <c r="F275" s="25" t="s">
        <v>1380</v>
      </c>
      <c r="G275" s="59" t="s">
        <v>1428</v>
      </c>
      <c r="H275" s="60">
        <v>66.099999999999994</v>
      </c>
      <c r="I275" s="60">
        <v>65.849999999999994</v>
      </c>
      <c r="J275" s="60">
        <v>70.66</v>
      </c>
      <c r="K275" s="60">
        <v>0</v>
      </c>
      <c r="L275" s="60">
        <v>0</v>
      </c>
      <c r="M275" s="60">
        <v>0</v>
      </c>
      <c r="N275" s="60">
        <v>0</v>
      </c>
      <c r="O275" s="60">
        <v>0</v>
      </c>
      <c r="P275" s="60">
        <v>0</v>
      </c>
      <c r="Q275" s="60">
        <v>0</v>
      </c>
      <c r="R275" s="60">
        <v>0</v>
      </c>
      <c r="S275" s="60">
        <v>0</v>
      </c>
      <c r="T275" s="60">
        <v>0</v>
      </c>
      <c r="U275" s="60">
        <v>0</v>
      </c>
      <c r="V275" s="60">
        <v>0</v>
      </c>
      <c r="W275" s="60">
        <v>0</v>
      </c>
      <c r="X275" s="60">
        <v>0</v>
      </c>
      <c r="Y275" s="60">
        <v>0</v>
      </c>
      <c r="Z275" s="60">
        <v>0</v>
      </c>
      <c r="AA275" s="60">
        <v>0</v>
      </c>
      <c r="AB275" s="60">
        <v>0</v>
      </c>
      <c r="AC275" s="60">
        <v>0</v>
      </c>
      <c r="AD275" s="60">
        <v>0</v>
      </c>
      <c r="AE275" s="60">
        <v>0</v>
      </c>
      <c r="AF275" s="60">
        <v>0</v>
      </c>
      <c r="AG275" s="60">
        <v>0</v>
      </c>
      <c r="AH275" s="60">
        <v>0</v>
      </c>
      <c r="AI275" s="60">
        <v>66.099999999999994</v>
      </c>
      <c r="AJ275" s="60">
        <v>65.849999999999994</v>
      </c>
      <c r="AK275" s="60">
        <v>70.66</v>
      </c>
      <c r="AL275" s="60">
        <v>0</v>
      </c>
      <c r="AM275" s="60">
        <v>0</v>
      </c>
      <c r="AN275" s="60">
        <v>0</v>
      </c>
      <c r="AO275" s="60">
        <v>66.099999999999994</v>
      </c>
      <c r="AP275" s="60">
        <v>65.849999999999994</v>
      </c>
      <c r="AQ275" s="60">
        <v>70.66</v>
      </c>
      <c r="AR275" s="61">
        <v>70.66</v>
      </c>
    </row>
    <row r="276" spans="1:44" x14ac:dyDescent="0.35">
      <c r="A276" s="49" t="str">
        <f t="shared" si="21"/>
        <v>27</v>
      </c>
      <c r="B276" s="27">
        <v>66084</v>
      </c>
      <c r="C276" s="25" t="str">
        <f t="shared" si="22"/>
        <v>0000000</v>
      </c>
      <c r="D276" s="26" t="s">
        <v>3663</v>
      </c>
      <c r="E276" s="25" t="s">
        <v>1407</v>
      </c>
      <c r="F276" s="25" t="s">
        <v>1380</v>
      </c>
      <c r="G276" s="59" t="s">
        <v>1408</v>
      </c>
      <c r="H276" s="60">
        <v>110.43</v>
      </c>
      <c r="I276" s="60">
        <v>122.23</v>
      </c>
      <c r="J276" s="60">
        <v>120.95</v>
      </c>
      <c r="K276" s="60">
        <v>0</v>
      </c>
      <c r="L276" s="60">
        <v>0</v>
      </c>
      <c r="M276" s="60">
        <v>0</v>
      </c>
      <c r="N276" s="60">
        <v>0</v>
      </c>
      <c r="O276" s="60">
        <v>0</v>
      </c>
      <c r="P276" s="60">
        <v>0</v>
      </c>
      <c r="Q276" s="60">
        <v>0</v>
      </c>
      <c r="R276" s="60">
        <v>0</v>
      </c>
      <c r="S276" s="60">
        <v>0</v>
      </c>
      <c r="T276" s="60">
        <v>0</v>
      </c>
      <c r="U276" s="60">
        <v>0</v>
      </c>
      <c r="V276" s="60">
        <v>0</v>
      </c>
      <c r="W276" s="60">
        <v>0</v>
      </c>
      <c r="X276" s="60">
        <v>0</v>
      </c>
      <c r="Y276" s="60">
        <v>0</v>
      </c>
      <c r="Z276" s="60">
        <v>0</v>
      </c>
      <c r="AA276" s="60">
        <v>0</v>
      </c>
      <c r="AB276" s="60">
        <v>0</v>
      </c>
      <c r="AC276" s="60">
        <v>0</v>
      </c>
      <c r="AD276" s="60">
        <v>0</v>
      </c>
      <c r="AE276" s="60">
        <v>0</v>
      </c>
      <c r="AF276" s="60">
        <v>0</v>
      </c>
      <c r="AG276" s="60">
        <v>0</v>
      </c>
      <c r="AH276" s="60">
        <v>0</v>
      </c>
      <c r="AI276" s="60">
        <v>110.43</v>
      </c>
      <c r="AJ276" s="60">
        <v>122.23</v>
      </c>
      <c r="AK276" s="60">
        <v>120.95</v>
      </c>
      <c r="AL276" s="60">
        <v>0</v>
      </c>
      <c r="AM276" s="60">
        <v>0</v>
      </c>
      <c r="AN276" s="60">
        <v>0</v>
      </c>
      <c r="AO276" s="60">
        <v>110.43</v>
      </c>
      <c r="AP276" s="60">
        <v>122.23</v>
      </c>
      <c r="AQ276" s="60">
        <v>120.95</v>
      </c>
      <c r="AR276" s="61">
        <v>122.23</v>
      </c>
    </row>
    <row r="277" spans="1:44" x14ac:dyDescent="0.35">
      <c r="A277" s="49" t="str">
        <f t="shared" si="21"/>
        <v>27</v>
      </c>
      <c r="B277" s="27">
        <v>75150</v>
      </c>
      <c r="C277" s="25" t="str">
        <f t="shared" si="22"/>
        <v>0000000</v>
      </c>
      <c r="D277" s="26" t="s">
        <v>3663</v>
      </c>
      <c r="E277" s="25" t="s">
        <v>1437</v>
      </c>
      <c r="F277" s="25" t="s">
        <v>1380</v>
      </c>
      <c r="G277" s="59" t="s">
        <v>1438</v>
      </c>
      <c r="H277" s="60">
        <v>17.079999999999998</v>
      </c>
      <c r="I277" s="60">
        <v>15.81</v>
      </c>
      <c r="J277" s="60">
        <v>15.73</v>
      </c>
      <c r="K277" s="60">
        <v>0</v>
      </c>
      <c r="L277" s="60">
        <v>0</v>
      </c>
      <c r="M277" s="60">
        <v>0</v>
      </c>
      <c r="N277" s="60">
        <v>0</v>
      </c>
      <c r="O277" s="60">
        <v>0</v>
      </c>
      <c r="P277" s="60">
        <v>0</v>
      </c>
      <c r="Q277" s="60">
        <v>0</v>
      </c>
      <c r="R277" s="60">
        <v>0</v>
      </c>
      <c r="S277" s="60">
        <v>0</v>
      </c>
      <c r="T277" s="60">
        <v>0</v>
      </c>
      <c r="U277" s="60">
        <v>0</v>
      </c>
      <c r="V277" s="60">
        <v>0</v>
      </c>
      <c r="W277" s="60">
        <v>0</v>
      </c>
      <c r="X277" s="60">
        <v>0</v>
      </c>
      <c r="Y277" s="60">
        <v>0</v>
      </c>
      <c r="Z277" s="60">
        <v>0</v>
      </c>
      <c r="AA277" s="60">
        <v>0</v>
      </c>
      <c r="AB277" s="60">
        <v>0</v>
      </c>
      <c r="AC277" s="60">
        <v>0</v>
      </c>
      <c r="AD277" s="60">
        <v>0</v>
      </c>
      <c r="AE277" s="60">
        <v>0</v>
      </c>
      <c r="AF277" s="60">
        <v>0</v>
      </c>
      <c r="AG277" s="60">
        <v>0</v>
      </c>
      <c r="AH277" s="60">
        <v>0</v>
      </c>
      <c r="AI277" s="60">
        <v>17.079999999999998</v>
      </c>
      <c r="AJ277" s="60">
        <v>15.81</v>
      </c>
      <c r="AK277" s="60">
        <v>15.73</v>
      </c>
      <c r="AL277" s="60">
        <v>0</v>
      </c>
      <c r="AM277" s="60">
        <v>0</v>
      </c>
      <c r="AN277" s="60">
        <v>0</v>
      </c>
      <c r="AO277" s="60">
        <v>17.079999999999998</v>
      </c>
      <c r="AP277" s="60">
        <v>15.81</v>
      </c>
      <c r="AQ277" s="60">
        <v>15.73</v>
      </c>
      <c r="AR277" s="61">
        <v>17.079999999999998</v>
      </c>
    </row>
    <row r="278" spans="1:44" x14ac:dyDescent="0.35">
      <c r="A278" s="49" t="str">
        <f t="shared" si="21"/>
        <v>27</v>
      </c>
      <c r="B278" s="27">
        <v>75440</v>
      </c>
      <c r="C278" s="25" t="str">
        <f t="shared" si="22"/>
        <v>0000000</v>
      </c>
      <c r="D278" s="26" t="s">
        <v>3663</v>
      </c>
      <c r="E278" s="25" t="s">
        <v>1441</v>
      </c>
      <c r="F278" s="25" t="s">
        <v>1380</v>
      </c>
      <c r="G278" s="59" t="s">
        <v>1442</v>
      </c>
      <c r="H278" s="60">
        <v>4374.5600000000004</v>
      </c>
      <c r="I278" s="60">
        <v>4344.6899999999996</v>
      </c>
      <c r="J278" s="60">
        <v>4640.49</v>
      </c>
      <c r="K278" s="60">
        <v>0</v>
      </c>
      <c r="L278" s="60">
        <v>0</v>
      </c>
      <c r="M278" s="60">
        <v>0</v>
      </c>
      <c r="N278" s="60">
        <v>0</v>
      </c>
      <c r="O278" s="60">
        <v>0</v>
      </c>
      <c r="P278" s="60">
        <v>0</v>
      </c>
      <c r="Q278" s="60">
        <v>0</v>
      </c>
      <c r="R278" s="60">
        <v>0</v>
      </c>
      <c r="S278" s="60">
        <v>0</v>
      </c>
      <c r="T278" s="60">
        <v>0</v>
      </c>
      <c r="U278" s="60">
        <v>0</v>
      </c>
      <c r="V278" s="60">
        <v>0</v>
      </c>
      <c r="W278" s="60">
        <v>0</v>
      </c>
      <c r="X278" s="60">
        <v>0</v>
      </c>
      <c r="Y278" s="60">
        <v>0</v>
      </c>
      <c r="Z278" s="60">
        <v>0</v>
      </c>
      <c r="AA278" s="60">
        <v>0</v>
      </c>
      <c r="AB278" s="60">
        <v>0</v>
      </c>
      <c r="AC278" s="60">
        <v>0</v>
      </c>
      <c r="AD278" s="60">
        <v>0</v>
      </c>
      <c r="AE278" s="60">
        <v>0</v>
      </c>
      <c r="AF278" s="60">
        <v>0</v>
      </c>
      <c r="AG278" s="60">
        <v>0</v>
      </c>
      <c r="AH278" s="60">
        <v>0</v>
      </c>
      <c r="AI278" s="60">
        <v>4374.5600000000004</v>
      </c>
      <c r="AJ278" s="60">
        <v>4344.6899999999996</v>
      </c>
      <c r="AK278" s="60">
        <v>4640.49</v>
      </c>
      <c r="AL278" s="60">
        <v>0</v>
      </c>
      <c r="AM278" s="60">
        <v>0</v>
      </c>
      <c r="AN278" s="60">
        <v>0</v>
      </c>
      <c r="AO278" s="60">
        <v>4374.5600000000004</v>
      </c>
      <c r="AP278" s="60">
        <v>4344.6899999999996</v>
      </c>
      <c r="AQ278" s="60">
        <v>4640.49</v>
      </c>
      <c r="AR278" s="61">
        <v>4640.49</v>
      </c>
    </row>
    <row r="279" spans="1:44" x14ac:dyDescent="0.35">
      <c r="A279" s="49" t="str">
        <f t="shared" si="21"/>
        <v>27</v>
      </c>
      <c r="B279" s="27">
        <v>75473</v>
      </c>
      <c r="C279" s="25" t="str">
        <f t="shared" si="22"/>
        <v>0000000</v>
      </c>
      <c r="D279" s="26" t="s">
        <v>3663</v>
      </c>
      <c r="E279" s="25" t="s">
        <v>1443</v>
      </c>
      <c r="F279" s="25" t="s">
        <v>1380</v>
      </c>
      <c r="G279" s="59" t="s">
        <v>1444</v>
      </c>
      <c r="H279" s="60">
        <v>1934.5</v>
      </c>
      <c r="I279" s="60">
        <v>1982.58</v>
      </c>
      <c r="J279" s="60">
        <v>2230.36</v>
      </c>
      <c r="K279" s="60">
        <v>0</v>
      </c>
      <c r="L279" s="60">
        <v>0</v>
      </c>
      <c r="M279" s="60">
        <v>0</v>
      </c>
      <c r="N279" s="60">
        <v>0</v>
      </c>
      <c r="O279" s="60">
        <v>0</v>
      </c>
      <c r="P279" s="60">
        <v>0</v>
      </c>
      <c r="Q279" s="60">
        <v>0</v>
      </c>
      <c r="R279" s="60">
        <v>0</v>
      </c>
      <c r="S279" s="60">
        <v>0</v>
      </c>
      <c r="T279" s="60">
        <v>0</v>
      </c>
      <c r="U279" s="60">
        <v>0</v>
      </c>
      <c r="V279" s="60">
        <v>0</v>
      </c>
      <c r="W279" s="60">
        <v>0</v>
      </c>
      <c r="X279" s="60">
        <v>0</v>
      </c>
      <c r="Y279" s="60">
        <v>0</v>
      </c>
      <c r="Z279" s="60">
        <v>0</v>
      </c>
      <c r="AA279" s="60">
        <v>0</v>
      </c>
      <c r="AB279" s="60">
        <v>0</v>
      </c>
      <c r="AC279" s="60">
        <v>0</v>
      </c>
      <c r="AD279" s="60">
        <v>0</v>
      </c>
      <c r="AE279" s="60">
        <v>0</v>
      </c>
      <c r="AF279" s="60">
        <v>0</v>
      </c>
      <c r="AG279" s="60">
        <v>0</v>
      </c>
      <c r="AH279" s="60">
        <v>0</v>
      </c>
      <c r="AI279" s="60">
        <v>1934.5</v>
      </c>
      <c r="AJ279" s="60">
        <v>1982.58</v>
      </c>
      <c r="AK279" s="60">
        <v>2230.36</v>
      </c>
      <c r="AL279" s="60">
        <v>0</v>
      </c>
      <c r="AM279" s="60">
        <v>0</v>
      </c>
      <c r="AN279" s="60">
        <v>0</v>
      </c>
      <c r="AO279" s="60">
        <v>1934.5</v>
      </c>
      <c r="AP279" s="60">
        <v>1982.58</v>
      </c>
      <c r="AQ279" s="60">
        <v>2230.36</v>
      </c>
      <c r="AR279" s="61">
        <v>2230.36</v>
      </c>
    </row>
    <row r="280" spans="1:44" x14ac:dyDescent="0.35">
      <c r="A280" s="49" t="str">
        <f t="shared" si="21"/>
        <v>27</v>
      </c>
      <c r="B280" s="27">
        <v>65979</v>
      </c>
      <c r="C280" s="25" t="str">
        <f t="shared" si="22"/>
        <v>0000000</v>
      </c>
      <c r="D280" s="26" t="s">
        <v>3663</v>
      </c>
      <c r="E280" s="25" t="s">
        <v>1391</v>
      </c>
      <c r="F280" s="25" t="s">
        <v>1380</v>
      </c>
      <c r="G280" s="59" t="s">
        <v>1392</v>
      </c>
      <c r="H280" s="60">
        <v>37.11</v>
      </c>
      <c r="I280" s="60">
        <v>52.23</v>
      </c>
      <c r="J280" s="60">
        <v>65.400000000000006</v>
      </c>
      <c r="K280" s="60">
        <v>0</v>
      </c>
      <c r="L280" s="60">
        <v>0</v>
      </c>
      <c r="M280" s="60">
        <v>0</v>
      </c>
      <c r="N280" s="60">
        <v>0</v>
      </c>
      <c r="O280" s="60">
        <v>0</v>
      </c>
      <c r="P280" s="60">
        <v>0</v>
      </c>
      <c r="Q280" s="60">
        <v>0</v>
      </c>
      <c r="R280" s="60">
        <v>0</v>
      </c>
      <c r="S280" s="60">
        <v>0</v>
      </c>
      <c r="T280" s="60">
        <v>0</v>
      </c>
      <c r="U280" s="60">
        <v>0</v>
      </c>
      <c r="V280" s="60">
        <v>0</v>
      </c>
      <c r="W280" s="60">
        <v>0</v>
      </c>
      <c r="X280" s="60">
        <v>0</v>
      </c>
      <c r="Y280" s="60">
        <v>0</v>
      </c>
      <c r="Z280" s="60">
        <v>0</v>
      </c>
      <c r="AA280" s="60">
        <v>0</v>
      </c>
      <c r="AB280" s="60">
        <v>0</v>
      </c>
      <c r="AC280" s="60">
        <v>0</v>
      </c>
      <c r="AD280" s="60">
        <v>0</v>
      </c>
      <c r="AE280" s="60">
        <v>0</v>
      </c>
      <c r="AF280" s="60">
        <v>0</v>
      </c>
      <c r="AG280" s="60">
        <v>0</v>
      </c>
      <c r="AH280" s="60">
        <v>0</v>
      </c>
      <c r="AI280" s="60">
        <v>37.11</v>
      </c>
      <c r="AJ280" s="60">
        <v>52.23</v>
      </c>
      <c r="AK280" s="60">
        <v>65.400000000000006</v>
      </c>
      <c r="AL280" s="60">
        <v>0</v>
      </c>
      <c r="AM280" s="60">
        <v>0</v>
      </c>
      <c r="AN280" s="60">
        <v>0</v>
      </c>
      <c r="AO280" s="60">
        <v>37.11</v>
      </c>
      <c r="AP280" s="60">
        <v>52.23</v>
      </c>
      <c r="AQ280" s="60">
        <v>65.400000000000006</v>
      </c>
      <c r="AR280" s="61">
        <v>65.400000000000006</v>
      </c>
    </row>
    <row r="281" spans="1:44" x14ac:dyDescent="0.35">
      <c r="A281" s="49" t="str">
        <f t="shared" si="21"/>
        <v>27</v>
      </c>
      <c r="B281" s="27">
        <v>66027</v>
      </c>
      <c r="C281" s="25" t="str">
        <f t="shared" si="22"/>
        <v>0000000</v>
      </c>
      <c r="D281" s="26" t="s">
        <v>3663</v>
      </c>
      <c r="E281" s="25" t="s">
        <v>1397</v>
      </c>
      <c r="F281" s="25" t="s">
        <v>1380</v>
      </c>
      <c r="G281" s="59" t="s">
        <v>1398</v>
      </c>
      <c r="H281" s="60">
        <v>31.53</v>
      </c>
      <c r="I281" s="60">
        <v>32.25</v>
      </c>
      <c r="J281" s="60">
        <v>40.24</v>
      </c>
      <c r="K281" s="60">
        <v>0</v>
      </c>
      <c r="L281" s="60">
        <v>0</v>
      </c>
      <c r="M281" s="60">
        <v>0</v>
      </c>
      <c r="N281" s="60">
        <v>0</v>
      </c>
      <c r="O281" s="60">
        <v>0</v>
      </c>
      <c r="P281" s="60">
        <v>0</v>
      </c>
      <c r="Q281" s="60">
        <v>0</v>
      </c>
      <c r="R281" s="60">
        <v>0</v>
      </c>
      <c r="S281" s="60">
        <v>0</v>
      </c>
      <c r="T281" s="60">
        <v>0</v>
      </c>
      <c r="U281" s="60">
        <v>0</v>
      </c>
      <c r="V281" s="60">
        <v>0</v>
      </c>
      <c r="W281" s="60">
        <v>0</v>
      </c>
      <c r="X281" s="60">
        <v>0</v>
      </c>
      <c r="Y281" s="60">
        <v>0</v>
      </c>
      <c r="Z281" s="60">
        <v>0</v>
      </c>
      <c r="AA281" s="60">
        <v>0</v>
      </c>
      <c r="AB281" s="60">
        <v>0</v>
      </c>
      <c r="AC281" s="60">
        <v>0</v>
      </c>
      <c r="AD281" s="60">
        <v>0</v>
      </c>
      <c r="AE281" s="60">
        <v>0</v>
      </c>
      <c r="AF281" s="60">
        <v>0</v>
      </c>
      <c r="AG281" s="60">
        <v>0</v>
      </c>
      <c r="AH281" s="60">
        <v>0</v>
      </c>
      <c r="AI281" s="60">
        <v>31.53</v>
      </c>
      <c r="AJ281" s="60">
        <v>32.25</v>
      </c>
      <c r="AK281" s="60">
        <v>40.24</v>
      </c>
      <c r="AL281" s="60">
        <v>0</v>
      </c>
      <c r="AM281" s="60">
        <v>0</v>
      </c>
      <c r="AN281" s="60">
        <v>0</v>
      </c>
      <c r="AO281" s="60">
        <v>31.53</v>
      </c>
      <c r="AP281" s="60">
        <v>32.25</v>
      </c>
      <c r="AQ281" s="60">
        <v>40.24</v>
      </c>
      <c r="AR281" s="61">
        <v>40.24</v>
      </c>
    </row>
    <row r="282" spans="1:44" x14ac:dyDescent="0.35">
      <c r="A282" s="49" t="str">
        <f t="shared" si="21"/>
        <v>27</v>
      </c>
      <c r="B282" s="27">
        <v>66076</v>
      </c>
      <c r="C282" s="25" t="str">
        <f t="shared" si="22"/>
        <v>0000000</v>
      </c>
      <c r="D282" s="26" t="s">
        <v>3663</v>
      </c>
      <c r="E282" s="25" t="s">
        <v>1405</v>
      </c>
      <c r="F282" s="25" t="s">
        <v>1380</v>
      </c>
      <c r="G282" s="59" t="s">
        <v>1406</v>
      </c>
      <c r="H282" s="60">
        <v>72.36</v>
      </c>
      <c r="I282" s="60">
        <v>87.45</v>
      </c>
      <c r="J282" s="60">
        <v>89.8</v>
      </c>
      <c r="K282" s="60">
        <v>0</v>
      </c>
      <c r="L282" s="60">
        <v>0</v>
      </c>
      <c r="M282" s="60">
        <v>0</v>
      </c>
      <c r="N282" s="60">
        <v>0</v>
      </c>
      <c r="O282" s="60">
        <v>0</v>
      </c>
      <c r="P282" s="60">
        <v>0</v>
      </c>
      <c r="Q282" s="60">
        <v>0</v>
      </c>
      <c r="R282" s="60">
        <v>0</v>
      </c>
      <c r="S282" s="60">
        <v>0</v>
      </c>
      <c r="T282" s="60">
        <v>0</v>
      </c>
      <c r="U282" s="60">
        <v>0</v>
      </c>
      <c r="V282" s="60">
        <v>0</v>
      </c>
      <c r="W282" s="60">
        <v>0</v>
      </c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0">
        <v>0</v>
      </c>
      <c r="AE282" s="60">
        <v>0</v>
      </c>
      <c r="AF282" s="60">
        <v>0</v>
      </c>
      <c r="AG282" s="60">
        <v>0</v>
      </c>
      <c r="AH282" s="60">
        <v>0</v>
      </c>
      <c r="AI282" s="60">
        <v>72.36</v>
      </c>
      <c r="AJ282" s="60">
        <v>87.45</v>
      </c>
      <c r="AK282" s="60">
        <v>89.8</v>
      </c>
      <c r="AL282" s="60">
        <v>0</v>
      </c>
      <c r="AM282" s="60">
        <v>0</v>
      </c>
      <c r="AN282" s="60">
        <v>0</v>
      </c>
      <c r="AO282" s="60">
        <v>72.36</v>
      </c>
      <c r="AP282" s="60">
        <v>87.45</v>
      </c>
      <c r="AQ282" s="60">
        <v>89.8</v>
      </c>
      <c r="AR282" s="61">
        <v>89.8</v>
      </c>
    </row>
    <row r="283" spans="1:44" x14ac:dyDescent="0.35">
      <c r="A283" s="49" t="str">
        <f t="shared" ref="A283:A300" si="23">TEXT(21,"00")</f>
        <v>21</v>
      </c>
      <c r="B283" s="27">
        <v>10215</v>
      </c>
      <c r="C283" s="25" t="str">
        <f t="shared" si="22"/>
        <v>0000000</v>
      </c>
      <c r="D283" s="26" t="s">
        <v>3663</v>
      </c>
      <c r="E283" s="25" t="s">
        <v>1249</v>
      </c>
      <c r="F283" s="25" t="s">
        <v>1250</v>
      </c>
      <c r="G283" s="59" t="s">
        <v>1250</v>
      </c>
      <c r="H283" s="60">
        <v>0</v>
      </c>
      <c r="I283" s="60">
        <v>0</v>
      </c>
      <c r="J283" s="60">
        <v>0</v>
      </c>
      <c r="K283" s="60">
        <v>0</v>
      </c>
      <c r="L283" s="60">
        <v>0</v>
      </c>
      <c r="M283" s="60">
        <v>0</v>
      </c>
      <c r="N283" s="60">
        <v>0</v>
      </c>
      <c r="O283" s="60">
        <v>0</v>
      </c>
      <c r="P283" s="60">
        <v>0</v>
      </c>
      <c r="Q283" s="60">
        <v>0</v>
      </c>
      <c r="R283" s="60">
        <v>0</v>
      </c>
      <c r="S283" s="60">
        <v>0</v>
      </c>
      <c r="T283" s="60">
        <v>38.479999999999997</v>
      </c>
      <c r="U283" s="60">
        <v>32.200000000000003</v>
      </c>
      <c r="V283" s="60">
        <v>59.84</v>
      </c>
      <c r="W283" s="60">
        <v>200.82</v>
      </c>
      <c r="X283" s="60">
        <v>202.15</v>
      </c>
      <c r="Y283" s="60">
        <v>246.62</v>
      </c>
      <c r="Z283" s="60">
        <v>0</v>
      </c>
      <c r="AA283" s="60">
        <v>0</v>
      </c>
      <c r="AB283" s="60">
        <v>0</v>
      </c>
      <c r="AC283" s="60">
        <v>0</v>
      </c>
      <c r="AD283" s="60">
        <v>0</v>
      </c>
      <c r="AE283" s="60">
        <v>0</v>
      </c>
      <c r="AF283" s="60">
        <v>0</v>
      </c>
      <c r="AG283" s="60">
        <v>0</v>
      </c>
      <c r="AH283" s="60">
        <v>0</v>
      </c>
      <c r="AI283" s="60">
        <v>239.3</v>
      </c>
      <c r="AJ283" s="60">
        <v>234.35</v>
      </c>
      <c r="AK283" s="60">
        <v>306.45999999999998</v>
      </c>
      <c r="AL283" s="60">
        <v>0</v>
      </c>
      <c r="AM283" s="60">
        <v>0</v>
      </c>
      <c r="AN283" s="60">
        <v>0</v>
      </c>
      <c r="AO283" s="60">
        <v>239.3</v>
      </c>
      <c r="AP283" s="60">
        <v>234.35</v>
      </c>
      <c r="AQ283" s="60">
        <v>306.45999999999998</v>
      </c>
      <c r="AR283" s="61">
        <v>306.45999999999998</v>
      </c>
    </row>
    <row r="284" spans="1:44" x14ac:dyDescent="0.35">
      <c r="A284" s="49" t="str">
        <f t="shared" si="23"/>
        <v>21</v>
      </c>
      <c r="B284" s="27">
        <v>65300</v>
      </c>
      <c r="C284" s="25" t="str">
        <f t="shared" si="22"/>
        <v>0000000</v>
      </c>
      <c r="D284" s="26" t="s">
        <v>3663</v>
      </c>
      <c r="E284" s="25" t="s">
        <v>1253</v>
      </c>
      <c r="F284" s="25" t="s">
        <v>1250</v>
      </c>
      <c r="G284" s="59" t="s">
        <v>1254</v>
      </c>
      <c r="H284" s="60">
        <v>91.81</v>
      </c>
      <c r="I284" s="60">
        <v>87.72</v>
      </c>
      <c r="J284" s="60">
        <v>83.53</v>
      </c>
      <c r="K284" s="60">
        <v>0</v>
      </c>
      <c r="L284" s="60">
        <v>0</v>
      </c>
      <c r="M284" s="60">
        <v>0</v>
      </c>
      <c r="N284" s="60">
        <v>0</v>
      </c>
      <c r="O284" s="60">
        <v>0</v>
      </c>
      <c r="P284" s="60">
        <v>0</v>
      </c>
      <c r="Q284" s="60">
        <v>0</v>
      </c>
      <c r="R284" s="60">
        <v>0</v>
      </c>
      <c r="S284" s="60">
        <v>0</v>
      </c>
      <c r="T284" s="60">
        <v>0</v>
      </c>
      <c r="U284" s="60">
        <v>0</v>
      </c>
      <c r="V284" s="60">
        <v>0</v>
      </c>
      <c r="W284" s="60">
        <v>0</v>
      </c>
      <c r="X284" s="60">
        <v>0</v>
      </c>
      <c r="Y284" s="60">
        <v>0</v>
      </c>
      <c r="Z284" s="60">
        <v>0</v>
      </c>
      <c r="AA284" s="60">
        <v>0</v>
      </c>
      <c r="AB284" s="60">
        <v>0</v>
      </c>
      <c r="AC284" s="60">
        <v>0</v>
      </c>
      <c r="AD284" s="60">
        <v>0</v>
      </c>
      <c r="AE284" s="60">
        <v>0</v>
      </c>
      <c r="AF284" s="60">
        <v>0</v>
      </c>
      <c r="AG284" s="60">
        <v>0</v>
      </c>
      <c r="AH284" s="60">
        <v>0</v>
      </c>
      <c r="AI284" s="60">
        <v>91.81</v>
      </c>
      <c r="AJ284" s="60">
        <v>87.72</v>
      </c>
      <c r="AK284" s="60">
        <v>83.53</v>
      </c>
      <c r="AL284" s="60">
        <v>0</v>
      </c>
      <c r="AM284" s="60">
        <v>0</v>
      </c>
      <c r="AN284" s="60">
        <v>0</v>
      </c>
      <c r="AO284" s="60">
        <v>91.81</v>
      </c>
      <c r="AP284" s="60">
        <v>87.72</v>
      </c>
      <c r="AQ284" s="60">
        <v>83.53</v>
      </c>
      <c r="AR284" s="61">
        <v>91.81</v>
      </c>
    </row>
    <row r="285" spans="1:44" x14ac:dyDescent="0.35">
      <c r="A285" s="49" t="str">
        <f t="shared" si="23"/>
        <v>21</v>
      </c>
      <c r="B285" s="27">
        <v>65318</v>
      </c>
      <c r="C285" s="25" t="str">
        <f t="shared" si="22"/>
        <v>0000000</v>
      </c>
      <c r="D285" s="26" t="s">
        <v>3663</v>
      </c>
      <c r="E285" s="25" t="s">
        <v>1255</v>
      </c>
      <c r="F285" s="25" t="s">
        <v>1250</v>
      </c>
      <c r="G285" s="59" t="s">
        <v>1256</v>
      </c>
      <c r="H285" s="60">
        <v>1712.27</v>
      </c>
      <c r="I285" s="60">
        <v>1674.23</v>
      </c>
      <c r="J285" s="60">
        <v>1938.82</v>
      </c>
      <c r="K285" s="60">
        <v>0</v>
      </c>
      <c r="L285" s="60">
        <v>0</v>
      </c>
      <c r="M285" s="60">
        <v>0</v>
      </c>
      <c r="N285" s="60">
        <v>0</v>
      </c>
      <c r="O285" s="60">
        <v>0</v>
      </c>
      <c r="P285" s="60">
        <v>0</v>
      </c>
      <c r="Q285" s="60">
        <v>0</v>
      </c>
      <c r="R285" s="60">
        <v>0</v>
      </c>
      <c r="S285" s="60">
        <v>0</v>
      </c>
      <c r="T285" s="60">
        <v>0</v>
      </c>
      <c r="U285" s="60">
        <v>0</v>
      </c>
      <c r="V285" s="60">
        <v>0</v>
      </c>
      <c r="W285" s="60">
        <v>0</v>
      </c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0</v>
      </c>
      <c r="AD285" s="60">
        <v>0</v>
      </c>
      <c r="AE285" s="60">
        <v>0</v>
      </c>
      <c r="AF285" s="60">
        <v>0</v>
      </c>
      <c r="AG285" s="60">
        <v>0</v>
      </c>
      <c r="AH285" s="60">
        <v>0</v>
      </c>
      <c r="AI285" s="60">
        <v>1712.27</v>
      </c>
      <c r="AJ285" s="60">
        <v>1674.23</v>
      </c>
      <c r="AK285" s="60">
        <v>1938.82</v>
      </c>
      <c r="AL285" s="60">
        <v>0</v>
      </c>
      <c r="AM285" s="60">
        <v>0</v>
      </c>
      <c r="AN285" s="60">
        <v>0</v>
      </c>
      <c r="AO285" s="60">
        <v>1712.27</v>
      </c>
      <c r="AP285" s="60">
        <v>1674.23</v>
      </c>
      <c r="AQ285" s="60">
        <v>1938.82</v>
      </c>
      <c r="AR285" s="61">
        <v>1938.82</v>
      </c>
    </row>
    <row r="286" spans="1:44" x14ac:dyDescent="0.35">
      <c r="A286" s="49" t="str">
        <f t="shared" si="23"/>
        <v>21</v>
      </c>
      <c r="B286" s="27">
        <v>65334</v>
      </c>
      <c r="C286" s="25" t="str">
        <f t="shared" si="22"/>
        <v>0000000</v>
      </c>
      <c r="D286" s="26" t="s">
        <v>3663</v>
      </c>
      <c r="E286" s="25" t="s">
        <v>1257</v>
      </c>
      <c r="F286" s="25" t="s">
        <v>1250</v>
      </c>
      <c r="G286" s="59" t="s">
        <v>1258</v>
      </c>
      <c r="H286" s="60">
        <v>995.64</v>
      </c>
      <c r="I286" s="60">
        <v>988.41</v>
      </c>
      <c r="J286" s="60">
        <v>1141.69</v>
      </c>
      <c r="K286" s="60">
        <v>0</v>
      </c>
      <c r="L286" s="60">
        <v>0</v>
      </c>
      <c r="M286" s="60">
        <v>0</v>
      </c>
      <c r="N286" s="60">
        <v>0</v>
      </c>
      <c r="O286" s="60">
        <v>0</v>
      </c>
      <c r="P286" s="60">
        <v>0</v>
      </c>
      <c r="Q286" s="60">
        <v>0</v>
      </c>
      <c r="R286" s="60">
        <v>0</v>
      </c>
      <c r="S286" s="60">
        <v>0</v>
      </c>
      <c r="T286" s="60">
        <v>0</v>
      </c>
      <c r="U286" s="60">
        <v>0</v>
      </c>
      <c r="V286" s="60">
        <v>0</v>
      </c>
      <c r="W286" s="60">
        <v>0</v>
      </c>
      <c r="X286" s="60">
        <v>0</v>
      </c>
      <c r="Y286" s="60">
        <v>0</v>
      </c>
      <c r="Z286" s="60">
        <v>0</v>
      </c>
      <c r="AA286" s="60">
        <v>0</v>
      </c>
      <c r="AB286" s="60">
        <v>0</v>
      </c>
      <c r="AC286" s="60">
        <v>0</v>
      </c>
      <c r="AD286" s="60">
        <v>0</v>
      </c>
      <c r="AE286" s="60">
        <v>0</v>
      </c>
      <c r="AF286" s="60">
        <v>0</v>
      </c>
      <c r="AG286" s="60">
        <v>0</v>
      </c>
      <c r="AH286" s="60">
        <v>0</v>
      </c>
      <c r="AI286" s="60">
        <v>995.64</v>
      </c>
      <c r="AJ286" s="60">
        <v>988.41</v>
      </c>
      <c r="AK286" s="60">
        <v>1141.69</v>
      </c>
      <c r="AL286" s="60">
        <v>0</v>
      </c>
      <c r="AM286" s="60">
        <v>0</v>
      </c>
      <c r="AN286" s="60">
        <v>0</v>
      </c>
      <c r="AO286" s="60">
        <v>995.64</v>
      </c>
      <c r="AP286" s="60">
        <v>988.41</v>
      </c>
      <c r="AQ286" s="60">
        <v>1141.69</v>
      </c>
      <c r="AR286" s="61">
        <v>1141.69</v>
      </c>
    </row>
    <row r="287" spans="1:44" x14ac:dyDescent="0.35">
      <c r="A287" s="49" t="str">
        <f t="shared" si="23"/>
        <v>21</v>
      </c>
      <c r="B287" s="27">
        <v>65359</v>
      </c>
      <c r="C287" s="25" t="str">
        <f t="shared" si="22"/>
        <v>0000000</v>
      </c>
      <c r="D287" s="26" t="s">
        <v>3663</v>
      </c>
      <c r="E287" s="25" t="s">
        <v>1261</v>
      </c>
      <c r="F287" s="25" t="s">
        <v>1250</v>
      </c>
      <c r="G287" s="59" t="s">
        <v>1262</v>
      </c>
      <c r="H287" s="60">
        <v>147.11000000000001</v>
      </c>
      <c r="I287" s="60">
        <v>168.36</v>
      </c>
      <c r="J287" s="60">
        <v>225.18</v>
      </c>
      <c r="K287" s="60">
        <v>0</v>
      </c>
      <c r="L287" s="60">
        <v>0</v>
      </c>
      <c r="M287" s="60">
        <v>0</v>
      </c>
      <c r="N287" s="60">
        <v>0</v>
      </c>
      <c r="O287" s="60">
        <v>0</v>
      </c>
      <c r="P287" s="60">
        <v>0</v>
      </c>
      <c r="Q287" s="60">
        <v>0</v>
      </c>
      <c r="R287" s="60">
        <v>0</v>
      </c>
      <c r="S287" s="60">
        <v>0</v>
      </c>
      <c r="T287" s="60">
        <v>0</v>
      </c>
      <c r="U287" s="60">
        <v>0</v>
      </c>
      <c r="V287" s="60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0">
        <v>0</v>
      </c>
      <c r="AE287" s="60">
        <v>0</v>
      </c>
      <c r="AF287" s="60">
        <v>0</v>
      </c>
      <c r="AG287" s="60">
        <v>0</v>
      </c>
      <c r="AH287" s="60">
        <v>0</v>
      </c>
      <c r="AI287" s="60">
        <v>147.11000000000001</v>
      </c>
      <c r="AJ287" s="60">
        <v>168.36</v>
      </c>
      <c r="AK287" s="60">
        <v>225.18</v>
      </c>
      <c r="AL287" s="60">
        <v>0</v>
      </c>
      <c r="AM287" s="60">
        <v>0</v>
      </c>
      <c r="AN287" s="60">
        <v>0</v>
      </c>
      <c r="AO287" s="60">
        <v>147.11000000000001</v>
      </c>
      <c r="AP287" s="60">
        <v>168.36</v>
      </c>
      <c r="AQ287" s="60">
        <v>225.18</v>
      </c>
      <c r="AR287" s="61">
        <v>225.18</v>
      </c>
    </row>
    <row r="288" spans="1:44" x14ac:dyDescent="0.35">
      <c r="A288" s="49" t="str">
        <f t="shared" si="23"/>
        <v>21</v>
      </c>
      <c r="B288" s="27">
        <v>65367</v>
      </c>
      <c r="C288" s="25" t="str">
        <f t="shared" si="22"/>
        <v>0000000</v>
      </c>
      <c r="D288" s="26" t="s">
        <v>3663</v>
      </c>
      <c r="E288" s="25" t="s">
        <v>1263</v>
      </c>
      <c r="F288" s="25" t="s">
        <v>1250</v>
      </c>
      <c r="G288" s="59" t="s">
        <v>1264</v>
      </c>
      <c r="H288" s="60">
        <v>1190.97</v>
      </c>
      <c r="I288" s="60">
        <v>1284.77</v>
      </c>
      <c r="J288" s="60">
        <v>1480.74</v>
      </c>
      <c r="K288" s="60">
        <v>0</v>
      </c>
      <c r="L288" s="60">
        <v>0</v>
      </c>
      <c r="M288" s="60">
        <v>0</v>
      </c>
      <c r="N288" s="60">
        <v>0</v>
      </c>
      <c r="O288" s="60">
        <v>0</v>
      </c>
      <c r="P288" s="60">
        <v>0</v>
      </c>
      <c r="Q288" s="60">
        <v>0</v>
      </c>
      <c r="R288" s="60">
        <v>0</v>
      </c>
      <c r="S288" s="60">
        <v>0</v>
      </c>
      <c r="T288" s="60">
        <v>0</v>
      </c>
      <c r="U288" s="60">
        <v>0</v>
      </c>
      <c r="V288" s="60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0">
        <v>0</v>
      </c>
      <c r="AE288" s="60">
        <v>0</v>
      </c>
      <c r="AF288" s="60">
        <v>0</v>
      </c>
      <c r="AG288" s="60">
        <v>0</v>
      </c>
      <c r="AH288" s="60">
        <v>0</v>
      </c>
      <c r="AI288" s="60">
        <v>1190.97</v>
      </c>
      <c r="AJ288" s="60">
        <v>1284.77</v>
      </c>
      <c r="AK288" s="60">
        <v>1480.74</v>
      </c>
      <c r="AL288" s="60">
        <v>0</v>
      </c>
      <c r="AM288" s="60">
        <v>0</v>
      </c>
      <c r="AN288" s="60">
        <v>0</v>
      </c>
      <c r="AO288" s="60">
        <v>1190.97</v>
      </c>
      <c r="AP288" s="60">
        <v>1284.77</v>
      </c>
      <c r="AQ288" s="60">
        <v>1480.74</v>
      </c>
      <c r="AR288" s="61">
        <v>1480.74</v>
      </c>
    </row>
    <row r="289" spans="1:44" x14ac:dyDescent="0.35">
      <c r="A289" s="49" t="str">
        <f t="shared" si="23"/>
        <v>21</v>
      </c>
      <c r="B289" s="27">
        <v>65391</v>
      </c>
      <c r="C289" s="25" t="str">
        <f t="shared" si="22"/>
        <v>0000000</v>
      </c>
      <c r="D289" s="26" t="s">
        <v>3663</v>
      </c>
      <c r="E289" s="25" t="s">
        <v>1265</v>
      </c>
      <c r="F289" s="25" t="s">
        <v>1250</v>
      </c>
      <c r="G289" s="59" t="s">
        <v>1266</v>
      </c>
      <c r="H289" s="60">
        <v>2234.5100000000002</v>
      </c>
      <c r="I289" s="60">
        <v>2307.48</v>
      </c>
      <c r="J289" s="60">
        <v>2740.61</v>
      </c>
      <c r="K289" s="60">
        <v>0</v>
      </c>
      <c r="L289" s="60">
        <v>0</v>
      </c>
      <c r="M289" s="60">
        <v>0</v>
      </c>
      <c r="N289" s="60">
        <v>0</v>
      </c>
      <c r="O289" s="60">
        <v>0</v>
      </c>
      <c r="P289" s="60">
        <v>0</v>
      </c>
      <c r="Q289" s="60">
        <v>0</v>
      </c>
      <c r="R289" s="60">
        <v>0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0">
        <v>0</v>
      </c>
      <c r="AE289" s="60">
        <v>0</v>
      </c>
      <c r="AF289" s="60">
        <v>0</v>
      </c>
      <c r="AG289" s="60">
        <v>0</v>
      </c>
      <c r="AH289" s="60">
        <v>0</v>
      </c>
      <c r="AI289" s="60">
        <v>2234.5100000000002</v>
      </c>
      <c r="AJ289" s="60">
        <v>2307.48</v>
      </c>
      <c r="AK289" s="60">
        <v>2740.61</v>
      </c>
      <c r="AL289" s="60">
        <v>0</v>
      </c>
      <c r="AM289" s="60">
        <v>0</v>
      </c>
      <c r="AN289" s="60">
        <v>0</v>
      </c>
      <c r="AO289" s="60">
        <v>2234.5100000000002</v>
      </c>
      <c r="AP289" s="60">
        <v>2307.48</v>
      </c>
      <c r="AQ289" s="60">
        <v>2740.61</v>
      </c>
      <c r="AR289" s="61">
        <v>2740.61</v>
      </c>
    </row>
    <row r="290" spans="1:44" x14ac:dyDescent="0.35">
      <c r="A290" s="49" t="str">
        <f t="shared" si="23"/>
        <v>21</v>
      </c>
      <c r="B290" s="27">
        <v>65425</v>
      </c>
      <c r="C290" s="25" t="str">
        <f t="shared" ref="C290:C326" si="24">TEXT(,"0000000")</f>
        <v>0000000</v>
      </c>
      <c r="D290" s="26" t="s">
        <v>3663</v>
      </c>
      <c r="E290" s="25" t="s">
        <v>1274</v>
      </c>
      <c r="F290" s="25" t="s">
        <v>1250</v>
      </c>
      <c r="G290" s="59" t="s">
        <v>1275</v>
      </c>
      <c r="H290" s="60">
        <v>951.2</v>
      </c>
      <c r="I290" s="60">
        <v>976.93</v>
      </c>
      <c r="J290" s="60">
        <v>1255.42</v>
      </c>
      <c r="K290" s="60">
        <v>0</v>
      </c>
      <c r="L290" s="60">
        <v>0</v>
      </c>
      <c r="M290" s="60">
        <v>0</v>
      </c>
      <c r="N290" s="60">
        <v>0</v>
      </c>
      <c r="O290" s="60">
        <v>0</v>
      </c>
      <c r="P290" s="60">
        <v>0</v>
      </c>
      <c r="Q290" s="60">
        <v>0</v>
      </c>
      <c r="R290" s="60">
        <v>0</v>
      </c>
      <c r="S290" s="60">
        <v>0</v>
      </c>
      <c r="T290" s="60">
        <v>0</v>
      </c>
      <c r="U290" s="60">
        <v>0</v>
      </c>
      <c r="V290" s="60">
        <v>0</v>
      </c>
      <c r="W290" s="60">
        <v>0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0">
        <v>0</v>
      </c>
      <c r="AE290" s="60">
        <v>0</v>
      </c>
      <c r="AF290" s="60">
        <v>0</v>
      </c>
      <c r="AG290" s="60">
        <v>0</v>
      </c>
      <c r="AH290" s="60">
        <v>0</v>
      </c>
      <c r="AI290" s="60">
        <v>951.2</v>
      </c>
      <c r="AJ290" s="60">
        <v>976.93</v>
      </c>
      <c r="AK290" s="60">
        <v>1255.42</v>
      </c>
      <c r="AL290" s="60">
        <v>0</v>
      </c>
      <c r="AM290" s="60">
        <v>0</v>
      </c>
      <c r="AN290" s="60">
        <v>0</v>
      </c>
      <c r="AO290" s="60">
        <v>951.2</v>
      </c>
      <c r="AP290" s="60">
        <v>976.93</v>
      </c>
      <c r="AQ290" s="60">
        <v>1255.42</v>
      </c>
      <c r="AR290" s="61">
        <v>1255.42</v>
      </c>
    </row>
    <row r="291" spans="1:44" x14ac:dyDescent="0.35">
      <c r="A291" s="49" t="str">
        <f t="shared" si="23"/>
        <v>21</v>
      </c>
      <c r="B291" s="27">
        <v>65433</v>
      </c>
      <c r="C291" s="25" t="str">
        <f t="shared" si="24"/>
        <v>0000000</v>
      </c>
      <c r="D291" s="26" t="s">
        <v>3663</v>
      </c>
      <c r="E291" s="25" t="s">
        <v>1276</v>
      </c>
      <c r="F291" s="25" t="s">
        <v>1250</v>
      </c>
      <c r="G291" s="59" t="s">
        <v>1277</v>
      </c>
      <c r="H291" s="60">
        <v>336.89</v>
      </c>
      <c r="I291" s="60">
        <v>348.91</v>
      </c>
      <c r="J291" s="60">
        <v>366.88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  <c r="P291" s="60">
        <v>0</v>
      </c>
      <c r="Q291" s="60">
        <v>0</v>
      </c>
      <c r="R291" s="60">
        <v>0</v>
      </c>
      <c r="S291" s="60">
        <v>0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0">
        <v>0</v>
      </c>
      <c r="AE291" s="60">
        <v>0</v>
      </c>
      <c r="AF291" s="60">
        <v>0</v>
      </c>
      <c r="AG291" s="60">
        <v>0</v>
      </c>
      <c r="AH291" s="60">
        <v>0</v>
      </c>
      <c r="AI291" s="60">
        <v>336.89</v>
      </c>
      <c r="AJ291" s="60">
        <v>348.91</v>
      </c>
      <c r="AK291" s="60">
        <v>366.88</v>
      </c>
      <c r="AL291" s="60">
        <v>0</v>
      </c>
      <c r="AM291" s="60">
        <v>0</v>
      </c>
      <c r="AN291" s="60">
        <v>0</v>
      </c>
      <c r="AO291" s="60">
        <v>336.89</v>
      </c>
      <c r="AP291" s="60">
        <v>348.91</v>
      </c>
      <c r="AQ291" s="60">
        <v>366.88</v>
      </c>
      <c r="AR291" s="61">
        <v>366.88</v>
      </c>
    </row>
    <row r="292" spans="1:44" x14ac:dyDescent="0.35">
      <c r="A292" s="49" t="str">
        <f t="shared" si="23"/>
        <v>21</v>
      </c>
      <c r="B292" s="27">
        <v>65458</v>
      </c>
      <c r="C292" s="25" t="str">
        <f t="shared" si="24"/>
        <v>0000000</v>
      </c>
      <c r="D292" s="26" t="s">
        <v>3663</v>
      </c>
      <c r="E292" s="25" t="s">
        <v>1278</v>
      </c>
      <c r="F292" s="25" t="s">
        <v>1250</v>
      </c>
      <c r="G292" s="59" t="s">
        <v>1279</v>
      </c>
      <c r="H292" s="60">
        <v>4034.11</v>
      </c>
      <c r="I292" s="60">
        <v>3983.77</v>
      </c>
      <c r="J292" s="60">
        <v>4409.76</v>
      </c>
      <c r="K292" s="60">
        <v>0</v>
      </c>
      <c r="L292" s="60">
        <v>0</v>
      </c>
      <c r="M292" s="60">
        <v>0</v>
      </c>
      <c r="N292" s="60">
        <v>0</v>
      </c>
      <c r="O292" s="60">
        <v>0</v>
      </c>
      <c r="P292" s="60">
        <v>0</v>
      </c>
      <c r="Q292" s="60">
        <v>0</v>
      </c>
      <c r="R292" s="60">
        <v>0</v>
      </c>
      <c r="S292" s="60">
        <v>0</v>
      </c>
      <c r="T292" s="60">
        <v>0</v>
      </c>
      <c r="U292" s="60">
        <v>0</v>
      </c>
      <c r="V292" s="60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0">
        <v>0</v>
      </c>
      <c r="AE292" s="60">
        <v>0</v>
      </c>
      <c r="AF292" s="60">
        <v>0</v>
      </c>
      <c r="AG292" s="60">
        <v>0</v>
      </c>
      <c r="AH292" s="60">
        <v>0</v>
      </c>
      <c r="AI292" s="60">
        <v>4034.11</v>
      </c>
      <c r="AJ292" s="60">
        <v>3983.77</v>
      </c>
      <c r="AK292" s="60">
        <v>4409.76</v>
      </c>
      <c r="AL292" s="60">
        <v>0</v>
      </c>
      <c r="AM292" s="60">
        <v>0</v>
      </c>
      <c r="AN292" s="60">
        <v>0</v>
      </c>
      <c r="AO292" s="60">
        <v>4034.11</v>
      </c>
      <c r="AP292" s="60">
        <v>3983.77</v>
      </c>
      <c r="AQ292" s="60">
        <v>4409.76</v>
      </c>
      <c r="AR292" s="61">
        <v>4409.76</v>
      </c>
    </row>
    <row r="293" spans="1:44" x14ac:dyDescent="0.35">
      <c r="A293" s="49" t="str">
        <f t="shared" si="23"/>
        <v>21</v>
      </c>
      <c r="B293" s="27">
        <v>65474</v>
      </c>
      <c r="C293" s="25" t="str">
        <f t="shared" si="24"/>
        <v>0000000</v>
      </c>
      <c r="D293" s="26" t="s">
        <v>3663</v>
      </c>
      <c r="E293" s="25" t="s">
        <v>1282</v>
      </c>
      <c r="F293" s="25" t="s">
        <v>1250</v>
      </c>
      <c r="G293" s="59" t="s">
        <v>1283</v>
      </c>
      <c r="H293" s="60">
        <v>282.14999999999998</v>
      </c>
      <c r="I293" s="60">
        <v>315.23</v>
      </c>
      <c r="J293" s="60">
        <v>104.48</v>
      </c>
      <c r="K293" s="60">
        <v>0</v>
      </c>
      <c r="L293" s="60">
        <v>0</v>
      </c>
      <c r="M293" s="60">
        <v>0</v>
      </c>
      <c r="N293" s="60">
        <v>10.74</v>
      </c>
      <c r="O293" s="60">
        <v>41.6</v>
      </c>
      <c r="P293" s="60">
        <v>0</v>
      </c>
      <c r="Q293" s="60">
        <v>0</v>
      </c>
      <c r="R293" s="60">
        <v>0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0">
        <v>0</v>
      </c>
      <c r="AE293" s="60">
        <v>352.26</v>
      </c>
      <c r="AF293" s="60">
        <v>0</v>
      </c>
      <c r="AG293" s="60">
        <v>0</v>
      </c>
      <c r="AH293" s="60">
        <v>0</v>
      </c>
      <c r="AI293" s="60">
        <v>292.89</v>
      </c>
      <c r="AJ293" s="60">
        <v>356.83</v>
      </c>
      <c r="AK293" s="60">
        <v>456.74</v>
      </c>
      <c r="AL293" s="60">
        <v>0</v>
      </c>
      <c r="AM293" s="60">
        <v>0</v>
      </c>
      <c r="AN293" s="60">
        <v>0</v>
      </c>
      <c r="AO293" s="60">
        <v>292.89</v>
      </c>
      <c r="AP293" s="60">
        <v>356.83</v>
      </c>
      <c r="AQ293" s="60">
        <v>456.74</v>
      </c>
      <c r="AR293" s="61">
        <v>456.74</v>
      </c>
    </row>
    <row r="294" spans="1:44" x14ac:dyDescent="0.35">
      <c r="A294" s="49" t="str">
        <f t="shared" si="23"/>
        <v>21</v>
      </c>
      <c r="B294" s="27">
        <v>65466</v>
      </c>
      <c r="C294" s="25" t="str">
        <f t="shared" si="24"/>
        <v>0000000</v>
      </c>
      <c r="D294" s="26" t="s">
        <v>3663</v>
      </c>
      <c r="E294" s="25" t="s">
        <v>1280</v>
      </c>
      <c r="F294" s="25" t="s">
        <v>1250</v>
      </c>
      <c r="G294" s="59" t="s">
        <v>1281</v>
      </c>
      <c r="H294" s="60">
        <v>2471.27</v>
      </c>
      <c r="I294" s="60">
        <v>2452.48</v>
      </c>
      <c r="J294" s="60">
        <v>2611.56</v>
      </c>
      <c r="K294" s="60">
        <v>0</v>
      </c>
      <c r="L294" s="60">
        <v>0</v>
      </c>
      <c r="M294" s="60">
        <v>0</v>
      </c>
      <c r="N294" s="60">
        <v>0</v>
      </c>
      <c r="O294" s="60">
        <v>0</v>
      </c>
      <c r="P294" s="60">
        <v>8.66</v>
      </c>
      <c r="Q294" s="60">
        <v>0</v>
      </c>
      <c r="R294" s="60">
        <v>0</v>
      </c>
      <c r="S294" s="60">
        <v>0</v>
      </c>
      <c r="T294" s="60">
        <v>0</v>
      </c>
      <c r="U294" s="60">
        <v>0</v>
      </c>
      <c r="V294" s="60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0">
        <v>0</v>
      </c>
      <c r="AE294" s="60">
        <v>0</v>
      </c>
      <c r="AF294" s="60">
        <v>0</v>
      </c>
      <c r="AG294" s="60">
        <v>0</v>
      </c>
      <c r="AH294" s="60">
        <v>0</v>
      </c>
      <c r="AI294" s="60">
        <v>2471.27</v>
      </c>
      <c r="AJ294" s="60">
        <v>2452.48</v>
      </c>
      <c r="AK294" s="60">
        <v>2620.2199999999998</v>
      </c>
      <c r="AL294" s="60">
        <v>0</v>
      </c>
      <c r="AM294" s="60">
        <v>0</v>
      </c>
      <c r="AN294" s="60">
        <v>0</v>
      </c>
      <c r="AO294" s="60">
        <v>2471.27</v>
      </c>
      <c r="AP294" s="60">
        <v>2452.48</v>
      </c>
      <c r="AQ294" s="60">
        <v>2620.2199999999998</v>
      </c>
      <c r="AR294" s="61">
        <v>2620.2199999999998</v>
      </c>
    </row>
    <row r="295" spans="1:44" x14ac:dyDescent="0.35">
      <c r="A295" s="49" t="str">
        <f t="shared" si="23"/>
        <v>21</v>
      </c>
      <c r="B295" s="27">
        <v>65482</v>
      </c>
      <c r="C295" s="25" t="str">
        <f t="shared" si="24"/>
        <v>0000000</v>
      </c>
      <c r="D295" s="26" t="s">
        <v>3663</v>
      </c>
      <c r="E295" s="25" t="s">
        <v>1284</v>
      </c>
      <c r="F295" s="25" t="s">
        <v>1250</v>
      </c>
      <c r="G295" s="59" t="s">
        <v>1285</v>
      </c>
      <c r="H295" s="60">
        <v>4506.08</v>
      </c>
      <c r="I295" s="60">
        <v>4809.8599999999997</v>
      </c>
      <c r="J295" s="60">
        <v>4890.93</v>
      </c>
      <c r="K295" s="60">
        <v>0</v>
      </c>
      <c r="L295" s="60">
        <v>0</v>
      </c>
      <c r="M295" s="60">
        <v>0</v>
      </c>
      <c r="N295" s="60">
        <v>0</v>
      </c>
      <c r="O295" s="60">
        <v>0</v>
      </c>
      <c r="P295" s="60">
        <v>0</v>
      </c>
      <c r="Q295" s="60">
        <v>0</v>
      </c>
      <c r="R295" s="60">
        <v>0</v>
      </c>
      <c r="S295" s="60">
        <v>0</v>
      </c>
      <c r="T295" s="60">
        <v>0</v>
      </c>
      <c r="U295" s="60">
        <v>0</v>
      </c>
      <c r="V295" s="60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0">
        <v>0</v>
      </c>
      <c r="AE295" s="60">
        <v>0</v>
      </c>
      <c r="AF295" s="60">
        <v>0</v>
      </c>
      <c r="AG295" s="60">
        <v>0</v>
      </c>
      <c r="AH295" s="60">
        <v>0</v>
      </c>
      <c r="AI295" s="60">
        <v>4506.08</v>
      </c>
      <c r="AJ295" s="60">
        <v>4809.8599999999997</v>
      </c>
      <c r="AK295" s="60">
        <v>4890.93</v>
      </c>
      <c r="AL295" s="60">
        <v>0</v>
      </c>
      <c r="AM295" s="60">
        <v>0</v>
      </c>
      <c r="AN295" s="60">
        <v>0</v>
      </c>
      <c r="AO295" s="60">
        <v>4506.08</v>
      </c>
      <c r="AP295" s="60">
        <v>4809.8599999999997</v>
      </c>
      <c r="AQ295" s="60">
        <v>4890.93</v>
      </c>
      <c r="AR295" s="61">
        <v>4890.93</v>
      </c>
    </row>
    <row r="296" spans="1:44" x14ac:dyDescent="0.35">
      <c r="A296" s="49" t="str">
        <f t="shared" si="23"/>
        <v>21</v>
      </c>
      <c r="B296" s="27">
        <v>65417</v>
      </c>
      <c r="C296" s="25" t="str">
        <f t="shared" si="24"/>
        <v>0000000</v>
      </c>
      <c r="D296" s="26" t="s">
        <v>3663</v>
      </c>
      <c r="E296" s="25" t="s">
        <v>1269</v>
      </c>
      <c r="F296" s="25" t="s">
        <v>1250</v>
      </c>
      <c r="G296" s="59" t="s">
        <v>1270</v>
      </c>
      <c r="H296" s="60">
        <v>6744.45</v>
      </c>
      <c r="I296" s="60">
        <v>6789.23</v>
      </c>
      <c r="J296" s="60">
        <v>7271.41</v>
      </c>
      <c r="K296" s="60">
        <v>0</v>
      </c>
      <c r="L296" s="60">
        <v>0</v>
      </c>
      <c r="M296" s="60">
        <v>0</v>
      </c>
      <c r="N296" s="60">
        <v>0</v>
      </c>
      <c r="O296" s="60">
        <v>0</v>
      </c>
      <c r="P296" s="60">
        <v>0</v>
      </c>
      <c r="Q296" s="60">
        <v>0</v>
      </c>
      <c r="R296" s="60">
        <v>0</v>
      </c>
      <c r="S296" s="60">
        <v>0</v>
      </c>
      <c r="T296" s="60">
        <v>0</v>
      </c>
      <c r="U296" s="60">
        <v>0</v>
      </c>
      <c r="V296" s="60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0">
        <v>0</v>
      </c>
      <c r="AE296" s="60">
        <v>0</v>
      </c>
      <c r="AF296" s="60">
        <v>0</v>
      </c>
      <c r="AG296" s="60">
        <v>0</v>
      </c>
      <c r="AH296" s="60">
        <v>0</v>
      </c>
      <c r="AI296" s="60">
        <v>6744.45</v>
      </c>
      <c r="AJ296" s="60">
        <v>6789.23</v>
      </c>
      <c r="AK296" s="60">
        <v>7271.41</v>
      </c>
      <c r="AL296" s="60">
        <v>0</v>
      </c>
      <c r="AM296" s="60">
        <v>0</v>
      </c>
      <c r="AN296" s="60">
        <v>0</v>
      </c>
      <c r="AO296" s="60">
        <v>6744.45</v>
      </c>
      <c r="AP296" s="60">
        <v>6789.23</v>
      </c>
      <c r="AQ296" s="60">
        <v>7271.41</v>
      </c>
      <c r="AR296" s="61">
        <v>7271.41</v>
      </c>
    </row>
    <row r="297" spans="1:44" x14ac:dyDescent="0.35">
      <c r="A297" s="49" t="str">
        <f t="shared" si="23"/>
        <v>21</v>
      </c>
      <c r="B297" s="27">
        <v>73361</v>
      </c>
      <c r="C297" s="25" t="str">
        <f t="shared" si="24"/>
        <v>0000000</v>
      </c>
      <c r="D297" s="26" t="s">
        <v>3663</v>
      </c>
      <c r="E297" s="25" t="s">
        <v>1286</v>
      </c>
      <c r="F297" s="25" t="s">
        <v>1250</v>
      </c>
      <c r="G297" s="59" t="s">
        <v>1287</v>
      </c>
      <c r="H297" s="60">
        <v>335.58</v>
      </c>
      <c r="I297" s="60">
        <v>345.6</v>
      </c>
      <c r="J297" s="60">
        <v>368.5</v>
      </c>
      <c r="K297" s="60">
        <v>0</v>
      </c>
      <c r="L297" s="60">
        <v>0</v>
      </c>
      <c r="M297" s="60">
        <v>0</v>
      </c>
      <c r="N297" s="60">
        <v>94.64</v>
      </c>
      <c r="O297" s="60">
        <v>88.5</v>
      </c>
      <c r="P297" s="60">
        <v>106.18</v>
      </c>
      <c r="Q297" s="60">
        <v>0</v>
      </c>
      <c r="R297" s="60">
        <v>0</v>
      </c>
      <c r="S297" s="60">
        <v>0</v>
      </c>
      <c r="T297" s="60">
        <v>0</v>
      </c>
      <c r="U297" s="60">
        <v>0</v>
      </c>
      <c r="V297" s="60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0">
        <v>0</v>
      </c>
      <c r="AE297" s="60">
        <v>0</v>
      </c>
      <c r="AF297" s="60">
        <v>0</v>
      </c>
      <c r="AG297" s="60">
        <v>0</v>
      </c>
      <c r="AH297" s="60">
        <v>0</v>
      </c>
      <c r="AI297" s="60">
        <v>430.22</v>
      </c>
      <c r="AJ297" s="60">
        <v>434.1</v>
      </c>
      <c r="AK297" s="60">
        <v>474.68</v>
      </c>
      <c r="AL297" s="60">
        <v>0</v>
      </c>
      <c r="AM297" s="60">
        <v>0</v>
      </c>
      <c r="AN297" s="60">
        <v>0</v>
      </c>
      <c r="AO297" s="60">
        <v>430.22</v>
      </c>
      <c r="AP297" s="60">
        <v>434.1</v>
      </c>
      <c r="AQ297" s="60">
        <v>474.68</v>
      </c>
      <c r="AR297" s="61">
        <v>474.68</v>
      </c>
    </row>
    <row r="298" spans="1:44" x14ac:dyDescent="0.35">
      <c r="A298" s="49" t="str">
        <f t="shared" si="23"/>
        <v>21</v>
      </c>
      <c r="B298" s="27">
        <v>75002</v>
      </c>
      <c r="C298" s="25" t="str">
        <f t="shared" si="24"/>
        <v>0000000</v>
      </c>
      <c r="D298" s="26" t="s">
        <v>3663</v>
      </c>
      <c r="E298" s="25" t="s">
        <v>1288</v>
      </c>
      <c r="F298" s="25" t="s">
        <v>1250</v>
      </c>
      <c r="G298" s="59" t="s">
        <v>1289</v>
      </c>
      <c r="H298" s="60">
        <v>1605.31</v>
      </c>
      <c r="I298" s="60">
        <v>1661.38</v>
      </c>
      <c r="J298" s="60">
        <v>1961.45</v>
      </c>
      <c r="K298" s="60">
        <v>0</v>
      </c>
      <c r="L298" s="60">
        <v>0</v>
      </c>
      <c r="M298" s="60">
        <v>0</v>
      </c>
      <c r="N298" s="60">
        <v>0</v>
      </c>
      <c r="O298" s="60">
        <v>0</v>
      </c>
      <c r="P298" s="60">
        <v>0</v>
      </c>
      <c r="Q298" s="60">
        <v>0</v>
      </c>
      <c r="R298" s="60">
        <v>0</v>
      </c>
      <c r="S298" s="60">
        <v>0</v>
      </c>
      <c r="T298" s="60">
        <v>0</v>
      </c>
      <c r="U298" s="60">
        <v>0</v>
      </c>
      <c r="V298" s="60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0">
        <v>0</v>
      </c>
      <c r="AD298" s="60">
        <v>0</v>
      </c>
      <c r="AE298" s="60">
        <v>0</v>
      </c>
      <c r="AF298" s="60">
        <v>0</v>
      </c>
      <c r="AG298" s="60">
        <v>0</v>
      </c>
      <c r="AH298" s="60">
        <v>0</v>
      </c>
      <c r="AI298" s="60">
        <v>1605.31</v>
      </c>
      <c r="AJ298" s="60">
        <v>1661.38</v>
      </c>
      <c r="AK298" s="60">
        <v>1961.45</v>
      </c>
      <c r="AL298" s="60">
        <v>0</v>
      </c>
      <c r="AM298" s="60">
        <v>0</v>
      </c>
      <c r="AN298" s="60">
        <v>0</v>
      </c>
      <c r="AO298" s="60">
        <v>1605.31</v>
      </c>
      <c r="AP298" s="60">
        <v>1661.38</v>
      </c>
      <c r="AQ298" s="60">
        <v>1961.45</v>
      </c>
      <c r="AR298" s="61">
        <v>1961.45</v>
      </c>
    </row>
    <row r="299" spans="1:44" x14ac:dyDescent="0.35">
      <c r="A299" s="49" t="str">
        <f t="shared" si="23"/>
        <v>21</v>
      </c>
      <c r="B299" s="27">
        <v>65409</v>
      </c>
      <c r="C299" s="25" t="str">
        <f t="shared" si="24"/>
        <v>0000000</v>
      </c>
      <c r="D299" s="26" t="s">
        <v>3663</v>
      </c>
      <c r="E299" s="25" t="s">
        <v>1267</v>
      </c>
      <c r="F299" s="25" t="s">
        <v>1250</v>
      </c>
      <c r="G299" s="59" t="s">
        <v>1268</v>
      </c>
      <c r="H299" s="60">
        <v>32.46</v>
      </c>
      <c r="I299" s="60">
        <v>33.450000000000003</v>
      </c>
      <c r="J299" s="60">
        <v>36.89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  <c r="P299" s="60">
        <v>0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0">
        <v>0</v>
      </c>
      <c r="AE299" s="60">
        <v>0</v>
      </c>
      <c r="AF299" s="60">
        <v>0</v>
      </c>
      <c r="AG299" s="60">
        <v>0</v>
      </c>
      <c r="AH299" s="60">
        <v>0</v>
      </c>
      <c r="AI299" s="60">
        <v>32.46</v>
      </c>
      <c r="AJ299" s="60">
        <v>33.450000000000003</v>
      </c>
      <c r="AK299" s="60">
        <v>36.89</v>
      </c>
      <c r="AL299" s="60">
        <v>0</v>
      </c>
      <c r="AM299" s="60">
        <v>0</v>
      </c>
      <c r="AN299" s="60">
        <v>0</v>
      </c>
      <c r="AO299" s="60">
        <v>32.46</v>
      </c>
      <c r="AP299" s="60">
        <v>33.450000000000003</v>
      </c>
      <c r="AQ299" s="60">
        <v>36.89</v>
      </c>
      <c r="AR299" s="61">
        <v>36.89</v>
      </c>
    </row>
    <row r="300" spans="1:44" x14ac:dyDescent="0.35">
      <c r="A300" s="49" t="str">
        <f t="shared" si="23"/>
        <v>21</v>
      </c>
      <c r="B300" s="27">
        <v>65342</v>
      </c>
      <c r="C300" s="25" t="str">
        <f t="shared" si="24"/>
        <v>0000000</v>
      </c>
      <c r="D300" s="26" t="s">
        <v>3663</v>
      </c>
      <c r="E300" s="25" t="s">
        <v>1259</v>
      </c>
      <c r="F300" s="25" t="s">
        <v>1250</v>
      </c>
      <c r="G300" s="59" t="s">
        <v>1260</v>
      </c>
      <c r="H300" s="60">
        <v>15.15</v>
      </c>
      <c r="I300" s="60">
        <v>19.350000000000001</v>
      </c>
      <c r="J300" s="60">
        <v>15.76</v>
      </c>
      <c r="K300" s="60">
        <v>0</v>
      </c>
      <c r="L300" s="60">
        <v>0</v>
      </c>
      <c r="M300" s="60">
        <v>0</v>
      </c>
      <c r="N300" s="60">
        <v>0</v>
      </c>
      <c r="O300" s="60">
        <v>0</v>
      </c>
      <c r="P300" s="60">
        <v>0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0</v>
      </c>
      <c r="AD300" s="60">
        <v>0</v>
      </c>
      <c r="AE300" s="60">
        <v>0</v>
      </c>
      <c r="AF300" s="60">
        <v>0</v>
      </c>
      <c r="AG300" s="60">
        <v>0</v>
      </c>
      <c r="AH300" s="60">
        <v>0</v>
      </c>
      <c r="AI300" s="60">
        <v>15.15</v>
      </c>
      <c r="AJ300" s="60">
        <v>19.350000000000001</v>
      </c>
      <c r="AK300" s="60">
        <v>15.76</v>
      </c>
      <c r="AL300" s="60">
        <v>0</v>
      </c>
      <c r="AM300" s="60">
        <v>0</v>
      </c>
      <c r="AN300" s="60">
        <v>0</v>
      </c>
      <c r="AO300" s="60">
        <v>15.15</v>
      </c>
      <c r="AP300" s="60">
        <v>19.350000000000001</v>
      </c>
      <c r="AQ300" s="60">
        <v>15.76</v>
      </c>
      <c r="AR300" s="61">
        <v>19.350000000000001</v>
      </c>
    </row>
    <row r="301" spans="1:44" x14ac:dyDescent="0.35">
      <c r="A301" s="49" t="str">
        <f t="shared" ref="A301:A328" si="25">TEXT(47,"00")</f>
        <v>47</v>
      </c>
      <c r="B301" s="27">
        <v>10470</v>
      </c>
      <c r="C301" s="25" t="str">
        <f t="shared" si="24"/>
        <v>0000000</v>
      </c>
      <c r="D301" s="26" t="s">
        <v>3663</v>
      </c>
      <c r="E301" s="25" t="s">
        <v>2963</v>
      </c>
      <c r="F301" s="25" t="s">
        <v>2964</v>
      </c>
      <c r="G301" s="59" t="s">
        <v>2964</v>
      </c>
      <c r="H301" s="60">
        <v>0</v>
      </c>
      <c r="I301" s="60">
        <v>0</v>
      </c>
      <c r="J301" s="60">
        <v>0</v>
      </c>
      <c r="K301" s="60">
        <v>0</v>
      </c>
      <c r="L301" s="60">
        <v>0</v>
      </c>
      <c r="M301" s="60">
        <v>0</v>
      </c>
      <c r="N301" s="60">
        <v>0</v>
      </c>
      <c r="O301" s="60">
        <v>0</v>
      </c>
      <c r="P301" s="60">
        <v>0</v>
      </c>
      <c r="Q301" s="60">
        <v>0</v>
      </c>
      <c r="R301" s="60">
        <v>0</v>
      </c>
      <c r="S301" s="60">
        <v>0</v>
      </c>
      <c r="T301" s="60">
        <v>0</v>
      </c>
      <c r="U301" s="60">
        <v>0</v>
      </c>
      <c r="V301" s="60">
        <v>9.69</v>
      </c>
      <c r="W301" s="60">
        <v>76.86</v>
      </c>
      <c r="X301" s="60">
        <v>76.67</v>
      </c>
      <c r="Y301" s="60">
        <v>63.37</v>
      </c>
      <c r="Z301" s="60">
        <v>0</v>
      </c>
      <c r="AA301" s="60">
        <v>0</v>
      </c>
      <c r="AB301" s="60">
        <v>0</v>
      </c>
      <c r="AC301" s="60">
        <v>0</v>
      </c>
      <c r="AD301" s="60">
        <v>0</v>
      </c>
      <c r="AE301" s="60">
        <v>0</v>
      </c>
      <c r="AF301" s="60">
        <v>0</v>
      </c>
      <c r="AG301" s="60">
        <v>0</v>
      </c>
      <c r="AH301" s="60">
        <v>0</v>
      </c>
      <c r="AI301" s="60">
        <v>76.86</v>
      </c>
      <c r="AJ301" s="60">
        <v>76.67</v>
      </c>
      <c r="AK301" s="60">
        <v>73.06</v>
      </c>
      <c r="AL301" s="60">
        <v>0</v>
      </c>
      <c r="AM301" s="60">
        <v>0</v>
      </c>
      <c r="AN301" s="60">
        <v>0</v>
      </c>
      <c r="AO301" s="60">
        <v>76.86</v>
      </c>
      <c r="AP301" s="60">
        <v>76.67</v>
      </c>
      <c r="AQ301" s="60">
        <v>73.06</v>
      </c>
      <c r="AR301" s="61">
        <v>76.86</v>
      </c>
    </row>
    <row r="302" spans="1:44" x14ac:dyDescent="0.35">
      <c r="A302" s="49" t="str">
        <f t="shared" si="25"/>
        <v>47</v>
      </c>
      <c r="B302" s="27">
        <v>70326</v>
      </c>
      <c r="C302" s="25" t="str">
        <f t="shared" si="24"/>
        <v>0000000</v>
      </c>
      <c r="D302" s="26" t="s">
        <v>3663</v>
      </c>
      <c r="E302" s="25" t="s">
        <v>2986</v>
      </c>
      <c r="F302" s="25" t="s">
        <v>2964</v>
      </c>
      <c r="G302" s="59" t="s">
        <v>2987</v>
      </c>
      <c r="H302" s="60">
        <v>182.74</v>
      </c>
      <c r="I302" s="60">
        <v>163.87</v>
      </c>
      <c r="J302" s="60">
        <v>206.5</v>
      </c>
      <c r="K302" s="60">
        <v>0</v>
      </c>
      <c r="L302" s="60">
        <v>0</v>
      </c>
      <c r="M302" s="60">
        <v>0</v>
      </c>
      <c r="N302" s="60">
        <v>0</v>
      </c>
      <c r="O302" s="60">
        <v>0</v>
      </c>
      <c r="P302" s="60">
        <v>0</v>
      </c>
      <c r="Q302" s="60">
        <v>0</v>
      </c>
      <c r="R302" s="60">
        <v>0</v>
      </c>
      <c r="S302" s="60">
        <v>0</v>
      </c>
      <c r="T302" s="60">
        <v>0</v>
      </c>
      <c r="U302" s="60">
        <v>0</v>
      </c>
      <c r="V302" s="60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0">
        <v>0</v>
      </c>
      <c r="AE302" s="60">
        <v>0</v>
      </c>
      <c r="AF302" s="60">
        <v>0</v>
      </c>
      <c r="AG302" s="60">
        <v>0</v>
      </c>
      <c r="AH302" s="60">
        <v>0</v>
      </c>
      <c r="AI302" s="60">
        <v>182.74</v>
      </c>
      <c r="AJ302" s="60">
        <v>163.87</v>
      </c>
      <c r="AK302" s="60">
        <v>206.5</v>
      </c>
      <c r="AL302" s="60">
        <v>0</v>
      </c>
      <c r="AM302" s="60">
        <v>0</v>
      </c>
      <c r="AN302" s="60">
        <v>0</v>
      </c>
      <c r="AO302" s="60">
        <v>182.74</v>
      </c>
      <c r="AP302" s="60">
        <v>163.87</v>
      </c>
      <c r="AQ302" s="60">
        <v>206.5</v>
      </c>
      <c r="AR302" s="61">
        <v>206.5</v>
      </c>
    </row>
    <row r="303" spans="1:44" x14ac:dyDescent="0.35">
      <c r="A303" s="49" t="str">
        <f t="shared" si="25"/>
        <v>47</v>
      </c>
      <c r="B303" s="27">
        <v>70409</v>
      </c>
      <c r="C303" s="25" t="str">
        <f t="shared" si="24"/>
        <v>0000000</v>
      </c>
      <c r="D303" s="26" t="s">
        <v>3663</v>
      </c>
      <c r="E303" s="25" t="s">
        <v>2997</v>
      </c>
      <c r="F303" s="25" t="s">
        <v>2964</v>
      </c>
      <c r="G303" s="59" t="s">
        <v>2998</v>
      </c>
      <c r="H303" s="60">
        <v>45.96</v>
      </c>
      <c r="I303" s="60">
        <v>55.68</v>
      </c>
      <c r="J303" s="60">
        <v>52.06</v>
      </c>
      <c r="K303" s="60">
        <v>0</v>
      </c>
      <c r="L303" s="60">
        <v>0</v>
      </c>
      <c r="M303" s="60">
        <v>0</v>
      </c>
      <c r="N303" s="60">
        <v>0</v>
      </c>
      <c r="O303" s="60">
        <v>0</v>
      </c>
      <c r="P303" s="60">
        <v>0</v>
      </c>
      <c r="Q303" s="60">
        <v>0</v>
      </c>
      <c r="R303" s="60">
        <v>0</v>
      </c>
      <c r="S303" s="60">
        <v>0</v>
      </c>
      <c r="T303" s="60">
        <v>0</v>
      </c>
      <c r="U303" s="60">
        <v>0</v>
      </c>
      <c r="V303" s="60">
        <v>0</v>
      </c>
      <c r="W303" s="60">
        <v>0</v>
      </c>
      <c r="X303" s="60">
        <v>0</v>
      </c>
      <c r="Y303" s="60">
        <v>0</v>
      </c>
      <c r="Z303" s="60">
        <v>0</v>
      </c>
      <c r="AA303" s="60">
        <v>0</v>
      </c>
      <c r="AB303" s="60">
        <v>0</v>
      </c>
      <c r="AC303" s="60">
        <v>0</v>
      </c>
      <c r="AD303" s="60">
        <v>0</v>
      </c>
      <c r="AE303" s="60">
        <v>0</v>
      </c>
      <c r="AF303" s="60">
        <v>0</v>
      </c>
      <c r="AG303" s="60">
        <v>0</v>
      </c>
      <c r="AH303" s="60">
        <v>0</v>
      </c>
      <c r="AI303" s="60">
        <v>45.96</v>
      </c>
      <c r="AJ303" s="60">
        <v>55.68</v>
      </c>
      <c r="AK303" s="60">
        <v>52.06</v>
      </c>
      <c r="AL303" s="60">
        <v>0</v>
      </c>
      <c r="AM303" s="60">
        <v>0</v>
      </c>
      <c r="AN303" s="60">
        <v>0</v>
      </c>
      <c r="AO303" s="60">
        <v>45.96</v>
      </c>
      <c r="AP303" s="60">
        <v>55.68</v>
      </c>
      <c r="AQ303" s="60">
        <v>52.06</v>
      </c>
      <c r="AR303" s="61">
        <v>55.68</v>
      </c>
    </row>
    <row r="304" spans="1:44" x14ac:dyDescent="0.35">
      <c r="A304" s="49" t="str">
        <f t="shared" si="25"/>
        <v>47</v>
      </c>
      <c r="B304" s="27">
        <v>70417</v>
      </c>
      <c r="C304" s="25" t="str">
        <f t="shared" si="24"/>
        <v>0000000</v>
      </c>
      <c r="D304" s="26" t="s">
        <v>3663</v>
      </c>
      <c r="E304" s="25" t="s">
        <v>2999</v>
      </c>
      <c r="F304" s="25" t="s">
        <v>2964</v>
      </c>
      <c r="G304" s="59" t="s">
        <v>3000</v>
      </c>
      <c r="H304" s="60">
        <v>151.63</v>
      </c>
      <c r="I304" s="60">
        <v>149.25</v>
      </c>
      <c r="J304" s="60">
        <v>159.5</v>
      </c>
      <c r="K304" s="60">
        <v>0</v>
      </c>
      <c r="L304" s="60">
        <v>0</v>
      </c>
      <c r="M304" s="60">
        <v>0</v>
      </c>
      <c r="N304" s="60">
        <v>0</v>
      </c>
      <c r="O304" s="60">
        <v>0</v>
      </c>
      <c r="P304" s="60">
        <v>0</v>
      </c>
      <c r="Q304" s="60">
        <v>0</v>
      </c>
      <c r="R304" s="60">
        <v>0</v>
      </c>
      <c r="S304" s="60">
        <v>0</v>
      </c>
      <c r="T304" s="60">
        <v>0</v>
      </c>
      <c r="U304" s="60">
        <v>0</v>
      </c>
      <c r="V304" s="60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0</v>
      </c>
      <c r="AD304" s="60">
        <v>0</v>
      </c>
      <c r="AE304" s="60">
        <v>0</v>
      </c>
      <c r="AF304" s="60">
        <v>0</v>
      </c>
      <c r="AG304" s="60">
        <v>0</v>
      </c>
      <c r="AH304" s="60">
        <v>0</v>
      </c>
      <c r="AI304" s="60">
        <v>151.63</v>
      </c>
      <c r="AJ304" s="60">
        <v>149.25</v>
      </c>
      <c r="AK304" s="60">
        <v>159.5</v>
      </c>
      <c r="AL304" s="60">
        <v>0</v>
      </c>
      <c r="AM304" s="60">
        <v>0</v>
      </c>
      <c r="AN304" s="60">
        <v>0</v>
      </c>
      <c r="AO304" s="60">
        <v>151.63</v>
      </c>
      <c r="AP304" s="60">
        <v>149.25</v>
      </c>
      <c r="AQ304" s="60">
        <v>159.5</v>
      </c>
      <c r="AR304" s="61">
        <v>159.5</v>
      </c>
    </row>
    <row r="305" spans="1:44" x14ac:dyDescent="0.35">
      <c r="A305" s="49" t="str">
        <f t="shared" si="25"/>
        <v>47</v>
      </c>
      <c r="B305" s="27">
        <v>70425</v>
      </c>
      <c r="C305" s="25" t="str">
        <f t="shared" si="24"/>
        <v>0000000</v>
      </c>
      <c r="D305" s="26" t="s">
        <v>3663</v>
      </c>
      <c r="E305" s="25" t="s">
        <v>3001</v>
      </c>
      <c r="F305" s="25" t="s">
        <v>2964</v>
      </c>
      <c r="G305" s="59" t="s">
        <v>3002</v>
      </c>
      <c r="H305" s="60">
        <v>422.75</v>
      </c>
      <c r="I305" s="60">
        <v>411.46</v>
      </c>
      <c r="J305" s="60">
        <v>524.89</v>
      </c>
      <c r="K305" s="60">
        <v>0</v>
      </c>
      <c r="L305" s="60">
        <v>0</v>
      </c>
      <c r="M305" s="60">
        <v>0</v>
      </c>
      <c r="N305" s="60">
        <v>0</v>
      </c>
      <c r="O305" s="60">
        <v>0</v>
      </c>
      <c r="P305" s="60">
        <v>0</v>
      </c>
      <c r="Q305" s="60">
        <v>0</v>
      </c>
      <c r="R305" s="60">
        <v>0</v>
      </c>
      <c r="S305" s="60">
        <v>0</v>
      </c>
      <c r="T305" s="60">
        <v>0</v>
      </c>
      <c r="U305" s="60">
        <v>0</v>
      </c>
      <c r="V305" s="60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0">
        <v>0</v>
      </c>
      <c r="AE305" s="60">
        <v>0</v>
      </c>
      <c r="AF305" s="60">
        <v>0</v>
      </c>
      <c r="AG305" s="60">
        <v>0</v>
      </c>
      <c r="AH305" s="60">
        <v>0</v>
      </c>
      <c r="AI305" s="60">
        <v>422.75</v>
      </c>
      <c r="AJ305" s="60">
        <v>411.46</v>
      </c>
      <c r="AK305" s="60">
        <v>524.89</v>
      </c>
      <c r="AL305" s="60">
        <v>0</v>
      </c>
      <c r="AM305" s="60">
        <v>0</v>
      </c>
      <c r="AN305" s="60">
        <v>0</v>
      </c>
      <c r="AO305" s="60">
        <v>422.75</v>
      </c>
      <c r="AP305" s="60">
        <v>411.46</v>
      </c>
      <c r="AQ305" s="60">
        <v>524.89</v>
      </c>
      <c r="AR305" s="61">
        <v>524.89</v>
      </c>
    </row>
    <row r="306" spans="1:44" x14ac:dyDescent="0.35">
      <c r="A306" s="49" t="str">
        <f t="shared" si="25"/>
        <v>47</v>
      </c>
      <c r="B306" s="27">
        <v>70482</v>
      </c>
      <c r="C306" s="25" t="str">
        <f t="shared" si="24"/>
        <v>0000000</v>
      </c>
      <c r="D306" s="26" t="s">
        <v>3663</v>
      </c>
      <c r="E306" s="25" t="s">
        <v>3007</v>
      </c>
      <c r="F306" s="25" t="s">
        <v>2964</v>
      </c>
      <c r="G306" s="59" t="s">
        <v>3008</v>
      </c>
      <c r="H306" s="60">
        <v>306.07</v>
      </c>
      <c r="I306" s="60">
        <v>318.73</v>
      </c>
      <c r="J306" s="60">
        <v>262.60000000000002</v>
      </c>
      <c r="K306" s="60">
        <v>0</v>
      </c>
      <c r="L306" s="60">
        <v>0</v>
      </c>
      <c r="M306" s="60">
        <v>0</v>
      </c>
      <c r="N306" s="60">
        <v>0</v>
      </c>
      <c r="O306" s="60">
        <v>0</v>
      </c>
      <c r="P306" s="60">
        <v>0</v>
      </c>
      <c r="Q306" s="60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0">
        <v>0</v>
      </c>
      <c r="AE306" s="60">
        <v>0</v>
      </c>
      <c r="AF306" s="60">
        <v>0</v>
      </c>
      <c r="AG306" s="60">
        <v>0</v>
      </c>
      <c r="AH306" s="60">
        <v>0</v>
      </c>
      <c r="AI306" s="60">
        <v>306.07</v>
      </c>
      <c r="AJ306" s="60">
        <v>318.73</v>
      </c>
      <c r="AK306" s="60">
        <v>262.60000000000002</v>
      </c>
      <c r="AL306" s="60">
        <v>0</v>
      </c>
      <c r="AM306" s="60">
        <v>0</v>
      </c>
      <c r="AN306" s="60">
        <v>0</v>
      </c>
      <c r="AO306" s="60">
        <v>306.07</v>
      </c>
      <c r="AP306" s="60">
        <v>318.73</v>
      </c>
      <c r="AQ306" s="60">
        <v>262.60000000000002</v>
      </c>
      <c r="AR306" s="61">
        <v>318.73</v>
      </c>
    </row>
    <row r="307" spans="1:44" x14ac:dyDescent="0.35">
      <c r="A307" s="49" t="str">
        <f t="shared" si="25"/>
        <v>47</v>
      </c>
      <c r="B307" s="27">
        <v>70243</v>
      </c>
      <c r="C307" s="25" t="str">
        <f t="shared" si="24"/>
        <v>0000000</v>
      </c>
      <c r="D307" s="26" t="s">
        <v>3663</v>
      </c>
      <c r="E307" s="25" t="s">
        <v>2978</v>
      </c>
      <c r="F307" s="25" t="s">
        <v>2964</v>
      </c>
      <c r="G307" s="59" t="s">
        <v>2979</v>
      </c>
      <c r="H307" s="60">
        <v>71.400000000000006</v>
      </c>
      <c r="I307" s="60">
        <v>78.2</v>
      </c>
      <c r="J307" s="60">
        <v>86.4</v>
      </c>
      <c r="K307" s="60">
        <v>0</v>
      </c>
      <c r="L307" s="60">
        <v>0</v>
      </c>
      <c r="M307" s="60">
        <v>0</v>
      </c>
      <c r="N307" s="60">
        <v>0</v>
      </c>
      <c r="O307" s="60">
        <v>0</v>
      </c>
      <c r="P307" s="60">
        <v>0</v>
      </c>
      <c r="Q307" s="60">
        <v>0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0</v>
      </c>
      <c r="Z307" s="60">
        <v>0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0</v>
      </c>
      <c r="AG307" s="60">
        <v>0</v>
      </c>
      <c r="AH307" s="60">
        <v>0</v>
      </c>
      <c r="AI307" s="60">
        <v>71.400000000000006</v>
      </c>
      <c r="AJ307" s="60">
        <v>78.2</v>
      </c>
      <c r="AK307" s="60">
        <v>86.4</v>
      </c>
      <c r="AL307" s="60">
        <v>0</v>
      </c>
      <c r="AM307" s="60">
        <v>0</v>
      </c>
      <c r="AN307" s="60">
        <v>0</v>
      </c>
      <c r="AO307" s="60">
        <v>71.400000000000006</v>
      </c>
      <c r="AP307" s="60">
        <v>78.2</v>
      </c>
      <c r="AQ307" s="60">
        <v>86.4</v>
      </c>
      <c r="AR307" s="61">
        <v>86.4</v>
      </c>
    </row>
    <row r="308" spans="1:44" x14ac:dyDescent="0.35">
      <c r="A308" s="49" t="str">
        <f t="shared" si="25"/>
        <v>47</v>
      </c>
      <c r="B308" s="27">
        <v>70185</v>
      </c>
      <c r="C308" s="25" t="str">
        <f t="shared" si="24"/>
        <v>0000000</v>
      </c>
      <c r="D308" s="26" t="s">
        <v>3663</v>
      </c>
      <c r="E308" s="25" t="s">
        <v>2970</v>
      </c>
      <c r="F308" s="25" t="s">
        <v>2964</v>
      </c>
      <c r="G308" s="59" t="s">
        <v>2971</v>
      </c>
      <c r="H308" s="60">
        <v>139.22</v>
      </c>
      <c r="I308" s="60">
        <v>143.47</v>
      </c>
      <c r="J308" s="60">
        <v>168.6</v>
      </c>
      <c r="K308" s="60">
        <v>0</v>
      </c>
      <c r="L308" s="60">
        <v>0</v>
      </c>
      <c r="M308" s="60">
        <v>0</v>
      </c>
      <c r="N308" s="60">
        <v>0</v>
      </c>
      <c r="O308" s="60">
        <v>0</v>
      </c>
      <c r="P308" s="60">
        <v>0</v>
      </c>
      <c r="Q308" s="60">
        <v>0</v>
      </c>
      <c r="R308" s="60">
        <v>0</v>
      </c>
      <c r="S308" s="60">
        <v>0</v>
      </c>
      <c r="T308" s="60">
        <v>0</v>
      </c>
      <c r="U308" s="60">
        <v>0</v>
      </c>
      <c r="V308" s="60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0">
        <v>0</v>
      </c>
      <c r="AE308" s="60">
        <v>0</v>
      </c>
      <c r="AF308" s="60">
        <v>0</v>
      </c>
      <c r="AG308" s="60">
        <v>0</v>
      </c>
      <c r="AH308" s="60">
        <v>0</v>
      </c>
      <c r="AI308" s="60">
        <v>139.22</v>
      </c>
      <c r="AJ308" s="60">
        <v>143.47</v>
      </c>
      <c r="AK308" s="60">
        <v>168.6</v>
      </c>
      <c r="AL308" s="60">
        <v>0</v>
      </c>
      <c r="AM308" s="60">
        <v>0</v>
      </c>
      <c r="AN308" s="60">
        <v>0</v>
      </c>
      <c r="AO308" s="60">
        <v>139.22</v>
      </c>
      <c r="AP308" s="60">
        <v>143.47</v>
      </c>
      <c r="AQ308" s="60">
        <v>168.6</v>
      </c>
      <c r="AR308" s="61">
        <v>168.6</v>
      </c>
    </row>
    <row r="309" spans="1:44" x14ac:dyDescent="0.35">
      <c r="A309" s="49" t="str">
        <f t="shared" si="25"/>
        <v>47</v>
      </c>
      <c r="B309" s="27">
        <v>70508</v>
      </c>
      <c r="C309" s="25" t="str">
        <f t="shared" si="24"/>
        <v>0000000</v>
      </c>
      <c r="D309" s="26" t="s">
        <v>3663</v>
      </c>
      <c r="E309" s="25" t="s">
        <v>3011</v>
      </c>
      <c r="F309" s="25" t="s">
        <v>2964</v>
      </c>
      <c r="G309" s="59" t="s">
        <v>3012</v>
      </c>
      <c r="H309" s="60">
        <v>817.47</v>
      </c>
      <c r="I309" s="60">
        <v>830.45</v>
      </c>
      <c r="J309" s="60">
        <v>916.92</v>
      </c>
      <c r="K309" s="60">
        <v>0</v>
      </c>
      <c r="L309" s="60">
        <v>0</v>
      </c>
      <c r="M309" s="60">
        <v>0</v>
      </c>
      <c r="N309" s="60">
        <v>0</v>
      </c>
      <c r="O309" s="60">
        <v>0</v>
      </c>
      <c r="P309" s="60">
        <v>0</v>
      </c>
      <c r="Q309" s="60">
        <v>0</v>
      </c>
      <c r="R309" s="60">
        <v>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0</v>
      </c>
      <c r="AG309" s="60">
        <v>0</v>
      </c>
      <c r="AH309" s="60">
        <v>0</v>
      </c>
      <c r="AI309" s="60">
        <v>817.47</v>
      </c>
      <c r="AJ309" s="60">
        <v>830.45</v>
      </c>
      <c r="AK309" s="60">
        <v>916.92</v>
      </c>
      <c r="AL309" s="60">
        <v>0</v>
      </c>
      <c r="AM309" s="60">
        <v>0</v>
      </c>
      <c r="AN309" s="60">
        <v>0</v>
      </c>
      <c r="AO309" s="60">
        <v>817.47</v>
      </c>
      <c r="AP309" s="60">
        <v>830.45</v>
      </c>
      <c r="AQ309" s="60">
        <v>916.92</v>
      </c>
      <c r="AR309" s="61">
        <v>916.92</v>
      </c>
    </row>
    <row r="310" spans="1:44" x14ac:dyDescent="0.35">
      <c r="A310" s="49" t="str">
        <f t="shared" si="25"/>
        <v>47</v>
      </c>
      <c r="B310" s="27">
        <v>70466</v>
      </c>
      <c r="C310" s="25" t="str">
        <f t="shared" si="24"/>
        <v>0000000</v>
      </c>
      <c r="D310" s="26" t="s">
        <v>3663</v>
      </c>
      <c r="E310" s="25" t="s">
        <v>3005</v>
      </c>
      <c r="F310" s="25" t="s">
        <v>2964</v>
      </c>
      <c r="G310" s="59" t="s">
        <v>3006</v>
      </c>
      <c r="H310" s="60">
        <v>465.01</v>
      </c>
      <c r="I310" s="60">
        <v>460.03</v>
      </c>
      <c r="J310" s="60">
        <v>504.7</v>
      </c>
      <c r="K310" s="60">
        <v>0</v>
      </c>
      <c r="L310" s="60">
        <v>0</v>
      </c>
      <c r="M310" s="60">
        <v>0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60">
        <v>0</v>
      </c>
      <c r="T310" s="60">
        <v>0</v>
      </c>
      <c r="U310" s="60">
        <v>0</v>
      </c>
      <c r="V310" s="60">
        <v>0</v>
      </c>
      <c r="W310" s="60">
        <v>0</v>
      </c>
      <c r="X310" s="60">
        <v>0</v>
      </c>
      <c r="Y310" s="60">
        <v>0</v>
      </c>
      <c r="Z310" s="60">
        <v>0</v>
      </c>
      <c r="AA310" s="60">
        <v>0</v>
      </c>
      <c r="AB310" s="60">
        <v>0</v>
      </c>
      <c r="AC310" s="60">
        <v>0</v>
      </c>
      <c r="AD310" s="60">
        <v>0</v>
      </c>
      <c r="AE310" s="60">
        <v>0</v>
      </c>
      <c r="AF310" s="60">
        <v>0</v>
      </c>
      <c r="AG310" s="60">
        <v>0</v>
      </c>
      <c r="AH310" s="60">
        <v>0</v>
      </c>
      <c r="AI310" s="60">
        <v>465.01</v>
      </c>
      <c r="AJ310" s="60">
        <v>460.03</v>
      </c>
      <c r="AK310" s="60">
        <v>504.7</v>
      </c>
      <c r="AL310" s="60">
        <v>0</v>
      </c>
      <c r="AM310" s="60">
        <v>0</v>
      </c>
      <c r="AN310" s="60">
        <v>0</v>
      </c>
      <c r="AO310" s="60">
        <v>465.01</v>
      </c>
      <c r="AP310" s="60">
        <v>460.03</v>
      </c>
      <c r="AQ310" s="60">
        <v>504.7</v>
      </c>
      <c r="AR310" s="61">
        <v>504.7</v>
      </c>
    </row>
    <row r="311" spans="1:44" x14ac:dyDescent="0.35">
      <c r="A311" s="49" t="str">
        <f t="shared" si="25"/>
        <v>47</v>
      </c>
      <c r="B311" s="27">
        <v>70516</v>
      </c>
      <c r="C311" s="25" t="str">
        <f t="shared" si="24"/>
        <v>0000000</v>
      </c>
      <c r="D311" s="26" t="s">
        <v>3663</v>
      </c>
      <c r="E311" s="25" t="s">
        <v>3013</v>
      </c>
      <c r="F311" s="25" t="s">
        <v>2964</v>
      </c>
      <c r="G311" s="59" t="s">
        <v>3014</v>
      </c>
      <c r="H311" s="60">
        <v>641.37</v>
      </c>
      <c r="I311" s="60">
        <v>638.14</v>
      </c>
      <c r="J311" s="60">
        <v>655.1</v>
      </c>
      <c r="K311" s="60">
        <v>0</v>
      </c>
      <c r="L311" s="60">
        <v>0</v>
      </c>
      <c r="M311" s="60">
        <v>0</v>
      </c>
      <c r="N311" s="60">
        <v>0</v>
      </c>
      <c r="O311" s="60">
        <v>0</v>
      </c>
      <c r="P311" s="60">
        <v>0</v>
      </c>
      <c r="Q311" s="60">
        <v>0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0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>
        <v>0</v>
      </c>
      <c r="AG311" s="60">
        <v>0</v>
      </c>
      <c r="AH311" s="60">
        <v>0</v>
      </c>
      <c r="AI311" s="60">
        <v>641.37</v>
      </c>
      <c r="AJ311" s="60">
        <v>638.14</v>
      </c>
      <c r="AK311" s="60">
        <v>655.1</v>
      </c>
      <c r="AL311" s="60">
        <v>0</v>
      </c>
      <c r="AM311" s="60">
        <v>0</v>
      </c>
      <c r="AN311" s="60">
        <v>0</v>
      </c>
      <c r="AO311" s="60">
        <v>641.37</v>
      </c>
      <c r="AP311" s="60">
        <v>638.14</v>
      </c>
      <c r="AQ311" s="60">
        <v>655.1</v>
      </c>
      <c r="AR311" s="61">
        <v>655.1</v>
      </c>
    </row>
    <row r="312" spans="1:44" x14ac:dyDescent="0.35">
      <c r="A312" s="49" t="str">
        <f t="shared" si="25"/>
        <v>47</v>
      </c>
      <c r="B312" s="27">
        <v>73684</v>
      </c>
      <c r="C312" s="25" t="str">
        <f t="shared" si="24"/>
        <v>0000000</v>
      </c>
      <c r="D312" s="26" t="s">
        <v>3663</v>
      </c>
      <c r="E312" s="25" t="s">
        <v>3015</v>
      </c>
      <c r="F312" s="25" t="s">
        <v>2964</v>
      </c>
      <c r="G312" s="59" t="s">
        <v>3016</v>
      </c>
      <c r="H312" s="60">
        <v>258.60000000000002</v>
      </c>
      <c r="I312" s="60">
        <v>237.01</v>
      </c>
      <c r="J312" s="60">
        <v>271.62</v>
      </c>
      <c r="K312" s="60">
        <v>0</v>
      </c>
      <c r="L312" s="60">
        <v>0</v>
      </c>
      <c r="M312" s="60">
        <v>0</v>
      </c>
      <c r="N312" s="60">
        <v>0</v>
      </c>
      <c r="O312" s="60">
        <v>0</v>
      </c>
      <c r="P312" s="60">
        <v>0</v>
      </c>
      <c r="Q312" s="60">
        <v>0</v>
      </c>
      <c r="R312" s="60">
        <v>0</v>
      </c>
      <c r="S312" s="60">
        <v>0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0</v>
      </c>
      <c r="Z312" s="60">
        <v>0</v>
      </c>
      <c r="AA312" s="60">
        <v>0</v>
      </c>
      <c r="AB312" s="60">
        <v>0</v>
      </c>
      <c r="AC312" s="60">
        <v>0</v>
      </c>
      <c r="AD312" s="60">
        <v>0</v>
      </c>
      <c r="AE312" s="60">
        <v>0</v>
      </c>
      <c r="AF312" s="60">
        <v>0</v>
      </c>
      <c r="AG312" s="60">
        <v>0</v>
      </c>
      <c r="AH312" s="60">
        <v>0</v>
      </c>
      <c r="AI312" s="60">
        <v>258.60000000000002</v>
      </c>
      <c r="AJ312" s="60">
        <v>237.01</v>
      </c>
      <c r="AK312" s="60">
        <v>271.62</v>
      </c>
      <c r="AL312" s="60">
        <v>0</v>
      </c>
      <c r="AM312" s="60">
        <v>0</v>
      </c>
      <c r="AN312" s="60">
        <v>0</v>
      </c>
      <c r="AO312" s="60">
        <v>258.60000000000002</v>
      </c>
      <c r="AP312" s="60">
        <v>237.01</v>
      </c>
      <c r="AQ312" s="60">
        <v>271.62</v>
      </c>
      <c r="AR312" s="61">
        <v>271.62</v>
      </c>
    </row>
    <row r="313" spans="1:44" x14ac:dyDescent="0.35">
      <c r="A313" s="49" t="str">
        <f t="shared" si="25"/>
        <v>47</v>
      </c>
      <c r="B313" s="27">
        <v>70250</v>
      </c>
      <c r="C313" s="25" t="str">
        <f t="shared" si="24"/>
        <v>0000000</v>
      </c>
      <c r="D313" s="26" t="s">
        <v>3663</v>
      </c>
      <c r="E313" s="25" t="s">
        <v>2980</v>
      </c>
      <c r="F313" s="25" t="s">
        <v>2964</v>
      </c>
      <c r="G313" s="59" t="s">
        <v>2981</v>
      </c>
      <c r="H313" s="60">
        <v>59.06</v>
      </c>
      <c r="I313" s="60">
        <v>51.59</v>
      </c>
      <c r="J313" s="60">
        <v>55.37</v>
      </c>
      <c r="K313" s="60">
        <v>0</v>
      </c>
      <c r="L313" s="60">
        <v>0</v>
      </c>
      <c r="M313" s="60">
        <v>0</v>
      </c>
      <c r="N313" s="60">
        <v>0</v>
      </c>
      <c r="O313" s="60">
        <v>0</v>
      </c>
      <c r="P313" s="60">
        <v>0</v>
      </c>
      <c r="Q313" s="60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>
        <v>0</v>
      </c>
      <c r="AE313" s="60">
        <v>0</v>
      </c>
      <c r="AF313" s="60">
        <v>0</v>
      </c>
      <c r="AG313" s="60">
        <v>0</v>
      </c>
      <c r="AH313" s="60">
        <v>0</v>
      </c>
      <c r="AI313" s="60">
        <v>59.06</v>
      </c>
      <c r="AJ313" s="60">
        <v>51.59</v>
      </c>
      <c r="AK313" s="60">
        <v>55.37</v>
      </c>
      <c r="AL313" s="60">
        <v>0</v>
      </c>
      <c r="AM313" s="60">
        <v>0</v>
      </c>
      <c r="AN313" s="60">
        <v>0</v>
      </c>
      <c r="AO313" s="60">
        <v>59.06</v>
      </c>
      <c r="AP313" s="60">
        <v>51.59</v>
      </c>
      <c r="AQ313" s="60">
        <v>55.37</v>
      </c>
      <c r="AR313" s="61">
        <v>59.06</v>
      </c>
    </row>
    <row r="314" spans="1:44" x14ac:dyDescent="0.35">
      <c r="A314" s="49" t="str">
        <f t="shared" si="25"/>
        <v>47</v>
      </c>
      <c r="B314" s="27">
        <v>70334</v>
      </c>
      <c r="C314" s="25" t="str">
        <f t="shared" si="24"/>
        <v>0000000</v>
      </c>
      <c r="D314" s="26" t="s">
        <v>3663</v>
      </c>
      <c r="E314" s="25" t="s">
        <v>2988</v>
      </c>
      <c r="F314" s="25" t="s">
        <v>2964</v>
      </c>
      <c r="G314" s="59" t="s">
        <v>2989</v>
      </c>
      <c r="H314" s="60">
        <v>99.92</v>
      </c>
      <c r="I314" s="60">
        <v>91.98</v>
      </c>
      <c r="J314" s="60">
        <v>123.27</v>
      </c>
      <c r="K314" s="60">
        <v>0</v>
      </c>
      <c r="L314" s="60">
        <v>0</v>
      </c>
      <c r="M314" s="60">
        <v>0</v>
      </c>
      <c r="N314" s="60">
        <v>0</v>
      </c>
      <c r="O314" s="60">
        <v>0</v>
      </c>
      <c r="P314" s="60">
        <v>0</v>
      </c>
      <c r="Q314" s="60">
        <v>0</v>
      </c>
      <c r="R314" s="60">
        <v>0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>
        <v>0</v>
      </c>
      <c r="Z314" s="60">
        <v>0</v>
      </c>
      <c r="AA314" s="60">
        <v>0</v>
      </c>
      <c r="AB314" s="60">
        <v>0</v>
      </c>
      <c r="AC314" s="60">
        <v>0</v>
      </c>
      <c r="AD314" s="60">
        <v>0</v>
      </c>
      <c r="AE314" s="60">
        <v>0</v>
      </c>
      <c r="AF314" s="60">
        <v>0</v>
      </c>
      <c r="AG314" s="60">
        <v>0</v>
      </c>
      <c r="AH314" s="60">
        <v>0</v>
      </c>
      <c r="AI314" s="60">
        <v>99.92</v>
      </c>
      <c r="AJ314" s="60">
        <v>91.98</v>
      </c>
      <c r="AK314" s="60">
        <v>123.27</v>
      </c>
      <c r="AL314" s="60">
        <v>0</v>
      </c>
      <c r="AM314" s="60">
        <v>0</v>
      </c>
      <c r="AN314" s="60">
        <v>0</v>
      </c>
      <c r="AO314" s="60">
        <v>99.92</v>
      </c>
      <c r="AP314" s="60">
        <v>91.98</v>
      </c>
      <c r="AQ314" s="60">
        <v>123.27</v>
      </c>
      <c r="AR314" s="61">
        <v>123.27</v>
      </c>
    </row>
    <row r="315" spans="1:44" x14ac:dyDescent="0.35">
      <c r="A315" s="49" t="str">
        <f t="shared" si="25"/>
        <v>47</v>
      </c>
      <c r="B315" s="27">
        <v>70193</v>
      </c>
      <c r="C315" s="25" t="str">
        <f t="shared" si="24"/>
        <v>0000000</v>
      </c>
      <c r="D315" s="26" t="s">
        <v>3663</v>
      </c>
      <c r="E315" s="25" t="s">
        <v>2972</v>
      </c>
      <c r="F315" s="25" t="s">
        <v>2964</v>
      </c>
      <c r="G315" s="59" t="s">
        <v>2973</v>
      </c>
      <c r="H315" s="60">
        <v>12.7</v>
      </c>
      <c r="I315" s="60">
        <v>13.29</v>
      </c>
      <c r="J315" s="60">
        <v>16.09</v>
      </c>
      <c r="K315" s="60">
        <v>0</v>
      </c>
      <c r="L315" s="60">
        <v>0</v>
      </c>
      <c r="M315" s="60">
        <v>0</v>
      </c>
      <c r="N315" s="60">
        <v>0</v>
      </c>
      <c r="O315" s="60">
        <v>0</v>
      </c>
      <c r="P315" s="60">
        <v>0</v>
      </c>
      <c r="Q315" s="60">
        <v>0</v>
      </c>
      <c r="R315" s="60">
        <v>0</v>
      </c>
      <c r="S315" s="60">
        <v>0</v>
      </c>
      <c r="T315" s="60">
        <v>0</v>
      </c>
      <c r="U315" s="60">
        <v>0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0</v>
      </c>
      <c r="AE315" s="60">
        <v>0</v>
      </c>
      <c r="AF315" s="60">
        <v>0</v>
      </c>
      <c r="AG315" s="60">
        <v>0</v>
      </c>
      <c r="AH315" s="60">
        <v>0</v>
      </c>
      <c r="AI315" s="60">
        <v>12.7</v>
      </c>
      <c r="AJ315" s="60">
        <v>13.29</v>
      </c>
      <c r="AK315" s="60">
        <v>16.09</v>
      </c>
      <c r="AL315" s="60">
        <v>0</v>
      </c>
      <c r="AM315" s="60">
        <v>0</v>
      </c>
      <c r="AN315" s="60">
        <v>0</v>
      </c>
      <c r="AO315" s="60">
        <v>12.7</v>
      </c>
      <c r="AP315" s="60">
        <v>13.29</v>
      </c>
      <c r="AQ315" s="60">
        <v>16.09</v>
      </c>
      <c r="AR315" s="61">
        <v>16.09</v>
      </c>
    </row>
    <row r="316" spans="1:44" x14ac:dyDescent="0.35">
      <c r="A316" s="49" t="str">
        <f t="shared" si="25"/>
        <v>47</v>
      </c>
      <c r="B316" s="27">
        <v>70201</v>
      </c>
      <c r="C316" s="25" t="str">
        <f t="shared" si="24"/>
        <v>0000000</v>
      </c>
      <c r="D316" s="26" t="s">
        <v>3663</v>
      </c>
      <c r="E316" s="25" t="s">
        <v>2974</v>
      </c>
      <c r="F316" s="25" t="s">
        <v>2964</v>
      </c>
      <c r="G316" s="59" t="s">
        <v>2975</v>
      </c>
      <c r="H316" s="60">
        <v>143.03</v>
      </c>
      <c r="I316" s="60">
        <v>151.1</v>
      </c>
      <c r="J316" s="60">
        <v>175.05</v>
      </c>
      <c r="K316" s="60">
        <v>0</v>
      </c>
      <c r="L316" s="60">
        <v>0</v>
      </c>
      <c r="M316" s="60">
        <v>0</v>
      </c>
      <c r="N316" s="60">
        <v>0</v>
      </c>
      <c r="O316" s="60">
        <v>0</v>
      </c>
      <c r="P316" s="60">
        <v>0</v>
      </c>
      <c r="Q316" s="60">
        <v>0</v>
      </c>
      <c r="R316" s="60">
        <v>0</v>
      </c>
      <c r="S316" s="60">
        <v>0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60">
        <v>0</v>
      </c>
      <c r="AG316" s="60">
        <v>0</v>
      </c>
      <c r="AH316" s="60">
        <v>0</v>
      </c>
      <c r="AI316" s="60">
        <v>143.03</v>
      </c>
      <c r="AJ316" s="60">
        <v>151.1</v>
      </c>
      <c r="AK316" s="60">
        <v>175.05</v>
      </c>
      <c r="AL316" s="60">
        <v>0</v>
      </c>
      <c r="AM316" s="60">
        <v>0</v>
      </c>
      <c r="AN316" s="60">
        <v>0</v>
      </c>
      <c r="AO316" s="60">
        <v>143.03</v>
      </c>
      <c r="AP316" s="60">
        <v>151.1</v>
      </c>
      <c r="AQ316" s="60">
        <v>175.05</v>
      </c>
      <c r="AR316" s="61">
        <v>175.05</v>
      </c>
    </row>
    <row r="317" spans="1:44" x14ac:dyDescent="0.35">
      <c r="A317" s="49" t="str">
        <f t="shared" si="25"/>
        <v>47</v>
      </c>
      <c r="B317" s="27">
        <v>70227</v>
      </c>
      <c r="C317" s="25" t="str">
        <f t="shared" si="24"/>
        <v>0000000</v>
      </c>
      <c r="D317" s="26" t="s">
        <v>3663</v>
      </c>
      <c r="E317" s="25" t="s">
        <v>2976</v>
      </c>
      <c r="F317" s="25" t="s">
        <v>2964</v>
      </c>
      <c r="G317" s="59" t="s">
        <v>2977</v>
      </c>
      <c r="H317" s="60">
        <v>54.14</v>
      </c>
      <c r="I317" s="60">
        <v>51.24</v>
      </c>
      <c r="J317" s="60">
        <v>59.69</v>
      </c>
      <c r="K317" s="60">
        <v>0</v>
      </c>
      <c r="L317" s="60">
        <v>0</v>
      </c>
      <c r="M317" s="60">
        <v>0</v>
      </c>
      <c r="N317" s="60">
        <v>0</v>
      </c>
      <c r="O317" s="60">
        <v>0</v>
      </c>
      <c r="P317" s="60">
        <v>0</v>
      </c>
      <c r="Q317" s="60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0</v>
      </c>
      <c r="AF317" s="60">
        <v>0</v>
      </c>
      <c r="AG317" s="60">
        <v>0</v>
      </c>
      <c r="AH317" s="60">
        <v>0</v>
      </c>
      <c r="AI317" s="60">
        <v>54.14</v>
      </c>
      <c r="AJ317" s="60">
        <v>51.24</v>
      </c>
      <c r="AK317" s="60">
        <v>59.69</v>
      </c>
      <c r="AL317" s="60">
        <v>0</v>
      </c>
      <c r="AM317" s="60">
        <v>0</v>
      </c>
      <c r="AN317" s="60">
        <v>0</v>
      </c>
      <c r="AO317" s="60">
        <v>54.14</v>
      </c>
      <c r="AP317" s="60">
        <v>51.24</v>
      </c>
      <c r="AQ317" s="60">
        <v>59.69</v>
      </c>
      <c r="AR317" s="61">
        <v>59.69</v>
      </c>
    </row>
    <row r="318" spans="1:44" x14ac:dyDescent="0.35">
      <c r="A318" s="49" t="str">
        <f t="shared" si="25"/>
        <v>47</v>
      </c>
      <c r="B318" s="27">
        <v>70292</v>
      </c>
      <c r="C318" s="25" t="str">
        <f t="shared" si="24"/>
        <v>0000000</v>
      </c>
      <c r="D318" s="26" t="s">
        <v>3663</v>
      </c>
      <c r="E318" s="25" t="s">
        <v>2982</v>
      </c>
      <c r="F318" s="25" t="s">
        <v>2964</v>
      </c>
      <c r="G318" s="59" t="s">
        <v>2983</v>
      </c>
      <c r="H318" s="60">
        <v>0</v>
      </c>
      <c r="I318" s="60">
        <v>3.23</v>
      </c>
      <c r="J318" s="60">
        <v>8.58</v>
      </c>
      <c r="K318" s="60">
        <v>0</v>
      </c>
      <c r="L318" s="60">
        <v>0</v>
      </c>
      <c r="M318" s="60">
        <v>0</v>
      </c>
      <c r="N318" s="60">
        <v>0</v>
      </c>
      <c r="O318" s="60">
        <v>0</v>
      </c>
      <c r="P318" s="60">
        <v>0</v>
      </c>
      <c r="Q318" s="60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>
        <v>0</v>
      </c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0</v>
      </c>
      <c r="AF318" s="60">
        <v>0</v>
      </c>
      <c r="AG318" s="60">
        <v>0</v>
      </c>
      <c r="AH318" s="60">
        <v>0</v>
      </c>
      <c r="AI318" s="60">
        <v>0</v>
      </c>
      <c r="AJ318" s="60">
        <v>3.23</v>
      </c>
      <c r="AK318" s="60">
        <v>8.58</v>
      </c>
      <c r="AL318" s="60">
        <v>0</v>
      </c>
      <c r="AM318" s="60">
        <v>0</v>
      </c>
      <c r="AN318" s="60">
        <v>0</v>
      </c>
      <c r="AO318" s="60">
        <v>0</v>
      </c>
      <c r="AP318" s="60">
        <v>3.23</v>
      </c>
      <c r="AQ318" s="60">
        <v>8.58</v>
      </c>
      <c r="AR318" s="61">
        <v>8.58</v>
      </c>
    </row>
    <row r="319" spans="1:44" x14ac:dyDescent="0.35">
      <c r="A319" s="49" t="str">
        <f t="shared" si="25"/>
        <v>47</v>
      </c>
      <c r="B319" s="27">
        <v>70318</v>
      </c>
      <c r="C319" s="25" t="str">
        <f t="shared" si="24"/>
        <v>0000000</v>
      </c>
      <c r="D319" s="26" t="s">
        <v>3663</v>
      </c>
      <c r="E319" s="25" t="s">
        <v>2984</v>
      </c>
      <c r="F319" s="25" t="s">
        <v>2964</v>
      </c>
      <c r="G319" s="59" t="s">
        <v>2985</v>
      </c>
      <c r="H319" s="60">
        <v>33.89</v>
      </c>
      <c r="I319" s="60">
        <v>32.06</v>
      </c>
      <c r="J319" s="60">
        <v>35.18</v>
      </c>
      <c r="K319" s="60">
        <v>0</v>
      </c>
      <c r="L319" s="60">
        <v>0</v>
      </c>
      <c r="M319" s="60">
        <v>0</v>
      </c>
      <c r="N319" s="60">
        <v>0</v>
      </c>
      <c r="O319" s="60">
        <v>0</v>
      </c>
      <c r="P319" s="60">
        <v>0</v>
      </c>
      <c r="Q319" s="60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60">
        <v>0</v>
      </c>
      <c r="Y319" s="60">
        <v>0</v>
      </c>
      <c r="Z319" s="60">
        <v>0</v>
      </c>
      <c r="AA319" s="60">
        <v>0</v>
      </c>
      <c r="AB319" s="60">
        <v>0</v>
      </c>
      <c r="AC319" s="60">
        <v>0</v>
      </c>
      <c r="AD319" s="60">
        <v>0</v>
      </c>
      <c r="AE319" s="60">
        <v>0</v>
      </c>
      <c r="AF319" s="60">
        <v>0</v>
      </c>
      <c r="AG319" s="60">
        <v>0</v>
      </c>
      <c r="AH319" s="60">
        <v>0</v>
      </c>
      <c r="AI319" s="60">
        <v>33.89</v>
      </c>
      <c r="AJ319" s="60">
        <v>32.06</v>
      </c>
      <c r="AK319" s="60">
        <v>35.18</v>
      </c>
      <c r="AL319" s="60">
        <v>0</v>
      </c>
      <c r="AM319" s="60">
        <v>0</v>
      </c>
      <c r="AN319" s="60">
        <v>0</v>
      </c>
      <c r="AO319" s="60">
        <v>33.89</v>
      </c>
      <c r="AP319" s="60">
        <v>32.06</v>
      </c>
      <c r="AQ319" s="60">
        <v>35.18</v>
      </c>
      <c r="AR319" s="61">
        <v>35.18</v>
      </c>
    </row>
    <row r="320" spans="1:44" x14ac:dyDescent="0.35">
      <c r="A320" s="49" t="str">
        <f t="shared" si="25"/>
        <v>47</v>
      </c>
      <c r="B320" s="27">
        <v>70359</v>
      </c>
      <c r="C320" s="25" t="str">
        <f t="shared" si="24"/>
        <v>0000000</v>
      </c>
      <c r="D320" s="26" t="s">
        <v>3663</v>
      </c>
      <c r="E320" s="25" t="s">
        <v>2990</v>
      </c>
      <c r="F320" s="25" t="s">
        <v>2964</v>
      </c>
      <c r="G320" s="59" t="s">
        <v>2991</v>
      </c>
      <c r="H320" s="60">
        <v>35.49</v>
      </c>
      <c r="I320" s="60">
        <v>34.880000000000003</v>
      </c>
      <c r="J320" s="60">
        <v>51.1</v>
      </c>
      <c r="K320" s="60">
        <v>0</v>
      </c>
      <c r="L320" s="60">
        <v>0</v>
      </c>
      <c r="M320" s="60">
        <v>0</v>
      </c>
      <c r="N320" s="60">
        <v>0</v>
      </c>
      <c r="O320" s="60">
        <v>0</v>
      </c>
      <c r="P320" s="60">
        <v>0</v>
      </c>
      <c r="Q320" s="60">
        <v>0</v>
      </c>
      <c r="R320" s="60">
        <v>0</v>
      </c>
      <c r="S320" s="60">
        <v>0</v>
      </c>
      <c r="T320" s="60">
        <v>0</v>
      </c>
      <c r="U320" s="60">
        <v>0</v>
      </c>
      <c r="V320" s="60">
        <v>0</v>
      </c>
      <c r="W320" s="60">
        <v>0</v>
      </c>
      <c r="X320" s="60">
        <v>0</v>
      </c>
      <c r="Y320" s="60">
        <v>0</v>
      </c>
      <c r="Z320" s="60">
        <v>0</v>
      </c>
      <c r="AA320" s="60">
        <v>0</v>
      </c>
      <c r="AB320" s="60">
        <v>0</v>
      </c>
      <c r="AC320" s="60">
        <v>0</v>
      </c>
      <c r="AD320" s="60">
        <v>0</v>
      </c>
      <c r="AE320" s="60">
        <v>0</v>
      </c>
      <c r="AF320" s="60">
        <v>0</v>
      </c>
      <c r="AG320" s="60">
        <v>0</v>
      </c>
      <c r="AH320" s="60">
        <v>0</v>
      </c>
      <c r="AI320" s="60">
        <v>35.49</v>
      </c>
      <c r="AJ320" s="60">
        <v>34.880000000000003</v>
      </c>
      <c r="AK320" s="60">
        <v>51.1</v>
      </c>
      <c r="AL320" s="60">
        <v>0</v>
      </c>
      <c r="AM320" s="60">
        <v>0</v>
      </c>
      <c r="AN320" s="60">
        <v>0</v>
      </c>
      <c r="AO320" s="60">
        <v>35.49</v>
      </c>
      <c r="AP320" s="60">
        <v>34.880000000000003</v>
      </c>
      <c r="AQ320" s="60">
        <v>51.1</v>
      </c>
      <c r="AR320" s="61">
        <v>51.1</v>
      </c>
    </row>
    <row r="321" spans="1:44" x14ac:dyDescent="0.35">
      <c r="A321" s="49" t="str">
        <f t="shared" si="25"/>
        <v>47</v>
      </c>
      <c r="B321" s="27">
        <v>70367</v>
      </c>
      <c r="C321" s="25" t="str">
        <f t="shared" si="24"/>
        <v>0000000</v>
      </c>
      <c r="D321" s="26" t="s">
        <v>3663</v>
      </c>
      <c r="E321" s="25" t="s">
        <v>2992</v>
      </c>
      <c r="F321" s="25" t="s">
        <v>2964</v>
      </c>
      <c r="G321" s="59" t="s">
        <v>2929</v>
      </c>
      <c r="H321" s="60">
        <v>10.68</v>
      </c>
      <c r="I321" s="60">
        <v>9.6199999999999992</v>
      </c>
      <c r="J321" s="60">
        <v>16.649999999999999</v>
      </c>
      <c r="K321" s="60">
        <v>0</v>
      </c>
      <c r="L321" s="60">
        <v>0</v>
      </c>
      <c r="M321" s="60">
        <v>0</v>
      </c>
      <c r="N321" s="60">
        <v>0</v>
      </c>
      <c r="O321" s="60">
        <v>0</v>
      </c>
      <c r="P321" s="60">
        <v>0</v>
      </c>
      <c r="Q321" s="60">
        <v>0</v>
      </c>
      <c r="R321" s="60">
        <v>0</v>
      </c>
      <c r="S321" s="60">
        <v>0</v>
      </c>
      <c r="T321" s="60">
        <v>0</v>
      </c>
      <c r="U321" s="60">
        <v>0</v>
      </c>
      <c r="V321" s="60">
        <v>0</v>
      </c>
      <c r="W321" s="60">
        <v>0</v>
      </c>
      <c r="X321" s="60">
        <v>0</v>
      </c>
      <c r="Y321" s="60">
        <v>0</v>
      </c>
      <c r="Z321" s="60">
        <v>0</v>
      </c>
      <c r="AA321" s="60">
        <v>0</v>
      </c>
      <c r="AB321" s="60">
        <v>0</v>
      </c>
      <c r="AC321" s="60">
        <v>0</v>
      </c>
      <c r="AD321" s="60">
        <v>0</v>
      </c>
      <c r="AE321" s="60">
        <v>0</v>
      </c>
      <c r="AF321" s="60">
        <v>0</v>
      </c>
      <c r="AG321" s="60">
        <v>0</v>
      </c>
      <c r="AH321" s="60">
        <v>0</v>
      </c>
      <c r="AI321" s="60">
        <v>10.68</v>
      </c>
      <c r="AJ321" s="60">
        <v>9.6199999999999992</v>
      </c>
      <c r="AK321" s="60">
        <v>16.649999999999999</v>
      </c>
      <c r="AL321" s="60">
        <v>0</v>
      </c>
      <c r="AM321" s="60">
        <v>0</v>
      </c>
      <c r="AN321" s="60">
        <v>0</v>
      </c>
      <c r="AO321" s="60">
        <v>10.68</v>
      </c>
      <c r="AP321" s="60">
        <v>9.6199999999999992</v>
      </c>
      <c r="AQ321" s="60">
        <v>16.649999999999999</v>
      </c>
      <c r="AR321" s="61">
        <v>16.649999999999999</v>
      </c>
    </row>
    <row r="322" spans="1:44" x14ac:dyDescent="0.35">
      <c r="A322" s="49" t="str">
        <f t="shared" si="25"/>
        <v>47</v>
      </c>
      <c r="B322" s="27">
        <v>70375</v>
      </c>
      <c r="C322" s="25" t="str">
        <f t="shared" si="24"/>
        <v>0000000</v>
      </c>
      <c r="D322" s="26" t="s">
        <v>3663</v>
      </c>
      <c r="E322" s="25" t="s">
        <v>2993</v>
      </c>
      <c r="F322" s="25" t="s">
        <v>2964</v>
      </c>
      <c r="G322" s="59" t="s">
        <v>2994</v>
      </c>
      <c r="H322" s="60">
        <v>5.04</v>
      </c>
      <c r="I322" s="60">
        <v>2.77</v>
      </c>
      <c r="J322" s="60">
        <v>9.1999999999999993</v>
      </c>
      <c r="K322" s="60">
        <v>0</v>
      </c>
      <c r="L322" s="60">
        <v>0</v>
      </c>
      <c r="M322" s="60">
        <v>0</v>
      </c>
      <c r="N322" s="60">
        <v>0</v>
      </c>
      <c r="O322" s="60">
        <v>0</v>
      </c>
      <c r="P322" s="60">
        <v>0</v>
      </c>
      <c r="Q322" s="60">
        <v>0</v>
      </c>
      <c r="R322" s="60">
        <v>0</v>
      </c>
      <c r="S322" s="60">
        <v>0</v>
      </c>
      <c r="T322" s="60">
        <v>0</v>
      </c>
      <c r="U322" s="60">
        <v>0</v>
      </c>
      <c r="V322" s="60">
        <v>0</v>
      </c>
      <c r="W322" s="60">
        <v>0</v>
      </c>
      <c r="X322" s="60">
        <v>0</v>
      </c>
      <c r="Y322" s="60">
        <v>0</v>
      </c>
      <c r="Z322" s="60">
        <v>0</v>
      </c>
      <c r="AA322" s="60">
        <v>0</v>
      </c>
      <c r="AB322" s="60">
        <v>0</v>
      </c>
      <c r="AC322" s="60">
        <v>0</v>
      </c>
      <c r="AD322" s="60">
        <v>0</v>
      </c>
      <c r="AE322" s="60">
        <v>0</v>
      </c>
      <c r="AF322" s="60">
        <v>0</v>
      </c>
      <c r="AG322" s="60">
        <v>0</v>
      </c>
      <c r="AH322" s="60">
        <v>0</v>
      </c>
      <c r="AI322" s="60">
        <v>5.04</v>
      </c>
      <c r="AJ322" s="60">
        <v>2.77</v>
      </c>
      <c r="AK322" s="60">
        <v>9.1999999999999993</v>
      </c>
      <c r="AL322" s="60">
        <v>0</v>
      </c>
      <c r="AM322" s="60">
        <v>0</v>
      </c>
      <c r="AN322" s="60">
        <v>0</v>
      </c>
      <c r="AO322" s="60">
        <v>5.04</v>
      </c>
      <c r="AP322" s="60">
        <v>2.77</v>
      </c>
      <c r="AQ322" s="60">
        <v>9.1999999999999993</v>
      </c>
      <c r="AR322" s="61">
        <v>9.1999999999999993</v>
      </c>
    </row>
    <row r="323" spans="1:44" x14ac:dyDescent="0.35">
      <c r="A323" s="49" t="str">
        <f t="shared" si="25"/>
        <v>47</v>
      </c>
      <c r="B323" s="27">
        <v>70383</v>
      </c>
      <c r="C323" s="25" t="str">
        <f t="shared" si="24"/>
        <v>0000000</v>
      </c>
      <c r="D323" s="26" t="s">
        <v>3663</v>
      </c>
      <c r="E323" s="25" t="s">
        <v>2995</v>
      </c>
      <c r="F323" s="25" t="s">
        <v>2964</v>
      </c>
      <c r="G323" s="59" t="s">
        <v>2996</v>
      </c>
      <c r="H323" s="60">
        <v>10.57</v>
      </c>
      <c r="I323" s="60">
        <v>14</v>
      </c>
      <c r="J323" s="60">
        <v>24.75</v>
      </c>
      <c r="K323" s="60">
        <v>0</v>
      </c>
      <c r="L323" s="60">
        <v>0</v>
      </c>
      <c r="M323" s="60">
        <v>0</v>
      </c>
      <c r="N323" s="60">
        <v>0</v>
      </c>
      <c r="O323" s="60">
        <v>0</v>
      </c>
      <c r="P323" s="60">
        <v>0</v>
      </c>
      <c r="Q323" s="60">
        <v>0</v>
      </c>
      <c r="R323" s="60">
        <v>0</v>
      </c>
      <c r="S323" s="60">
        <v>0</v>
      </c>
      <c r="T323" s="60">
        <v>0</v>
      </c>
      <c r="U323" s="60">
        <v>0</v>
      </c>
      <c r="V323" s="60">
        <v>0</v>
      </c>
      <c r="W323" s="60">
        <v>0</v>
      </c>
      <c r="X323" s="60">
        <v>0</v>
      </c>
      <c r="Y323" s="60">
        <v>0</v>
      </c>
      <c r="Z323" s="60">
        <v>0</v>
      </c>
      <c r="AA323" s="60">
        <v>0</v>
      </c>
      <c r="AB323" s="60">
        <v>0</v>
      </c>
      <c r="AC323" s="60">
        <v>0</v>
      </c>
      <c r="AD323" s="60">
        <v>0</v>
      </c>
      <c r="AE323" s="60">
        <v>0</v>
      </c>
      <c r="AF323" s="60">
        <v>0</v>
      </c>
      <c r="AG323" s="60">
        <v>0</v>
      </c>
      <c r="AH323" s="60">
        <v>0</v>
      </c>
      <c r="AI323" s="60">
        <v>10.57</v>
      </c>
      <c r="AJ323" s="60">
        <v>14</v>
      </c>
      <c r="AK323" s="60">
        <v>24.75</v>
      </c>
      <c r="AL323" s="60">
        <v>0</v>
      </c>
      <c r="AM323" s="60">
        <v>0</v>
      </c>
      <c r="AN323" s="60">
        <v>0</v>
      </c>
      <c r="AO323" s="60">
        <v>10.57</v>
      </c>
      <c r="AP323" s="60">
        <v>14</v>
      </c>
      <c r="AQ323" s="60">
        <v>24.75</v>
      </c>
      <c r="AR323" s="61">
        <v>24.75</v>
      </c>
    </row>
    <row r="324" spans="1:44" x14ac:dyDescent="0.35">
      <c r="A324" s="49" t="str">
        <f t="shared" si="25"/>
        <v>47</v>
      </c>
      <c r="B324" s="27">
        <v>70458</v>
      </c>
      <c r="C324" s="25" t="str">
        <f t="shared" si="24"/>
        <v>0000000</v>
      </c>
      <c r="D324" s="26" t="s">
        <v>3663</v>
      </c>
      <c r="E324" s="25" t="s">
        <v>3003</v>
      </c>
      <c r="F324" s="25" t="s">
        <v>2964</v>
      </c>
      <c r="G324" s="59" t="s">
        <v>3004</v>
      </c>
      <c r="H324" s="60">
        <v>15.08</v>
      </c>
      <c r="I324" s="60">
        <v>9.8800000000000008</v>
      </c>
      <c r="J324" s="60">
        <v>8.7200000000000006</v>
      </c>
      <c r="K324" s="60">
        <v>0</v>
      </c>
      <c r="L324" s="60">
        <v>0</v>
      </c>
      <c r="M324" s="60">
        <v>0</v>
      </c>
      <c r="N324" s="60">
        <v>0</v>
      </c>
      <c r="O324" s="60">
        <v>0</v>
      </c>
      <c r="P324" s="60">
        <v>0</v>
      </c>
      <c r="Q324" s="60">
        <v>0</v>
      </c>
      <c r="R324" s="60">
        <v>0</v>
      </c>
      <c r="S324" s="60">
        <v>0</v>
      </c>
      <c r="T324" s="60">
        <v>0</v>
      </c>
      <c r="U324" s="60">
        <v>0</v>
      </c>
      <c r="V324" s="60">
        <v>0</v>
      </c>
      <c r="W324" s="60">
        <v>0</v>
      </c>
      <c r="X324" s="60">
        <v>0</v>
      </c>
      <c r="Y324" s="60">
        <v>0</v>
      </c>
      <c r="Z324" s="60">
        <v>0</v>
      </c>
      <c r="AA324" s="60">
        <v>0</v>
      </c>
      <c r="AB324" s="60">
        <v>0</v>
      </c>
      <c r="AC324" s="60">
        <v>0</v>
      </c>
      <c r="AD324" s="60">
        <v>0</v>
      </c>
      <c r="AE324" s="60">
        <v>0</v>
      </c>
      <c r="AF324" s="60">
        <v>0</v>
      </c>
      <c r="AG324" s="60">
        <v>0</v>
      </c>
      <c r="AH324" s="60">
        <v>0</v>
      </c>
      <c r="AI324" s="60">
        <v>15.08</v>
      </c>
      <c r="AJ324" s="60">
        <v>9.8800000000000008</v>
      </c>
      <c r="AK324" s="60">
        <v>8.7200000000000006</v>
      </c>
      <c r="AL324" s="60">
        <v>0</v>
      </c>
      <c r="AM324" s="60">
        <v>0</v>
      </c>
      <c r="AN324" s="60">
        <v>0</v>
      </c>
      <c r="AO324" s="60">
        <v>15.08</v>
      </c>
      <c r="AP324" s="60">
        <v>9.8800000000000008</v>
      </c>
      <c r="AQ324" s="60">
        <v>8.7200000000000006</v>
      </c>
      <c r="AR324" s="61">
        <v>15.08</v>
      </c>
    </row>
    <row r="325" spans="1:44" x14ac:dyDescent="0.35">
      <c r="A325" s="49" t="str">
        <f t="shared" si="25"/>
        <v>47</v>
      </c>
      <c r="B325" s="27">
        <v>70490</v>
      </c>
      <c r="C325" s="25" t="str">
        <f t="shared" si="24"/>
        <v>0000000</v>
      </c>
      <c r="D325" s="26" t="s">
        <v>3663</v>
      </c>
      <c r="E325" s="25" t="s">
        <v>3009</v>
      </c>
      <c r="F325" s="25" t="s">
        <v>2964</v>
      </c>
      <c r="G325" s="59" t="s">
        <v>3010</v>
      </c>
      <c r="H325" s="60">
        <v>37.270000000000003</v>
      </c>
      <c r="I325" s="60">
        <v>31.01</v>
      </c>
      <c r="J325" s="60">
        <v>27.33</v>
      </c>
      <c r="K325" s="60">
        <v>0</v>
      </c>
      <c r="L325" s="60">
        <v>0</v>
      </c>
      <c r="M325" s="60">
        <v>0</v>
      </c>
      <c r="N325" s="60">
        <v>0</v>
      </c>
      <c r="O325" s="60">
        <v>0</v>
      </c>
      <c r="P325" s="60">
        <v>0</v>
      </c>
      <c r="Q325" s="60">
        <v>0</v>
      </c>
      <c r="R325" s="60">
        <v>0</v>
      </c>
      <c r="S325" s="60">
        <v>0</v>
      </c>
      <c r="T325" s="60">
        <v>0</v>
      </c>
      <c r="U325" s="60">
        <v>0</v>
      </c>
      <c r="V325" s="60">
        <v>0</v>
      </c>
      <c r="W325" s="60">
        <v>0</v>
      </c>
      <c r="X325" s="60">
        <v>0</v>
      </c>
      <c r="Y325" s="60">
        <v>0</v>
      </c>
      <c r="Z325" s="60">
        <v>0</v>
      </c>
      <c r="AA325" s="60">
        <v>0</v>
      </c>
      <c r="AB325" s="60">
        <v>0</v>
      </c>
      <c r="AC325" s="60">
        <v>0</v>
      </c>
      <c r="AD325" s="60">
        <v>0</v>
      </c>
      <c r="AE325" s="60">
        <v>0</v>
      </c>
      <c r="AF325" s="60">
        <v>0</v>
      </c>
      <c r="AG325" s="60">
        <v>0</v>
      </c>
      <c r="AH325" s="60">
        <v>0</v>
      </c>
      <c r="AI325" s="60">
        <v>37.270000000000003</v>
      </c>
      <c r="AJ325" s="60">
        <v>31.01</v>
      </c>
      <c r="AK325" s="60">
        <v>27.33</v>
      </c>
      <c r="AL325" s="60">
        <v>0</v>
      </c>
      <c r="AM325" s="60">
        <v>0</v>
      </c>
      <c r="AN325" s="60">
        <v>0</v>
      </c>
      <c r="AO325" s="60">
        <v>37.270000000000003</v>
      </c>
      <c r="AP325" s="60">
        <v>31.01</v>
      </c>
      <c r="AQ325" s="60">
        <v>27.33</v>
      </c>
      <c r="AR325" s="61">
        <v>37.270000000000003</v>
      </c>
    </row>
    <row r="326" spans="1:44" x14ac:dyDescent="0.35">
      <c r="A326" s="49" t="str">
        <f t="shared" si="25"/>
        <v>47</v>
      </c>
      <c r="B326" s="27">
        <v>76455</v>
      </c>
      <c r="C326" s="25" t="str">
        <f t="shared" si="24"/>
        <v>0000000</v>
      </c>
      <c r="D326" s="26" t="s">
        <v>3663</v>
      </c>
      <c r="E326" s="25" t="s">
        <v>3017</v>
      </c>
      <c r="F326" s="25" t="s">
        <v>2964</v>
      </c>
      <c r="G326" s="59" t="s">
        <v>3018</v>
      </c>
      <c r="H326" s="60">
        <v>568.12</v>
      </c>
      <c r="I326" s="60">
        <v>565.66</v>
      </c>
      <c r="J326" s="60">
        <v>634.91</v>
      </c>
      <c r="K326" s="60">
        <v>0</v>
      </c>
      <c r="L326" s="60">
        <v>0</v>
      </c>
      <c r="M326" s="60">
        <v>0</v>
      </c>
      <c r="N326" s="60">
        <v>0</v>
      </c>
      <c r="O326" s="60">
        <v>0</v>
      </c>
      <c r="P326" s="60">
        <v>0</v>
      </c>
      <c r="Q326" s="60">
        <v>0</v>
      </c>
      <c r="R326" s="60">
        <v>0</v>
      </c>
      <c r="S326" s="60">
        <v>0</v>
      </c>
      <c r="T326" s="60">
        <v>0</v>
      </c>
      <c r="U326" s="60">
        <v>0</v>
      </c>
      <c r="V326" s="60">
        <v>0</v>
      </c>
      <c r="W326" s="60">
        <v>0</v>
      </c>
      <c r="X326" s="60">
        <v>0</v>
      </c>
      <c r="Y326" s="60">
        <v>0</v>
      </c>
      <c r="Z326" s="60">
        <v>0</v>
      </c>
      <c r="AA326" s="60">
        <v>0</v>
      </c>
      <c r="AB326" s="60">
        <v>0</v>
      </c>
      <c r="AC326" s="60">
        <v>0</v>
      </c>
      <c r="AD326" s="60">
        <v>0</v>
      </c>
      <c r="AE326" s="60">
        <v>0</v>
      </c>
      <c r="AF326" s="60">
        <v>0</v>
      </c>
      <c r="AG326" s="60">
        <v>0</v>
      </c>
      <c r="AH326" s="60">
        <v>0</v>
      </c>
      <c r="AI326" s="60">
        <v>568.12</v>
      </c>
      <c r="AJ326" s="60">
        <v>565.66</v>
      </c>
      <c r="AK326" s="60">
        <v>634.91</v>
      </c>
      <c r="AL326" s="60">
        <v>0</v>
      </c>
      <c r="AM326" s="60">
        <v>0</v>
      </c>
      <c r="AN326" s="60">
        <v>0</v>
      </c>
      <c r="AO326" s="60">
        <v>568.12</v>
      </c>
      <c r="AP326" s="60">
        <v>565.66</v>
      </c>
      <c r="AQ326" s="60">
        <v>634.91</v>
      </c>
      <c r="AR326" s="61">
        <v>634.91</v>
      </c>
    </row>
    <row r="327" spans="1:44" x14ac:dyDescent="0.35">
      <c r="A327" s="49" t="str">
        <f t="shared" si="25"/>
        <v>47</v>
      </c>
      <c r="B327" s="27">
        <v>10470</v>
      </c>
      <c r="C327" s="25" t="str">
        <f>TEXT(117168,"0000000")</f>
        <v>0117168</v>
      </c>
      <c r="D327" s="26" t="s">
        <v>2967</v>
      </c>
      <c r="E327" s="25" t="s">
        <v>2965</v>
      </c>
      <c r="F327" s="25" t="s">
        <v>2964</v>
      </c>
      <c r="G327" s="59" t="s">
        <v>2966</v>
      </c>
      <c r="H327" s="60">
        <v>0</v>
      </c>
      <c r="I327" s="60">
        <v>0</v>
      </c>
      <c r="J327" s="60">
        <v>0</v>
      </c>
      <c r="K327" s="60">
        <v>0</v>
      </c>
      <c r="L327" s="60">
        <v>0</v>
      </c>
      <c r="M327" s="60">
        <v>0</v>
      </c>
      <c r="N327" s="60">
        <v>0</v>
      </c>
      <c r="O327" s="60">
        <v>0</v>
      </c>
      <c r="P327" s="60">
        <v>0</v>
      </c>
      <c r="Q327" s="60">
        <v>0</v>
      </c>
      <c r="R327" s="60">
        <v>0</v>
      </c>
      <c r="S327" s="60">
        <v>0</v>
      </c>
      <c r="T327" s="60">
        <v>0</v>
      </c>
      <c r="U327" s="60">
        <v>0</v>
      </c>
      <c r="V327" s="60">
        <v>0</v>
      </c>
      <c r="W327" s="60">
        <v>0</v>
      </c>
      <c r="X327" s="60">
        <v>0</v>
      </c>
      <c r="Y327" s="60">
        <v>0</v>
      </c>
      <c r="Z327" s="60">
        <v>416.01</v>
      </c>
      <c r="AA327" s="60">
        <v>473.81</v>
      </c>
      <c r="AB327" s="60">
        <v>493.84</v>
      </c>
      <c r="AC327" s="60">
        <v>0</v>
      </c>
      <c r="AD327" s="60">
        <v>0</v>
      </c>
      <c r="AE327" s="60">
        <v>0</v>
      </c>
      <c r="AF327" s="60">
        <v>0</v>
      </c>
      <c r="AG327" s="60">
        <v>0</v>
      </c>
      <c r="AH327" s="60">
        <v>0</v>
      </c>
      <c r="AI327" s="60">
        <v>416.01</v>
      </c>
      <c r="AJ327" s="60">
        <v>473.81</v>
      </c>
      <c r="AK327" s="60">
        <v>493.84</v>
      </c>
      <c r="AL327" s="60">
        <v>0</v>
      </c>
      <c r="AM327" s="60">
        <v>0</v>
      </c>
      <c r="AN327" s="60">
        <v>0</v>
      </c>
      <c r="AO327" s="60">
        <v>416.01</v>
      </c>
      <c r="AP327" s="60">
        <v>473.81</v>
      </c>
      <c r="AQ327" s="60">
        <v>493.84</v>
      </c>
      <c r="AR327" s="61">
        <v>493.84</v>
      </c>
    </row>
    <row r="328" spans="1:44" x14ac:dyDescent="0.35">
      <c r="A328" s="49" t="str">
        <f t="shared" si="25"/>
        <v>47</v>
      </c>
      <c r="B328" s="27">
        <v>10470</v>
      </c>
      <c r="C328" s="25" t="str">
        <f>TEXT(137372,"0000000")</f>
        <v>0137372</v>
      </c>
      <c r="D328" s="27">
        <v>1958</v>
      </c>
      <c r="E328" s="25" t="s">
        <v>2968</v>
      </c>
      <c r="F328" s="25" t="s">
        <v>2964</v>
      </c>
      <c r="G328" s="59" t="s">
        <v>2969</v>
      </c>
      <c r="H328" s="60">
        <v>0</v>
      </c>
      <c r="I328" s="60">
        <v>0</v>
      </c>
      <c r="J328" s="60">
        <v>0</v>
      </c>
      <c r="K328" s="60">
        <v>0</v>
      </c>
      <c r="L328" s="60">
        <v>0</v>
      </c>
      <c r="M328" s="60">
        <v>0</v>
      </c>
      <c r="N328" s="60">
        <v>0</v>
      </c>
      <c r="O328" s="60">
        <v>0</v>
      </c>
      <c r="P328" s="60">
        <v>0</v>
      </c>
      <c r="Q328" s="60">
        <v>0</v>
      </c>
      <c r="R328" s="60">
        <v>0</v>
      </c>
      <c r="S328" s="60">
        <v>0</v>
      </c>
      <c r="T328" s="60">
        <v>0</v>
      </c>
      <c r="U328" s="60">
        <v>0</v>
      </c>
      <c r="V328" s="60">
        <v>0</v>
      </c>
      <c r="W328" s="60">
        <v>0</v>
      </c>
      <c r="X328" s="60">
        <v>0</v>
      </c>
      <c r="Y328" s="60">
        <v>0</v>
      </c>
      <c r="Z328" s="60">
        <v>116.53</v>
      </c>
      <c r="AA328" s="60">
        <v>116.92</v>
      </c>
      <c r="AB328" s="60">
        <v>138.52000000000001</v>
      </c>
      <c r="AC328" s="60">
        <v>0</v>
      </c>
      <c r="AD328" s="60">
        <v>0</v>
      </c>
      <c r="AE328" s="60">
        <v>0</v>
      </c>
      <c r="AF328" s="60">
        <v>0</v>
      </c>
      <c r="AG328" s="60">
        <v>0</v>
      </c>
      <c r="AH328" s="60">
        <v>0</v>
      </c>
      <c r="AI328" s="60">
        <v>116.53</v>
      </c>
      <c r="AJ328" s="60">
        <v>116.92</v>
      </c>
      <c r="AK328" s="60">
        <v>138.52000000000001</v>
      </c>
      <c r="AL328" s="60">
        <v>0</v>
      </c>
      <c r="AM328" s="60">
        <v>0</v>
      </c>
      <c r="AN328" s="60">
        <v>0</v>
      </c>
      <c r="AO328" s="60">
        <v>116.53</v>
      </c>
      <c r="AP328" s="60">
        <v>116.92</v>
      </c>
      <c r="AQ328" s="60">
        <v>138.52000000000001</v>
      </c>
      <c r="AR328" s="61">
        <v>138.52000000000001</v>
      </c>
    </row>
    <row r="329" spans="1:44" x14ac:dyDescent="0.35">
      <c r="A329" s="49" t="str">
        <f t="shared" ref="A329:A374" si="26">TEXT(49,"00")</f>
        <v>49</v>
      </c>
      <c r="B329" s="27">
        <v>10496</v>
      </c>
      <c r="C329" s="25" t="str">
        <f t="shared" ref="C329:C369" si="27">TEXT(,"0000000")</f>
        <v>0000000</v>
      </c>
      <c r="D329" s="26" t="s">
        <v>3663</v>
      </c>
      <c r="E329" s="25" t="s">
        <v>3051</v>
      </c>
      <c r="F329" s="25" t="s">
        <v>3052</v>
      </c>
      <c r="G329" s="59" t="s">
        <v>3052</v>
      </c>
      <c r="H329" s="60">
        <v>0</v>
      </c>
      <c r="I329" s="60">
        <v>0</v>
      </c>
      <c r="J329" s="60">
        <v>0</v>
      </c>
      <c r="K329" s="60">
        <v>0</v>
      </c>
      <c r="L329" s="60">
        <v>0</v>
      </c>
      <c r="M329" s="60">
        <v>0</v>
      </c>
      <c r="N329" s="60">
        <v>0</v>
      </c>
      <c r="O329" s="60">
        <v>0</v>
      </c>
      <c r="P329" s="60">
        <v>0</v>
      </c>
      <c r="Q329" s="60">
        <v>0</v>
      </c>
      <c r="R329" s="60">
        <v>0</v>
      </c>
      <c r="S329" s="60">
        <v>0</v>
      </c>
      <c r="T329" s="60">
        <v>76.31</v>
      </c>
      <c r="U329" s="60">
        <v>40.75</v>
      </c>
      <c r="V329" s="60">
        <v>143.34</v>
      </c>
      <c r="W329" s="60">
        <v>216.16</v>
      </c>
      <c r="X329" s="60">
        <v>223.15</v>
      </c>
      <c r="Y329" s="60">
        <v>367.59</v>
      </c>
      <c r="Z329" s="60">
        <v>0</v>
      </c>
      <c r="AA329" s="60">
        <v>0</v>
      </c>
      <c r="AB329" s="60">
        <v>0</v>
      </c>
      <c r="AC329" s="60">
        <v>0</v>
      </c>
      <c r="AD329" s="60">
        <v>0</v>
      </c>
      <c r="AE329" s="60">
        <v>0</v>
      </c>
      <c r="AF329" s="60">
        <v>0</v>
      </c>
      <c r="AG329" s="60">
        <v>0</v>
      </c>
      <c r="AH329" s="60">
        <v>0</v>
      </c>
      <c r="AI329" s="60">
        <v>292.47000000000003</v>
      </c>
      <c r="AJ329" s="60">
        <v>263.89999999999998</v>
      </c>
      <c r="AK329" s="60">
        <v>510.93</v>
      </c>
      <c r="AL329" s="60">
        <v>0</v>
      </c>
      <c r="AM329" s="60">
        <v>0</v>
      </c>
      <c r="AN329" s="60">
        <v>0</v>
      </c>
      <c r="AO329" s="60">
        <v>292.47000000000003</v>
      </c>
      <c r="AP329" s="60">
        <v>263.89999999999998</v>
      </c>
      <c r="AQ329" s="60">
        <v>510.93</v>
      </c>
      <c r="AR329" s="61">
        <v>510.93</v>
      </c>
    </row>
    <row r="330" spans="1:44" x14ac:dyDescent="0.35">
      <c r="A330" s="49" t="str">
        <f t="shared" si="26"/>
        <v>49</v>
      </c>
      <c r="B330" s="27">
        <v>70599</v>
      </c>
      <c r="C330" s="25" t="str">
        <f t="shared" si="27"/>
        <v>0000000</v>
      </c>
      <c r="D330" s="26" t="s">
        <v>3663</v>
      </c>
      <c r="E330" s="25" t="s">
        <v>3053</v>
      </c>
      <c r="F330" s="25" t="s">
        <v>3052</v>
      </c>
      <c r="G330" s="59" t="s">
        <v>3054</v>
      </c>
      <c r="H330" s="60">
        <v>106.32</v>
      </c>
      <c r="I330" s="60">
        <v>107.05</v>
      </c>
      <c r="J330" s="60">
        <v>48.37</v>
      </c>
      <c r="K330" s="60">
        <v>0</v>
      </c>
      <c r="L330" s="60">
        <v>0</v>
      </c>
      <c r="M330" s="60">
        <v>0</v>
      </c>
      <c r="N330" s="60">
        <v>0</v>
      </c>
      <c r="O330" s="60">
        <v>0</v>
      </c>
      <c r="P330" s="60">
        <v>58.41</v>
      </c>
      <c r="Q330" s="60">
        <v>0</v>
      </c>
      <c r="R330" s="60">
        <v>0</v>
      </c>
      <c r="S330" s="60">
        <v>0</v>
      </c>
      <c r="T330" s="60">
        <v>0</v>
      </c>
      <c r="U330" s="60">
        <v>0</v>
      </c>
      <c r="V330" s="60">
        <v>0</v>
      </c>
      <c r="W330" s="60">
        <v>0</v>
      </c>
      <c r="X330" s="60">
        <v>0</v>
      </c>
      <c r="Y330" s="60">
        <v>0</v>
      </c>
      <c r="Z330" s="60">
        <v>0</v>
      </c>
      <c r="AA330" s="60">
        <v>0</v>
      </c>
      <c r="AB330" s="60">
        <v>0</v>
      </c>
      <c r="AC330" s="60">
        <v>0</v>
      </c>
      <c r="AD330" s="60">
        <v>0</v>
      </c>
      <c r="AE330" s="60">
        <v>0</v>
      </c>
      <c r="AF330" s="60">
        <v>0</v>
      </c>
      <c r="AG330" s="60">
        <v>0</v>
      </c>
      <c r="AH330" s="60">
        <v>0</v>
      </c>
      <c r="AI330" s="60">
        <v>106.32</v>
      </c>
      <c r="AJ330" s="60">
        <v>107.05</v>
      </c>
      <c r="AK330" s="60">
        <v>106.78</v>
      </c>
      <c r="AL330" s="60">
        <v>0</v>
      </c>
      <c r="AM330" s="60">
        <v>0</v>
      </c>
      <c r="AN330" s="60">
        <v>0</v>
      </c>
      <c r="AO330" s="60">
        <v>106.32</v>
      </c>
      <c r="AP330" s="60">
        <v>107.05</v>
      </c>
      <c r="AQ330" s="60">
        <v>106.78</v>
      </c>
      <c r="AR330" s="61">
        <v>107.05</v>
      </c>
    </row>
    <row r="331" spans="1:44" x14ac:dyDescent="0.35">
      <c r="A331" s="49" t="str">
        <f t="shared" si="26"/>
        <v>49</v>
      </c>
      <c r="B331" s="27">
        <v>70607</v>
      </c>
      <c r="C331" s="25" t="str">
        <f t="shared" si="27"/>
        <v>0000000</v>
      </c>
      <c r="D331" s="26" t="s">
        <v>3663</v>
      </c>
      <c r="E331" s="25" t="s">
        <v>3055</v>
      </c>
      <c r="F331" s="25" t="s">
        <v>3052</v>
      </c>
      <c r="G331" s="59" t="s">
        <v>3056</v>
      </c>
      <c r="H331" s="60">
        <v>1422.27</v>
      </c>
      <c r="I331" s="60">
        <v>1470.64</v>
      </c>
      <c r="J331" s="60">
        <v>1694.93</v>
      </c>
      <c r="K331" s="60">
        <v>0</v>
      </c>
      <c r="L331" s="60">
        <v>0</v>
      </c>
      <c r="M331" s="60">
        <v>0</v>
      </c>
      <c r="N331" s="60">
        <v>0</v>
      </c>
      <c r="O331" s="60">
        <v>0</v>
      </c>
      <c r="P331" s="60">
        <v>0</v>
      </c>
      <c r="Q331" s="60">
        <v>0</v>
      </c>
      <c r="R331" s="60">
        <v>0</v>
      </c>
      <c r="S331" s="60">
        <v>0</v>
      </c>
      <c r="T331" s="60">
        <v>0</v>
      </c>
      <c r="U331" s="60">
        <v>0</v>
      </c>
      <c r="V331" s="60">
        <v>0</v>
      </c>
      <c r="W331" s="60">
        <v>0</v>
      </c>
      <c r="X331" s="60">
        <v>0</v>
      </c>
      <c r="Y331" s="60">
        <v>0</v>
      </c>
      <c r="Z331" s="60">
        <v>0</v>
      </c>
      <c r="AA331" s="60">
        <v>0</v>
      </c>
      <c r="AB331" s="60">
        <v>0</v>
      </c>
      <c r="AC331" s="60">
        <v>0</v>
      </c>
      <c r="AD331" s="60">
        <v>0</v>
      </c>
      <c r="AE331" s="60">
        <v>0</v>
      </c>
      <c r="AF331" s="60">
        <v>0</v>
      </c>
      <c r="AG331" s="60">
        <v>0</v>
      </c>
      <c r="AH331" s="60">
        <v>0</v>
      </c>
      <c r="AI331" s="60">
        <v>1422.27</v>
      </c>
      <c r="AJ331" s="60">
        <v>1470.64</v>
      </c>
      <c r="AK331" s="60">
        <v>1694.93</v>
      </c>
      <c r="AL331" s="60">
        <v>0</v>
      </c>
      <c r="AM331" s="60">
        <v>0</v>
      </c>
      <c r="AN331" s="60">
        <v>0</v>
      </c>
      <c r="AO331" s="60">
        <v>1422.27</v>
      </c>
      <c r="AP331" s="60">
        <v>1470.64</v>
      </c>
      <c r="AQ331" s="60">
        <v>1694.93</v>
      </c>
      <c r="AR331" s="61">
        <v>1694.93</v>
      </c>
    </row>
    <row r="332" spans="1:44" x14ac:dyDescent="0.35">
      <c r="A332" s="49" t="str">
        <f t="shared" si="26"/>
        <v>49</v>
      </c>
      <c r="B332" s="27">
        <v>70615</v>
      </c>
      <c r="C332" s="25" t="str">
        <f t="shared" si="27"/>
        <v>0000000</v>
      </c>
      <c r="D332" s="26" t="s">
        <v>3663</v>
      </c>
      <c r="E332" s="25" t="s">
        <v>3057</v>
      </c>
      <c r="F332" s="25" t="s">
        <v>3052</v>
      </c>
      <c r="G332" s="59" t="s">
        <v>3058</v>
      </c>
      <c r="H332" s="60">
        <v>1396.98</v>
      </c>
      <c r="I332" s="60">
        <v>1303.05</v>
      </c>
      <c r="J332" s="60">
        <v>1520.98</v>
      </c>
      <c r="K332" s="60">
        <v>0</v>
      </c>
      <c r="L332" s="60">
        <v>0</v>
      </c>
      <c r="M332" s="60">
        <v>0</v>
      </c>
      <c r="N332" s="60">
        <v>0</v>
      </c>
      <c r="O332" s="60">
        <v>0</v>
      </c>
      <c r="P332" s="60">
        <v>0</v>
      </c>
      <c r="Q332" s="60">
        <v>0</v>
      </c>
      <c r="R332" s="60">
        <v>0</v>
      </c>
      <c r="S332" s="60">
        <v>0</v>
      </c>
      <c r="T332" s="60">
        <v>0</v>
      </c>
      <c r="U332" s="60">
        <v>0</v>
      </c>
      <c r="V332" s="60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0</v>
      </c>
      <c r="AD332" s="60">
        <v>0</v>
      </c>
      <c r="AE332" s="60">
        <v>0</v>
      </c>
      <c r="AF332" s="60">
        <v>0</v>
      </c>
      <c r="AG332" s="60">
        <v>0</v>
      </c>
      <c r="AH332" s="60">
        <v>0</v>
      </c>
      <c r="AI332" s="60">
        <v>1396.98</v>
      </c>
      <c r="AJ332" s="60">
        <v>1303.05</v>
      </c>
      <c r="AK332" s="60">
        <v>1520.98</v>
      </c>
      <c r="AL332" s="60">
        <v>0</v>
      </c>
      <c r="AM332" s="60">
        <v>0</v>
      </c>
      <c r="AN332" s="60">
        <v>0</v>
      </c>
      <c r="AO332" s="60">
        <v>1396.98</v>
      </c>
      <c r="AP332" s="60">
        <v>1303.05</v>
      </c>
      <c r="AQ332" s="60">
        <v>1520.98</v>
      </c>
      <c r="AR332" s="61">
        <v>1520.98</v>
      </c>
    </row>
    <row r="333" spans="1:44" x14ac:dyDescent="0.35">
      <c r="A333" s="49" t="str">
        <f t="shared" si="26"/>
        <v>49</v>
      </c>
      <c r="B333" s="27">
        <v>70623</v>
      </c>
      <c r="C333" s="25" t="str">
        <f t="shared" si="27"/>
        <v>0000000</v>
      </c>
      <c r="D333" s="26" t="s">
        <v>3663</v>
      </c>
      <c r="E333" s="25" t="s">
        <v>3059</v>
      </c>
      <c r="F333" s="25" t="s">
        <v>3052</v>
      </c>
      <c r="G333" s="59" t="s">
        <v>3060</v>
      </c>
      <c r="H333" s="60">
        <v>866.31</v>
      </c>
      <c r="I333" s="60">
        <v>900.96</v>
      </c>
      <c r="J333" s="60">
        <v>969.73</v>
      </c>
      <c r="K333" s="60">
        <v>0</v>
      </c>
      <c r="L333" s="60">
        <v>0</v>
      </c>
      <c r="M333" s="60">
        <v>0</v>
      </c>
      <c r="N333" s="60">
        <v>0</v>
      </c>
      <c r="O333" s="60">
        <v>0</v>
      </c>
      <c r="P333" s="60">
        <v>0</v>
      </c>
      <c r="Q333" s="60">
        <v>0</v>
      </c>
      <c r="R333" s="60">
        <v>0</v>
      </c>
      <c r="S333" s="60">
        <v>0</v>
      </c>
      <c r="T333" s="60">
        <v>0</v>
      </c>
      <c r="U333" s="60">
        <v>0</v>
      </c>
      <c r="V333" s="60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0">
        <v>0</v>
      </c>
      <c r="AD333" s="60">
        <v>0</v>
      </c>
      <c r="AE333" s="60">
        <v>0</v>
      </c>
      <c r="AF333" s="60">
        <v>0</v>
      </c>
      <c r="AG333" s="60">
        <v>0</v>
      </c>
      <c r="AH333" s="60">
        <v>0</v>
      </c>
      <c r="AI333" s="60">
        <v>866.31</v>
      </c>
      <c r="AJ333" s="60">
        <v>900.96</v>
      </c>
      <c r="AK333" s="60">
        <v>969.73</v>
      </c>
      <c r="AL333" s="60">
        <v>0</v>
      </c>
      <c r="AM333" s="60">
        <v>0</v>
      </c>
      <c r="AN333" s="60">
        <v>0</v>
      </c>
      <c r="AO333" s="60">
        <v>866.31</v>
      </c>
      <c r="AP333" s="60">
        <v>900.96</v>
      </c>
      <c r="AQ333" s="60">
        <v>969.73</v>
      </c>
      <c r="AR333" s="61">
        <v>969.73</v>
      </c>
    </row>
    <row r="334" spans="1:44" x14ac:dyDescent="0.35">
      <c r="A334" s="49" t="str">
        <f t="shared" si="26"/>
        <v>49</v>
      </c>
      <c r="B334" s="27">
        <v>70649</v>
      </c>
      <c r="C334" s="25" t="str">
        <f t="shared" si="27"/>
        <v>0000000</v>
      </c>
      <c r="D334" s="26" t="s">
        <v>3663</v>
      </c>
      <c r="E334" s="25" t="s">
        <v>3061</v>
      </c>
      <c r="F334" s="25" t="s">
        <v>3052</v>
      </c>
      <c r="G334" s="59" t="s">
        <v>3062</v>
      </c>
      <c r="H334" s="60">
        <v>18.86</v>
      </c>
      <c r="I334" s="60">
        <v>14.27</v>
      </c>
      <c r="J334" s="60">
        <v>17.100000000000001</v>
      </c>
      <c r="K334" s="60">
        <v>0</v>
      </c>
      <c r="L334" s="60">
        <v>0</v>
      </c>
      <c r="M334" s="60">
        <v>0</v>
      </c>
      <c r="N334" s="60">
        <v>0</v>
      </c>
      <c r="O334" s="60">
        <v>0</v>
      </c>
      <c r="P334" s="60">
        <v>0</v>
      </c>
      <c r="Q334" s="60">
        <v>0</v>
      </c>
      <c r="R334" s="60">
        <v>0</v>
      </c>
      <c r="S334" s="60">
        <v>0</v>
      </c>
      <c r="T334" s="60">
        <v>0</v>
      </c>
      <c r="U334" s="60">
        <v>0</v>
      </c>
      <c r="V334" s="60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161.56</v>
      </c>
      <c r="AD334" s="60">
        <v>183.52</v>
      </c>
      <c r="AE334" s="60">
        <v>224.52</v>
      </c>
      <c r="AF334" s="60">
        <v>0</v>
      </c>
      <c r="AG334" s="60">
        <v>0</v>
      </c>
      <c r="AH334" s="60">
        <v>0</v>
      </c>
      <c r="AI334" s="60">
        <v>180.42</v>
      </c>
      <c r="AJ334" s="60">
        <v>197.79</v>
      </c>
      <c r="AK334" s="60">
        <v>241.62</v>
      </c>
      <c r="AL334" s="60">
        <v>0</v>
      </c>
      <c r="AM334" s="60">
        <v>0</v>
      </c>
      <c r="AN334" s="60">
        <v>0</v>
      </c>
      <c r="AO334" s="60">
        <v>180.42</v>
      </c>
      <c r="AP334" s="60">
        <v>197.79</v>
      </c>
      <c r="AQ334" s="60">
        <v>241.62</v>
      </c>
      <c r="AR334" s="61">
        <v>241.62</v>
      </c>
    </row>
    <row r="335" spans="1:44" x14ac:dyDescent="0.35">
      <c r="A335" s="49" t="str">
        <f t="shared" si="26"/>
        <v>49</v>
      </c>
      <c r="B335" s="27">
        <v>70656</v>
      </c>
      <c r="C335" s="25" t="str">
        <f t="shared" si="27"/>
        <v>0000000</v>
      </c>
      <c r="D335" s="26" t="s">
        <v>3663</v>
      </c>
      <c r="E335" s="25" t="s">
        <v>3063</v>
      </c>
      <c r="F335" s="25" t="s">
        <v>3052</v>
      </c>
      <c r="G335" s="59" t="s">
        <v>3064</v>
      </c>
      <c r="H335" s="60">
        <v>1186.55</v>
      </c>
      <c r="I335" s="60">
        <v>1191.6400000000001</v>
      </c>
      <c r="J335" s="60">
        <v>1315.16</v>
      </c>
      <c r="K335" s="60">
        <v>0</v>
      </c>
      <c r="L335" s="60">
        <v>0</v>
      </c>
      <c r="M335" s="60">
        <v>0</v>
      </c>
      <c r="N335" s="60">
        <v>0</v>
      </c>
      <c r="O335" s="60">
        <v>0</v>
      </c>
      <c r="P335" s="60">
        <v>0</v>
      </c>
      <c r="Q335" s="60">
        <v>0</v>
      </c>
      <c r="R335" s="60">
        <v>0</v>
      </c>
      <c r="S335" s="60">
        <v>0</v>
      </c>
      <c r="T335" s="60">
        <v>0</v>
      </c>
      <c r="U335" s="60">
        <v>0</v>
      </c>
      <c r="V335" s="60">
        <v>0</v>
      </c>
      <c r="W335" s="60">
        <v>0</v>
      </c>
      <c r="X335" s="60">
        <v>0</v>
      </c>
      <c r="Y335" s="60">
        <v>0</v>
      </c>
      <c r="Z335" s="60">
        <v>0</v>
      </c>
      <c r="AA335" s="60">
        <v>0</v>
      </c>
      <c r="AB335" s="60">
        <v>0</v>
      </c>
      <c r="AC335" s="60">
        <v>0</v>
      </c>
      <c r="AD335" s="60">
        <v>0</v>
      </c>
      <c r="AE335" s="60">
        <v>0</v>
      </c>
      <c r="AF335" s="60">
        <v>0</v>
      </c>
      <c r="AG335" s="60">
        <v>0</v>
      </c>
      <c r="AH335" s="60">
        <v>0</v>
      </c>
      <c r="AI335" s="60">
        <v>1186.55</v>
      </c>
      <c r="AJ335" s="60">
        <v>1191.6400000000001</v>
      </c>
      <c r="AK335" s="60">
        <v>1315.16</v>
      </c>
      <c r="AL335" s="60">
        <v>0</v>
      </c>
      <c r="AM335" s="60">
        <v>0</v>
      </c>
      <c r="AN335" s="60">
        <v>0</v>
      </c>
      <c r="AO335" s="60">
        <v>1186.55</v>
      </c>
      <c r="AP335" s="60">
        <v>1191.6400000000001</v>
      </c>
      <c r="AQ335" s="60">
        <v>1315.16</v>
      </c>
      <c r="AR335" s="61">
        <v>1315.16</v>
      </c>
    </row>
    <row r="336" spans="1:44" x14ac:dyDescent="0.35">
      <c r="A336" s="49" t="str">
        <f t="shared" si="26"/>
        <v>49</v>
      </c>
      <c r="B336" s="27">
        <v>73882</v>
      </c>
      <c r="C336" s="25" t="str">
        <f t="shared" si="27"/>
        <v>0000000</v>
      </c>
      <c r="D336" s="26" t="s">
        <v>3663</v>
      </c>
      <c r="E336" s="25" t="s">
        <v>3152</v>
      </c>
      <c r="F336" s="25" t="s">
        <v>3052</v>
      </c>
      <c r="G336" s="59" t="s">
        <v>3153</v>
      </c>
      <c r="H336" s="60">
        <v>5552.42</v>
      </c>
      <c r="I336" s="60">
        <v>5185.3599999999997</v>
      </c>
      <c r="J336" s="60">
        <v>5403.77</v>
      </c>
      <c r="K336" s="60">
        <v>0</v>
      </c>
      <c r="L336" s="60">
        <v>0</v>
      </c>
      <c r="M336" s="60">
        <v>0</v>
      </c>
      <c r="N336" s="60">
        <v>0</v>
      </c>
      <c r="O336" s="60">
        <v>0</v>
      </c>
      <c r="P336" s="60">
        <v>0</v>
      </c>
      <c r="Q336" s="60">
        <v>0</v>
      </c>
      <c r="R336" s="60">
        <v>0</v>
      </c>
      <c r="S336" s="60">
        <v>0</v>
      </c>
      <c r="T336" s="60">
        <v>0</v>
      </c>
      <c r="U336" s="60">
        <v>0</v>
      </c>
      <c r="V336" s="60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0">
        <v>0</v>
      </c>
      <c r="AE336" s="60">
        <v>0</v>
      </c>
      <c r="AF336" s="60">
        <v>0</v>
      </c>
      <c r="AG336" s="60">
        <v>0</v>
      </c>
      <c r="AH336" s="60">
        <v>0</v>
      </c>
      <c r="AI336" s="60">
        <v>5552.42</v>
      </c>
      <c r="AJ336" s="60">
        <v>5185.3599999999997</v>
      </c>
      <c r="AK336" s="60">
        <v>5403.77</v>
      </c>
      <c r="AL336" s="60">
        <v>0</v>
      </c>
      <c r="AM336" s="60">
        <v>0</v>
      </c>
      <c r="AN336" s="60">
        <v>0</v>
      </c>
      <c r="AO336" s="60">
        <v>5552.42</v>
      </c>
      <c r="AP336" s="60">
        <v>5185.3599999999997</v>
      </c>
      <c r="AQ336" s="60">
        <v>5403.77</v>
      </c>
      <c r="AR336" s="61">
        <v>5552.42</v>
      </c>
    </row>
    <row r="337" spans="1:44" x14ac:dyDescent="0.35">
      <c r="A337" s="49" t="str">
        <f t="shared" si="26"/>
        <v>49</v>
      </c>
      <c r="B337" s="27">
        <v>70672</v>
      </c>
      <c r="C337" s="25" t="str">
        <f t="shared" si="27"/>
        <v>0000000</v>
      </c>
      <c r="D337" s="26" t="s">
        <v>3663</v>
      </c>
      <c r="E337" s="25" t="s">
        <v>3065</v>
      </c>
      <c r="F337" s="25" t="s">
        <v>3052</v>
      </c>
      <c r="G337" s="59" t="s">
        <v>3066</v>
      </c>
      <c r="H337" s="60">
        <v>8.5</v>
      </c>
      <c r="I337" s="60">
        <v>9.49</v>
      </c>
      <c r="J337" s="60">
        <v>8.68</v>
      </c>
      <c r="K337" s="60">
        <v>0</v>
      </c>
      <c r="L337" s="60">
        <v>0</v>
      </c>
      <c r="M337" s="60">
        <v>0</v>
      </c>
      <c r="N337" s="60">
        <v>0</v>
      </c>
      <c r="O337" s="60">
        <v>0</v>
      </c>
      <c r="P337" s="60">
        <v>0</v>
      </c>
      <c r="Q337" s="60">
        <v>0</v>
      </c>
      <c r="R337" s="60">
        <v>0</v>
      </c>
      <c r="S337" s="60">
        <v>0</v>
      </c>
      <c r="T337" s="60">
        <v>0</v>
      </c>
      <c r="U337" s="60">
        <v>0</v>
      </c>
      <c r="V337" s="60">
        <v>0</v>
      </c>
      <c r="W337" s="60">
        <v>0</v>
      </c>
      <c r="X337" s="60">
        <v>0</v>
      </c>
      <c r="Y337" s="60">
        <v>0</v>
      </c>
      <c r="Z337" s="60">
        <v>0</v>
      </c>
      <c r="AA337" s="60">
        <v>0</v>
      </c>
      <c r="AB337" s="60">
        <v>0</v>
      </c>
      <c r="AC337" s="60">
        <v>125.49</v>
      </c>
      <c r="AD337" s="60">
        <v>128.91999999999999</v>
      </c>
      <c r="AE337" s="60">
        <v>149.78</v>
      </c>
      <c r="AF337" s="60">
        <v>0</v>
      </c>
      <c r="AG337" s="60">
        <v>0</v>
      </c>
      <c r="AH337" s="60">
        <v>0</v>
      </c>
      <c r="AI337" s="60">
        <v>133.99</v>
      </c>
      <c r="AJ337" s="60">
        <v>138.41</v>
      </c>
      <c r="AK337" s="60">
        <v>158.46</v>
      </c>
      <c r="AL337" s="60">
        <v>0</v>
      </c>
      <c r="AM337" s="60">
        <v>0</v>
      </c>
      <c r="AN337" s="60">
        <v>0</v>
      </c>
      <c r="AO337" s="60">
        <v>133.99</v>
      </c>
      <c r="AP337" s="60">
        <v>138.41</v>
      </c>
      <c r="AQ337" s="60">
        <v>158.46</v>
      </c>
      <c r="AR337" s="61">
        <v>158.46</v>
      </c>
    </row>
    <row r="338" spans="1:44" x14ac:dyDescent="0.35">
      <c r="A338" s="49" t="str">
        <f t="shared" si="26"/>
        <v>49</v>
      </c>
      <c r="B338" s="27">
        <v>70680</v>
      </c>
      <c r="C338" s="25" t="str">
        <f t="shared" si="27"/>
        <v>0000000</v>
      </c>
      <c r="D338" s="26" t="s">
        <v>3663</v>
      </c>
      <c r="E338" s="25" t="s">
        <v>3067</v>
      </c>
      <c r="F338" s="25" t="s">
        <v>3052</v>
      </c>
      <c r="G338" s="59" t="s">
        <v>3068</v>
      </c>
      <c r="H338" s="60">
        <v>45.63</v>
      </c>
      <c r="I338" s="60">
        <v>36.39</v>
      </c>
      <c r="J338" s="60">
        <v>42.24</v>
      </c>
      <c r="K338" s="60">
        <v>0</v>
      </c>
      <c r="L338" s="60">
        <v>0</v>
      </c>
      <c r="M338" s="60">
        <v>0</v>
      </c>
      <c r="N338" s="60">
        <v>4.57</v>
      </c>
      <c r="O338" s="60">
        <v>6.39</v>
      </c>
      <c r="P338" s="60">
        <v>8.32</v>
      </c>
      <c r="Q338" s="60">
        <v>0</v>
      </c>
      <c r="R338" s="60">
        <v>0</v>
      </c>
      <c r="S338" s="60">
        <v>0</v>
      </c>
      <c r="T338" s="60">
        <v>0</v>
      </c>
      <c r="U338" s="60">
        <v>0</v>
      </c>
      <c r="V338" s="60">
        <v>0</v>
      </c>
      <c r="W338" s="60">
        <v>0</v>
      </c>
      <c r="X338" s="60">
        <v>0</v>
      </c>
      <c r="Y338" s="60">
        <v>0</v>
      </c>
      <c r="Z338" s="60">
        <v>0</v>
      </c>
      <c r="AA338" s="60">
        <v>0</v>
      </c>
      <c r="AB338" s="60">
        <v>0</v>
      </c>
      <c r="AC338" s="60">
        <v>154.04</v>
      </c>
      <c r="AD338" s="60">
        <v>176.74</v>
      </c>
      <c r="AE338" s="60">
        <v>219.48</v>
      </c>
      <c r="AF338" s="60">
        <v>0</v>
      </c>
      <c r="AG338" s="60">
        <v>0</v>
      </c>
      <c r="AH338" s="60">
        <v>0</v>
      </c>
      <c r="AI338" s="60">
        <v>204.24</v>
      </c>
      <c r="AJ338" s="60">
        <v>219.52</v>
      </c>
      <c r="AK338" s="60">
        <v>270.04000000000002</v>
      </c>
      <c r="AL338" s="60">
        <v>0</v>
      </c>
      <c r="AM338" s="60">
        <v>0</v>
      </c>
      <c r="AN338" s="60">
        <v>0</v>
      </c>
      <c r="AO338" s="60">
        <v>204.24</v>
      </c>
      <c r="AP338" s="60">
        <v>219.52</v>
      </c>
      <c r="AQ338" s="60">
        <v>270.04000000000002</v>
      </c>
      <c r="AR338" s="61">
        <v>270.04000000000002</v>
      </c>
    </row>
    <row r="339" spans="1:44" x14ac:dyDescent="0.35">
      <c r="A339" s="49" t="str">
        <f t="shared" si="26"/>
        <v>49</v>
      </c>
      <c r="B339" s="27">
        <v>70698</v>
      </c>
      <c r="C339" s="25" t="str">
        <f t="shared" si="27"/>
        <v>0000000</v>
      </c>
      <c r="D339" s="26" t="s">
        <v>3663</v>
      </c>
      <c r="E339" s="25" t="s">
        <v>3069</v>
      </c>
      <c r="F339" s="25" t="s">
        <v>3052</v>
      </c>
      <c r="G339" s="59" t="s">
        <v>3070</v>
      </c>
      <c r="H339" s="60">
        <v>8.9600000000000009</v>
      </c>
      <c r="I339" s="60">
        <v>9.86</v>
      </c>
      <c r="J339" s="60">
        <v>14.18</v>
      </c>
      <c r="K339" s="60">
        <v>0</v>
      </c>
      <c r="L339" s="60">
        <v>0</v>
      </c>
      <c r="M339" s="60">
        <v>0</v>
      </c>
      <c r="N339" s="60">
        <v>0</v>
      </c>
      <c r="O339" s="60">
        <v>0</v>
      </c>
      <c r="P339" s="60">
        <v>0</v>
      </c>
      <c r="Q339" s="60">
        <v>0</v>
      </c>
      <c r="R339" s="60">
        <v>0</v>
      </c>
      <c r="S339" s="60">
        <v>0</v>
      </c>
      <c r="T339" s="60">
        <v>0</v>
      </c>
      <c r="U339" s="60">
        <v>0</v>
      </c>
      <c r="V339" s="60">
        <v>0</v>
      </c>
      <c r="W339" s="60">
        <v>0</v>
      </c>
      <c r="X339" s="60">
        <v>0</v>
      </c>
      <c r="Y339" s="60">
        <v>0</v>
      </c>
      <c r="Z339" s="60">
        <v>0</v>
      </c>
      <c r="AA339" s="60">
        <v>0</v>
      </c>
      <c r="AB339" s="60">
        <v>0</v>
      </c>
      <c r="AC339" s="60">
        <v>0</v>
      </c>
      <c r="AD339" s="60">
        <v>0</v>
      </c>
      <c r="AE339" s="60">
        <v>0</v>
      </c>
      <c r="AF339" s="60">
        <v>0</v>
      </c>
      <c r="AG339" s="60">
        <v>0</v>
      </c>
      <c r="AH339" s="60">
        <v>0</v>
      </c>
      <c r="AI339" s="60">
        <v>8.9600000000000009</v>
      </c>
      <c r="AJ339" s="60">
        <v>9.86</v>
      </c>
      <c r="AK339" s="60">
        <v>14.18</v>
      </c>
      <c r="AL339" s="60">
        <v>0</v>
      </c>
      <c r="AM339" s="60">
        <v>0</v>
      </c>
      <c r="AN339" s="60">
        <v>0</v>
      </c>
      <c r="AO339" s="60">
        <v>8.9600000000000009</v>
      </c>
      <c r="AP339" s="60">
        <v>9.86</v>
      </c>
      <c r="AQ339" s="60">
        <v>14.18</v>
      </c>
      <c r="AR339" s="61">
        <v>14.18</v>
      </c>
    </row>
    <row r="340" spans="1:44" x14ac:dyDescent="0.35">
      <c r="A340" s="49" t="str">
        <f t="shared" si="26"/>
        <v>49</v>
      </c>
      <c r="B340" s="27">
        <v>70706</v>
      </c>
      <c r="C340" s="25" t="str">
        <f t="shared" si="27"/>
        <v>0000000</v>
      </c>
      <c r="D340" s="26" t="s">
        <v>3663</v>
      </c>
      <c r="E340" s="25" t="s">
        <v>3071</v>
      </c>
      <c r="F340" s="25" t="s">
        <v>3052</v>
      </c>
      <c r="G340" s="59" t="s">
        <v>3072</v>
      </c>
      <c r="H340" s="60">
        <v>112.08</v>
      </c>
      <c r="I340" s="60">
        <v>108.21</v>
      </c>
      <c r="J340" s="60">
        <v>131.28</v>
      </c>
      <c r="K340" s="60">
        <v>0</v>
      </c>
      <c r="L340" s="60">
        <v>0</v>
      </c>
      <c r="M340" s="60">
        <v>0</v>
      </c>
      <c r="N340" s="60">
        <v>73.7</v>
      </c>
      <c r="O340" s="60">
        <v>69.87</v>
      </c>
      <c r="P340" s="60">
        <v>79.2</v>
      </c>
      <c r="Q340" s="60">
        <v>0</v>
      </c>
      <c r="R340" s="60">
        <v>0</v>
      </c>
      <c r="S340" s="60">
        <v>0</v>
      </c>
      <c r="T340" s="60">
        <v>0</v>
      </c>
      <c r="U340" s="60">
        <v>0</v>
      </c>
      <c r="V340" s="60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v>0</v>
      </c>
      <c r="AD340" s="60">
        <v>0</v>
      </c>
      <c r="AE340" s="60">
        <v>0</v>
      </c>
      <c r="AF340" s="60">
        <v>0</v>
      </c>
      <c r="AG340" s="60">
        <v>0</v>
      </c>
      <c r="AH340" s="60">
        <v>0</v>
      </c>
      <c r="AI340" s="60">
        <v>185.78</v>
      </c>
      <c r="AJ340" s="60">
        <v>178.08</v>
      </c>
      <c r="AK340" s="60">
        <v>210.48</v>
      </c>
      <c r="AL340" s="60">
        <v>0</v>
      </c>
      <c r="AM340" s="60">
        <v>0</v>
      </c>
      <c r="AN340" s="60">
        <v>0</v>
      </c>
      <c r="AO340" s="60">
        <v>185.78</v>
      </c>
      <c r="AP340" s="60">
        <v>178.08</v>
      </c>
      <c r="AQ340" s="60">
        <v>210.48</v>
      </c>
      <c r="AR340" s="61">
        <v>210.48</v>
      </c>
    </row>
    <row r="341" spans="1:44" x14ac:dyDescent="0.35">
      <c r="A341" s="49" t="str">
        <f t="shared" si="26"/>
        <v>49</v>
      </c>
      <c r="B341" s="27">
        <v>70714</v>
      </c>
      <c r="C341" s="25" t="str">
        <f t="shared" si="27"/>
        <v>0000000</v>
      </c>
      <c r="D341" s="26" t="s">
        <v>3663</v>
      </c>
      <c r="E341" s="25" t="s">
        <v>3073</v>
      </c>
      <c r="F341" s="25" t="s">
        <v>3052</v>
      </c>
      <c r="G341" s="59" t="s">
        <v>3074</v>
      </c>
      <c r="H341" s="60">
        <v>39.270000000000003</v>
      </c>
      <c r="I341" s="60">
        <v>34.770000000000003</v>
      </c>
      <c r="J341" s="60">
        <v>40.1</v>
      </c>
      <c r="K341" s="60">
        <v>0</v>
      </c>
      <c r="L341" s="60">
        <v>0</v>
      </c>
      <c r="M341" s="60">
        <v>0</v>
      </c>
      <c r="N341" s="60">
        <v>0</v>
      </c>
      <c r="O341" s="60">
        <v>0</v>
      </c>
      <c r="P341" s="60">
        <v>0</v>
      </c>
      <c r="Q341" s="60">
        <v>0</v>
      </c>
      <c r="R341" s="60">
        <v>0</v>
      </c>
      <c r="S341" s="60">
        <v>0</v>
      </c>
      <c r="T341" s="60">
        <v>0</v>
      </c>
      <c r="U341" s="60">
        <v>0</v>
      </c>
      <c r="V341" s="60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666.37</v>
      </c>
      <c r="AD341" s="60">
        <v>677.11</v>
      </c>
      <c r="AE341" s="60">
        <v>695.83</v>
      </c>
      <c r="AF341" s="60">
        <v>0</v>
      </c>
      <c r="AG341" s="60">
        <v>0</v>
      </c>
      <c r="AH341" s="60">
        <v>0</v>
      </c>
      <c r="AI341" s="60">
        <v>705.64</v>
      </c>
      <c r="AJ341" s="60">
        <v>711.88</v>
      </c>
      <c r="AK341" s="60">
        <v>735.93</v>
      </c>
      <c r="AL341" s="60">
        <v>0</v>
      </c>
      <c r="AM341" s="60">
        <v>0</v>
      </c>
      <c r="AN341" s="60">
        <v>0</v>
      </c>
      <c r="AO341" s="60">
        <v>705.64</v>
      </c>
      <c r="AP341" s="60">
        <v>711.88</v>
      </c>
      <c r="AQ341" s="60">
        <v>735.93</v>
      </c>
      <c r="AR341" s="61">
        <v>735.93</v>
      </c>
    </row>
    <row r="342" spans="1:44" x14ac:dyDescent="0.35">
      <c r="A342" s="49" t="str">
        <f t="shared" si="26"/>
        <v>49</v>
      </c>
      <c r="B342" s="27">
        <v>70722</v>
      </c>
      <c r="C342" s="25" t="str">
        <f t="shared" si="27"/>
        <v>0000000</v>
      </c>
      <c r="D342" s="26" t="s">
        <v>3663</v>
      </c>
      <c r="E342" s="25" t="s">
        <v>3075</v>
      </c>
      <c r="F342" s="25" t="s">
        <v>3052</v>
      </c>
      <c r="G342" s="59" t="s">
        <v>3076</v>
      </c>
      <c r="H342" s="60">
        <v>10.98</v>
      </c>
      <c r="I342" s="60">
        <v>18.36</v>
      </c>
      <c r="J342" s="60">
        <v>23.07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  <c r="P342" s="60">
        <v>0</v>
      </c>
      <c r="Q342" s="60">
        <v>0</v>
      </c>
      <c r="R342" s="60">
        <v>0</v>
      </c>
      <c r="S342" s="60">
        <v>0</v>
      </c>
      <c r="T342" s="60">
        <v>0</v>
      </c>
      <c r="U342" s="60">
        <v>0</v>
      </c>
      <c r="V342" s="60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190.38</v>
      </c>
      <c r="AD342" s="60">
        <v>177.93</v>
      </c>
      <c r="AE342" s="60">
        <v>237.92</v>
      </c>
      <c r="AF342" s="60">
        <v>0</v>
      </c>
      <c r="AG342" s="60">
        <v>0</v>
      </c>
      <c r="AH342" s="60">
        <v>0</v>
      </c>
      <c r="AI342" s="60">
        <v>201.36</v>
      </c>
      <c r="AJ342" s="60">
        <v>196.29</v>
      </c>
      <c r="AK342" s="60">
        <v>260.99</v>
      </c>
      <c r="AL342" s="60">
        <v>0</v>
      </c>
      <c r="AM342" s="60">
        <v>0</v>
      </c>
      <c r="AN342" s="60">
        <v>0</v>
      </c>
      <c r="AO342" s="60">
        <v>201.36</v>
      </c>
      <c r="AP342" s="60">
        <v>196.29</v>
      </c>
      <c r="AQ342" s="60">
        <v>260.99</v>
      </c>
      <c r="AR342" s="61">
        <v>260.99</v>
      </c>
    </row>
    <row r="343" spans="1:44" x14ac:dyDescent="0.35">
      <c r="A343" s="49" t="str">
        <f t="shared" si="26"/>
        <v>49</v>
      </c>
      <c r="B343" s="27">
        <v>70730</v>
      </c>
      <c r="C343" s="25" t="str">
        <f t="shared" si="27"/>
        <v>0000000</v>
      </c>
      <c r="D343" s="26" t="s">
        <v>3663</v>
      </c>
      <c r="E343" s="25" t="s">
        <v>3079</v>
      </c>
      <c r="F343" s="25" t="s">
        <v>3052</v>
      </c>
      <c r="G343" s="59" t="s">
        <v>3080</v>
      </c>
      <c r="H343" s="60">
        <v>39.9</v>
      </c>
      <c r="I343" s="60">
        <v>40.840000000000003</v>
      </c>
      <c r="J343" s="60">
        <v>57.57</v>
      </c>
      <c r="K343" s="60">
        <v>0</v>
      </c>
      <c r="L343" s="60">
        <v>0</v>
      </c>
      <c r="M343" s="60">
        <v>0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134.44</v>
      </c>
      <c r="AD343" s="60">
        <v>479.88</v>
      </c>
      <c r="AE343" s="60">
        <v>551.6</v>
      </c>
      <c r="AF343" s="60">
        <v>0</v>
      </c>
      <c r="AG343" s="60">
        <v>0</v>
      </c>
      <c r="AH343" s="60">
        <v>0</v>
      </c>
      <c r="AI343" s="60">
        <v>174.34</v>
      </c>
      <c r="AJ343" s="60">
        <v>520.72</v>
      </c>
      <c r="AK343" s="60">
        <v>609.16999999999996</v>
      </c>
      <c r="AL343" s="60">
        <v>0</v>
      </c>
      <c r="AM343" s="60">
        <v>-353.49</v>
      </c>
      <c r="AN343" s="60">
        <v>-394.47</v>
      </c>
      <c r="AO343" s="60">
        <v>174.34</v>
      </c>
      <c r="AP343" s="60">
        <v>167.23</v>
      </c>
      <c r="AQ343" s="60">
        <v>214.7</v>
      </c>
      <c r="AR343" s="61">
        <v>214.7</v>
      </c>
    </row>
    <row r="344" spans="1:44" x14ac:dyDescent="0.35">
      <c r="A344" s="49" t="str">
        <f t="shared" si="26"/>
        <v>49</v>
      </c>
      <c r="B344" s="27">
        <v>70763</v>
      </c>
      <c r="C344" s="25" t="str">
        <f t="shared" si="27"/>
        <v>0000000</v>
      </c>
      <c r="D344" s="26" t="s">
        <v>3663</v>
      </c>
      <c r="E344" s="25" t="s">
        <v>3084</v>
      </c>
      <c r="F344" s="25" t="s">
        <v>3052</v>
      </c>
      <c r="G344" s="59" t="s">
        <v>3085</v>
      </c>
      <c r="H344" s="60">
        <v>52.57</v>
      </c>
      <c r="I344" s="60">
        <v>50</v>
      </c>
      <c r="J344" s="60">
        <v>56.38</v>
      </c>
      <c r="K344" s="60">
        <v>0</v>
      </c>
      <c r="L344" s="60">
        <v>0</v>
      </c>
      <c r="M344" s="60">
        <v>0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0">
        <v>0</v>
      </c>
      <c r="AE344" s="60">
        <v>0</v>
      </c>
      <c r="AF344" s="60">
        <v>0</v>
      </c>
      <c r="AG344" s="60">
        <v>0</v>
      </c>
      <c r="AH344" s="60">
        <v>0</v>
      </c>
      <c r="AI344" s="60">
        <v>52.57</v>
      </c>
      <c r="AJ344" s="60">
        <v>50</v>
      </c>
      <c r="AK344" s="60">
        <v>56.38</v>
      </c>
      <c r="AL344" s="60">
        <v>0</v>
      </c>
      <c r="AM344" s="60">
        <v>0</v>
      </c>
      <c r="AN344" s="60">
        <v>0</v>
      </c>
      <c r="AO344" s="60">
        <v>52.57</v>
      </c>
      <c r="AP344" s="60">
        <v>50</v>
      </c>
      <c r="AQ344" s="60">
        <v>56.38</v>
      </c>
      <c r="AR344" s="61">
        <v>56.38</v>
      </c>
    </row>
    <row r="345" spans="1:44" x14ac:dyDescent="0.35">
      <c r="A345" s="49" t="str">
        <f t="shared" si="26"/>
        <v>49</v>
      </c>
      <c r="B345" s="27">
        <v>70789</v>
      </c>
      <c r="C345" s="25" t="str">
        <f t="shared" si="27"/>
        <v>0000000</v>
      </c>
      <c r="D345" s="26" t="s">
        <v>3663</v>
      </c>
      <c r="E345" s="25" t="s">
        <v>3086</v>
      </c>
      <c r="F345" s="25" t="s">
        <v>3052</v>
      </c>
      <c r="G345" s="59" t="s">
        <v>3087</v>
      </c>
      <c r="H345" s="60">
        <v>56.54</v>
      </c>
      <c r="I345" s="60">
        <v>54.2</v>
      </c>
      <c r="J345" s="60">
        <v>51</v>
      </c>
      <c r="K345" s="60">
        <v>0</v>
      </c>
      <c r="L345" s="60">
        <v>0</v>
      </c>
      <c r="M345" s="60">
        <v>0</v>
      </c>
      <c r="N345" s="60">
        <v>48.61</v>
      </c>
      <c r="O345" s="60">
        <v>50.89</v>
      </c>
      <c r="P345" s="60">
        <v>84.58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0">
        <v>0</v>
      </c>
      <c r="AE345" s="60">
        <v>0</v>
      </c>
      <c r="AF345" s="60">
        <v>0</v>
      </c>
      <c r="AG345" s="60">
        <v>0</v>
      </c>
      <c r="AH345" s="60">
        <v>0</v>
      </c>
      <c r="AI345" s="60">
        <v>105.15</v>
      </c>
      <c r="AJ345" s="60">
        <v>105.09</v>
      </c>
      <c r="AK345" s="60">
        <v>135.58000000000001</v>
      </c>
      <c r="AL345" s="60">
        <v>0</v>
      </c>
      <c r="AM345" s="60">
        <v>0</v>
      </c>
      <c r="AN345" s="60">
        <v>0</v>
      </c>
      <c r="AO345" s="60">
        <v>105.15</v>
      </c>
      <c r="AP345" s="60">
        <v>105.09</v>
      </c>
      <c r="AQ345" s="60">
        <v>135.58000000000001</v>
      </c>
      <c r="AR345" s="61">
        <v>135.58000000000001</v>
      </c>
    </row>
    <row r="346" spans="1:44" x14ac:dyDescent="0.35">
      <c r="A346" s="49" t="str">
        <f t="shared" si="26"/>
        <v>49</v>
      </c>
      <c r="B346" s="27">
        <v>70797</v>
      </c>
      <c r="C346" s="25" t="str">
        <f t="shared" si="27"/>
        <v>0000000</v>
      </c>
      <c r="D346" s="26" t="s">
        <v>3663</v>
      </c>
      <c r="E346" s="25" t="s">
        <v>3088</v>
      </c>
      <c r="F346" s="25" t="s">
        <v>3052</v>
      </c>
      <c r="G346" s="59" t="s">
        <v>3089</v>
      </c>
      <c r="H346" s="60">
        <v>49.83</v>
      </c>
      <c r="I346" s="60">
        <v>45.69</v>
      </c>
      <c r="J346" s="60">
        <v>42.84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v>155.58000000000001</v>
      </c>
      <c r="AD346" s="60">
        <v>953.58</v>
      </c>
      <c r="AE346" s="60">
        <v>787.78</v>
      </c>
      <c r="AF346" s="60">
        <v>0</v>
      </c>
      <c r="AG346" s="60">
        <v>0</v>
      </c>
      <c r="AH346" s="60">
        <v>0</v>
      </c>
      <c r="AI346" s="60">
        <v>205.41</v>
      </c>
      <c r="AJ346" s="60">
        <v>999.27</v>
      </c>
      <c r="AK346" s="60">
        <v>830.62</v>
      </c>
      <c r="AL346" s="60">
        <v>0</v>
      </c>
      <c r="AM346" s="60">
        <v>-796.76</v>
      </c>
      <c r="AN346" s="60">
        <v>-594.77</v>
      </c>
      <c r="AO346" s="60">
        <v>205.41</v>
      </c>
      <c r="AP346" s="60">
        <v>202.51</v>
      </c>
      <c r="AQ346" s="60">
        <v>235.85</v>
      </c>
      <c r="AR346" s="61">
        <v>235.85</v>
      </c>
    </row>
    <row r="347" spans="1:44" x14ac:dyDescent="0.35">
      <c r="A347" s="49" t="str">
        <f t="shared" si="26"/>
        <v>49</v>
      </c>
      <c r="B347" s="27">
        <v>70805</v>
      </c>
      <c r="C347" s="25" t="str">
        <f t="shared" si="27"/>
        <v>0000000</v>
      </c>
      <c r="D347" s="26" t="s">
        <v>3663</v>
      </c>
      <c r="E347" s="25" t="s">
        <v>3095</v>
      </c>
      <c r="F347" s="25" t="s">
        <v>3052</v>
      </c>
      <c r="G347" s="59" t="s">
        <v>3096</v>
      </c>
      <c r="H347" s="60">
        <v>369.26</v>
      </c>
      <c r="I347" s="60">
        <v>362.89</v>
      </c>
      <c r="J347" s="60">
        <v>420.47</v>
      </c>
      <c r="K347" s="60">
        <v>0</v>
      </c>
      <c r="L347" s="60">
        <v>0</v>
      </c>
      <c r="M347" s="60">
        <v>0</v>
      </c>
      <c r="N347" s="60">
        <v>0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844.88</v>
      </c>
      <c r="AD347" s="60">
        <v>835.88</v>
      </c>
      <c r="AE347" s="60">
        <v>941.99</v>
      </c>
      <c r="AF347" s="60">
        <v>0</v>
      </c>
      <c r="AG347" s="60">
        <v>0</v>
      </c>
      <c r="AH347" s="60">
        <v>0</v>
      </c>
      <c r="AI347" s="60">
        <v>1214.1400000000001</v>
      </c>
      <c r="AJ347" s="60">
        <v>1198.77</v>
      </c>
      <c r="AK347" s="60">
        <v>1362.46</v>
      </c>
      <c r="AL347" s="60">
        <v>0</v>
      </c>
      <c r="AM347" s="60">
        <v>0</v>
      </c>
      <c r="AN347" s="60">
        <v>0</v>
      </c>
      <c r="AO347" s="60">
        <v>1214.1400000000001</v>
      </c>
      <c r="AP347" s="60">
        <v>1198.77</v>
      </c>
      <c r="AQ347" s="60">
        <v>1362.46</v>
      </c>
      <c r="AR347" s="61">
        <v>1362.46</v>
      </c>
    </row>
    <row r="348" spans="1:44" x14ac:dyDescent="0.35">
      <c r="A348" s="49" t="str">
        <f t="shared" si="26"/>
        <v>49</v>
      </c>
      <c r="B348" s="27">
        <v>70813</v>
      </c>
      <c r="C348" s="25" t="str">
        <f t="shared" si="27"/>
        <v>0000000</v>
      </c>
      <c r="D348" s="26" t="s">
        <v>3663</v>
      </c>
      <c r="E348" s="25" t="s">
        <v>3097</v>
      </c>
      <c r="F348" s="25" t="s">
        <v>3052</v>
      </c>
      <c r="G348" s="59" t="s">
        <v>3098</v>
      </c>
      <c r="H348" s="60">
        <v>51.15</v>
      </c>
      <c r="I348" s="60">
        <v>59</v>
      </c>
      <c r="J348" s="60">
        <v>72.84</v>
      </c>
      <c r="K348" s="60">
        <v>0</v>
      </c>
      <c r="L348" s="60">
        <v>0</v>
      </c>
      <c r="M348" s="60">
        <v>0</v>
      </c>
      <c r="N348" s="60">
        <v>0</v>
      </c>
      <c r="O348" s="60">
        <v>0</v>
      </c>
      <c r="P348" s="60">
        <v>0</v>
      </c>
      <c r="Q348" s="60">
        <v>0</v>
      </c>
      <c r="R348" s="60">
        <v>0</v>
      </c>
      <c r="S348" s="60">
        <v>0</v>
      </c>
      <c r="T348" s="60">
        <v>0</v>
      </c>
      <c r="U348" s="60">
        <v>0</v>
      </c>
      <c r="V348" s="60">
        <v>0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0">
        <v>0</v>
      </c>
      <c r="AD348" s="60">
        <v>0</v>
      </c>
      <c r="AE348" s="60">
        <v>0</v>
      </c>
      <c r="AF348" s="60">
        <v>0</v>
      </c>
      <c r="AG348" s="60">
        <v>0</v>
      </c>
      <c r="AH348" s="60">
        <v>0</v>
      </c>
      <c r="AI348" s="60">
        <v>51.15</v>
      </c>
      <c r="AJ348" s="60">
        <v>59</v>
      </c>
      <c r="AK348" s="60">
        <v>72.84</v>
      </c>
      <c r="AL348" s="60">
        <v>0</v>
      </c>
      <c r="AM348" s="60">
        <v>0</v>
      </c>
      <c r="AN348" s="60">
        <v>0</v>
      </c>
      <c r="AO348" s="60">
        <v>51.15</v>
      </c>
      <c r="AP348" s="60">
        <v>59</v>
      </c>
      <c r="AQ348" s="60">
        <v>72.84</v>
      </c>
      <c r="AR348" s="61">
        <v>72.84</v>
      </c>
    </row>
    <row r="349" spans="1:44" x14ac:dyDescent="0.35">
      <c r="A349" s="49" t="str">
        <f t="shared" si="26"/>
        <v>49</v>
      </c>
      <c r="B349" s="27">
        <v>70821</v>
      </c>
      <c r="C349" s="25" t="str">
        <f t="shared" si="27"/>
        <v>0000000</v>
      </c>
      <c r="D349" s="26" t="s">
        <v>3663</v>
      </c>
      <c r="E349" s="25" t="s">
        <v>3099</v>
      </c>
      <c r="F349" s="25" t="s">
        <v>3052</v>
      </c>
      <c r="G349" s="59" t="s">
        <v>3100</v>
      </c>
      <c r="H349" s="60">
        <v>17.36</v>
      </c>
      <c r="I349" s="60">
        <v>16.100000000000001</v>
      </c>
      <c r="J349" s="60">
        <v>20.54</v>
      </c>
      <c r="K349" s="60">
        <v>0</v>
      </c>
      <c r="L349" s="60">
        <v>0</v>
      </c>
      <c r="M349" s="60">
        <v>0</v>
      </c>
      <c r="N349" s="60">
        <v>0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0">
        <v>0</v>
      </c>
      <c r="AE349" s="60">
        <v>0</v>
      </c>
      <c r="AF349" s="60">
        <v>0</v>
      </c>
      <c r="AG349" s="60">
        <v>0</v>
      </c>
      <c r="AH349" s="60">
        <v>0</v>
      </c>
      <c r="AI349" s="60">
        <v>17.36</v>
      </c>
      <c r="AJ349" s="60">
        <v>16.100000000000001</v>
      </c>
      <c r="AK349" s="60">
        <v>20.54</v>
      </c>
      <c r="AL349" s="60">
        <v>0</v>
      </c>
      <c r="AM349" s="60">
        <v>0</v>
      </c>
      <c r="AN349" s="60">
        <v>0</v>
      </c>
      <c r="AO349" s="60">
        <v>17.36</v>
      </c>
      <c r="AP349" s="60">
        <v>16.100000000000001</v>
      </c>
      <c r="AQ349" s="60">
        <v>20.54</v>
      </c>
      <c r="AR349" s="61">
        <v>20.54</v>
      </c>
    </row>
    <row r="350" spans="1:44" x14ac:dyDescent="0.35">
      <c r="A350" s="49" t="str">
        <f t="shared" si="26"/>
        <v>49</v>
      </c>
      <c r="B350" s="27">
        <v>70839</v>
      </c>
      <c r="C350" s="25" t="str">
        <f t="shared" si="27"/>
        <v>0000000</v>
      </c>
      <c r="D350" s="26" t="s">
        <v>3663</v>
      </c>
      <c r="E350" s="25" t="s">
        <v>3101</v>
      </c>
      <c r="F350" s="25" t="s">
        <v>3052</v>
      </c>
      <c r="G350" s="59" t="s">
        <v>3102</v>
      </c>
      <c r="H350" s="60">
        <v>70.239999999999995</v>
      </c>
      <c r="I350" s="60">
        <v>65.14</v>
      </c>
      <c r="J350" s="60">
        <v>82.69</v>
      </c>
      <c r="K350" s="60">
        <v>0</v>
      </c>
      <c r="L350" s="60">
        <v>0</v>
      </c>
      <c r="M350" s="60">
        <v>0</v>
      </c>
      <c r="N350" s="60">
        <v>0</v>
      </c>
      <c r="O350" s="60">
        <v>0</v>
      </c>
      <c r="P350" s="60">
        <v>0</v>
      </c>
      <c r="Q350" s="60">
        <v>0</v>
      </c>
      <c r="R350" s="60">
        <v>0</v>
      </c>
      <c r="S350" s="60">
        <v>0</v>
      </c>
      <c r="T350" s="60">
        <v>0</v>
      </c>
      <c r="U350" s="60">
        <v>0</v>
      </c>
      <c r="V350" s="60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0</v>
      </c>
      <c r="AC350" s="60">
        <v>690.06</v>
      </c>
      <c r="AD350" s="60">
        <v>693.66</v>
      </c>
      <c r="AE350" s="60">
        <v>756.55</v>
      </c>
      <c r="AF350" s="60">
        <v>0</v>
      </c>
      <c r="AG350" s="60">
        <v>0</v>
      </c>
      <c r="AH350" s="60">
        <v>0</v>
      </c>
      <c r="AI350" s="60">
        <v>760.3</v>
      </c>
      <c r="AJ350" s="60">
        <v>758.8</v>
      </c>
      <c r="AK350" s="60">
        <v>839.24</v>
      </c>
      <c r="AL350" s="60">
        <v>0</v>
      </c>
      <c r="AM350" s="60">
        <v>0</v>
      </c>
      <c r="AN350" s="60">
        <v>0</v>
      </c>
      <c r="AO350" s="60">
        <v>760.3</v>
      </c>
      <c r="AP350" s="60">
        <v>758.8</v>
      </c>
      <c r="AQ350" s="60">
        <v>839.24</v>
      </c>
      <c r="AR350" s="61">
        <v>839.24</v>
      </c>
    </row>
    <row r="351" spans="1:44" x14ac:dyDescent="0.35">
      <c r="A351" s="49" t="str">
        <f t="shared" si="26"/>
        <v>49</v>
      </c>
      <c r="B351" s="27">
        <v>70847</v>
      </c>
      <c r="C351" s="25" t="str">
        <f t="shared" si="27"/>
        <v>0000000</v>
      </c>
      <c r="D351" s="26" t="s">
        <v>3663</v>
      </c>
      <c r="E351" s="25" t="s">
        <v>3105</v>
      </c>
      <c r="F351" s="25" t="s">
        <v>3052</v>
      </c>
      <c r="G351" s="59" t="s">
        <v>3106</v>
      </c>
      <c r="H351" s="60">
        <v>301.49</v>
      </c>
      <c r="I351" s="60">
        <v>286.39999999999998</v>
      </c>
      <c r="J351" s="60">
        <v>308.08999999999997</v>
      </c>
      <c r="K351" s="60">
        <v>0</v>
      </c>
      <c r="L351" s="60">
        <v>0</v>
      </c>
      <c r="M351" s="60">
        <v>0</v>
      </c>
      <c r="N351" s="60">
        <v>0</v>
      </c>
      <c r="O351" s="60">
        <v>0</v>
      </c>
      <c r="P351" s="60">
        <v>0</v>
      </c>
      <c r="Q351" s="60">
        <v>0</v>
      </c>
      <c r="R351" s="60">
        <v>0</v>
      </c>
      <c r="S351" s="60">
        <v>0</v>
      </c>
      <c r="T351" s="60">
        <v>0</v>
      </c>
      <c r="U351" s="60">
        <v>0</v>
      </c>
      <c r="V351" s="60">
        <v>0</v>
      </c>
      <c r="W351" s="60">
        <v>0</v>
      </c>
      <c r="X351" s="60">
        <v>0</v>
      </c>
      <c r="Y351" s="60">
        <v>0</v>
      </c>
      <c r="Z351" s="60">
        <v>0</v>
      </c>
      <c r="AA351" s="60">
        <v>0</v>
      </c>
      <c r="AB351" s="60">
        <v>0</v>
      </c>
      <c r="AC351" s="60">
        <v>1373.26</v>
      </c>
      <c r="AD351" s="60">
        <v>1369.66</v>
      </c>
      <c r="AE351" s="60">
        <v>1524.38</v>
      </c>
      <c r="AF351" s="60">
        <v>0</v>
      </c>
      <c r="AG351" s="60">
        <v>0</v>
      </c>
      <c r="AH351" s="60">
        <v>0</v>
      </c>
      <c r="AI351" s="60">
        <v>1674.75</v>
      </c>
      <c r="AJ351" s="60">
        <v>1656.06</v>
      </c>
      <c r="AK351" s="60">
        <v>1832.47</v>
      </c>
      <c r="AL351" s="60">
        <v>0</v>
      </c>
      <c r="AM351" s="60">
        <v>0</v>
      </c>
      <c r="AN351" s="60">
        <v>0</v>
      </c>
      <c r="AO351" s="60">
        <v>1674.75</v>
      </c>
      <c r="AP351" s="60">
        <v>1656.06</v>
      </c>
      <c r="AQ351" s="60">
        <v>1832.47</v>
      </c>
      <c r="AR351" s="61">
        <v>1832.47</v>
      </c>
    </row>
    <row r="352" spans="1:44" x14ac:dyDescent="0.35">
      <c r="A352" s="49" t="str">
        <f t="shared" si="26"/>
        <v>49</v>
      </c>
      <c r="B352" s="27">
        <v>70854</v>
      </c>
      <c r="C352" s="25" t="str">
        <f t="shared" si="27"/>
        <v>0000000</v>
      </c>
      <c r="D352" s="26" t="s">
        <v>3663</v>
      </c>
      <c r="E352" s="25" t="s">
        <v>3109</v>
      </c>
      <c r="F352" s="25" t="s">
        <v>3052</v>
      </c>
      <c r="G352" s="59" t="s">
        <v>3110</v>
      </c>
      <c r="H352" s="60">
        <v>1455.35</v>
      </c>
      <c r="I352" s="60">
        <v>1428.5</v>
      </c>
      <c r="J352" s="60">
        <v>1620</v>
      </c>
      <c r="K352" s="60">
        <v>0</v>
      </c>
      <c r="L352" s="60">
        <v>0</v>
      </c>
      <c r="M352" s="60">
        <v>0</v>
      </c>
      <c r="N352" s="60">
        <v>0</v>
      </c>
      <c r="O352" s="60">
        <v>0</v>
      </c>
      <c r="P352" s="60">
        <v>0</v>
      </c>
      <c r="Q352" s="60">
        <v>0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675.74</v>
      </c>
      <c r="AD352" s="60">
        <v>689.27</v>
      </c>
      <c r="AE352" s="60">
        <v>697.82</v>
      </c>
      <c r="AF352" s="60">
        <v>0</v>
      </c>
      <c r="AG352" s="60">
        <v>0</v>
      </c>
      <c r="AH352" s="60">
        <v>0</v>
      </c>
      <c r="AI352" s="60">
        <v>2131.09</v>
      </c>
      <c r="AJ352" s="60">
        <v>2117.77</v>
      </c>
      <c r="AK352" s="60">
        <v>2317.8200000000002</v>
      </c>
      <c r="AL352" s="60">
        <v>0</v>
      </c>
      <c r="AM352" s="60">
        <v>0</v>
      </c>
      <c r="AN352" s="60">
        <v>0</v>
      </c>
      <c r="AO352" s="60">
        <v>2131.09</v>
      </c>
      <c r="AP352" s="60">
        <v>2117.77</v>
      </c>
      <c r="AQ352" s="60">
        <v>2317.8200000000002</v>
      </c>
      <c r="AR352" s="61">
        <v>2317.8200000000002</v>
      </c>
    </row>
    <row r="353" spans="1:44" x14ac:dyDescent="0.35">
      <c r="A353" s="49" t="str">
        <f t="shared" si="26"/>
        <v>49</v>
      </c>
      <c r="B353" s="27">
        <v>70862</v>
      </c>
      <c r="C353" s="25" t="str">
        <f t="shared" si="27"/>
        <v>0000000</v>
      </c>
      <c r="D353" s="26" t="s">
        <v>3663</v>
      </c>
      <c r="E353" s="25" t="s">
        <v>3111</v>
      </c>
      <c r="F353" s="25" t="s">
        <v>3052</v>
      </c>
      <c r="G353" s="59" t="s">
        <v>3112</v>
      </c>
      <c r="H353" s="60">
        <v>4125.38</v>
      </c>
      <c r="I353" s="60">
        <v>4252.0600000000004</v>
      </c>
      <c r="J353" s="60">
        <v>4597.03</v>
      </c>
      <c r="K353" s="60">
        <v>0</v>
      </c>
      <c r="L353" s="60">
        <v>0</v>
      </c>
      <c r="M353" s="60">
        <v>0</v>
      </c>
      <c r="N353" s="60">
        <v>0</v>
      </c>
      <c r="O353" s="60">
        <v>0</v>
      </c>
      <c r="P353" s="60">
        <v>0</v>
      </c>
      <c r="Q353" s="60">
        <v>0</v>
      </c>
      <c r="R353" s="60">
        <v>0</v>
      </c>
      <c r="S353" s="60">
        <v>0</v>
      </c>
      <c r="T353" s="60">
        <v>0</v>
      </c>
      <c r="U353" s="60">
        <v>0</v>
      </c>
      <c r="V353" s="60">
        <v>0</v>
      </c>
      <c r="W353" s="60">
        <v>0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536.80999999999995</v>
      </c>
      <c r="AD353" s="60">
        <v>500.97</v>
      </c>
      <c r="AE353" s="60">
        <v>502.18</v>
      </c>
      <c r="AF353" s="60">
        <v>0</v>
      </c>
      <c r="AG353" s="60">
        <v>0</v>
      </c>
      <c r="AH353" s="60">
        <v>0</v>
      </c>
      <c r="AI353" s="60">
        <v>4662.1899999999996</v>
      </c>
      <c r="AJ353" s="60">
        <v>4753.03</v>
      </c>
      <c r="AK353" s="60">
        <v>5099.21</v>
      </c>
      <c r="AL353" s="60">
        <v>0</v>
      </c>
      <c r="AM353" s="60">
        <v>0</v>
      </c>
      <c r="AN353" s="60">
        <v>0</v>
      </c>
      <c r="AO353" s="60">
        <v>4662.1899999999996</v>
      </c>
      <c r="AP353" s="60">
        <v>4753.03</v>
      </c>
      <c r="AQ353" s="60">
        <v>5099.21</v>
      </c>
      <c r="AR353" s="61">
        <v>5099.21</v>
      </c>
    </row>
    <row r="354" spans="1:44" x14ac:dyDescent="0.35">
      <c r="A354" s="49" t="str">
        <f t="shared" si="26"/>
        <v>49</v>
      </c>
      <c r="B354" s="27">
        <v>70870</v>
      </c>
      <c r="C354" s="25" t="str">
        <f t="shared" si="27"/>
        <v>0000000</v>
      </c>
      <c r="D354" s="26" t="s">
        <v>3663</v>
      </c>
      <c r="E354" s="25" t="s">
        <v>3113</v>
      </c>
      <c r="F354" s="25" t="s">
        <v>3052</v>
      </c>
      <c r="G354" s="59" t="s">
        <v>3114</v>
      </c>
      <c r="H354" s="60">
        <v>253.71</v>
      </c>
      <c r="I354" s="60">
        <v>247.37</v>
      </c>
      <c r="J354" s="60">
        <v>267.89999999999998</v>
      </c>
      <c r="K354" s="60">
        <v>0</v>
      </c>
      <c r="L354" s="60">
        <v>0</v>
      </c>
      <c r="M354" s="60">
        <v>0</v>
      </c>
      <c r="N354" s="60">
        <v>0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60">
        <v>0</v>
      </c>
      <c r="U354" s="60">
        <v>0</v>
      </c>
      <c r="V354" s="60">
        <v>0</v>
      </c>
      <c r="W354" s="60">
        <v>0</v>
      </c>
      <c r="X354" s="60">
        <v>0</v>
      </c>
      <c r="Y354" s="60">
        <v>0</v>
      </c>
      <c r="Z354" s="60">
        <v>0</v>
      </c>
      <c r="AA354" s="60">
        <v>0</v>
      </c>
      <c r="AB354" s="60">
        <v>0</v>
      </c>
      <c r="AC354" s="60">
        <v>885.26</v>
      </c>
      <c r="AD354" s="60">
        <v>898.68</v>
      </c>
      <c r="AE354" s="60">
        <v>945.87</v>
      </c>
      <c r="AF354" s="60">
        <v>0</v>
      </c>
      <c r="AG354" s="60">
        <v>0</v>
      </c>
      <c r="AH354" s="60">
        <v>0</v>
      </c>
      <c r="AI354" s="60">
        <v>1138.97</v>
      </c>
      <c r="AJ354" s="60">
        <v>1146.05</v>
      </c>
      <c r="AK354" s="60">
        <v>1213.77</v>
      </c>
      <c r="AL354" s="60">
        <v>0</v>
      </c>
      <c r="AM354" s="60">
        <v>0</v>
      </c>
      <c r="AN354" s="60">
        <v>0</v>
      </c>
      <c r="AO354" s="60">
        <v>1138.97</v>
      </c>
      <c r="AP354" s="60">
        <v>1146.05</v>
      </c>
      <c r="AQ354" s="60">
        <v>1213.77</v>
      </c>
      <c r="AR354" s="61">
        <v>1213.77</v>
      </c>
    </row>
    <row r="355" spans="1:44" x14ac:dyDescent="0.35">
      <c r="A355" s="49" t="str">
        <f t="shared" si="26"/>
        <v>49</v>
      </c>
      <c r="B355" s="27">
        <v>70896</v>
      </c>
      <c r="C355" s="25" t="str">
        <f t="shared" si="27"/>
        <v>0000000</v>
      </c>
      <c r="D355" s="26" t="s">
        <v>3663</v>
      </c>
      <c r="E355" s="25" t="s">
        <v>3117</v>
      </c>
      <c r="F355" s="25" t="s">
        <v>3052</v>
      </c>
      <c r="G355" s="59" t="s">
        <v>3118</v>
      </c>
      <c r="H355" s="60">
        <v>1121.4100000000001</v>
      </c>
      <c r="I355" s="60">
        <v>1142.04</v>
      </c>
      <c r="J355" s="60">
        <v>1290.8699999999999</v>
      </c>
      <c r="K355" s="60">
        <v>0</v>
      </c>
      <c r="L355" s="60">
        <v>0</v>
      </c>
      <c r="M355" s="60">
        <v>0</v>
      </c>
      <c r="N355" s="60">
        <v>0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>
        <v>0</v>
      </c>
      <c r="X355" s="60">
        <v>0</v>
      </c>
      <c r="Y355" s="60">
        <v>0</v>
      </c>
      <c r="Z355" s="60">
        <v>0</v>
      </c>
      <c r="AA355" s="60">
        <v>0</v>
      </c>
      <c r="AB355" s="60">
        <v>0</v>
      </c>
      <c r="AC355" s="60">
        <v>1665.81</v>
      </c>
      <c r="AD355" s="60">
        <v>1653.29</v>
      </c>
      <c r="AE355" s="60">
        <v>1852.98</v>
      </c>
      <c r="AF355" s="60">
        <v>0</v>
      </c>
      <c r="AG355" s="60">
        <v>0</v>
      </c>
      <c r="AH355" s="60">
        <v>0</v>
      </c>
      <c r="AI355" s="60">
        <v>2787.22</v>
      </c>
      <c r="AJ355" s="60">
        <v>2795.33</v>
      </c>
      <c r="AK355" s="60">
        <v>3143.85</v>
      </c>
      <c r="AL355" s="60">
        <v>0</v>
      </c>
      <c r="AM355" s="60">
        <v>0</v>
      </c>
      <c r="AN355" s="60">
        <v>0</v>
      </c>
      <c r="AO355" s="60">
        <v>2787.22</v>
      </c>
      <c r="AP355" s="60">
        <v>2795.33</v>
      </c>
      <c r="AQ355" s="60">
        <v>3143.85</v>
      </c>
      <c r="AR355" s="61">
        <v>3143.85</v>
      </c>
    </row>
    <row r="356" spans="1:44" x14ac:dyDescent="0.35">
      <c r="A356" s="49" t="str">
        <f t="shared" si="26"/>
        <v>49</v>
      </c>
      <c r="B356" s="27">
        <v>70904</v>
      </c>
      <c r="C356" s="25" t="str">
        <f t="shared" si="27"/>
        <v>0000000</v>
      </c>
      <c r="D356" s="26" t="s">
        <v>3663</v>
      </c>
      <c r="E356" s="25" t="s">
        <v>3119</v>
      </c>
      <c r="F356" s="25" t="s">
        <v>3052</v>
      </c>
      <c r="G356" s="59" t="s">
        <v>3120</v>
      </c>
      <c r="H356" s="60">
        <v>1353.79</v>
      </c>
      <c r="I356" s="60">
        <v>1325.5</v>
      </c>
      <c r="J356" s="60">
        <v>1361.75</v>
      </c>
      <c r="K356" s="60">
        <v>0</v>
      </c>
      <c r="L356" s="60">
        <v>0</v>
      </c>
      <c r="M356" s="60">
        <v>0</v>
      </c>
      <c r="N356" s="60">
        <v>0</v>
      </c>
      <c r="O356" s="60">
        <v>0</v>
      </c>
      <c r="P356" s="60">
        <v>0</v>
      </c>
      <c r="Q356" s="60">
        <v>0</v>
      </c>
      <c r="R356" s="60">
        <v>0</v>
      </c>
      <c r="S356" s="60">
        <v>0</v>
      </c>
      <c r="T356" s="60">
        <v>0</v>
      </c>
      <c r="U356" s="60">
        <v>0</v>
      </c>
      <c r="V356" s="60">
        <v>0</v>
      </c>
      <c r="W356" s="60">
        <v>0</v>
      </c>
      <c r="X356" s="60">
        <v>0</v>
      </c>
      <c r="Y356" s="60">
        <v>0</v>
      </c>
      <c r="Z356" s="60">
        <v>0</v>
      </c>
      <c r="AA356" s="60">
        <v>0</v>
      </c>
      <c r="AB356" s="60">
        <v>0</v>
      </c>
      <c r="AC356" s="60">
        <v>1189.6400000000001</v>
      </c>
      <c r="AD356" s="60">
        <v>1257.47</v>
      </c>
      <c r="AE356" s="60">
        <v>1407.14</v>
      </c>
      <c r="AF356" s="60">
        <v>0</v>
      </c>
      <c r="AG356" s="60">
        <v>0</v>
      </c>
      <c r="AH356" s="60">
        <v>0</v>
      </c>
      <c r="AI356" s="60">
        <v>2543.4299999999998</v>
      </c>
      <c r="AJ356" s="60">
        <v>2582.9699999999998</v>
      </c>
      <c r="AK356" s="60">
        <v>2768.89</v>
      </c>
      <c r="AL356" s="60">
        <v>0</v>
      </c>
      <c r="AM356" s="60">
        <v>0</v>
      </c>
      <c r="AN356" s="60">
        <v>0</v>
      </c>
      <c r="AO356" s="60">
        <v>2543.4299999999998</v>
      </c>
      <c r="AP356" s="60">
        <v>2582.9699999999998</v>
      </c>
      <c r="AQ356" s="60">
        <v>2768.89</v>
      </c>
      <c r="AR356" s="61">
        <v>2768.89</v>
      </c>
    </row>
    <row r="357" spans="1:44" x14ac:dyDescent="0.35">
      <c r="A357" s="49" t="str">
        <f t="shared" si="26"/>
        <v>49</v>
      </c>
      <c r="B357" s="27">
        <v>70912</v>
      </c>
      <c r="C357" s="25" t="str">
        <f t="shared" si="27"/>
        <v>0000000</v>
      </c>
      <c r="D357" s="26" t="s">
        <v>3663</v>
      </c>
      <c r="E357" s="25" t="s">
        <v>3121</v>
      </c>
      <c r="F357" s="25" t="s">
        <v>3052</v>
      </c>
      <c r="G357" s="59" t="s">
        <v>3122</v>
      </c>
      <c r="H357" s="60">
        <v>2795.07</v>
      </c>
      <c r="I357" s="60">
        <v>2777.55</v>
      </c>
      <c r="J357" s="60">
        <v>3382.98</v>
      </c>
      <c r="K357" s="60">
        <v>0</v>
      </c>
      <c r="L357" s="60">
        <v>0</v>
      </c>
      <c r="M357" s="60">
        <v>0</v>
      </c>
      <c r="N357" s="60">
        <v>0</v>
      </c>
      <c r="O357" s="60">
        <v>0</v>
      </c>
      <c r="P357" s="60">
        <v>0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0</v>
      </c>
      <c r="W357" s="60">
        <v>0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1629.35</v>
      </c>
      <c r="AD357" s="60">
        <v>1657.47</v>
      </c>
      <c r="AE357" s="60">
        <v>1364.45</v>
      </c>
      <c r="AF357" s="60">
        <v>0</v>
      </c>
      <c r="AG357" s="60">
        <v>0</v>
      </c>
      <c r="AH357" s="60">
        <v>0</v>
      </c>
      <c r="AI357" s="60">
        <v>4424.42</v>
      </c>
      <c r="AJ357" s="60">
        <v>4435.0200000000004</v>
      </c>
      <c r="AK357" s="60">
        <v>4747.43</v>
      </c>
      <c r="AL357" s="60">
        <v>0</v>
      </c>
      <c r="AM357" s="60">
        <v>0</v>
      </c>
      <c r="AN357" s="60">
        <v>0</v>
      </c>
      <c r="AO357" s="60">
        <v>4424.42</v>
      </c>
      <c r="AP357" s="60">
        <v>4435.0200000000004</v>
      </c>
      <c r="AQ357" s="60">
        <v>4747.43</v>
      </c>
      <c r="AR357" s="61">
        <v>4747.43</v>
      </c>
    </row>
    <row r="358" spans="1:44" x14ac:dyDescent="0.35">
      <c r="A358" s="49" t="str">
        <f t="shared" si="26"/>
        <v>49</v>
      </c>
      <c r="B358" s="27">
        <v>70920</v>
      </c>
      <c r="C358" s="25" t="str">
        <f t="shared" si="27"/>
        <v>0000000</v>
      </c>
      <c r="D358" s="26" t="s">
        <v>3663</v>
      </c>
      <c r="E358" s="25" t="s">
        <v>3123</v>
      </c>
      <c r="F358" s="25" t="s">
        <v>3052</v>
      </c>
      <c r="G358" s="59" t="s">
        <v>3124</v>
      </c>
      <c r="H358" s="60">
        <v>8926.5499999999993</v>
      </c>
      <c r="I358" s="60">
        <v>9077.34</v>
      </c>
      <c r="J358" s="60">
        <v>10026.35</v>
      </c>
      <c r="K358" s="60">
        <v>0</v>
      </c>
      <c r="L358" s="60">
        <v>0</v>
      </c>
      <c r="M358" s="60">
        <v>0</v>
      </c>
      <c r="N358" s="60">
        <v>0</v>
      </c>
      <c r="O358" s="60">
        <v>0</v>
      </c>
      <c r="P358" s="60">
        <v>0</v>
      </c>
      <c r="Q358" s="60">
        <v>0</v>
      </c>
      <c r="R358" s="60">
        <v>0</v>
      </c>
      <c r="S358" s="60">
        <v>0</v>
      </c>
      <c r="T358" s="60">
        <v>0</v>
      </c>
      <c r="U358" s="60">
        <v>0</v>
      </c>
      <c r="V358" s="60">
        <v>0</v>
      </c>
      <c r="W358" s="60">
        <v>0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0">
        <v>120.9</v>
      </c>
      <c r="AD358" s="60">
        <v>121.17</v>
      </c>
      <c r="AE358" s="60">
        <v>124.07</v>
      </c>
      <c r="AF358" s="60">
        <v>0</v>
      </c>
      <c r="AG358" s="60">
        <v>0</v>
      </c>
      <c r="AH358" s="60">
        <v>0</v>
      </c>
      <c r="AI358" s="60">
        <v>9047.4500000000007</v>
      </c>
      <c r="AJ358" s="60">
        <v>9198.51</v>
      </c>
      <c r="AK358" s="60">
        <v>10150.42</v>
      </c>
      <c r="AL358" s="60">
        <v>0</v>
      </c>
      <c r="AM358" s="60">
        <v>0</v>
      </c>
      <c r="AN358" s="60">
        <v>0</v>
      </c>
      <c r="AO358" s="60">
        <v>9047.4500000000007</v>
      </c>
      <c r="AP358" s="60">
        <v>9198.51</v>
      </c>
      <c r="AQ358" s="60">
        <v>10150.42</v>
      </c>
      <c r="AR358" s="61">
        <v>10150.42</v>
      </c>
    </row>
    <row r="359" spans="1:44" x14ac:dyDescent="0.35">
      <c r="A359" s="49" t="str">
        <f t="shared" si="26"/>
        <v>49</v>
      </c>
      <c r="B359" s="27">
        <v>70938</v>
      </c>
      <c r="C359" s="25" t="str">
        <f t="shared" si="27"/>
        <v>0000000</v>
      </c>
      <c r="D359" s="26" t="s">
        <v>3663</v>
      </c>
      <c r="E359" s="25" t="s">
        <v>3125</v>
      </c>
      <c r="F359" s="25" t="s">
        <v>3052</v>
      </c>
      <c r="G359" s="59" t="s">
        <v>3126</v>
      </c>
      <c r="H359" s="60">
        <v>395.89</v>
      </c>
      <c r="I359" s="60">
        <v>404.32</v>
      </c>
      <c r="J359" s="60">
        <v>430.99</v>
      </c>
      <c r="K359" s="60">
        <v>0</v>
      </c>
      <c r="L359" s="60">
        <v>0</v>
      </c>
      <c r="M359" s="60">
        <v>0</v>
      </c>
      <c r="N359" s="60">
        <v>0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60">
        <v>0</v>
      </c>
      <c r="U359" s="60">
        <v>0</v>
      </c>
      <c r="V359" s="60">
        <v>0</v>
      </c>
      <c r="W359" s="60">
        <v>0</v>
      </c>
      <c r="X359" s="60">
        <v>0</v>
      </c>
      <c r="Y359" s="60">
        <v>0</v>
      </c>
      <c r="Z359" s="60">
        <v>0</v>
      </c>
      <c r="AA359" s="60">
        <v>0</v>
      </c>
      <c r="AB359" s="60">
        <v>0</v>
      </c>
      <c r="AC359" s="60">
        <v>0</v>
      </c>
      <c r="AD359" s="60">
        <v>247.08</v>
      </c>
      <c r="AE359" s="60">
        <v>282.27999999999997</v>
      </c>
      <c r="AF359" s="60">
        <v>0</v>
      </c>
      <c r="AG359" s="60">
        <v>0</v>
      </c>
      <c r="AH359" s="60">
        <v>0</v>
      </c>
      <c r="AI359" s="60">
        <v>395.89</v>
      </c>
      <c r="AJ359" s="60">
        <v>651.4</v>
      </c>
      <c r="AK359" s="60">
        <v>713.27</v>
      </c>
      <c r="AL359" s="60">
        <v>0</v>
      </c>
      <c r="AM359" s="60">
        <v>-247.08</v>
      </c>
      <c r="AN359" s="60">
        <v>-282.27999999999997</v>
      </c>
      <c r="AO359" s="60">
        <v>395.89</v>
      </c>
      <c r="AP359" s="60">
        <v>404.32</v>
      </c>
      <c r="AQ359" s="60">
        <v>430.99</v>
      </c>
      <c r="AR359" s="61">
        <v>430.99</v>
      </c>
    </row>
    <row r="360" spans="1:44" x14ac:dyDescent="0.35">
      <c r="A360" s="49" t="str">
        <f t="shared" si="26"/>
        <v>49</v>
      </c>
      <c r="B360" s="27">
        <v>70953</v>
      </c>
      <c r="C360" s="25" t="str">
        <f t="shared" si="27"/>
        <v>0000000</v>
      </c>
      <c r="D360" s="26" t="s">
        <v>3663</v>
      </c>
      <c r="E360" s="25" t="s">
        <v>3132</v>
      </c>
      <c r="F360" s="25" t="s">
        <v>3052</v>
      </c>
      <c r="G360" s="59" t="s">
        <v>3133</v>
      </c>
      <c r="H360" s="60">
        <v>2907.23</v>
      </c>
      <c r="I360" s="60">
        <v>2978.47</v>
      </c>
      <c r="J360" s="60">
        <v>3518.61</v>
      </c>
      <c r="K360" s="60">
        <v>0</v>
      </c>
      <c r="L360" s="60">
        <v>0</v>
      </c>
      <c r="M360" s="60">
        <v>0</v>
      </c>
      <c r="N360" s="60">
        <v>0</v>
      </c>
      <c r="O360" s="60">
        <v>0</v>
      </c>
      <c r="P360" s="60">
        <v>0</v>
      </c>
      <c r="Q360" s="60">
        <v>0</v>
      </c>
      <c r="R360" s="60">
        <v>0</v>
      </c>
      <c r="S360" s="60">
        <v>0</v>
      </c>
      <c r="T360" s="60">
        <v>0</v>
      </c>
      <c r="U360" s="60">
        <v>0</v>
      </c>
      <c r="V360" s="60">
        <v>0</v>
      </c>
      <c r="W360" s="60">
        <v>0</v>
      </c>
      <c r="X360" s="60">
        <v>0</v>
      </c>
      <c r="Y360" s="60">
        <v>0</v>
      </c>
      <c r="Z360" s="60">
        <v>0</v>
      </c>
      <c r="AA360" s="60">
        <v>0</v>
      </c>
      <c r="AB360" s="60">
        <v>0</v>
      </c>
      <c r="AC360" s="60">
        <v>0</v>
      </c>
      <c r="AD360" s="60">
        <v>0</v>
      </c>
      <c r="AE360" s="60">
        <v>189.17</v>
      </c>
      <c r="AF360" s="60">
        <v>0</v>
      </c>
      <c r="AG360" s="60">
        <v>0</v>
      </c>
      <c r="AH360" s="60">
        <v>0</v>
      </c>
      <c r="AI360" s="60">
        <v>2907.23</v>
      </c>
      <c r="AJ360" s="60">
        <v>2978.47</v>
      </c>
      <c r="AK360" s="60">
        <v>3707.78</v>
      </c>
      <c r="AL360" s="60">
        <v>0</v>
      </c>
      <c r="AM360" s="60">
        <v>0</v>
      </c>
      <c r="AN360" s="60">
        <v>0</v>
      </c>
      <c r="AO360" s="60">
        <v>2907.23</v>
      </c>
      <c r="AP360" s="60">
        <v>2978.47</v>
      </c>
      <c r="AQ360" s="60">
        <v>3707.78</v>
      </c>
      <c r="AR360" s="61">
        <v>3707.78</v>
      </c>
    </row>
    <row r="361" spans="1:44" x14ac:dyDescent="0.35">
      <c r="A361" s="49" t="str">
        <f t="shared" si="26"/>
        <v>49</v>
      </c>
      <c r="B361" s="27">
        <v>70961</v>
      </c>
      <c r="C361" s="25" t="str">
        <f t="shared" si="27"/>
        <v>0000000</v>
      </c>
      <c r="D361" s="26" t="s">
        <v>3663</v>
      </c>
      <c r="E361" s="25" t="s">
        <v>3140</v>
      </c>
      <c r="F361" s="25" t="s">
        <v>3052</v>
      </c>
      <c r="G361" s="59" t="s">
        <v>3141</v>
      </c>
      <c r="H361" s="60">
        <v>272.20999999999998</v>
      </c>
      <c r="I361" s="60">
        <v>287.33999999999997</v>
      </c>
      <c r="J361" s="60">
        <v>377.65</v>
      </c>
      <c r="K361" s="60">
        <v>0</v>
      </c>
      <c r="L361" s="60">
        <v>0</v>
      </c>
      <c r="M361" s="60">
        <v>0</v>
      </c>
      <c r="N361" s="60">
        <v>0</v>
      </c>
      <c r="O361" s="60">
        <v>0</v>
      </c>
      <c r="P361" s="60">
        <v>0</v>
      </c>
      <c r="Q361" s="60">
        <v>0</v>
      </c>
      <c r="R361" s="60">
        <v>0</v>
      </c>
      <c r="S361" s="60">
        <v>0</v>
      </c>
      <c r="T361" s="60">
        <v>0</v>
      </c>
      <c r="U361" s="60">
        <v>0</v>
      </c>
      <c r="V361" s="60">
        <v>0</v>
      </c>
      <c r="W361" s="60">
        <v>0</v>
      </c>
      <c r="X361" s="60">
        <v>0</v>
      </c>
      <c r="Y361" s="60">
        <v>0</v>
      </c>
      <c r="Z361" s="60">
        <v>0</v>
      </c>
      <c r="AA361" s="60">
        <v>0</v>
      </c>
      <c r="AB361" s="60">
        <v>0</v>
      </c>
      <c r="AC361" s="60">
        <v>608.47</v>
      </c>
      <c r="AD361" s="60">
        <v>605.16</v>
      </c>
      <c r="AE361" s="60">
        <v>723.25</v>
      </c>
      <c r="AF361" s="60">
        <v>0</v>
      </c>
      <c r="AG361" s="60">
        <v>0</v>
      </c>
      <c r="AH361" s="60">
        <v>0</v>
      </c>
      <c r="AI361" s="60">
        <v>880.68</v>
      </c>
      <c r="AJ361" s="60">
        <v>892.5</v>
      </c>
      <c r="AK361" s="60">
        <v>1100.9000000000001</v>
      </c>
      <c r="AL361" s="60">
        <v>0</v>
      </c>
      <c r="AM361" s="60">
        <v>0</v>
      </c>
      <c r="AN361" s="60">
        <v>0</v>
      </c>
      <c r="AO361" s="60">
        <v>880.68</v>
      </c>
      <c r="AP361" s="60">
        <v>892.5</v>
      </c>
      <c r="AQ361" s="60">
        <v>1100.9000000000001</v>
      </c>
      <c r="AR361" s="61">
        <v>1100.9000000000001</v>
      </c>
    </row>
    <row r="362" spans="1:44" x14ac:dyDescent="0.35">
      <c r="A362" s="49" t="str">
        <f t="shared" si="26"/>
        <v>49</v>
      </c>
      <c r="B362" s="27">
        <v>71001</v>
      </c>
      <c r="C362" s="25" t="str">
        <f t="shared" si="27"/>
        <v>0000000</v>
      </c>
      <c r="D362" s="26" t="s">
        <v>3663</v>
      </c>
      <c r="E362" s="25" t="s">
        <v>3146</v>
      </c>
      <c r="F362" s="25" t="s">
        <v>3052</v>
      </c>
      <c r="G362" s="59" t="s">
        <v>3147</v>
      </c>
      <c r="H362" s="60">
        <v>127.2</v>
      </c>
      <c r="I362" s="60">
        <v>133.94999999999999</v>
      </c>
      <c r="J362" s="60">
        <v>165.29</v>
      </c>
      <c r="K362" s="60">
        <v>0</v>
      </c>
      <c r="L362" s="60">
        <v>0</v>
      </c>
      <c r="M362" s="60">
        <v>0</v>
      </c>
      <c r="N362" s="60">
        <v>0</v>
      </c>
      <c r="O362" s="60">
        <v>0</v>
      </c>
      <c r="P362" s="60">
        <v>0</v>
      </c>
      <c r="Q362" s="60">
        <v>0</v>
      </c>
      <c r="R362" s="60">
        <v>0</v>
      </c>
      <c r="S362" s="60">
        <v>0</v>
      </c>
      <c r="T362" s="60">
        <v>0</v>
      </c>
      <c r="U362" s="60">
        <v>0</v>
      </c>
      <c r="V362" s="60">
        <v>0</v>
      </c>
      <c r="W362" s="60">
        <v>0</v>
      </c>
      <c r="X362" s="60">
        <v>0</v>
      </c>
      <c r="Y362" s="60">
        <v>0</v>
      </c>
      <c r="Z362" s="60">
        <v>0</v>
      </c>
      <c r="AA362" s="60">
        <v>0</v>
      </c>
      <c r="AB362" s="60">
        <v>0</v>
      </c>
      <c r="AC362" s="60">
        <v>0</v>
      </c>
      <c r="AD362" s="60">
        <v>0</v>
      </c>
      <c r="AE362" s="60">
        <v>0</v>
      </c>
      <c r="AF362" s="60">
        <v>0</v>
      </c>
      <c r="AG362" s="60">
        <v>0</v>
      </c>
      <c r="AH362" s="60">
        <v>0</v>
      </c>
      <c r="AI362" s="60">
        <v>127.2</v>
      </c>
      <c r="AJ362" s="60">
        <v>133.94999999999999</v>
      </c>
      <c r="AK362" s="60">
        <v>165.29</v>
      </c>
      <c r="AL362" s="60">
        <v>0</v>
      </c>
      <c r="AM362" s="60">
        <v>0</v>
      </c>
      <c r="AN362" s="60">
        <v>0</v>
      </c>
      <c r="AO362" s="60">
        <v>127.2</v>
      </c>
      <c r="AP362" s="60">
        <v>133.94999999999999</v>
      </c>
      <c r="AQ362" s="60">
        <v>165.29</v>
      </c>
      <c r="AR362" s="61">
        <v>165.29</v>
      </c>
    </row>
    <row r="363" spans="1:44" x14ac:dyDescent="0.35">
      <c r="A363" s="49" t="str">
        <f t="shared" si="26"/>
        <v>49</v>
      </c>
      <c r="B363" s="27">
        <v>71019</v>
      </c>
      <c r="C363" s="25" t="str">
        <f t="shared" si="27"/>
        <v>0000000</v>
      </c>
      <c r="D363" s="26" t="s">
        <v>3663</v>
      </c>
      <c r="E363" s="25" t="s">
        <v>3148</v>
      </c>
      <c r="F363" s="25" t="s">
        <v>3052</v>
      </c>
      <c r="G363" s="59" t="s">
        <v>3149</v>
      </c>
      <c r="H363" s="60">
        <v>209.88</v>
      </c>
      <c r="I363" s="60">
        <v>204.28</v>
      </c>
      <c r="J363" s="60">
        <v>229.5</v>
      </c>
      <c r="K363" s="60">
        <v>0</v>
      </c>
      <c r="L363" s="60">
        <v>0</v>
      </c>
      <c r="M363" s="60">
        <v>0</v>
      </c>
      <c r="N363" s="60">
        <v>0</v>
      </c>
      <c r="O363" s="60">
        <v>0</v>
      </c>
      <c r="P363" s="60">
        <v>0</v>
      </c>
      <c r="Q363" s="60">
        <v>0</v>
      </c>
      <c r="R363" s="60">
        <v>0</v>
      </c>
      <c r="S363" s="60">
        <v>0</v>
      </c>
      <c r="T363" s="60">
        <v>0</v>
      </c>
      <c r="U363" s="60">
        <v>0</v>
      </c>
      <c r="V363" s="60">
        <v>0</v>
      </c>
      <c r="W363" s="60">
        <v>0</v>
      </c>
      <c r="X363" s="60">
        <v>0</v>
      </c>
      <c r="Y363" s="60">
        <v>0</v>
      </c>
      <c r="Z363" s="60">
        <v>0</v>
      </c>
      <c r="AA363" s="60">
        <v>0</v>
      </c>
      <c r="AB363" s="60">
        <v>0</v>
      </c>
      <c r="AC363" s="60">
        <v>0</v>
      </c>
      <c r="AD363" s="60">
        <v>0</v>
      </c>
      <c r="AE363" s="60">
        <v>0</v>
      </c>
      <c r="AF363" s="60">
        <v>0</v>
      </c>
      <c r="AG363" s="60">
        <v>0</v>
      </c>
      <c r="AH363" s="60">
        <v>0</v>
      </c>
      <c r="AI363" s="60">
        <v>209.88</v>
      </c>
      <c r="AJ363" s="60">
        <v>204.28</v>
      </c>
      <c r="AK363" s="60">
        <v>229.5</v>
      </c>
      <c r="AL363" s="60">
        <v>0</v>
      </c>
      <c r="AM363" s="60">
        <v>0</v>
      </c>
      <c r="AN363" s="60">
        <v>0</v>
      </c>
      <c r="AO363" s="60">
        <v>209.88</v>
      </c>
      <c r="AP363" s="60">
        <v>204.28</v>
      </c>
      <c r="AQ363" s="60">
        <v>229.5</v>
      </c>
      <c r="AR363" s="61">
        <v>229.5</v>
      </c>
    </row>
    <row r="364" spans="1:44" x14ac:dyDescent="0.35">
      <c r="A364" s="49" t="str">
        <f t="shared" si="26"/>
        <v>49</v>
      </c>
      <c r="B364" s="27">
        <v>71035</v>
      </c>
      <c r="C364" s="25" t="str">
        <f t="shared" si="27"/>
        <v>0000000</v>
      </c>
      <c r="D364" s="26" t="s">
        <v>3663</v>
      </c>
      <c r="E364" s="25" t="s">
        <v>3150</v>
      </c>
      <c r="F364" s="25" t="s">
        <v>3052</v>
      </c>
      <c r="G364" s="59" t="s">
        <v>3151</v>
      </c>
      <c r="H364" s="60">
        <v>715.19</v>
      </c>
      <c r="I364" s="60">
        <v>764.31</v>
      </c>
      <c r="J364" s="60">
        <v>952.59</v>
      </c>
      <c r="K364" s="60">
        <v>0</v>
      </c>
      <c r="L364" s="60">
        <v>0</v>
      </c>
      <c r="M364" s="60">
        <v>0</v>
      </c>
      <c r="N364" s="60">
        <v>0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>
        <v>0</v>
      </c>
      <c r="U364" s="60">
        <v>0</v>
      </c>
      <c r="V364" s="60">
        <v>0</v>
      </c>
      <c r="W364" s="60">
        <v>0</v>
      </c>
      <c r="X364" s="60">
        <v>0</v>
      </c>
      <c r="Y364" s="60">
        <v>0</v>
      </c>
      <c r="Z364" s="60">
        <v>0</v>
      </c>
      <c r="AA364" s="60">
        <v>0</v>
      </c>
      <c r="AB364" s="60">
        <v>0</v>
      </c>
      <c r="AC364" s="60">
        <v>415.1</v>
      </c>
      <c r="AD364" s="60">
        <v>365.69</v>
      </c>
      <c r="AE364" s="60">
        <v>429.96</v>
      </c>
      <c r="AF364" s="60">
        <v>0</v>
      </c>
      <c r="AG364" s="60">
        <v>0</v>
      </c>
      <c r="AH364" s="60">
        <v>0</v>
      </c>
      <c r="AI364" s="60">
        <v>1130.29</v>
      </c>
      <c r="AJ364" s="60">
        <v>1130</v>
      </c>
      <c r="AK364" s="60">
        <v>1382.55</v>
      </c>
      <c r="AL364" s="60">
        <v>0</v>
      </c>
      <c r="AM364" s="60">
        <v>0</v>
      </c>
      <c r="AN364" s="60">
        <v>0</v>
      </c>
      <c r="AO364" s="60">
        <v>1130.29</v>
      </c>
      <c r="AP364" s="60">
        <v>1130</v>
      </c>
      <c r="AQ364" s="60">
        <v>1382.55</v>
      </c>
      <c r="AR364" s="61">
        <v>1382.55</v>
      </c>
    </row>
    <row r="365" spans="1:44" x14ac:dyDescent="0.35">
      <c r="A365" s="49" t="str">
        <f t="shared" si="26"/>
        <v>49</v>
      </c>
      <c r="B365" s="27">
        <v>70995</v>
      </c>
      <c r="C365" s="25" t="str">
        <f t="shared" si="27"/>
        <v>0000000</v>
      </c>
      <c r="D365" s="26" t="s">
        <v>3663</v>
      </c>
      <c r="E365" s="25" t="s">
        <v>3144</v>
      </c>
      <c r="F365" s="25" t="s">
        <v>3052</v>
      </c>
      <c r="G365" s="59" t="s">
        <v>3145</v>
      </c>
      <c r="H365" s="60">
        <v>721.85</v>
      </c>
      <c r="I365" s="60">
        <v>753.57</v>
      </c>
      <c r="J365" s="60">
        <v>815.96</v>
      </c>
      <c r="K365" s="60">
        <v>0</v>
      </c>
      <c r="L365" s="60">
        <v>0</v>
      </c>
      <c r="M365" s="60">
        <v>0</v>
      </c>
      <c r="N365" s="60">
        <v>0</v>
      </c>
      <c r="O365" s="60">
        <v>0</v>
      </c>
      <c r="P365" s="60">
        <v>0</v>
      </c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>
        <v>0</v>
      </c>
      <c r="W365" s="60">
        <v>0</v>
      </c>
      <c r="X365" s="60">
        <v>0</v>
      </c>
      <c r="Y365" s="60">
        <v>0</v>
      </c>
      <c r="Z365" s="60">
        <v>0</v>
      </c>
      <c r="AA365" s="60">
        <v>0</v>
      </c>
      <c r="AB365" s="60">
        <v>0</v>
      </c>
      <c r="AC365" s="60">
        <v>0</v>
      </c>
      <c r="AD365" s="60">
        <v>0</v>
      </c>
      <c r="AE365" s="60">
        <v>0</v>
      </c>
      <c r="AF365" s="60">
        <v>0</v>
      </c>
      <c r="AG365" s="60">
        <v>0</v>
      </c>
      <c r="AH365" s="60">
        <v>0</v>
      </c>
      <c r="AI365" s="60">
        <v>721.85</v>
      </c>
      <c r="AJ365" s="60">
        <v>753.57</v>
      </c>
      <c r="AK365" s="60">
        <v>815.96</v>
      </c>
      <c r="AL365" s="60">
        <v>0</v>
      </c>
      <c r="AM365" s="60">
        <v>0</v>
      </c>
      <c r="AN365" s="60">
        <v>0</v>
      </c>
      <c r="AO365" s="60">
        <v>721.85</v>
      </c>
      <c r="AP365" s="60">
        <v>753.57</v>
      </c>
      <c r="AQ365" s="60">
        <v>815.96</v>
      </c>
      <c r="AR365" s="61">
        <v>815.96</v>
      </c>
    </row>
    <row r="366" spans="1:44" x14ac:dyDescent="0.35">
      <c r="A366" s="49" t="str">
        <f t="shared" si="26"/>
        <v>49</v>
      </c>
      <c r="B366" s="27">
        <v>70979</v>
      </c>
      <c r="C366" s="25" t="str">
        <f t="shared" si="27"/>
        <v>0000000</v>
      </c>
      <c r="D366" s="26" t="s">
        <v>3663</v>
      </c>
      <c r="E366" s="25" t="s">
        <v>3142</v>
      </c>
      <c r="F366" s="25" t="s">
        <v>3052</v>
      </c>
      <c r="G366" s="59" t="s">
        <v>3143</v>
      </c>
      <c r="H366" s="60">
        <v>120.17</v>
      </c>
      <c r="I366" s="60">
        <v>126.36</v>
      </c>
      <c r="J366" s="60">
        <v>156.37</v>
      </c>
      <c r="K366" s="60">
        <v>0</v>
      </c>
      <c r="L366" s="60">
        <v>0</v>
      </c>
      <c r="M366" s="60">
        <v>0</v>
      </c>
      <c r="N366" s="60">
        <v>0</v>
      </c>
      <c r="O366" s="60">
        <v>0</v>
      </c>
      <c r="P366" s="60">
        <v>0</v>
      </c>
      <c r="Q366" s="60">
        <v>0</v>
      </c>
      <c r="R366" s="60">
        <v>0</v>
      </c>
      <c r="S366" s="60">
        <v>0</v>
      </c>
      <c r="T366" s="60">
        <v>0</v>
      </c>
      <c r="U366" s="60">
        <v>0</v>
      </c>
      <c r="V366" s="60">
        <v>0</v>
      </c>
      <c r="W366" s="60">
        <v>0</v>
      </c>
      <c r="X366" s="60">
        <v>0</v>
      </c>
      <c r="Y366" s="60">
        <v>0</v>
      </c>
      <c r="Z366" s="60">
        <v>0</v>
      </c>
      <c r="AA366" s="60">
        <v>0</v>
      </c>
      <c r="AB366" s="60">
        <v>0</v>
      </c>
      <c r="AC366" s="60">
        <v>0</v>
      </c>
      <c r="AD366" s="60">
        <v>0</v>
      </c>
      <c r="AE366" s="60">
        <v>0</v>
      </c>
      <c r="AF366" s="60">
        <v>0</v>
      </c>
      <c r="AG366" s="60">
        <v>0</v>
      </c>
      <c r="AH366" s="60">
        <v>0</v>
      </c>
      <c r="AI366" s="60">
        <v>120.17</v>
      </c>
      <c r="AJ366" s="60">
        <v>126.36</v>
      </c>
      <c r="AK366" s="60">
        <v>156.37</v>
      </c>
      <c r="AL366" s="60">
        <v>0</v>
      </c>
      <c r="AM366" s="60">
        <v>0</v>
      </c>
      <c r="AN366" s="60">
        <v>0</v>
      </c>
      <c r="AO366" s="60">
        <v>120.17</v>
      </c>
      <c r="AP366" s="60">
        <v>126.36</v>
      </c>
      <c r="AQ366" s="60">
        <v>156.37</v>
      </c>
      <c r="AR366" s="61">
        <v>156.37</v>
      </c>
    </row>
    <row r="367" spans="1:44" x14ac:dyDescent="0.35">
      <c r="A367" s="49" t="str">
        <f t="shared" si="26"/>
        <v>49</v>
      </c>
      <c r="B367" s="27">
        <v>75358</v>
      </c>
      <c r="C367" s="25" t="str">
        <f t="shared" si="27"/>
        <v>0000000</v>
      </c>
      <c r="D367" s="26" t="s">
        <v>3663</v>
      </c>
      <c r="E367" s="25" t="s">
        <v>3156</v>
      </c>
      <c r="F367" s="25" t="s">
        <v>3052</v>
      </c>
      <c r="G367" s="59" t="s">
        <v>3157</v>
      </c>
      <c r="H367" s="60">
        <v>3189.14</v>
      </c>
      <c r="I367" s="60">
        <v>3189.76</v>
      </c>
      <c r="J367" s="60">
        <v>3526.69</v>
      </c>
      <c r="K367" s="60">
        <v>0</v>
      </c>
      <c r="L367" s="60">
        <v>0</v>
      </c>
      <c r="M367" s="60">
        <v>0</v>
      </c>
      <c r="N367" s="60">
        <v>0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0">
        <v>0</v>
      </c>
      <c r="U367" s="60">
        <v>0</v>
      </c>
      <c r="V367" s="60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1118.7</v>
      </c>
      <c r="AD367" s="60">
        <v>1158.72</v>
      </c>
      <c r="AE367" s="60">
        <v>1234</v>
      </c>
      <c r="AF367" s="60">
        <v>0</v>
      </c>
      <c r="AG367" s="60">
        <v>0</v>
      </c>
      <c r="AH367" s="60">
        <v>0</v>
      </c>
      <c r="AI367" s="60">
        <v>4307.84</v>
      </c>
      <c r="AJ367" s="60">
        <v>4348.4799999999996</v>
      </c>
      <c r="AK367" s="60">
        <v>4760.6899999999996</v>
      </c>
      <c r="AL367" s="60">
        <v>0</v>
      </c>
      <c r="AM367" s="60">
        <v>0</v>
      </c>
      <c r="AN367" s="60">
        <v>0</v>
      </c>
      <c r="AO367" s="60">
        <v>4307.84</v>
      </c>
      <c r="AP367" s="60">
        <v>4348.4799999999996</v>
      </c>
      <c r="AQ367" s="60">
        <v>4760.6899999999996</v>
      </c>
      <c r="AR367" s="61">
        <v>4760.6899999999996</v>
      </c>
    </row>
    <row r="368" spans="1:44" x14ac:dyDescent="0.35">
      <c r="A368" s="49" t="str">
        <f t="shared" si="26"/>
        <v>49</v>
      </c>
      <c r="B368" s="27">
        <v>75390</v>
      </c>
      <c r="C368" s="25" t="str">
        <f t="shared" si="27"/>
        <v>0000000</v>
      </c>
      <c r="D368" s="26" t="s">
        <v>3663</v>
      </c>
      <c r="E368" s="25" t="s">
        <v>3158</v>
      </c>
      <c r="F368" s="25" t="s">
        <v>3052</v>
      </c>
      <c r="G368" s="59" t="s">
        <v>3159</v>
      </c>
      <c r="H368" s="60">
        <v>1135.58</v>
      </c>
      <c r="I368" s="60">
        <v>1153.8599999999999</v>
      </c>
      <c r="J368" s="60">
        <v>1332.95</v>
      </c>
      <c r="K368" s="60">
        <v>0</v>
      </c>
      <c r="L368" s="60">
        <v>0</v>
      </c>
      <c r="M368" s="60">
        <v>0</v>
      </c>
      <c r="N368" s="60">
        <v>0</v>
      </c>
      <c r="O368" s="60">
        <v>0</v>
      </c>
      <c r="P368" s="60">
        <v>0</v>
      </c>
      <c r="Q368" s="60">
        <v>0</v>
      </c>
      <c r="R368" s="60">
        <v>0</v>
      </c>
      <c r="S368" s="60">
        <v>0</v>
      </c>
      <c r="T368" s="60">
        <v>0</v>
      </c>
      <c r="U368" s="60">
        <v>0</v>
      </c>
      <c r="V368" s="60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0</v>
      </c>
      <c r="AD368" s="60">
        <v>0</v>
      </c>
      <c r="AE368" s="60">
        <v>0</v>
      </c>
      <c r="AF368" s="60">
        <v>0</v>
      </c>
      <c r="AG368" s="60">
        <v>0</v>
      </c>
      <c r="AH368" s="60">
        <v>0</v>
      </c>
      <c r="AI368" s="60">
        <v>1135.58</v>
      </c>
      <c r="AJ368" s="60">
        <v>1153.8599999999999</v>
      </c>
      <c r="AK368" s="60">
        <v>1332.95</v>
      </c>
      <c r="AL368" s="60">
        <v>0</v>
      </c>
      <c r="AM368" s="60">
        <v>0</v>
      </c>
      <c r="AN368" s="60">
        <v>0</v>
      </c>
      <c r="AO368" s="60">
        <v>1135.58</v>
      </c>
      <c r="AP368" s="60">
        <v>1153.8599999999999</v>
      </c>
      <c r="AQ368" s="60">
        <v>1332.95</v>
      </c>
      <c r="AR368" s="61">
        <v>1332.95</v>
      </c>
    </row>
    <row r="369" spans="1:44" x14ac:dyDescent="0.35">
      <c r="A369" s="49" t="str">
        <f t="shared" si="26"/>
        <v>49</v>
      </c>
      <c r="B369" s="27">
        <v>70888</v>
      </c>
      <c r="C369" s="25" t="str">
        <f t="shared" si="27"/>
        <v>0000000</v>
      </c>
      <c r="D369" s="26" t="s">
        <v>3663</v>
      </c>
      <c r="E369" s="25" t="s">
        <v>3115</v>
      </c>
      <c r="F369" s="25" t="s">
        <v>3052</v>
      </c>
      <c r="G369" s="59" t="s">
        <v>3116</v>
      </c>
      <c r="H369" s="60">
        <v>6.99</v>
      </c>
      <c r="I369" s="60">
        <v>7.69</v>
      </c>
      <c r="J369" s="60">
        <v>10.19</v>
      </c>
      <c r="K369" s="60">
        <v>0</v>
      </c>
      <c r="L369" s="60">
        <v>0</v>
      </c>
      <c r="M369" s="60">
        <v>0</v>
      </c>
      <c r="N369" s="60">
        <v>0</v>
      </c>
      <c r="O369" s="60">
        <v>0</v>
      </c>
      <c r="P369" s="60">
        <v>0</v>
      </c>
      <c r="Q369" s="60">
        <v>0</v>
      </c>
      <c r="R369" s="60">
        <v>0</v>
      </c>
      <c r="S369" s="60">
        <v>0</v>
      </c>
      <c r="T369" s="60">
        <v>0</v>
      </c>
      <c r="U369" s="60">
        <v>0</v>
      </c>
      <c r="V369" s="60">
        <v>0</v>
      </c>
      <c r="W369" s="60">
        <v>0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0</v>
      </c>
      <c r="AD369" s="60">
        <v>0</v>
      </c>
      <c r="AE369" s="60">
        <v>0</v>
      </c>
      <c r="AF369" s="60">
        <v>0</v>
      </c>
      <c r="AG369" s="60">
        <v>0</v>
      </c>
      <c r="AH369" s="60">
        <v>0</v>
      </c>
      <c r="AI369" s="60">
        <v>6.99</v>
      </c>
      <c r="AJ369" s="60">
        <v>7.69</v>
      </c>
      <c r="AK369" s="60">
        <v>10.19</v>
      </c>
      <c r="AL369" s="60">
        <v>0</v>
      </c>
      <c r="AM369" s="60">
        <v>0</v>
      </c>
      <c r="AN369" s="60">
        <v>0</v>
      </c>
      <c r="AO369" s="60">
        <v>6.99</v>
      </c>
      <c r="AP369" s="60">
        <v>7.69</v>
      </c>
      <c r="AQ369" s="60">
        <v>10.19</v>
      </c>
      <c r="AR369" s="61">
        <v>10.19</v>
      </c>
    </row>
    <row r="370" spans="1:44" x14ac:dyDescent="0.35">
      <c r="A370" s="49" t="str">
        <f t="shared" si="26"/>
        <v>49</v>
      </c>
      <c r="B370" s="27">
        <v>70938</v>
      </c>
      <c r="C370" s="25" t="str">
        <f>TEXT(120121,"0000000")</f>
        <v>0120121</v>
      </c>
      <c r="D370" s="27">
        <v>1107</v>
      </c>
      <c r="E370" s="25" t="s">
        <v>3127</v>
      </c>
      <c r="F370" s="25" t="s">
        <v>3052</v>
      </c>
      <c r="G370" s="59" t="s">
        <v>3128</v>
      </c>
      <c r="H370" s="60">
        <v>0</v>
      </c>
      <c r="I370" s="60">
        <v>0</v>
      </c>
      <c r="J370" s="60">
        <v>0</v>
      </c>
      <c r="K370" s="60">
        <v>0</v>
      </c>
      <c r="L370" s="60">
        <v>0</v>
      </c>
      <c r="M370" s="60">
        <v>0</v>
      </c>
      <c r="N370" s="60">
        <v>0</v>
      </c>
      <c r="O370" s="60">
        <v>0</v>
      </c>
      <c r="P370" s="60">
        <v>0</v>
      </c>
      <c r="Q370" s="60">
        <v>0</v>
      </c>
      <c r="R370" s="60">
        <v>0</v>
      </c>
      <c r="S370" s="60">
        <v>0</v>
      </c>
      <c r="T370" s="60">
        <v>0</v>
      </c>
      <c r="U370" s="60">
        <v>0</v>
      </c>
      <c r="V370" s="60">
        <v>0</v>
      </c>
      <c r="W370" s="60">
        <v>0</v>
      </c>
      <c r="X370" s="60">
        <v>0</v>
      </c>
      <c r="Y370" s="60">
        <v>0</v>
      </c>
      <c r="Z370" s="60">
        <v>0</v>
      </c>
      <c r="AA370" s="60">
        <v>0</v>
      </c>
      <c r="AB370" s="60">
        <v>0</v>
      </c>
      <c r="AC370" s="60">
        <v>58.28</v>
      </c>
      <c r="AD370" s="60">
        <v>78.849999999999994</v>
      </c>
      <c r="AE370" s="60">
        <v>113.72</v>
      </c>
      <c r="AF370" s="60">
        <v>0</v>
      </c>
      <c r="AG370" s="60">
        <v>0</v>
      </c>
      <c r="AH370" s="60">
        <v>0</v>
      </c>
      <c r="AI370" s="60">
        <v>58.28</v>
      </c>
      <c r="AJ370" s="60">
        <v>78.849999999999994</v>
      </c>
      <c r="AK370" s="60">
        <v>113.72</v>
      </c>
      <c r="AL370" s="60">
        <v>0</v>
      </c>
      <c r="AM370" s="60">
        <v>0</v>
      </c>
      <c r="AN370" s="60">
        <v>0</v>
      </c>
      <c r="AO370" s="60">
        <v>58.28</v>
      </c>
      <c r="AP370" s="60">
        <v>78.849999999999994</v>
      </c>
      <c r="AQ370" s="60">
        <v>113.72</v>
      </c>
      <c r="AR370" s="61">
        <v>113.72</v>
      </c>
    </row>
    <row r="371" spans="1:44" x14ac:dyDescent="0.35">
      <c r="A371" s="49" t="str">
        <f t="shared" si="26"/>
        <v>49</v>
      </c>
      <c r="B371" s="27">
        <v>70797</v>
      </c>
      <c r="C371" s="25" t="str">
        <f>TEXT(139568,"0000000")</f>
        <v>0139568</v>
      </c>
      <c r="D371" s="27">
        <v>2071</v>
      </c>
      <c r="E371" s="25" t="s">
        <v>3093</v>
      </c>
      <c r="F371" s="25" t="s">
        <v>3052</v>
      </c>
      <c r="G371" s="59" t="s">
        <v>3094</v>
      </c>
      <c r="H371" s="60">
        <v>0</v>
      </c>
      <c r="I371" s="60">
        <v>0</v>
      </c>
      <c r="J371" s="60">
        <v>0</v>
      </c>
      <c r="K371" s="60">
        <v>0</v>
      </c>
      <c r="L371" s="60">
        <v>0</v>
      </c>
      <c r="M371" s="60">
        <v>0</v>
      </c>
      <c r="N371" s="60">
        <v>0</v>
      </c>
      <c r="O371" s="60">
        <v>0</v>
      </c>
      <c r="P371" s="60">
        <v>0</v>
      </c>
      <c r="Q371" s="60">
        <v>0</v>
      </c>
      <c r="R371" s="60">
        <v>0</v>
      </c>
      <c r="S371" s="60">
        <v>0</v>
      </c>
      <c r="T371" s="60">
        <v>0</v>
      </c>
      <c r="U371" s="60">
        <v>0</v>
      </c>
      <c r="V371" s="60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0">
        <v>515.08000000000004</v>
      </c>
      <c r="AD371" s="60">
        <v>369.25</v>
      </c>
      <c r="AE371" s="60">
        <v>117.42</v>
      </c>
      <c r="AF371" s="60">
        <v>0</v>
      </c>
      <c r="AG371" s="60">
        <v>0</v>
      </c>
      <c r="AH371" s="60">
        <v>0</v>
      </c>
      <c r="AI371" s="60">
        <v>515.08000000000004</v>
      </c>
      <c r="AJ371" s="60">
        <v>369.25</v>
      </c>
      <c r="AK371" s="60">
        <v>117.42</v>
      </c>
      <c r="AL371" s="60">
        <v>0</v>
      </c>
      <c r="AM371" s="60">
        <v>0</v>
      </c>
      <c r="AN371" s="60">
        <v>0</v>
      </c>
      <c r="AO371" s="60">
        <v>515.08000000000004</v>
      </c>
      <c r="AP371" s="60">
        <v>369.25</v>
      </c>
      <c r="AQ371" s="60">
        <v>117.42</v>
      </c>
      <c r="AR371" s="61">
        <v>515.08000000000004</v>
      </c>
    </row>
    <row r="372" spans="1:44" x14ac:dyDescent="0.35">
      <c r="A372" s="49" t="str">
        <f t="shared" si="26"/>
        <v>49</v>
      </c>
      <c r="B372" s="27">
        <v>70730</v>
      </c>
      <c r="C372" s="25" t="str">
        <f>TEXT(6120588,"0000000")</f>
        <v>6120588</v>
      </c>
      <c r="D372" s="26" t="s">
        <v>3083</v>
      </c>
      <c r="E372" s="25" t="s">
        <v>3081</v>
      </c>
      <c r="F372" s="25" t="s">
        <v>3052</v>
      </c>
      <c r="G372" s="59" t="s">
        <v>3082</v>
      </c>
      <c r="H372" s="60">
        <v>0</v>
      </c>
      <c r="I372" s="60">
        <v>0</v>
      </c>
      <c r="J372" s="60">
        <v>0</v>
      </c>
      <c r="K372" s="60">
        <v>0</v>
      </c>
      <c r="L372" s="60">
        <v>0</v>
      </c>
      <c r="M372" s="60">
        <v>0</v>
      </c>
      <c r="N372" s="60">
        <v>0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>
        <v>0</v>
      </c>
      <c r="U372" s="60">
        <v>0</v>
      </c>
      <c r="V372" s="60">
        <v>0</v>
      </c>
      <c r="W372" s="60">
        <v>0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0">
        <v>312.70999999999998</v>
      </c>
      <c r="AD372" s="60">
        <v>0</v>
      </c>
      <c r="AE372" s="60">
        <v>0</v>
      </c>
      <c r="AF372" s="60">
        <v>0</v>
      </c>
      <c r="AG372" s="60">
        <v>0</v>
      </c>
      <c r="AH372" s="60">
        <v>0</v>
      </c>
      <c r="AI372" s="60">
        <v>312.70999999999998</v>
      </c>
      <c r="AJ372" s="60">
        <v>0</v>
      </c>
      <c r="AK372" s="60">
        <v>0</v>
      </c>
      <c r="AL372" s="60">
        <v>0</v>
      </c>
      <c r="AM372" s="60">
        <v>353.49</v>
      </c>
      <c r="AN372" s="60">
        <v>394.47</v>
      </c>
      <c r="AO372" s="60">
        <v>312.70999999999998</v>
      </c>
      <c r="AP372" s="60">
        <v>353.49</v>
      </c>
      <c r="AQ372" s="60">
        <v>394.47</v>
      </c>
      <c r="AR372" s="61">
        <v>394.47</v>
      </c>
    </row>
    <row r="373" spans="1:44" x14ac:dyDescent="0.35">
      <c r="A373" s="49" t="str">
        <f t="shared" si="26"/>
        <v>49</v>
      </c>
      <c r="B373" s="27">
        <v>70797</v>
      </c>
      <c r="C373" s="25" t="str">
        <f>TEXT(107284,"0000000")</f>
        <v>0107284</v>
      </c>
      <c r="D373" s="26" t="s">
        <v>3092</v>
      </c>
      <c r="E373" s="25" t="s">
        <v>3090</v>
      </c>
      <c r="F373" s="25" t="s">
        <v>3052</v>
      </c>
      <c r="G373" s="59" t="s">
        <v>3091</v>
      </c>
      <c r="H373" s="60">
        <v>0</v>
      </c>
      <c r="I373" s="60">
        <v>0</v>
      </c>
      <c r="J373" s="60">
        <v>0</v>
      </c>
      <c r="K373" s="60">
        <v>0</v>
      </c>
      <c r="L373" s="60">
        <v>0</v>
      </c>
      <c r="M373" s="60">
        <v>0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>
        <v>0</v>
      </c>
      <c r="U373" s="60">
        <v>0</v>
      </c>
      <c r="V373" s="60">
        <v>0</v>
      </c>
      <c r="W373" s="60">
        <v>0</v>
      </c>
      <c r="X373" s="60">
        <v>0</v>
      </c>
      <c r="Y373" s="60">
        <v>0</v>
      </c>
      <c r="Z373" s="60">
        <v>0</v>
      </c>
      <c r="AA373" s="60">
        <v>0</v>
      </c>
      <c r="AB373" s="60">
        <v>0</v>
      </c>
      <c r="AC373" s="60">
        <v>799.27</v>
      </c>
      <c r="AD373" s="60">
        <v>0</v>
      </c>
      <c r="AE373" s="60">
        <v>0</v>
      </c>
      <c r="AF373" s="60">
        <v>0</v>
      </c>
      <c r="AG373" s="60">
        <v>0</v>
      </c>
      <c r="AH373" s="60">
        <v>0</v>
      </c>
      <c r="AI373" s="60">
        <v>799.27</v>
      </c>
      <c r="AJ373" s="60">
        <v>0</v>
      </c>
      <c r="AK373" s="60">
        <v>0</v>
      </c>
      <c r="AL373" s="60">
        <v>0</v>
      </c>
      <c r="AM373" s="60">
        <v>796.76</v>
      </c>
      <c r="AN373" s="60">
        <v>594.77</v>
      </c>
      <c r="AO373" s="60">
        <v>799.27</v>
      </c>
      <c r="AP373" s="60">
        <v>796.76</v>
      </c>
      <c r="AQ373" s="60">
        <v>594.77</v>
      </c>
      <c r="AR373" s="61">
        <v>799.27</v>
      </c>
    </row>
    <row r="374" spans="1:44" x14ac:dyDescent="0.35">
      <c r="A374" s="49" t="str">
        <f t="shared" si="26"/>
        <v>49</v>
      </c>
      <c r="B374" s="27">
        <v>70938</v>
      </c>
      <c r="C374" s="25" t="str">
        <f>TEXT(6113039,"0000000")</f>
        <v>6113039</v>
      </c>
      <c r="D374" s="26" t="s">
        <v>3131</v>
      </c>
      <c r="E374" s="25" t="s">
        <v>3129</v>
      </c>
      <c r="F374" s="25" t="s">
        <v>3052</v>
      </c>
      <c r="G374" s="59" t="s">
        <v>3130</v>
      </c>
      <c r="H374" s="60">
        <v>0</v>
      </c>
      <c r="I374" s="60">
        <v>0</v>
      </c>
      <c r="J374" s="60">
        <v>0</v>
      </c>
      <c r="K374" s="60">
        <v>0</v>
      </c>
      <c r="L374" s="60">
        <v>0</v>
      </c>
      <c r="M374" s="60">
        <v>0</v>
      </c>
      <c r="N374" s="60">
        <v>0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0</v>
      </c>
      <c r="V374" s="60">
        <v>0</v>
      </c>
      <c r="W374" s="60">
        <v>0</v>
      </c>
      <c r="X374" s="60">
        <v>0</v>
      </c>
      <c r="Y374" s="60">
        <v>0</v>
      </c>
      <c r="Z374" s="60">
        <v>0</v>
      </c>
      <c r="AA374" s="60">
        <v>0</v>
      </c>
      <c r="AB374" s="60">
        <v>0</v>
      </c>
      <c r="AC374" s="60">
        <v>249.92</v>
      </c>
      <c r="AD374" s="60">
        <v>0</v>
      </c>
      <c r="AE374" s="60">
        <v>0</v>
      </c>
      <c r="AF374" s="60">
        <v>0</v>
      </c>
      <c r="AG374" s="60">
        <v>0</v>
      </c>
      <c r="AH374" s="60">
        <v>0</v>
      </c>
      <c r="AI374" s="60">
        <v>249.92</v>
      </c>
      <c r="AJ374" s="60">
        <v>0</v>
      </c>
      <c r="AK374" s="60">
        <v>0</v>
      </c>
      <c r="AL374" s="60">
        <v>0</v>
      </c>
      <c r="AM374" s="60">
        <v>247.08</v>
      </c>
      <c r="AN374" s="60">
        <v>282.27999999999997</v>
      </c>
      <c r="AO374" s="60">
        <v>249.92</v>
      </c>
      <c r="AP374" s="60">
        <v>247.08</v>
      </c>
      <c r="AQ374" s="60">
        <v>282.27999999999997</v>
      </c>
      <c r="AR374" s="61">
        <v>282.27999999999997</v>
      </c>
    </row>
    <row r="375" spans="1:44" x14ac:dyDescent="0.35">
      <c r="A375" s="49" t="str">
        <f>TEXT(46,"00")</f>
        <v>46</v>
      </c>
      <c r="B375" s="27">
        <v>10462</v>
      </c>
      <c r="C375" s="25" t="str">
        <f t="shared" ref="C375:C401" si="28">TEXT(,"0000000")</f>
        <v>0000000</v>
      </c>
      <c r="D375" s="26" t="s">
        <v>3663</v>
      </c>
      <c r="E375" s="25" t="s">
        <v>2959</v>
      </c>
      <c r="F375" s="25" t="s">
        <v>2960</v>
      </c>
      <c r="G375" s="59" t="s">
        <v>2960</v>
      </c>
      <c r="H375" s="60">
        <v>0</v>
      </c>
      <c r="I375" s="60">
        <v>0</v>
      </c>
      <c r="J375" s="60">
        <v>0</v>
      </c>
      <c r="K375" s="60">
        <v>0</v>
      </c>
      <c r="L375" s="60">
        <v>0</v>
      </c>
      <c r="M375" s="60">
        <v>0</v>
      </c>
      <c r="N375" s="60">
        <v>0</v>
      </c>
      <c r="O375" s="60">
        <v>0</v>
      </c>
      <c r="P375" s="60">
        <v>0</v>
      </c>
      <c r="Q375" s="60">
        <v>0</v>
      </c>
      <c r="R375" s="60">
        <v>0</v>
      </c>
      <c r="S375" s="60">
        <v>0</v>
      </c>
      <c r="T375" s="60">
        <v>0</v>
      </c>
      <c r="U375" s="60">
        <v>0</v>
      </c>
      <c r="V375" s="60">
        <v>0</v>
      </c>
      <c r="W375" s="60">
        <v>13.67</v>
      </c>
      <c r="X375" s="60">
        <v>14.96</v>
      </c>
      <c r="Y375" s="60">
        <v>20.43</v>
      </c>
      <c r="Z375" s="60">
        <v>0</v>
      </c>
      <c r="AA375" s="60">
        <v>0</v>
      </c>
      <c r="AB375" s="60">
        <v>0</v>
      </c>
      <c r="AC375" s="60">
        <v>0</v>
      </c>
      <c r="AD375" s="60">
        <v>0</v>
      </c>
      <c r="AE375" s="60">
        <v>0</v>
      </c>
      <c r="AF375" s="60">
        <v>0</v>
      </c>
      <c r="AG375" s="60">
        <v>0</v>
      </c>
      <c r="AH375" s="60">
        <v>0</v>
      </c>
      <c r="AI375" s="60">
        <v>13.67</v>
      </c>
      <c r="AJ375" s="60">
        <v>14.96</v>
      </c>
      <c r="AK375" s="60">
        <v>20.43</v>
      </c>
      <c r="AL375" s="60">
        <v>0</v>
      </c>
      <c r="AM375" s="60">
        <v>0</v>
      </c>
      <c r="AN375" s="60">
        <v>0</v>
      </c>
      <c r="AO375" s="60">
        <v>13.67</v>
      </c>
      <c r="AP375" s="60">
        <v>14.96</v>
      </c>
      <c r="AQ375" s="60">
        <v>20.43</v>
      </c>
      <c r="AR375" s="61">
        <v>20.43</v>
      </c>
    </row>
    <row r="376" spans="1:44" x14ac:dyDescent="0.35">
      <c r="A376" s="49" t="str">
        <f>TEXT(46,"00")</f>
        <v>46</v>
      </c>
      <c r="B376" s="27">
        <v>70177</v>
      </c>
      <c r="C376" s="25" t="str">
        <f t="shared" si="28"/>
        <v>0000000</v>
      </c>
      <c r="D376" s="26" t="s">
        <v>3663</v>
      </c>
      <c r="E376" s="25" t="s">
        <v>2961</v>
      </c>
      <c r="F376" s="25" t="s">
        <v>2960</v>
      </c>
      <c r="G376" s="59" t="s">
        <v>2962</v>
      </c>
      <c r="H376" s="60">
        <v>351.2</v>
      </c>
      <c r="I376" s="60">
        <v>347.95</v>
      </c>
      <c r="J376" s="60">
        <v>409.3</v>
      </c>
      <c r="K376" s="60">
        <v>0</v>
      </c>
      <c r="L376" s="60">
        <v>0</v>
      </c>
      <c r="M376" s="60">
        <v>0</v>
      </c>
      <c r="N376" s="60">
        <v>0</v>
      </c>
      <c r="O376" s="60">
        <v>0</v>
      </c>
      <c r="P376" s="60">
        <v>0</v>
      </c>
      <c r="Q376" s="60">
        <v>0</v>
      </c>
      <c r="R376" s="60">
        <v>0</v>
      </c>
      <c r="S376" s="60">
        <v>0</v>
      </c>
      <c r="T376" s="60">
        <v>0</v>
      </c>
      <c r="U376" s="60">
        <v>0</v>
      </c>
      <c r="V376" s="60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0">
        <v>0</v>
      </c>
      <c r="AE376" s="60">
        <v>0</v>
      </c>
      <c r="AF376" s="60">
        <v>0</v>
      </c>
      <c r="AG376" s="60">
        <v>0</v>
      </c>
      <c r="AH376" s="60">
        <v>0</v>
      </c>
      <c r="AI376" s="60">
        <v>351.2</v>
      </c>
      <c r="AJ376" s="60">
        <v>347.95</v>
      </c>
      <c r="AK376" s="60">
        <v>409.3</v>
      </c>
      <c r="AL376" s="60">
        <v>0</v>
      </c>
      <c r="AM376" s="60">
        <v>0</v>
      </c>
      <c r="AN376" s="60">
        <v>0</v>
      </c>
      <c r="AO376" s="60">
        <v>351.2</v>
      </c>
      <c r="AP376" s="60">
        <v>347.95</v>
      </c>
      <c r="AQ376" s="60">
        <v>409.3</v>
      </c>
      <c r="AR376" s="61">
        <v>409.3</v>
      </c>
    </row>
    <row r="377" spans="1:44" x14ac:dyDescent="0.35">
      <c r="A377" s="49" t="str">
        <f t="shared" ref="A377:A394" si="29">TEXT(7,"00")</f>
        <v>07</v>
      </c>
      <c r="B377" s="27">
        <v>61697</v>
      </c>
      <c r="C377" s="25" t="str">
        <f t="shared" si="28"/>
        <v>0000000</v>
      </c>
      <c r="D377" s="26" t="s">
        <v>3663</v>
      </c>
      <c r="E377" s="25" t="s">
        <v>255</v>
      </c>
      <c r="F377" s="25" t="s">
        <v>256</v>
      </c>
      <c r="G377" s="59" t="s">
        <v>256</v>
      </c>
      <c r="H377" s="60">
        <v>1099.4100000000001</v>
      </c>
      <c r="I377" s="60">
        <v>1093.82</v>
      </c>
      <c r="J377" s="60">
        <v>1328.21</v>
      </c>
      <c r="K377" s="60">
        <v>0</v>
      </c>
      <c r="L377" s="60">
        <v>0</v>
      </c>
      <c r="M377" s="60">
        <v>0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0">
        <v>0</v>
      </c>
      <c r="U377" s="60">
        <v>0</v>
      </c>
      <c r="V377" s="60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0">
        <v>0</v>
      </c>
      <c r="AE377" s="60">
        <v>0</v>
      </c>
      <c r="AF377" s="60">
        <v>0</v>
      </c>
      <c r="AG377" s="60">
        <v>0</v>
      </c>
      <c r="AH377" s="60">
        <v>0</v>
      </c>
      <c r="AI377" s="60">
        <v>1099.4100000000001</v>
      </c>
      <c r="AJ377" s="60">
        <v>1093.82</v>
      </c>
      <c r="AK377" s="60">
        <v>1328.21</v>
      </c>
      <c r="AL377" s="60">
        <v>0</v>
      </c>
      <c r="AM377" s="60">
        <v>0</v>
      </c>
      <c r="AN377" s="60">
        <v>0</v>
      </c>
      <c r="AO377" s="60">
        <v>1099.4100000000001</v>
      </c>
      <c r="AP377" s="60">
        <v>1093.82</v>
      </c>
      <c r="AQ377" s="60">
        <v>1328.21</v>
      </c>
      <c r="AR377" s="61">
        <v>1328.21</v>
      </c>
    </row>
    <row r="378" spans="1:44" x14ac:dyDescent="0.35">
      <c r="A378" s="49" t="str">
        <f t="shared" si="29"/>
        <v>07</v>
      </c>
      <c r="B378" s="27">
        <v>61655</v>
      </c>
      <c r="C378" s="25" t="str">
        <f t="shared" si="28"/>
        <v>0000000</v>
      </c>
      <c r="D378" s="26" t="s">
        <v>3663</v>
      </c>
      <c r="E378" s="25" t="s">
        <v>287</v>
      </c>
      <c r="F378" s="25" t="s">
        <v>256</v>
      </c>
      <c r="G378" s="59" t="s">
        <v>288</v>
      </c>
      <c r="H378" s="60">
        <v>8865.7000000000007</v>
      </c>
      <c r="I378" s="60">
        <v>8508.2999999999993</v>
      </c>
      <c r="J378" s="60">
        <v>8979.9</v>
      </c>
      <c r="K378" s="60">
        <v>0</v>
      </c>
      <c r="L378" s="60">
        <v>0</v>
      </c>
      <c r="M378" s="60">
        <v>0</v>
      </c>
      <c r="N378" s="60">
        <v>0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0">
        <v>0</v>
      </c>
      <c r="U378" s="60">
        <v>0</v>
      </c>
      <c r="V378" s="60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0">
        <v>0</v>
      </c>
      <c r="AE378" s="60">
        <v>0</v>
      </c>
      <c r="AF378" s="60">
        <v>0</v>
      </c>
      <c r="AG378" s="60">
        <v>0</v>
      </c>
      <c r="AH378" s="60">
        <v>0</v>
      </c>
      <c r="AI378" s="60">
        <v>8865.7000000000007</v>
      </c>
      <c r="AJ378" s="60">
        <v>8508.2999999999993</v>
      </c>
      <c r="AK378" s="60">
        <v>8979.9</v>
      </c>
      <c r="AL378" s="60">
        <v>0</v>
      </c>
      <c r="AM378" s="60">
        <v>0</v>
      </c>
      <c r="AN378" s="60">
        <v>0</v>
      </c>
      <c r="AO378" s="60">
        <v>8865.7000000000007</v>
      </c>
      <c r="AP378" s="60">
        <v>8508.2999999999993</v>
      </c>
      <c r="AQ378" s="60">
        <v>8979.9</v>
      </c>
      <c r="AR378" s="61">
        <v>8979.9</v>
      </c>
    </row>
    <row r="379" spans="1:44" x14ac:dyDescent="0.35">
      <c r="A379" s="49" t="str">
        <f t="shared" si="29"/>
        <v>07</v>
      </c>
      <c r="B379" s="27">
        <v>61705</v>
      </c>
      <c r="C379" s="25" t="str">
        <f t="shared" si="28"/>
        <v>0000000</v>
      </c>
      <c r="D379" s="26" t="s">
        <v>3663</v>
      </c>
      <c r="E379" s="25" t="s">
        <v>295</v>
      </c>
      <c r="F379" s="25" t="s">
        <v>256</v>
      </c>
      <c r="G379" s="59" t="s">
        <v>296</v>
      </c>
      <c r="H379" s="60">
        <v>540.34</v>
      </c>
      <c r="I379" s="60">
        <v>527.21</v>
      </c>
      <c r="J379" s="60">
        <v>583.05999999999995</v>
      </c>
      <c r="K379" s="60">
        <v>0</v>
      </c>
      <c r="L379" s="60">
        <v>0</v>
      </c>
      <c r="M379" s="60">
        <v>0</v>
      </c>
      <c r="N379" s="60">
        <v>0</v>
      </c>
      <c r="O379" s="60">
        <v>0</v>
      </c>
      <c r="P379" s="60">
        <v>0</v>
      </c>
      <c r="Q379" s="60">
        <v>0</v>
      </c>
      <c r="R379" s="60">
        <v>0</v>
      </c>
      <c r="S379" s="60">
        <v>0</v>
      </c>
      <c r="T379" s="60">
        <v>0</v>
      </c>
      <c r="U379" s="60">
        <v>0</v>
      </c>
      <c r="V379" s="60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0">
        <v>0</v>
      </c>
      <c r="AE379" s="60">
        <v>0</v>
      </c>
      <c r="AF379" s="60">
        <v>0</v>
      </c>
      <c r="AG379" s="60">
        <v>0</v>
      </c>
      <c r="AH379" s="60">
        <v>0</v>
      </c>
      <c r="AI379" s="60">
        <v>540.34</v>
      </c>
      <c r="AJ379" s="60">
        <v>527.21</v>
      </c>
      <c r="AK379" s="60">
        <v>583.05999999999995</v>
      </c>
      <c r="AL379" s="60">
        <v>0</v>
      </c>
      <c r="AM379" s="60">
        <v>0</v>
      </c>
      <c r="AN379" s="60">
        <v>0</v>
      </c>
      <c r="AO379" s="60">
        <v>540.34</v>
      </c>
      <c r="AP379" s="60">
        <v>527.21</v>
      </c>
      <c r="AQ379" s="60">
        <v>583.05999999999995</v>
      </c>
      <c r="AR379" s="61">
        <v>583.05999999999995</v>
      </c>
    </row>
    <row r="380" spans="1:44" x14ac:dyDescent="0.35">
      <c r="A380" s="49" t="str">
        <f t="shared" si="29"/>
        <v>07</v>
      </c>
      <c r="B380" s="27">
        <v>61713</v>
      </c>
      <c r="C380" s="25" t="str">
        <f t="shared" si="28"/>
        <v>0000000</v>
      </c>
      <c r="D380" s="26" t="s">
        <v>3663</v>
      </c>
      <c r="E380" s="25" t="s">
        <v>297</v>
      </c>
      <c r="F380" s="25" t="s">
        <v>256</v>
      </c>
      <c r="G380" s="59" t="s">
        <v>298</v>
      </c>
      <c r="H380" s="60">
        <v>3055.45</v>
      </c>
      <c r="I380" s="60">
        <v>3038.1</v>
      </c>
      <c r="J380" s="60">
        <v>3435.46</v>
      </c>
      <c r="K380" s="60">
        <v>0</v>
      </c>
      <c r="L380" s="60">
        <v>0</v>
      </c>
      <c r="M380" s="60">
        <v>0</v>
      </c>
      <c r="N380" s="60">
        <v>0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0">
        <v>0</v>
      </c>
      <c r="U380" s="60">
        <v>0</v>
      </c>
      <c r="V380" s="60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0">
        <v>0</v>
      </c>
      <c r="AE380" s="60">
        <v>0</v>
      </c>
      <c r="AF380" s="60">
        <v>0</v>
      </c>
      <c r="AG380" s="60">
        <v>0</v>
      </c>
      <c r="AH380" s="60">
        <v>0</v>
      </c>
      <c r="AI380" s="60">
        <v>3055.45</v>
      </c>
      <c r="AJ380" s="60">
        <v>3038.1</v>
      </c>
      <c r="AK380" s="60">
        <v>3435.46</v>
      </c>
      <c r="AL380" s="60">
        <v>0</v>
      </c>
      <c r="AM380" s="60">
        <v>0</v>
      </c>
      <c r="AN380" s="60">
        <v>0</v>
      </c>
      <c r="AO380" s="60">
        <v>3055.45</v>
      </c>
      <c r="AP380" s="60">
        <v>3038.1</v>
      </c>
      <c r="AQ380" s="60">
        <v>3435.46</v>
      </c>
      <c r="AR380" s="61">
        <v>3435.46</v>
      </c>
    </row>
    <row r="381" spans="1:44" x14ac:dyDescent="0.35">
      <c r="A381" s="49" t="str">
        <f t="shared" si="29"/>
        <v>07</v>
      </c>
      <c r="B381" s="27">
        <v>61747</v>
      </c>
      <c r="C381" s="25" t="str">
        <f t="shared" si="28"/>
        <v>0000000</v>
      </c>
      <c r="D381" s="26" t="s">
        <v>3663</v>
      </c>
      <c r="E381" s="25" t="s">
        <v>303</v>
      </c>
      <c r="F381" s="25" t="s">
        <v>256</v>
      </c>
      <c r="G381" s="59" t="s">
        <v>304</v>
      </c>
      <c r="H381" s="60">
        <v>1680.68</v>
      </c>
      <c r="I381" s="60">
        <v>1695.29</v>
      </c>
      <c r="J381" s="60">
        <v>1808.08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0">
        <v>0</v>
      </c>
      <c r="U381" s="60">
        <v>0</v>
      </c>
      <c r="V381" s="60">
        <v>0</v>
      </c>
      <c r="W381" s="60">
        <v>0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0">
        <v>0</v>
      </c>
      <c r="AD381" s="60">
        <v>0</v>
      </c>
      <c r="AE381" s="60">
        <v>0</v>
      </c>
      <c r="AF381" s="60">
        <v>0</v>
      </c>
      <c r="AG381" s="60">
        <v>0</v>
      </c>
      <c r="AH381" s="60">
        <v>0</v>
      </c>
      <c r="AI381" s="60">
        <v>1680.68</v>
      </c>
      <c r="AJ381" s="60">
        <v>1695.29</v>
      </c>
      <c r="AK381" s="60">
        <v>1808.08</v>
      </c>
      <c r="AL381" s="60">
        <v>0</v>
      </c>
      <c r="AM381" s="60">
        <v>0</v>
      </c>
      <c r="AN381" s="60">
        <v>0</v>
      </c>
      <c r="AO381" s="60">
        <v>1680.68</v>
      </c>
      <c r="AP381" s="60">
        <v>1695.29</v>
      </c>
      <c r="AQ381" s="60">
        <v>1808.08</v>
      </c>
      <c r="AR381" s="61">
        <v>1808.08</v>
      </c>
    </row>
    <row r="382" spans="1:44" x14ac:dyDescent="0.35">
      <c r="A382" s="49" t="str">
        <f t="shared" si="29"/>
        <v>07</v>
      </c>
      <c r="B382" s="27">
        <v>61762</v>
      </c>
      <c r="C382" s="25" t="str">
        <f t="shared" si="28"/>
        <v>0000000</v>
      </c>
      <c r="D382" s="26" t="s">
        <v>3663</v>
      </c>
      <c r="E382" s="25" t="s">
        <v>309</v>
      </c>
      <c r="F382" s="25" t="s">
        <v>256</v>
      </c>
      <c r="G382" s="59" t="s">
        <v>310</v>
      </c>
      <c r="H382" s="60">
        <v>4662.37</v>
      </c>
      <c r="I382" s="60">
        <v>4440.0600000000004</v>
      </c>
      <c r="J382" s="60">
        <v>4967.8999999999996</v>
      </c>
      <c r="K382" s="60">
        <v>0</v>
      </c>
      <c r="L382" s="60">
        <v>0</v>
      </c>
      <c r="M382" s="60">
        <v>0</v>
      </c>
      <c r="N382" s="60">
        <v>0</v>
      </c>
      <c r="O382" s="60">
        <v>0</v>
      </c>
      <c r="P382" s="60">
        <v>0</v>
      </c>
      <c r="Q382" s="60">
        <v>0</v>
      </c>
      <c r="R382" s="60">
        <v>0</v>
      </c>
      <c r="S382" s="60">
        <v>0</v>
      </c>
      <c r="T382" s="60">
        <v>0</v>
      </c>
      <c r="U382" s="60">
        <v>0</v>
      </c>
      <c r="V382" s="60">
        <v>0</v>
      </c>
      <c r="W382" s="60">
        <v>0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60">
        <v>0</v>
      </c>
      <c r="AE382" s="60">
        <v>0</v>
      </c>
      <c r="AF382" s="60">
        <v>0</v>
      </c>
      <c r="AG382" s="60">
        <v>0</v>
      </c>
      <c r="AH382" s="60">
        <v>0</v>
      </c>
      <c r="AI382" s="60">
        <v>4662.37</v>
      </c>
      <c r="AJ382" s="60">
        <v>4440.0600000000004</v>
      </c>
      <c r="AK382" s="60">
        <v>4967.8999999999996</v>
      </c>
      <c r="AL382" s="60">
        <v>0</v>
      </c>
      <c r="AM382" s="60">
        <v>0</v>
      </c>
      <c r="AN382" s="60">
        <v>0</v>
      </c>
      <c r="AO382" s="60">
        <v>4662.37</v>
      </c>
      <c r="AP382" s="60">
        <v>4440.0600000000004</v>
      </c>
      <c r="AQ382" s="60">
        <v>4967.8999999999996</v>
      </c>
      <c r="AR382" s="61">
        <v>4967.8999999999996</v>
      </c>
    </row>
    <row r="383" spans="1:44" x14ac:dyDescent="0.35">
      <c r="A383" s="49" t="str">
        <f t="shared" si="29"/>
        <v>07</v>
      </c>
      <c r="B383" s="27">
        <v>61770</v>
      </c>
      <c r="C383" s="25" t="str">
        <f t="shared" si="28"/>
        <v>0000000</v>
      </c>
      <c r="D383" s="26" t="s">
        <v>3663</v>
      </c>
      <c r="E383" s="25" t="s">
        <v>311</v>
      </c>
      <c r="F383" s="25" t="s">
        <v>256</v>
      </c>
      <c r="G383" s="59" t="s">
        <v>312</v>
      </c>
      <c r="H383" s="60">
        <v>2411.21</v>
      </c>
      <c r="I383" s="60">
        <v>2420.15</v>
      </c>
      <c r="J383" s="60">
        <v>2482.7800000000002</v>
      </c>
      <c r="K383" s="60">
        <v>0</v>
      </c>
      <c r="L383" s="60">
        <v>0</v>
      </c>
      <c r="M383" s="60">
        <v>0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>
        <v>0</v>
      </c>
      <c r="U383" s="60">
        <v>0</v>
      </c>
      <c r="V383" s="60">
        <v>0</v>
      </c>
      <c r="W383" s="60">
        <v>0</v>
      </c>
      <c r="X383" s="60">
        <v>0</v>
      </c>
      <c r="Y383" s="60">
        <v>0</v>
      </c>
      <c r="Z383" s="60">
        <v>0</v>
      </c>
      <c r="AA383" s="60">
        <v>0</v>
      </c>
      <c r="AB383" s="60">
        <v>0</v>
      </c>
      <c r="AC383" s="60">
        <v>0</v>
      </c>
      <c r="AD383" s="60">
        <v>0</v>
      </c>
      <c r="AE383" s="60">
        <v>0</v>
      </c>
      <c r="AF383" s="60">
        <v>0</v>
      </c>
      <c r="AG383" s="60">
        <v>0</v>
      </c>
      <c r="AH383" s="60">
        <v>0</v>
      </c>
      <c r="AI383" s="60">
        <v>2411.21</v>
      </c>
      <c r="AJ383" s="60">
        <v>2420.15</v>
      </c>
      <c r="AK383" s="60">
        <v>2482.7800000000002</v>
      </c>
      <c r="AL383" s="60">
        <v>0</v>
      </c>
      <c r="AM383" s="60">
        <v>0</v>
      </c>
      <c r="AN383" s="60">
        <v>0</v>
      </c>
      <c r="AO383" s="60">
        <v>2411.21</v>
      </c>
      <c r="AP383" s="60">
        <v>2420.15</v>
      </c>
      <c r="AQ383" s="60">
        <v>2482.7800000000002</v>
      </c>
      <c r="AR383" s="61">
        <v>2482.7800000000002</v>
      </c>
    </row>
    <row r="384" spans="1:44" x14ac:dyDescent="0.35">
      <c r="A384" s="49" t="str">
        <f t="shared" si="29"/>
        <v>07</v>
      </c>
      <c r="B384" s="27">
        <v>61812</v>
      </c>
      <c r="C384" s="25" t="str">
        <f t="shared" si="28"/>
        <v>0000000</v>
      </c>
      <c r="D384" s="26" t="s">
        <v>3663</v>
      </c>
      <c r="E384" s="25" t="s">
        <v>334</v>
      </c>
      <c r="F384" s="25" t="s">
        <v>256</v>
      </c>
      <c r="G384" s="59" t="s">
        <v>335</v>
      </c>
      <c r="H384" s="60">
        <v>3259.7</v>
      </c>
      <c r="I384" s="60">
        <v>3164.54</v>
      </c>
      <c r="J384" s="60">
        <v>3444.41</v>
      </c>
      <c r="K384" s="60">
        <v>0</v>
      </c>
      <c r="L384" s="60">
        <v>0</v>
      </c>
      <c r="M384" s="60">
        <v>0</v>
      </c>
      <c r="N384" s="60">
        <v>0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0">
        <v>0</v>
      </c>
      <c r="U384" s="60">
        <v>0</v>
      </c>
      <c r="V384" s="60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0">
        <v>0</v>
      </c>
      <c r="AE384" s="60">
        <v>0</v>
      </c>
      <c r="AF384" s="60">
        <v>0</v>
      </c>
      <c r="AG384" s="60">
        <v>0</v>
      </c>
      <c r="AH384" s="60">
        <v>0</v>
      </c>
      <c r="AI384" s="60">
        <v>3259.7</v>
      </c>
      <c r="AJ384" s="60">
        <v>3164.54</v>
      </c>
      <c r="AK384" s="60">
        <v>3444.41</v>
      </c>
      <c r="AL384" s="60">
        <v>0</v>
      </c>
      <c r="AM384" s="60">
        <v>0</v>
      </c>
      <c r="AN384" s="60">
        <v>0</v>
      </c>
      <c r="AO384" s="60">
        <v>3259.7</v>
      </c>
      <c r="AP384" s="60">
        <v>3164.54</v>
      </c>
      <c r="AQ384" s="60">
        <v>3444.41</v>
      </c>
      <c r="AR384" s="61">
        <v>3444.41</v>
      </c>
    </row>
    <row r="385" spans="1:44" x14ac:dyDescent="0.35">
      <c r="A385" s="49" t="str">
        <f t="shared" si="29"/>
        <v>07</v>
      </c>
      <c r="B385" s="27">
        <v>61721</v>
      </c>
      <c r="C385" s="25" t="str">
        <f t="shared" si="28"/>
        <v>0000000</v>
      </c>
      <c r="D385" s="26" t="s">
        <v>3663</v>
      </c>
      <c r="E385" s="25" t="s">
        <v>299</v>
      </c>
      <c r="F385" s="25" t="s">
        <v>256</v>
      </c>
      <c r="G385" s="59" t="s">
        <v>300</v>
      </c>
      <c r="H385" s="60">
        <v>7576.22</v>
      </c>
      <c r="I385" s="60">
        <v>7530.08</v>
      </c>
      <c r="J385" s="60">
        <v>7860.29</v>
      </c>
      <c r="K385" s="60">
        <v>0</v>
      </c>
      <c r="L385" s="60">
        <v>0</v>
      </c>
      <c r="M385" s="60">
        <v>0</v>
      </c>
      <c r="N385" s="60">
        <v>0</v>
      </c>
      <c r="O385" s="60">
        <v>0</v>
      </c>
      <c r="P385" s="60">
        <v>0</v>
      </c>
      <c r="Q385" s="60">
        <v>0</v>
      </c>
      <c r="R385" s="60">
        <v>0</v>
      </c>
      <c r="S385" s="60">
        <v>0</v>
      </c>
      <c r="T385" s="60">
        <v>0</v>
      </c>
      <c r="U385" s="60">
        <v>0</v>
      </c>
      <c r="V385" s="60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0">
        <v>0</v>
      </c>
      <c r="AE385" s="60">
        <v>0</v>
      </c>
      <c r="AF385" s="60">
        <v>0</v>
      </c>
      <c r="AG385" s="60">
        <v>0</v>
      </c>
      <c r="AH385" s="60">
        <v>0</v>
      </c>
      <c r="AI385" s="60">
        <v>7576.22</v>
      </c>
      <c r="AJ385" s="60">
        <v>7530.08</v>
      </c>
      <c r="AK385" s="60">
        <v>7860.29</v>
      </c>
      <c r="AL385" s="60">
        <v>0</v>
      </c>
      <c r="AM385" s="60">
        <v>0</v>
      </c>
      <c r="AN385" s="60">
        <v>0</v>
      </c>
      <c r="AO385" s="60">
        <v>7576.22</v>
      </c>
      <c r="AP385" s="60">
        <v>7530.08</v>
      </c>
      <c r="AQ385" s="60">
        <v>7860.29</v>
      </c>
      <c r="AR385" s="61">
        <v>7860.29</v>
      </c>
    </row>
    <row r="386" spans="1:44" x14ac:dyDescent="0.35">
      <c r="A386" s="49" t="str">
        <f t="shared" si="29"/>
        <v>07</v>
      </c>
      <c r="B386" s="27">
        <v>61648</v>
      </c>
      <c r="C386" s="25" t="str">
        <f t="shared" si="28"/>
        <v>0000000</v>
      </c>
      <c r="D386" s="26" t="s">
        <v>3663</v>
      </c>
      <c r="E386" s="25" t="s">
        <v>277</v>
      </c>
      <c r="F386" s="25" t="s">
        <v>256</v>
      </c>
      <c r="G386" s="59" t="s">
        <v>278</v>
      </c>
      <c r="H386" s="60">
        <v>13625.13</v>
      </c>
      <c r="I386" s="60">
        <v>13626.02</v>
      </c>
      <c r="J386" s="60">
        <v>15148.06</v>
      </c>
      <c r="K386" s="60">
        <v>0</v>
      </c>
      <c r="L386" s="60">
        <v>0</v>
      </c>
      <c r="M386" s="60">
        <v>0</v>
      </c>
      <c r="N386" s="60">
        <v>0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0">
        <v>0</v>
      </c>
      <c r="U386" s="60">
        <v>0</v>
      </c>
      <c r="V386" s="60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0">
        <v>0</v>
      </c>
      <c r="AE386" s="60">
        <v>0</v>
      </c>
      <c r="AF386" s="60">
        <v>0</v>
      </c>
      <c r="AG386" s="60">
        <v>0</v>
      </c>
      <c r="AH386" s="60">
        <v>0</v>
      </c>
      <c r="AI386" s="60">
        <v>13625.13</v>
      </c>
      <c r="AJ386" s="60">
        <v>13626.02</v>
      </c>
      <c r="AK386" s="60">
        <v>15148.06</v>
      </c>
      <c r="AL386" s="60">
        <v>0</v>
      </c>
      <c r="AM386" s="60">
        <v>0</v>
      </c>
      <c r="AN386" s="60">
        <v>0</v>
      </c>
      <c r="AO386" s="60">
        <v>13625.13</v>
      </c>
      <c r="AP386" s="60">
        <v>13626.02</v>
      </c>
      <c r="AQ386" s="60">
        <v>15148.06</v>
      </c>
      <c r="AR386" s="61">
        <v>15148.06</v>
      </c>
    </row>
    <row r="387" spans="1:44" x14ac:dyDescent="0.35">
      <c r="A387" s="49" t="str">
        <f t="shared" si="29"/>
        <v>07</v>
      </c>
      <c r="B387" s="27">
        <v>61739</v>
      </c>
      <c r="C387" s="25" t="str">
        <f t="shared" si="28"/>
        <v>0000000</v>
      </c>
      <c r="D387" s="26" t="s">
        <v>3663</v>
      </c>
      <c r="E387" s="25" t="s">
        <v>301</v>
      </c>
      <c r="F387" s="25" t="s">
        <v>256</v>
      </c>
      <c r="G387" s="59" t="s">
        <v>302</v>
      </c>
      <c r="H387" s="60">
        <v>3525.7</v>
      </c>
      <c r="I387" s="60">
        <v>3581.81</v>
      </c>
      <c r="J387" s="60">
        <v>3970.12</v>
      </c>
      <c r="K387" s="60">
        <v>0</v>
      </c>
      <c r="L387" s="60">
        <v>0</v>
      </c>
      <c r="M387" s="60">
        <v>0</v>
      </c>
      <c r="N387" s="60">
        <v>0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0</v>
      </c>
      <c r="U387" s="60">
        <v>0</v>
      </c>
      <c r="V387" s="60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0">
        <v>0</v>
      </c>
      <c r="AE387" s="60">
        <v>0</v>
      </c>
      <c r="AF387" s="60">
        <v>0</v>
      </c>
      <c r="AG387" s="60">
        <v>0</v>
      </c>
      <c r="AH387" s="60">
        <v>0</v>
      </c>
      <c r="AI387" s="60">
        <v>3525.7</v>
      </c>
      <c r="AJ387" s="60">
        <v>3581.81</v>
      </c>
      <c r="AK387" s="60">
        <v>3970.12</v>
      </c>
      <c r="AL387" s="60">
        <v>0</v>
      </c>
      <c r="AM387" s="60">
        <v>0</v>
      </c>
      <c r="AN387" s="60">
        <v>0</v>
      </c>
      <c r="AO387" s="60">
        <v>3525.7</v>
      </c>
      <c r="AP387" s="60">
        <v>3581.81</v>
      </c>
      <c r="AQ387" s="60">
        <v>3970.12</v>
      </c>
      <c r="AR387" s="61">
        <v>3970.12</v>
      </c>
    </row>
    <row r="388" spans="1:44" x14ac:dyDescent="0.35">
      <c r="A388" s="49" t="str">
        <f t="shared" si="29"/>
        <v>07</v>
      </c>
      <c r="B388" s="27">
        <v>61788</v>
      </c>
      <c r="C388" s="25" t="str">
        <f t="shared" si="28"/>
        <v>0000000</v>
      </c>
      <c r="D388" s="26" t="s">
        <v>3663</v>
      </c>
      <c r="E388" s="25" t="s">
        <v>313</v>
      </c>
      <c r="F388" s="25" t="s">
        <v>256</v>
      </c>
      <c r="G388" s="59" t="s">
        <v>314</v>
      </c>
      <c r="H388" s="60">
        <v>9599.7099999999991</v>
      </c>
      <c r="I388" s="60">
        <v>9417.39</v>
      </c>
      <c r="J388" s="60">
        <v>10770.46</v>
      </c>
      <c r="K388" s="60">
        <v>0</v>
      </c>
      <c r="L388" s="60">
        <v>0</v>
      </c>
      <c r="M388" s="60">
        <v>0</v>
      </c>
      <c r="N388" s="60">
        <v>0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0">
        <v>0</v>
      </c>
      <c r="AE388" s="60">
        <v>0</v>
      </c>
      <c r="AF388" s="60">
        <v>0</v>
      </c>
      <c r="AG388" s="60">
        <v>0</v>
      </c>
      <c r="AH388" s="60">
        <v>0</v>
      </c>
      <c r="AI388" s="60">
        <v>9599.7099999999991</v>
      </c>
      <c r="AJ388" s="60">
        <v>9417.39</v>
      </c>
      <c r="AK388" s="60">
        <v>10770.46</v>
      </c>
      <c r="AL388" s="60">
        <v>0</v>
      </c>
      <c r="AM388" s="60">
        <v>0</v>
      </c>
      <c r="AN388" s="60">
        <v>0</v>
      </c>
      <c r="AO388" s="60">
        <v>9599.7099999999991</v>
      </c>
      <c r="AP388" s="60">
        <v>9417.39</v>
      </c>
      <c r="AQ388" s="60">
        <v>10770.46</v>
      </c>
      <c r="AR388" s="61">
        <v>10770.46</v>
      </c>
    </row>
    <row r="389" spans="1:44" x14ac:dyDescent="0.35">
      <c r="A389" s="49" t="str">
        <f t="shared" si="29"/>
        <v>07</v>
      </c>
      <c r="B389" s="27">
        <v>10074</v>
      </c>
      <c r="C389" s="25" t="str">
        <f t="shared" si="28"/>
        <v>0000000</v>
      </c>
      <c r="D389" s="26" t="s">
        <v>3663</v>
      </c>
      <c r="E389" s="25" t="s">
        <v>257</v>
      </c>
      <c r="F389" s="25" t="s">
        <v>256</v>
      </c>
      <c r="G389" s="59" t="s">
        <v>258</v>
      </c>
      <c r="H389" s="60">
        <v>0</v>
      </c>
      <c r="I389" s="60">
        <v>0</v>
      </c>
      <c r="J389" s="60">
        <v>0</v>
      </c>
      <c r="K389" s="60">
        <v>0</v>
      </c>
      <c r="L389" s="60">
        <v>0</v>
      </c>
      <c r="M389" s="60">
        <v>0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0">
        <v>62.27</v>
      </c>
      <c r="U389" s="60">
        <v>56.82</v>
      </c>
      <c r="V389" s="60">
        <v>158.4</v>
      </c>
      <c r="W389" s="60">
        <v>213.96</v>
      </c>
      <c r="X389" s="60">
        <v>208.91</v>
      </c>
      <c r="Y389" s="60">
        <v>284.5</v>
      </c>
      <c r="Z389" s="60">
        <v>0</v>
      </c>
      <c r="AA389" s="60">
        <v>0</v>
      </c>
      <c r="AB389" s="60">
        <v>0</v>
      </c>
      <c r="AC389" s="60">
        <v>0</v>
      </c>
      <c r="AD389" s="60">
        <v>0</v>
      </c>
      <c r="AE389" s="60">
        <v>0</v>
      </c>
      <c r="AF389" s="60">
        <v>0</v>
      </c>
      <c r="AG389" s="60">
        <v>0</v>
      </c>
      <c r="AH389" s="60">
        <v>0</v>
      </c>
      <c r="AI389" s="60">
        <v>276.23</v>
      </c>
      <c r="AJ389" s="60">
        <v>265.73</v>
      </c>
      <c r="AK389" s="60">
        <v>442.9</v>
      </c>
      <c r="AL389" s="60">
        <v>0</v>
      </c>
      <c r="AM389" s="60">
        <v>0</v>
      </c>
      <c r="AN389" s="60">
        <v>0</v>
      </c>
      <c r="AO389" s="60">
        <v>276.23</v>
      </c>
      <c r="AP389" s="60">
        <v>265.73</v>
      </c>
      <c r="AQ389" s="60">
        <v>442.9</v>
      </c>
      <c r="AR389" s="61">
        <v>442.9</v>
      </c>
    </row>
    <row r="390" spans="1:44" x14ac:dyDescent="0.35">
      <c r="A390" s="49" t="str">
        <f t="shared" si="29"/>
        <v>07</v>
      </c>
      <c r="B390" s="27">
        <v>61671</v>
      </c>
      <c r="C390" s="25" t="str">
        <f t="shared" si="28"/>
        <v>0000000</v>
      </c>
      <c r="D390" s="26" t="s">
        <v>3663</v>
      </c>
      <c r="E390" s="25" t="s">
        <v>293</v>
      </c>
      <c r="F390" s="25" t="s">
        <v>256</v>
      </c>
      <c r="G390" s="59" t="s">
        <v>294</v>
      </c>
      <c r="H390" s="60">
        <v>59.56</v>
      </c>
      <c r="I390" s="60">
        <v>67.45</v>
      </c>
      <c r="J390" s="60">
        <v>68.8</v>
      </c>
      <c r="K390" s="60">
        <v>0</v>
      </c>
      <c r="L390" s="60">
        <v>0</v>
      </c>
      <c r="M390" s="60">
        <v>0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0</v>
      </c>
      <c r="U390" s="60">
        <v>0</v>
      </c>
      <c r="V390" s="60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v>0</v>
      </c>
      <c r="AD390" s="60">
        <v>0</v>
      </c>
      <c r="AE390" s="60">
        <v>0</v>
      </c>
      <c r="AF390" s="60">
        <v>0</v>
      </c>
      <c r="AG390" s="60">
        <v>0</v>
      </c>
      <c r="AH390" s="60">
        <v>0</v>
      </c>
      <c r="AI390" s="60">
        <v>59.56</v>
      </c>
      <c r="AJ390" s="60">
        <v>67.45</v>
      </c>
      <c r="AK390" s="60">
        <v>68.8</v>
      </c>
      <c r="AL390" s="60">
        <v>0</v>
      </c>
      <c r="AM390" s="60">
        <v>0</v>
      </c>
      <c r="AN390" s="60">
        <v>0</v>
      </c>
      <c r="AO390" s="60">
        <v>59.56</v>
      </c>
      <c r="AP390" s="60">
        <v>67.45</v>
      </c>
      <c r="AQ390" s="60">
        <v>68.8</v>
      </c>
      <c r="AR390" s="61">
        <v>68.8</v>
      </c>
    </row>
    <row r="391" spans="1:44" x14ac:dyDescent="0.35">
      <c r="A391" s="49" t="str">
        <f t="shared" si="29"/>
        <v>07</v>
      </c>
      <c r="B391" s="27">
        <v>61630</v>
      </c>
      <c r="C391" s="25" t="str">
        <f t="shared" si="28"/>
        <v>0000000</v>
      </c>
      <c r="D391" s="26" t="s">
        <v>3663</v>
      </c>
      <c r="E391" s="25" t="s">
        <v>275</v>
      </c>
      <c r="F391" s="25" t="s">
        <v>256</v>
      </c>
      <c r="G391" s="59" t="s">
        <v>276</v>
      </c>
      <c r="H391" s="60">
        <v>5154.1499999999996</v>
      </c>
      <c r="I391" s="60">
        <v>5191.95</v>
      </c>
      <c r="J391" s="60">
        <v>5413.25</v>
      </c>
      <c r="K391" s="60">
        <v>0</v>
      </c>
      <c r="L391" s="60">
        <v>0</v>
      </c>
      <c r="M391" s="60">
        <v>0</v>
      </c>
      <c r="N391" s="60">
        <v>0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60">
        <v>0</v>
      </c>
      <c r="AE391" s="60">
        <v>0</v>
      </c>
      <c r="AF391" s="60">
        <v>0</v>
      </c>
      <c r="AG391" s="60">
        <v>0</v>
      </c>
      <c r="AH391" s="60">
        <v>0</v>
      </c>
      <c r="AI391" s="60">
        <v>5154.1499999999996</v>
      </c>
      <c r="AJ391" s="60">
        <v>5191.95</v>
      </c>
      <c r="AK391" s="60">
        <v>5413.25</v>
      </c>
      <c r="AL391" s="60">
        <v>0</v>
      </c>
      <c r="AM391" s="60">
        <v>0</v>
      </c>
      <c r="AN391" s="60">
        <v>0</v>
      </c>
      <c r="AO391" s="60">
        <v>5154.1499999999996</v>
      </c>
      <c r="AP391" s="60">
        <v>5191.95</v>
      </c>
      <c r="AQ391" s="60">
        <v>5413.25</v>
      </c>
      <c r="AR391" s="61">
        <v>5413.25</v>
      </c>
    </row>
    <row r="392" spans="1:44" x14ac:dyDescent="0.35">
      <c r="A392" s="49" t="str">
        <f t="shared" si="29"/>
        <v>07</v>
      </c>
      <c r="B392" s="27">
        <v>61663</v>
      </c>
      <c r="C392" s="25" t="str">
        <f t="shared" si="28"/>
        <v>0000000</v>
      </c>
      <c r="D392" s="26" t="s">
        <v>3663</v>
      </c>
      <c r="E392" s="25" t="s">
        <v>289</v>
      </c>
      <c r="F392" s="25" t="s">
        <v>256</v>
      </c>
      <c r="G392" s="59" t="s">
        <v>290</v>
      </c>
      <c r="H392" s="60">
        <v>1143.1600000000001</v>
      </c>
      <c r="I392" s="60">
        <v>1161.01</v>
      </c>
      <c r="J392" s="60">
        <v>1384.45</v>
      </c>
      <c r="K392" s="60">
        <v>0</v>
      </c>
      <c r="L392" s="60">
        <v>0</v>
      </c>
      <c r="M392" s="60">
        <v>0</v>
      </c>
      <c r="N392" s="60">
        <v>0</v>
      </c>
      <c r="O392" s="60">
        <v>0</v>
      </c>
      <c r="P392" s="60">
        <v>0</v>
      </c>
      <c r="Q392" s="60">
        <v>0</v>
      </c>
      <c r="R392" s="60">
        <v>0</v>
      </c>
      <c r="S392" s="60">
        <v>0</v>
      </c>
      <c r="T392" s="60">
        <v>0</v>
      </c>
      <c r="U392" s="60">
        <v>0</v>
      </c>
      <c r="V392" s="60">
        <v>0</v>
      </c>
      <c r="W392" s="60">
        <v>0</v>
      </c>
      <c r="X392" s="60">
        <v>0</v>
      </c>
      <c r="Y392" s="60">
        <v>0</v>
      </c>
      <c r="Z392" s="60">
        <v>0</v>
      </c>
      <c r="AA392" s="60">
        <v>0</v>
      </c>
      <c r="AB392" s="60">
        <v>0</v>
      </c>
      <c r="AC392" s="60">
        <v>0</v>
      </c>
      <c r="AD392" s="60">
        <v>0</v>
      </c>
      <c r="AE392" s="60">
        <v>0</v>
      </c>
      <c r="AF392" s="60">
        <v>0</v>
      </c>
      <c r="AG392" s="60">
        <v>0</v>
      </c>
      <c r="AH392" s="60">
        <v>0</v>
      </c>
      <c r="AI392" s="60">
        <v>1143.1600000000001</v>
      </c>
      <c r="AJ392" s="60">
        <v>1161.01</v>
      </c>
      <c r="AK392" s="60">
        <v>1384.45</v>
      </c>
      <c r="AL392" s="60">
        <v>0</v>
      </c>
      <c r="AM392" s="60">
        <v>0</v>
      </c>
      <c r="AN392" s="60">
        <v>0</v>
      </c>
      <c r="AO392" s="60">
        <v>1143.1600000000001</v>
      </c>
      <c r="AP392" s="60">
        <v>1161.01</v>
      </c>
      <c r="AQ392" s="60">
        <v>1384.45</v>
      </c>
      <c r="AR392" s="61">
        <v>1384.45</v>
      </c>
    </row>
    <row r="393" spans="1:44" x14ac:dyDescent="0.35">
      <c r="A393" s="49" t="str">
        <f t="shared" si="29"/>
        <v>07</v>
      </c>
      <c r="B393" s="27">
        <v>61796</v>
      </c>
      <c r="C393" s="25" t="str">
        <f t="shared" si="28"/>
        <v>0000000</v>
      </c>
      <c r="D393" s="26" t="s">
        <v>3663</v>
      </c>
      <c r="E393" s="25" t="s">
        <v>315</v>
      </c>
      <c r="F393" s="25" t="s">
        <v>316</v>
      </c>
      <c r="G393" s="59" t="s">
        <v>316</v>
      </c>
      <c r="H393" s="60">
        <v>23309.66</v>
      </c>
      <c r="I393" s="60">
        <v>23503.96</v>
      </c>
      <c r="J393" s="60">
        <v>26590.7</v>
      </c>
      <c r="K393" s="60">
        <v>0</v>
      </c>
      <c r="L393" s="60">
        <v>0</v>
      </c>
      <c r="M393" s="60">
        <v>0</v>
      </c>
      <c r="N393" s="60">
        <v>0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0">
        <v>0</v>
      </c>
      <c r="U393" s="60">
        <v>0</v>
      </c>
      <c r="V393" s="60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513.42999999999995</v>
      </c>
      <c r="AD393" s="60">
        <v>462.98</v>
      </c>
      <c r="AE393" s="60">
        <v>519.78</v>
      </c>
      <c r="AF393" s="60">
        <v>0</v>
      </c>
      <c r="AG393" s="60">
        <v>0</v>
      </c>
      <c r="AH393" s="60">
        <v>0</v>
      </c>
      <c r="AI393" s="60">
        <v>23823.09</v>
      </c>
      <c r="AJ393" s="60">
        <v>23966.94</v>
      </c>
      <c r="AK393" s="60">
        <v>27110.48</v>
      </c>
      <c r="AL393" s="60">
        <v>0</v>
      </c>
      <c r="AM393" s="60">
        <v>0</v>
      </c>
      <c r="AN393" s="60">
        <v>0</v>
      </c>
      <c r="AO393" s="60">
        <v>23823.09</v>
      </c>
      <c r="AP393" s="60">
        <v>23966.94</v>
      </c>
      <c r="AQ393" s="60">
        <v>27110.48</v>
      </c>
      <c r="AR393" s="61">
        <v>27110.48</v>
      </c>
    </row>
    <row r="394" spans="1:44" x14ac:dyDescent="0.35">
      <c r="A394" s="49" t="str">
        <f t="shared" si="29"/>
        <v>07</v>
      </c>
      <c r="B394" s="27">
        <v>61754</v>
      </c>
      <c r="C394" s="25" t="str">
        <f t="shared" si="28"/>
        <v>0000000</v>
      </c>
      <c r="D394" s="26" t="s">
        <v>3663</v>
      </c>
      <c r="E394" s="25" t="s">
        <v>305</v>
      </c>
      <c r="F394" s="25" t="s">
        <v>306</v>
      </c>
      <c r="G394" s="59" t="s">
        <v>306</v>
      </c>
      <c r="H394" s="60">
        <v>26513.29</v>
      </c>
      <c r="I394" s="60">
        <v>26487.58</v>
      </c>
      <c r="J394" s="60">
        <v>29122.07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281.74</v>
      </c>
      <c r="AD394" s="60">
        <v>288.83</v>
      </c>
      <c r="AE394" s="60">
        <v>311.39999999999998</v>
      </c>
      <c r="AF394" s="60">
        <v>0</v>
      </c>
      <c r="AG394" s="60">
        <v>0</v>
      </c>
      <c r="AH394" s="60">
        <v>0</v>
      </c>
      <c r="AI394" s="60">
        <v>26795.03</v>
      </c>
      <c r="AJ394" s="60">
        <v>26776.41</v>
      </c>
      <c r="AK394" s="60">
        <v>29433.47</v>
      </c>
      <c r="AL394" s="60">
        <v>0</v>
      </c>
      <c r="AM394" s="60">
        <v>0</v>
      </c>
      <c r="AN394" s="60">
        <v>0</v>
      </c>
      <c r="AO394" s="60">
        <v>26795.03</v>
      </c>
      <c r="AP394" s="60">
        <v>26776.41</v>
      </c>
      <c r="AQ394" s="60">
        <v>29433.47</v>
      </c>
      <c r="AR394" s="61">
        <v>29433.47</v>
      </c>
    </row>
    <row r="395" spans="1:44" x14ac:dyDescent="0.35">
      <c r="A395" s="49" t="str">
        <f>TEXT(15,"00")</f>
        <v>15</v>
      </c>
      <c r="B395" s="27">
        <v>63321</v>
      </c>
      <c r="C395" s="25" t="str">
        <f t="shared" si="28"/>
        <v>0000000</v>
      </c>
      <c r="D395" s="26" t="s">
        <v>3663</v>
      </c>
      <c r="E395" s="25" t="s">
        <v>651</v>
      </c>
      <c r="F395" s="25" t="s">
        <v>652</v>
      </c>
      <c r="G395" s="59" t="s">
        <v>652</v>
      </c>
      <c r="H395" s="60">
        <v>26388.720000000001</v>
      </c>
      <c r="I395" s="60">
        <v>24997.88</v>
      </c>
      <c r="J395" s="60">
        <v>29444.76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0</v>
      </c>
      <c r="AH395" s="60">
        <v>0</v>
      </c>
      <c r="AI395" s="60">
        <v>26388.720000000001</v>
      </c>
      <c r="AJ395" s="60">
        <v>24997.88</v>
      </c>
      <c r="AK395" s="60">
        <v>29444.76</v>
      </c>
      <c r="AL395" s="60">
        <v>0</v>
      </c>
      <c r="AM395" s="60">
        <v>0</v>
      </c>
      <c r="AN395" s="60">
        <v>0</v>
      </c>
      <c r="AO395" s="60">
        <v>26388.720000000001</v>
      </c>
      <c r="AP395" s="60">
        <v>24997.88</v>
      </c>
      <c r="AQ395" s="60">
        <v>29444.76</v>
      </c>
      <c r="AR395" s="61">
        <v>29444.76</v>
      </c>
    </row>
    <row r="396" spans="1:44" x14ac:dyDescent="0.35">
      <c r="A396" s="49" t="str">
        <f t="shared" ref="A396:A401" si="30">TEXT(58,"00")</f>
        <v>58</v>
      </c>
      <c r="B396" s="27">
        <v>10587</v>
      </c>
      <c r="C396" s="25" t="str">
        <f t="shared" si="28"/>
        <v>0000000</v>
      </c>
      <c r="D396" s="26" t="s">
        <v>3663</v>
      </c>
      <c r="E396" s="25" t="s">
        <v>350</v>
      </c>
      <c r="F396" s="25" t="s">
        <v>351</v>
      </c>
      <c r="G396" s="59" t="s">
        <v>351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51.66</v>
      </c>
      <c r="U396" s="60">
        <v>58.6</v>
      </c>
      <c r="V396" s="60">
        <v>66.59</v>
      </c>
      <c r="W396" s="60">
        <v>166.38</v>
      </c>
      <c r="X396" s="60">
        <v>134.22999999999999</v>
      </c>
      <c r="Y396" s="60">
        <v>159.93</v>
      </c>
      <c r="Z396" s="60">
        <v>195.76</v>
      </c>
      <c r="AA396" s="60">
        <v>174.63</v>
      </c>
      <c r="AB396" s="60">
        <v>226.83</v>
      </c>
      <c r="AC396" s="60">
        <v>157.76</v>
      </c>
      <c r="AD396" s="60">
        <v>123.13</v>
      </c>
      <c r="AE396" s="60">
        <v>114.5</v>
      </c>
      <c r="AF396" s="60">
        <v>0</v>
      </c>
      <c r="AG396" s="60">
        <v>0</v>
      </c>
      <c r="AH396" s="60">
        <v>0</v>
      </c>
      <c r="AI396" s="60">
        <v>571.55999999999995</v>
      </c>
      <c r="AJ396" s="60">
        <v>490.59</v>
      </c>
      <c r="AK396" s="60">
        <v>567.85</v>
      </c>
      <c r="AL396" s="60">
        <v>0</v>
      </c>
      <c r="AM396" s="60">
        <v>0</v>
      </c>
      <c r="AN396" s="60">
        <v>0</v>
      </c>
      <c r="AO396" s="60">
        <v>571.55999999999995</v>
      </c>
      <c r="AP396" s="60">
        <v>490.59</v>
      </c>
      <c r="AQ396" s="60">
        <v>567.85</v>
      </c>
      <c r="AR396" s="61">
        <v>571.55999999999995</v>
      </c>
    </row>
    <row r="397" spans="1:44" x14ac:dyDescent="0.35">
      <c r="A397" s="49" t="str">
        <f t="shared" si="30"/>
        <v>58</v>
      </c>
      <c r="B397" s="27">
        <v>72751</v>
      </c>
      <c r="C397" s="25" t="str">
        <f t="shared" si="28"/>
        <v>0000000</v>
      </c>
      <c r="D397" s="26" t="s">
        <v>3663</v>
      </c>
      <c r="E397" s="25" t="s">
        <v>3503</v>
      </c>
      <c r="F397" s="25" t="s">
        <v>351</v>
      </c>
      <c r="G397" s="59" t="s">
        <v>3504</v>
      </c>
      <c r="H397" s="60">
        <v>1180.0899999999999</v>
      </c>
      <c r="I397" s="60">
        <v>1166.69</v>
      </c>
      <c r="J397" s="60">
        <v>1247.1600000000001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81.12</v>
      </c>
      <c r="AD397" s="60">
        <v>82.81</v>
      </c>
      <c r="AE397" s="60">
        <v>89.57</v>
      </c>
      <c r="AF397" s="60">
        <v>0</v>
      </c>
      <c r="AG397" s="60">
        <v>0</v>
      </c>
      <c r="AH397" s="60">
        <v>0</v>
      </c>
      <c r="AI397" s="60">
        <v>1261.21</v>
      </c>
      <c r="AJ397" s="60">
        <v>1249.5</v>
      </c>
      <c r="AK397" s="60">
        <v>1336.73</v>
      </c>
      <c r="AL397" s="60">
        <v>0</v>
      </c>
      <c r="AM397" s="60">
        <v>0</v>
      </c>
      <c r="AN397" s="60">
        <v>0</v>
      </c>
      <c r="AO397" s="60">
        <v>1261.21</v>
      </c>
      <c r="AP397" s="60">
        <v>1249.5</v>
      </c>
      <c r="AQ397" s="60">
        <v>1336.73</v>
      </c>
      <c r="AR397" s="61">
        <v>1336.73</v>
      </c>
    </row>
    <row r="398" spans="1:44" x14ac:dyDescent="0.35">
      <c r="A398" s="49" t="str">
        <f t="shared" si="30"/>
        <v>58</v>
      </c>
      <c r="B398" s="27">
        <v>72769</v>
      </c>
      <c r="C398" s="25" t="str">
        <f t="shared" si="28"/>
        <v>0000000</v>
      </c>
      <c r="D398" s="26" t="s">
        <v>3663</v>
      </c>
      <c r="E398" s="25" t="s">
        <v>3505</v>
      </c>
      <c r="F398" s="25" t="s">
        <v>351</v>
      </c>
      <c r="G398" s="59" t="s">
        <v>3506</v>
      </c>
      <c r="H398" s="60">
        <v>1032.6500000000001</v>
      </c>
      <c r="I398" s="60">
        <v>991.49</v>
      </c>
      <c r="J398" s="60">
        <v>846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0</v>
      </c>
      <c r="AH398" s="60">
        <v>0</v>
      </c>
      <c r="AI398" s="60">
        <v>1032.6500000000001</v>
      </c>
      <c r="AJ398" s="60">
        <v>991.49</v>
      </c>
      <c r="AK398" s="60">
        <v>846</v>
      </c>
      <c r="AL398" s="60">
        <v>0</v>
      </c>
      <c r="AM398" s="60">
        <v>0</v>
      </c>
      <c r="AN398" s="60">
        <v>0</v>
      </c>
      <c r="AO398" s="60">
        <v>1032.6500000000001</v>
      </c>
      <c r="AP398" s="60">
        <v>991.49</v>
      </c>
      <c r="AQ398" s="60">
        <v>846</v>
      </c>
      <c r="AR398" s="61">
        <v>1032.6500000000001</v>
      </c>
    </row>
    <row r="399" spans="1:44" x14ac:dyDescent="0.35">
      <c r="A399" s="49" t="str">
        <f t="shared" si="30"/>
        <v>58</v>
      </c>
      <c r="B399" s="27">
        <v>72736</v>
      </c>
      <c r="C399" s="25" t="str">
        <f t="shared" si="28"/>
        <v>0000000</v>
      </c>
      <c r="D399" s="26" t="s">
        <v>3663</v>
      </c>
      <c r="E399" s="25" t="s">
        <v>3497</v>
      </c>
      <c r="F399" s="25" t="s">
        <v>351</v>
      </c>
      <c r="G399" s="59" t="s">
        <v>3498</v>
      </c>
      <c r="H399" s="60">
        <v>8930.42</v>
      </c>
      <c r="I399" s="60">
        <v>8575.48</v>
      </c>
      <c r="J399" s="60">
        <v>9148.42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342.35</v>
      </c>
      <c r="AD399" s="60">
        <v>321.5</v>
      </c>
      <c r="AE399" s="60">
        <v>373.18</v>
      </c>
      <c r="AF399" s="60">
        <v>0</v>
      </c>
      <c r="AG399" s="60">
        <v>0</v>
      </c>
      <c r="AH399" s="60">
        <v>0</v>
      </c>
      <c r="AI399" s="60">
        <v>9272.77</v>
      </c>
      <c r="AJ399" s="60">
        <v>8896.98</v>
      </c>
      <c r="AK399" s="60">
        <v>9521.6</v>
      </c>
      <c r="AL399" s="60">
        <v>0</v>
      </c>
      <c r="AM399" s="60">
        <v>0</v>
      </c>
      <c r="AN399" s="60">
        <v>0</v>
      </c>
      <c r="AO399" s="60">
        <v>9272.77</v>
      </c>
      <c r="AP399" s="60">
        <v>8896.98</v>
      </c>
      <c r="AQ399" s="60">
        <v>9521.6</v>
      </c>
      <c r="AR399" s="61">
        <v>9521.6</v>
      </c>
    </row>
    <row r="400" spans="1:44" x14ac:dyDescent="0.35">
      <c r="A400" s="49" t="str">
        <f t="shared" si="30"/>
        <v>58</v>
      </c>
      <c r="B400" s="27">
        <v>72728</v>
      </c>
      <c r="C400" s="25" t="str">
        <f t="shared" si="28"/>
        <v>0000000</v>
      </c>
      <c r="D400" s="26" t="s">
        <v>3663</v>
      </c>
      <c r="E400" s="25" t="s">
        <v>3495</v>
      </c>
      <c r="F400" s="25" t="s">
        <v>351</v>
      </c>
      <c r="G400" s="59" t="s">
        <v>3496</v>
      </c>
      <c r="H400" s="60">
        <v>45.74</v>
      </c>
      <c r="I400" s="60">
        <v>41.38</v>
      </c>
      <c r="J400" s="60">
        <v>46.78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457.26</v>
      </c>
      <c r="AD400" s="60">
        <v>453.11</v>
      </c>
      <c r="AE400" s="60">
        <v>467.59</v>
      </c>
      <c r="AF400" s="60">
        <v>0</v>
      </c>
      <c r="AG400" s="60">
        <v>0</v>
      </c>
      <c r="AH400" s="60">
        <v>0</v>
      </c>
      <c r="AI400" s="60">
        <v>503</v>
      </c>
      <c r="AJ400" s="60">
        <v>494.49</v>
      </c>
      <c r="AK400" s="60">
        <v>514.37</v>
      </c>
      <c r="AL400" s="60">
        <v>0</v>
      </c>
      <c r="AM400" s="60">
        <v>0</v>
      </c>
      <c r="AN400" s="60">
        <v>0</v>
      </c>
      <c r="AO400" s="60">
        <v>503</v>
      </c>
      <c r="AP400" s="60">
        <v>494.49</v>
      </c>
      <c r="AQ400" s="60">
        <v>514.37</v>
      </c>
      <c r="AR400" s="61">
        <v>514.37</v>
      </c>
    </row>
    <row r="401" spans="1:44" x14ac:dyDescent="0.35">
      <c r="A401" s="49" t="str">
        <f t="shared" si="30"/>
        <v>58</v>
      </c>
      <c r="B401" s="27">
        <v>72744</v>
      </c>
      <c r="C401" s="25" t="str">
        <f t="shared" si="28"/>
        <v>0000000</v>
      </c>
      <c r="D401" s="26" t="s">
        <v>3663</v>
      </c>
      <c r="E401" s="25" t="s">
        <v>3501</v>
      </c>
      <c r="F401" s="25" t="s">
        <v>351</v>
      </c>
      <c r="G401" s="59" t="s">
        <v>3502</v>
      </c>
      <c r="H401" s="60">
        <v>1458.98</v>
      </c>
      <c r="I401" s="60">
        <v>1340.98</v>
      </c>
      <c r="J401" s="60">
        <v>1322.56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1458.98</v>
      </c>
      <c r="AJ401" s="60">
        <v>1340.98</v>
      </c>
      <c r="AK401" s="60">
        <v>1322.56</v>
      </c>
      <c r="AL401" s="60">
        <v>0</v>
      </c>
      <c r="AM401" s="60">
        <v>0</v>
      </c>
      <c r="AN401" s="60">
        <v>0</v>
      </c>
      <c r="AO401" s="60">
        <v>1458.98</v>
      </c>
      <c r="AP401" s="60">
        <v>1340.98</v>
      </c>
      <c r="AQ401" s="60">
        <v>1322.56</v>
      </c>
      <c r="AR401" s="61">
        <v>1458.98</v>
      </c>
    </row>
    <row r="402" spans="1:44" x14ac:dyDescent="0.35">
      <c r="A402" s="49" t="str">
        <f>TEXT(34,"00")</f>
        <v>34</v>
      </c>
      <c r="B402" s="27">
        <v>67439</v>
      </c>
      <c r="C402" s="25" t="str">
        <f>TEXT(111757,"0000000")</f>
        <v>0111757</v>
      </c>
      <c r="D402" s="26" t="s">
        <v>1835</v>
      </c>
      <c r="E402" s="25" t="s">
        <v>1833</v>
      </c>
      <c r="F402" s="25" t="s">
        <v>351</v>
      </c>
      <c r="G402" s="59" t="s">
        <v>1834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326.22000000000003</v>
      </c>
      <c r="AD402" s="60">
        <v>320.8</v>
      </c>
      <c r="AE402" s="60">
        <v>317.10000000000002</v>
      </c>
      <c r="AF402" s="60">
        <v>0</v>
      </c>
      <c r="AG402" s="60">
        <v>0</v>
      </c>
      <c r="AH402" s="60">
        <v>0</v>
      </c>
      <c r="AI402" s="60">
        <v>326.22000000000003</v>
      </c>
      <c r="AJ402" s="60">
        <v>320.8</v>
      </c>
      <c r="AK402" s="60">
        <v>317.10000000000002</v>
      </c>
      <c r="AL402" s="60">
        <v>0</v>
      </c>
      <c r="AM402" s="60">
        <v>0</v>
      </c>
      <c r="AN402" s="60">
        <v>0</v>
      </c>
      <c r="AO402" s="60">
        <v>326.22000000000003</v>
      </c>
      <c r="AP402" s="60">
        <v>320.8</v>
      </c>
      <c r="AQ402" s="60">
        <v>317.10000000000002</v>
      </c>
      <c r="AR402" s="61">
        <v>326.22000000000003</v>
      </c>
    </row>
    <row r="403" spans="1:44" ht="31" x14ac:dyDescent="0.35">
      <c r="A403" s="49" t="str">
        <f>TEXT(34,"00")</f>
        <v>34</v>
      </c>
      <c r="B403" s="27">
        <v>67314</v>
      </c>
      <c r="C403" s="25" t="str">
        <f>TEXT(111732,"0000000")</f>
        <v>0111732</v>
      </c>
      <c r="D403" s="26" t="s">
        <v>1797</v>
      </c>
      <c r="E403" s="25" t="s">
        <v>1795</v>
      </c>
      <c r="F403" s="25" t="s">
        <v>351</v>
      </c>
      <c r="G403" s="59" t="s">
        <v>1796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0</v>
      </c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493.32</v>
      </c>
      <c r="AD403" s="60">
        <v>493.92</v>
      </c>
      <c r="AE403" s="60">
        <v>497.68</v>
      </c>
      <c r="AF403" s="60">
        <v>0</v>
      </c>
      <c r="AG403" s="60">
        <v>0</v>
      </c>
      <c r="AH403" s="60">
        <v>0</v>
      </c>
      <c r="AI403" s="60">
        <v>493.32</v>
      </c>
      <c r="AJ403" s="60">
        <v>493.92</v>
      </c>
      <c r="AK403" s="60">
        <v>497.68</v>
      </c>
      <c r="AL403" s="60">
        <v>0</v>
      </c>
      <c r="AM403" s="60">
        <v>0</v>
      </c>
      <c r="AN403" s="60">
        <v>0</v>
      </c>
      <c r="AO403" s="60">
        <v>493.32</v>
      </c>
      <c r="AP403" s="60">
        <v>493.92</v>
      </c>
      <c r="AQ403" s="60">
        <v>497.68</v>
      </c>
      <c r="AR403" s="61">
        <v>497.68</v>
      </c>
    </row>
    <row r="404" spans="1:44" ht="31" x14ac:dyDescent="0.35">
      <c r="A404" s="49" t="str">
        <f>TEXT(34,"00")</f>
        <v>34</v>
      </c>
      <c r="B404" s="27">
        <v>67447</v>
      </c>
      <c r="C404" s="25" t="str">
        <f>TEXT(112169,"0000000")</f>
        <v>0112169</v>
      </c>
      <c r="D404" s="26" t="s">
        <v>1848</v>
      </c>
      <c r="E404" s="25" t="s">
        <v>1846</v>
      </c>
      <c r="F404" s="25" t="s">
        <v>351</v>
      </c>
      <c r="G404" s="59" t="s">
        <v>1847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1311.99</v>
      </c>
      <c r="AD404" s="60">
        <v>1270.8499999999999</v>
      </c>
      <c r="AE404" s="60">
        <v>1334.2</v>
      </c>
      <c r="AF404" s="60">
        <v>0</v>
      </c>
      <c r="AG404" s="60">
        <v>0</v>
      </c>
      <c r="AH404" s="60">
        <v>0</v>
      </c>
      <c r="AI404" s="60">
        <v>1311.99</v>
      </c>
      <c r="AJ404" s="60">
        <v>1270.8499999999999</v>
      </c>
      <c r="AK404" s="60">
        <v>1334.2</v>
      </c>
      <c r="AL404" s="60">
        <v>0</v>
      </c>
      <c r="AM404" s="60">
        <v>0</v>
      </c>
      <c r="AN404" s="60">
        <v>0</v>
      </c>
      <c r="AO404" s="60">
        <v>1311.99</v>
      </c>
      <c r="AP404" s="60">
        <v>1270.8499999999999</v>
      </c>
      <c r="AQ404" s="60">
        <v>1334.2</v>
      </c>
      <c r="AR404" s="61">
        <v>1334.2</v>
      </c>
    </row>
    <row r="405" spans="1:44" ht="31" x14ac:dyDescent="0.35">
      <c r="A405" s="49" t="str">
        <f>TEXT(9,"00")</f>
        <v>09</v>
      </c>
      <c r="B405" s="27">
        <v>61838</v>
      </c>
      <c r="C405" s="25" t="str">
        <f>TEXT(111724,"0000000")</f>
        <v>0111724</v>
      </c>
      <c r="D405" s="26" t="s">
        <v>354</v>
      </c>
      <c r="E405" s="25" t="s">
        <v>352</v>
      </c>
      <c r="F405" s="25" t="s">
        <v>351</v>
      </c>
      <c r="G405" s="59" t="s">
        <v>353</v>
      </c>
      <c r="H405" s="60">
        <v>0</v>
      </c>
      <c r="I405" s="60">
        <v>0</v>
      </c>
      <c r="J405" s="60">
        <v>0</v>
      </c>
      <c r="K405" s="60">
        <v>0</v>
      </c>
      <c r="L405" s="60">
        <v>0</v>
      </c>
      <c r="M405" s="60">
        <v>0</v>
      </c>
      <c r="N405" s="60">
        <v>0</v>
      </c>
      <c r="O405" s="60">
        <v>0</v>
      </c>
      <c r="P405" s="60">
        <v>0</v>
      </c>
      <c r="Q405" s="60">
        <v>0</v>
      </c>
      <c r="R405" s="60">
        <v>0</v>
      </c>
      <c r="S405" s="60">
        <v>0</v>
      </c>
      <c r="T405" s="60">
        <v>0</v>
      </c>
      <c r="U405" s="60">
        <v>0</v>
      </c>
      <c r="V405" s="60">
        <v>0</v>
      </c>
      <c r="W405" s="60">
        <v>0</v>
      </c>
      <c r="X405" s="60">
        <v>0</v>
      </c>
      <c r="Y405" s="60">
        <v>0</v>
      </c>
      <c r="Z405" s="60">
        <v>0</v>
      </c>
      <c r="AA405" s="60">
        <v>0</v>
      </c>
      <c r="AB405" s="60">
        <v>0</v>
      </c>
      <c r="AC405" s="60">
        <v>475.23</v>
      </c>
      <c r="AD405" s="60">
        <v>452.96</v>
      </c>
      <c r="AE405" s="60">
        <v>452.74</v>
      </c>
      <c r="AF405" s="60">
        <v>0</v>
      </c>
      <c r="AG405" s="60">
        <v>0</v>
      </c>
      <c r="AH405" s="60">
        <v>0</v>
      </c>
      <c r="AI405" s="60">
        <v>475.23</v>
      </c>
      <c r="AJ405" s="60">
        <v>452.96</v>
      </c>
      <c r="AK405" s="60">
        <v>452.74</v>
      </c>
      <c r="AL405" s="60">
        <v>0</v>
      </c>
      <c r="AM405" s="60">
        <v>0</v>
      </c>
      <c r="AN405" s="60">
        <v>0</v>
      </c>
      <c r="AO405" s="60">
        <v>475.23</v>
      </c>
      <c r="AP405" s="60">
        <v>452.96</v>
      </c>
      <c r="AQ405" s="60">
        <v>452.74</v>
      </c>
      <c r="AR405" s="61">
        <v>475.23</v>
      </c>
    </row>
    <row r="406" spans="1:44" x14ac:dyDescent="0.35">
      <c r="A406" s="49" t="str">
        <f t="shared" ref="A406:A416" si="31">TEXT(39,"00")</f>
        <v>39</v>
      </c>
      <c r="B406" s="27">
        <v>10397</v>
      </c>
      <c r="C406" s="25" t="str">
        <f t="shared" ref="C406:C437" si="32">TEXT(,"0000000")</f>
        <v>0000000</v>
      </c>
      <c r="D406" s="26" t="s">
        <v>3663</v>
      </c>
      <c r="E406" s="25" t="s">
        <v>2408</v>
      </c>
      <c r="F406" s="25" t="s">
        <v>2409</v>
      </c>
      <c r="G406" s="59" t="s">
        <v>2409</v>
      </c>
      <c r="H406" s="60">
        <v>0</v>
      </c>
      <c r="I406" s="60">
        <v>0</v>
      </c>
      <c r="J406" s="60">
        <v>0</v>
      </c>
      <c r="K406" s="60">
        <v>0</v>
      </c>
      <c r="L406" s="60">
        <v>0</v>
      </c>
      <c r="M406" s="60">
        <v>0</v>
      </c>
      <c r="N406" s="60">
        <v>0</v>
      </c>
      <c r="O406" s="60">
        <v>0</v>
      </c>
      <c r="P406" s="60">
        <v>0</v>
      </c>
      <c r="Q406" s="60">
        <v>0</v>
      </c>
      <c r="R406" s="60">
        <v>0</v>
      </c>
      <c r="S406" s="60">
        <v>0</v>
      </c>
      <c r="T406" s="60">
        <v>1201.3399999999999</v>
      </c>
      <c r="U406" s="60">
        <v>892.18</v>
      </c>
      <c r="V406" s="60">
        <v>1435.66</v>
      </c>
      <c r="W406" s="60">
        <v>3557.7</v>
      </c>
      <c r="X406" s="60">
        <v>3265.47</v>
      </c>
      <c r="Y406" s="60">
        <v>3333.65</v>
      </c>
      <c r="Z406" s="60">
        <v>0</v>
      </c>
      <c r="AA406" s="60">
        <v>0</v>
      </c>
      <c r="AB406" s="60">
        <v>0</v>
      </c>
      <c r="AC406" s="60">
        <v>0</v>
      </c>
      <c r="AD406" s="60">
        <v>0</v>
      </c>
      <c r="AE406" s="60">
        <v>0</v>
      </c>
      <c r="AF406" s="60">
        <v>0</v>
      </c>
      <c r="AG406" s="60">
        <v>0</v>
      </c>
      <c r="AH406" s="60">
        <v>0</v>
      </c>
      <c r="AI406" s="60">
        <v>4759.04</v>
      </c>
      <c r="AJ406" s="60">
        <v>4157.6499999999996</v>
      </c>
      <c r="AK406" s="60">
        <v>4769.3100000000004</v>
      </c>
      <c r="AL406" s="60">
        <v>0</v>
      </c>
      <c r="AM406" s="60">
        <v>0</v>
      </c>
      <c r="AN406" s="60">
        <v>0</v>
      </c>
      <c r="AO406" s="60">
        <v>4759.04</v>
      </c>
      <c r="AP406" s="60">
        <v>4157.6499999999996</v>
      </c>
      <c r="AQ406" s="60">
        <v>4769.3100000000004</v>
      </c>
      <c r="AR406" s="61">
        <v>4769.3100000000004</v>
      </c>
    </row>
    <row r="407" spans="1:44" x14ac:dyDescent="0.35">
      <c r="A407" s="49" t="str">
        <f t="shared" si="31"/>
        <v>39</v>
      </c>
      <c r="B407" s="27">
        <v>77388</v>
      </c>
      <c r="C407" s="25" t="str">
        <f t="shared" si="32"/>
        <v>0000000</v>
      </c>
      <c r="D407" s="26" t="s">
        <v>3663</v>
      </c>
      <c r="E407" s="25" t="s">
        <v>2509</v>
      </c>
      <c r="F407" s="25" t="s">
        <v>2409</v>
      </c>
      <c r="G407" s="59" t="s">
        <v>2510</v>
      </c>
      <c r="H407" s="60">
        <v>181.91</v>
      </c>
      <c r="I407" s="60">
        <v>203.41</v>
      </c>
      <c r="J407" s="60">
        <v>296.66000000000003</v>
      </c>
      <c r="K407" s="60">
        <v>0</v>
      </c>
      <c r="L407" s="60">
        <v>0</v>
      </c>
      <c r="M407" s="60">
        <v>0</v>
      </c>
      <c r="N407" s="60">
        <v>0</v>
      </c>
      <c r="O407" s="60">
        <v>0</v>
      </c>
      <c r="P407" s="60">
        <v>0</v>
      </c>
      <c r="Q407" s="60">
        <v>0</v>
      </c>
      <c r="R407" s="60">
        <v>0</v>
      </c>
      <c r="S407" s="60">
        <v>0</v>
      </c>
      <c r="T407" s="60">
        <v>0</v>
      </c>
      <c r="U407" s="60">
        <v>0</v>
      </c>
      <c r="V407" s="60">
        <v>0</v>
      </c>
      <c r="W407" s="60">
        <v>0</v>
      </c>
      <c r="X407" s="60">
        <v>0</v>
      </c>
      <c r="Y407" s="60">
        <v>0</v>
      </c>
      <c r="Z407" s="60">
        <v>0</v>
      </c>
      <c r="AA407" s="60">
        <v>0</v>
      </c>
      <c r="AB407" s="60">
        <v>0</v>
      </c>
      <c r="AC407" s="60">
        <v>2243.7199999999998</v>
      </c>
      <c r="AD407" s="60">
        <v>1739.66</v>
      </c>
      <c r="AE407" s="60">
        <v>1602.7</v>
      </c>
      <c r="AF407" s="60">
        <v>0</v>
      </c>
      <c r="AG407" s="60">
        <v>0</v>
      </c>
      <c r="AH407" s="60">
        <v>0</v>
      </c>
      <c r="AI407" s="60">
        <v>2425.63</v>
      </c>
      <c r="AJ407" s="60">
        <v>1943.07</v>
      </c>
      <c r="AK407" s="60">
        <v>1899.36</v>
      </c>
      <c r="AL407" s="60">
        <v>0</v>
      </c>
      <c r="AM407" s="60">
        <v>0</v>
      </c>
      <c r="AN407" s="60">
        <v>0</v>
      </c>
      <c r="AO407" s="60">
        <v>2425.63</v>
      </c>
      <c r="AP407" s="60">
        <v>1943.07</v>
      </c>
      <c r="AQ407" s="60">
        <v>1899.36</v>
      </c>
      <c r="AR407" s="61">
        <v>2425.63</v>
      </c>
    </row>
    <row r="408" spans="1:44" x14ac:dyDescent="0.35">
      <c r="A408" s="49" t="str">
        <f t="shared" si="31"/>
        <v>39</v>
      </c>
      <c r="B408" s="27">
        <v>68627</v>
      </c>
      <c r="C408" s="25" t="str">
        <f t="shared" si="32"/>
        <v>0000000</v>
      </c>
      <c r="D408" s="26" t="s">
        <v>3663</v>
      </c>
      <c r="E408" s="25" t="s">
        <v>2438</v>
      </c>
      <c r="F408" s="25" t="s">
        <v>2409</v>
      </c>
      <c r="G408" s="59" t="s">
        <v>2439</v>
      </c>
      <c r="H408" s="60">
        <v>21.08</v>
      </c>
      <c r="I408" s="60">
        <v>21.36</v>
      </c>
      <c r="J408" s="60">
        <v>23.89</v>
      </c>
      <c r="K408" s="60">
        <v>0</v>
      </c>
      <c r="L408" s="60">
        <v>0</v>
      </c>
      <c r="M408" s="60">
        <v>0</v>
      </c>
      <c r="N408" s="60">
        <v>0</v>
      </c>
      <c r="O408" s="60">
        <v>0</v>
      </c>
      <c r="P408" s="60">
        <v>0</v>
      </c>
      <c r="Q408" s="60">
        <v>0</v>
      </c>
      <c r="R408" s="60">
        <v>0</v>
      </c>
      <c r="S408" s="60">
        <v>0</v>
      </c>
      <c r="T408" s="60">
        <v>0</v>
      </c>
      <c r="U408" s="60">
        <v>0</v>
      </c>
      <c r="V408" s="60">
        <v>0</v>
      </c>
      <c r="W408" s="60">
        <v>0</v>
      </c>
      <c r="X408" s="60">
        <v>0</v>
      </c>
      <c r="Y408" s="60">
        <v>0</v>
      </c>
      <c r="Z408" s="60">
        <v>0</v>
      </c>
      <c r="AA408" s="60">
        <v>0</v>
      </c>
      <c r="AB408" s="60">
        <v>0</v>
      </c>
      <c r="AC408" s="60">
        <v>0</v>
      </c>
      <c r="AD408" s="60">
        <v>0</v>
      </c>
      <c r="AE408" s="60">
        <v>0</v>
      </c>
      <c r="AF408" s="60">
        <v>0</v>
      </c>
      <c r="AG408" s="60">
        <v>0</v>
      </c>
      <c r="AH408" s="60">
        <v>0</v>
      </c>
      <c r="AI408" s="60">
        <v>21.08</v>
      </c>
      <c r="AJ408" s="60">
        <v>21.36</v>
      </c>
      <c r="AK408" s="60">
        <v>23.89</v>
      </c>
      <c r="AL408" s="60">
        <v>0</v>
      </c>
      <c r="AM408" s="60">
        <v>0</v>
      </c>
      <c r="AN408" s="60">
        <v>0</v>
      </c>
      <c r="AO408" s="60">
        <v>21.08</v>
      </c>
      <c r="AP408" s="60">
        <v>21.36</v>
      </c>
      <c r="AQ408" s="60">
        <v>23.89</v>
      </c>
      <c r="AR408" s="61">
        <v>23.89</v>
      </c>
    </row>
    <row r="409" spans="1:44" x14ac:dyDescent="0.35">
      <c r="A409" s="49" t="str">
        <f t="shared" si="31"/>
        <v>39</v>
      </c>
      <c r="B409" s="27">
        <v>68502</v>
      </c>
      <c r="C409" s="25" t="str">
        <f t="shared" si="32"/>
        <v>0000000</v>
      </c>
      <c r="D409" s="26" t="s">
        <v>3663</v>
      </c>
      <c r="E409" s="25" t="s">
        <v>2412</v>
      </c>
      <c r="F409" s="25" t="s">
        <v>2409</v>
      </c>
      <c r="G409" s="59" t="s">
        <v>2413</v>
      </c>
      <c r="H409" s="60">
        <v>2510.1799999999998</v>
      </c>
      <c r="I409" s="60">
        <v>2420.96</v>
      </c>
      <c r="J409" s="60">
        <v>2605.12</v>
      </c>
      <c r="K409" s="60">
        <v>0</v>
      </c>
      <c r="L409" s="60">
        <v>0</v>
      </c>
      <c r="M409" s="60">
        <v>0</v>
      </c>
      <c r="N409" s="60">
        <v>0</v>
      </c>
      <c r="O409" s="60">
        <v>0</v>
      </c>
      <c r="P409" s="60">
        <v>0</v>
      </c>
      <c r="Q409" s="60">
        <v>0</v>
      </c>
      <c r="R409" s="60">
        <v>0</v>
      </c>
      <c r="S409" s="60">
        <v>0</v>
      </c>
      <c r="T409" s="60">
        <v>0</v>
      </c>
      <c r="U409" s="60">
        <v>0</v>
      </c>
      <c r="V409" s="60">
        <v>0</v>
      </c>
      <c r="W409" s="60">
        <v>0</v>
      </c>
      <c r="X409" s="60">
        <v>0</v>
      </c>
      <c r="Y409" s="60">
        <v>0</v>
      </c>
      <c r="Z409" s="60">
        <v>0</v>
      </c>
      <c r="AA409" s="60">
        <v>0</v>
      </c>
      <c r="AB409" s="60">
        <v>0</v>
      </c>
      <c r="AC409" s="60">
        <v>304.45</v>
      </c>
      <c r="AD409" s="60">
        <v>311.44</v>
      </c>
      <c r="AE409" s="60">
        <v>323.8</v>
      </c>
      <c r="AF409" s="60">
        <v>0</v>
      </c>
      <c r="AG409" s="60">
        <v>0</v>
      </c>
      <c r="AH409" s="60">
        <v>0</v>
      </c>
      <c r="AI409" s="60">
        <v>2814.63</v>
      </c>
      <c r="AJ409" s="60">
        <v>2732.4</v>
      </c>
      <c r="AK409" s="60">
        <v>2928.92</v>
      </c>
      <c r="AL409" s="60">
        <v>0</v>
      </c>
      <c r="AM409" s="60">
        <v>0</v>
      </c>
      <c r="AN409" s="60">
        <v>0</v>
      </c>
      <c r="AO409" s="60">
        <v>2814.63</v>
      </c>
      <c r="AP409" s="60">
        <v>2732.4</v>
      </c>
      <c r="AQ409" s="60">
        <v>2928.92</v>
      </c>
      <c r="AR409" s="61">
        <v>2928.92</v>
      </c>
    </row>
    <row r="410" spans="1:44" x14ac:dyDescent="0.35">
      <c r="A410" s="49" t="str">
        <f t="shared" si="31"/>
        <v>39</v>
      </c>
      <c r="B410" s="27">
        <v>68569</v>
      </c>
      <c r="C410" s="25" t="str">
        <f t="shared" si="32"/>
        <v>0000000</v>
      </c>
      <c r="D410" s="26" t="s">
        <v>3663</v>
      </c>
      <c r="E410" s="25" t="s">
        <v>2415</v>
      </c>
      <c r="F410" s="25" t="s">
        <v>2409</v>
      </c>
      <c r="G410" s="59" t="s">
        <v>2416</v>
      </c>
      <c r="H410" s="60">
        <v>7631.31</v>
      </c>
      <c r="I410" s="60">
        <v>7699.04</v>
      </c>
      <c r="J410" s="60">
        <v>8434.19</v>
      </c>
      <c r="K410" s="60">
        <v>0</v>
      </c>
      <c r="L410" s="60">
        <v>0</v>
      </c>
      <c r="M410" s="60">
        <v>0</v>
      </c>
      <c r="N410" s="60">
        <v>0</v>
      </c>
      <c r="O410" s="60">
        <v>0</v>
      </c>
      <c r="P410" s="60">
        <v>0</v>
      </c>
      <c r="Q410" s="60">
        <v>0</v>
      </c>
      <c r="R410" s="60">
        <v>0</v>
      </c>
      <c r="S410" s="60">
        <v>0</v>
      </c>
      <c r="T410" s="60">
        <v>0</v>
      </c>
      <c r="U410" s="60">
        <v>0</v>
      </c>
      <c r="V410" s="60">
        <v>0</v>
      </c>
      <c r="W410" s="60">
        <v>0</v>
      </c>
      <c r="X410" s="60">
        <v>0</v>
      </c>
      <c r="Y410" s="60">
        <v>0</v>
      </c>
      <c r="Z410" s="60">
        <v>0</v>
      </c>
      <c r="AA410" s="60">
        <v>0</v>
      </c>
      <c r="AB410" s="60">
        <v>0</v>
      </c>
      <c r="AC410" s="60">
        <v>428.63</v>
      </c>
      <c r="AD410" s="60">
        <v>406.85</v>
      </c>
      <c r="AE410" s="60">
        <v>448.49</v>
      </c>
      <c r="AF410" s="60">
        <v>0</v>
      </c>
      <c r="AG410" s="60">
        <v>0</v>
      </c>
      <c r="AH410" s="60">
        <v>0</v>
      </c>
      <c r="AI410" s="60">
        <v>8059.94</v>
      </c>
      <c r="AJ410" s="60">
        <v>8105.89</v>
      </c>
      <c r="AK410" s="60">
        <v>8882.68</v>
      </c>
      <c r="AL410" s="60">
        <v>0</v>
      </c>
      <c r="AM410" s="60">
        <v>0</v>
      </c>
      <c r="AN410" s="60">
        <v>0</v>
      </c>
      <c r="AO410" s="60">
        <v>8059.94</v>
      </c>
      <c r="AP410" s="60">
        <v>8105.89</v>
      </c>
      <c r="AQ410" s="60">
        <v>8882.68</v>
      </c>
      <c r="AR410" s="61">
        <v>8882.68</v>
      </c>
    </row>
    <row r="411" spans="1:44" x14ac:dyDescent="0.35">
      <c r="A411" s="49" t="str">
        <f t="shared" si="31"/>
        <v>39</v>
      </c>
      <c r="B411" s="27">
        <v>68577</v>
      </c>
      <c r="C411" s="25" t="str">
        <f t="shared" si="32"/>
        <v>0000000</v>
      </c>
      <c r="D411" s="26" t="s">
        <v>3663</v>
      </c>
      <c r="E411" s="25" t="s">
        <v>2417</v>
      </c>
      <c r="F411" s="25" t="s">
        <v>2409</v>
      </c>
      <c r="G411" s="59" t="s">
        <v>2418</v>
      </c>
      <c r="H411" s="60">
        <v>2107.17</v>
      </c>
      <c r="I411" s="60">
        <v>2189.6799999999998</v>
      </c>
      <c r="J411" s="60">
        <v>2245.9899999999998</v>
      </c>
      <c r="K411" s="60">
        <v>0</v>
      </c>
      <c r="L411" s="60">
        <v>0</v>
      </c>
      <c r="M411" s="60">
        <v>0</v>
      </c>
      <c r="N411" s="60">
        <v>0</v>
      </c>
      <c r="O411" s="60">
        <v>0</v>
      </c>
      <c r="P411" s="60">
        <v>0</v>
      </c>
      <c r="Q411" s="60">
        <v>0</v>
      </c>
      <c r="R411" s="60">
        <v>0</v>
      </c>
      <c r="S411" s="60">
        <v>0</v>
      </c>
      <c r="T411" s="60">
        <v>0</v>
      </c>
      <c r="U411" s="60">
        <v>0</v>
      </c>
      <c r="V411" s="60">
        <v>0</v>
      </c>
      <c r="W411" s="60">
        <v>0</v>
      </c>
      <c r="X411" s="60">
        <v>0</v>
      </c>
      <c r="Y411" s="60">
        <v>0</v>
      </c>
      <c r="Z411" s="60">
        <v>0</v>
      </c>
      <c r="AA411" s="60">
        <v>0</v>
      </c>
      <c r="AB411" s="60">
        <v>0</v>
      </c>
      <c r="AC411" s="60">
        <v>0</v>
      </c>
      <c r="AD411" s="60">
        <v>0</v>
      </c>
      <c r="AE411" s="60">
        <v>0</v>
      </c>
      <c r="AF411" s="60">
        <v>0</v>
      </c>
      <c r="AG411" s="60">
        <v>0</v>
      </c>
      <c r="AH411" s="60">
        <v>0</v>
      </c>
      <c r="AI411" s="60">
        <v>2107.17</v>
      </c>
      <c r="AJ411" s="60">
        <v>2189.6799999999998</v>
      </c>
      <c r="AK411" s="60">
        <v>2245.9899999999998</v>
      </c>
      <c r="AL411" s="60">
        <v>0</v>
      </c>
      <c r="AM411" s="60">
        <v>0</v>
      </c>
      <c r="AN411" s="60">
        <v>0</v>
      </c>
      <c r="AO411" s="60">
        <v>2107.17</v>
      </c>
      <c r="AP411" s="60">
        <v>2189.6799999999998</v>
      </c>
      <c r="AQ411" s="60">
        <v>2245.9899999999998</v>
      </c>
      <c r="AR411" s="61">
        <v>2245.9899999999998</v>
      </c>
    </row>
    <row r="412" spans="1:44" x14ac:dyDescent="0.35">
      <c r="A412" s="49" t="str">
        <f t="shared" si="31"/>
        <v>39</v>
      </c>
      <c r="B412" s="27">
        <v>68593</v>
      </c>
      <c r="C412" s="25" t="str">
        <f t="shared" si="32"/>
        <v>0000000</v>
      </c>
      <c r="D412" s="26" t="s">
        <v>3663</v>
      </c>
      <c r="E412" s="25" t="s">
        <v>2434</v>
      </c>
      <c r="F412" s="25" t="s">
        <v>2409</v>
      </c>
      <c r="G412" s="59" t="s">
        <v>2435</v>
      </c>
      <c r="H412" s="60">
        <v>23369.61</v>
      </c>
      <c r="I412" s="60">
        <v>21396.33</v>
      </c>
      <c r="J412" s="60">
        <v>22687.52</v>
      </c>
      <c r="K412" s="60">
        <v>0</v>
      </c>
      <c r="L412" s="60">
        <v>0</v>
      </c>
      <c r="M412" s="60">
        <v>0</v>
      </c>
      <c r="N412" s="60">
        <v>0</v>
      </c>
      <c r="O412" s="60">
        <v>0</v>
      </c>
      <c r="P412" s="60">
        <v>0</v>
      </c>
      <c r="Q412" s="60">
        <v>0</v>
      </c>
      <c r="R412" s="60">
        <v>0</v>
      </c>
      <c r="S412" s="60">
        <v>0</v>
      </c>
      <c r="T412" s="60">
        <v>0</v>
      </c>
      <c r="U412" s="60">
        <v>0</v>
      </c>
      <c r="V412" s="60">
        <v>0</v>
      </c>
      <c r="W412" s="60">
        <v>0</v>
      </c>
      <c r="X412" s="60">
        <v>0</v>
      </c>
      <c r="Y412" s="60">
        <v>0</v>
      </c>
      <c r="Z412" s="60">
        <v>0</v>
      </c>
      <c r="AA412" s="60">
        <v>0</v>
      </c>
      <c r="AB412" s="60">
        <v>0</v>
      </c>
      <c r="AC412" s="60">
        <v>0</v>
      </c>
      <c r="AD412" s="60">
        <v>0</v>
      </c>
      <c r="AE412" s="60">
        <v>0</v>
      </c>
      <c r="AF412" s="60">
        <v>0</v>
      </c>
      <c r="AG412" s="60">
        <v>0</v>
      </c>
      <c r="AH412" s="60">
        <v>0</v>
      </c>
      <c r="AI412" s="60">
        <v>23369.61</v>
      </c>
      <c r="AJ412" s="60">
        <v>21396.33</v>
      </c>
      <c r="AK412" s="60">
        <v>22687.52</v>
      </c>
      <c r="AL412" s="60">
        <v>0</v>
      </c>
      <c r="AM412" s="60">
        <v>0</v>
      </c>
      <c r="AN412" s="60">
        <v>0</v>
      </c>
      <c r="AO412" s="60">
        <v>23369.61</v>
      </c>
      <c r="AP412" s="60">
        <v>21396.33</v>
      </c>
      <c r="AQ412" s="60">
        <v>22687.52</v>
      </c>
      <c r="AR412" s="61">
        <v>23369.61</v>
      </c>
    </row>
    <row r="413" spans="1:44" x14ac:dyDescent="0.35">
      <c r="A413" s="49" t="str">
        <f t="shared" si="31"/>
        <v>39</v>
      </c>
      <c r="B413" s="27">
        <v>68650</v>
      </c>
      <c r="C413" s="25" t="str">
        <f t="shared" si="32"/>
        <v>0000000</v>
      </c>
      <c r="D413" s="26" t="s">
        <v>3663</v>
      </c>
      <c r="E413" s="25" t="s">
        <v>2463</v>
      </c>
      <c r="F413" s="25" t="s">
        <v>2409</v>
      </c>
      <c r="G413" s="59" t="s">
        <v>2464</v>
      </c>
      <c r="H413" s="60">
        <v>3121.04</v>
      </c>
      <c r="I413" s="60">
        <v>3152.76</v>
      </c>
      <c r="J413" s="60">
        <v>3271.08</v>
      </c>
      <c r="K413" s="60">
        <v>0</v>
      </c>
      <c r="L413" s="60">
        <v>0</v>
      </c>
      <c r="M413" s="60">
        <v>0</v>
      </c>
      <c r="N413" s="60">
        <v>0</v>
      </c>
      <c r="O413" s="60">
        <v>0</v>
      </c>
      <c r="P413" s="60">
        <v>0</v>
      </c>
      <c r="Q413" s="60">
        <v>0</v>
      </c>
      <c r="R413" s="60">
        <v>0</v>
      </c>
      <c r="S413" s="60">
        <v>0</v>
      </c>
      <c r="T413" s="60">
        <v>0</v>
      </c>
      <c r="U413" s="60">
        <v>0</v>
      </c>
      <c r="V413" s="60">
        <v>0</v>
      </c>
      <c r="W413" s="60">
        <v>0</v>
      </c>
      <c r="X413" s="60">
        <v>0</v>
      </c>
      <c r="Y413" s="60">
        <v>0</v>
      </c>
      <c r="Z413" s="60">
        <v>0</v>
      </c>
      <c r="AA413" s="60">
        <v>0</v>
      </c>
      <c r="AB413" s="60">
        <v>0</v>
      </c>
      <c r="AC413" s="60">
        <v>0</v>
      </c>
      <c r="AD413" s="60">
        <v>0</v>
      </c>
      <c r="AE413" s="60">
        <v>0</v>
      </c>
      <c r="AF413" s="60">
        <v>0</v>
      </c>
      <c r="AG413" s="60">
        <v>0</v>
      </c>
      <c r="AH413" s="60">
        <v>0</v>
      </c>
      <c r="AI413" s="60">
        <v>3121.04</v>
      </c>
      <c r="AJ413" s="60">
        <v>3152.76</v>
      </c>
      <c r="AK413" s="60">
        <v>3271.08</v>
      </c>
      <c r="AL413" s="60">
        <v>0</v>
      </c>
      <c r="AM413" s="60">
        <v>0</v>
      </c>
      <c r="AN413" s="60">
        <v>0</v>
      </c>
      <c r="AO413" s="60">
        <v>3121.04</v>
      </c>
      <c r="AP413" s="60">
        <v>3152.76</v>
      </c>
      <c r="AQ413" s="60">
        <v>3271.08</v>
      </c>
      <c r="AR413" s="61">
        <v>3271.08</v>
      </c>
    </row>
    <row r="414" spans="1:44" x14ac:dyDescent="0.35">
      <c r="A414" s="49" t="str">
        <f t="shared" si="31"/>
        <v>39</v>
      </c>
      <c r="B414" s="27">
        <v>68544</v>
      </c>
      <c r="C414" s="25" t="str">
        <f t="shared" si="32"/>
        <v>0000000</v>
      </c>
      <c r="D414" s="26" t="s">
        <v>3663</v>
      </c>
      <c r="E414" s="25" t="s">
        <v>2414</v>
      </c>
      <c r="F414" s="25" t="s">
        <v>2409</v>
      </c>
      <c r="G414" s="59" t="s">
        <v>1893</v>
      </c>
      <c r="H414" s="60">
        <v>2502.33</v>
      </c>
      <c r="I414" s="60">
        <v>2211.19</v>
      </c>
      <c r="J414" s="60">
        <v>2206.56</v>
      </c>
      <c r="K414" s="60">
        <v>0</v>
      </c>
      <c r="L414" s="60">
        <v>0</v>
      </c>
      <c r="M414" s="60">
        <v>0</v>
      </c>
      <c r="N414" s="60">
        <v>0</v>
      </c>
      <c r="O414" s="60">
        <v>0</v>
      </c>
      <c r="P414" s="60">
        <v>0</v>
      </c>
      <c r="Q414" s="60">
        <v>0</v>
      </c>
      <c r="R414" s="60">
        <v>0</v>
      </c>
      <c r="S414" s="60">
        <v>0</v>
      </c>
      <c r="T414" s="60">
        <v>0</v>
      </c>
      <c r="U414" s="60">
        <v>0</v>
      </c>
      <c r="V414" s="60">
        <v>0</v>
      </c>
      <c r="W414" s="60">
        <v>0</v>
      </c>
      <c r="X414" s="60">
        <v>0</v>
      </c>
      <c r="Y414" s="60">
        <v>0</v>
      </c>
      <c r="Z414" s="60">
        <v>0</v>
      </c>
      <c r="AA414" s="60">
        <v>0</v>
      </c>
      <c r="AB414" s="60">
        <v>0</v>
      </c>
      <c r="AC414" s="60">
        <v>0</v>
      </c>
      <c r="AD414" s="60">
        <v>0</v>
      </c>
      <c r="AE414" s="60">
        <v>0</v>
      </c>
      <c r="AF414" s="60">
        <v>0</v>
      </c>
      <c r="AG414" s="60">
        <v>0</v>
      </c>
      <c r="AH414" s="60">
        <v>0</v>
      </c>
      <c r="AI414" s="60">
        <v>2502.33</v>
      </c>
      <c r="AJ414" s="60">
        <v>2211.19</v>
      </c>
      <c r="AK414" s="60">
        <v>2206.56</v>
      </c>
      <c r="AL414" s="60">
        <v>0</v>
      </c>
      <c r="AM414" s="60">
        <v>0</v>
      </c>
      <c r="AN414" s="60">
        <v>0</v>
      </c>
      <c r="AO414" s="60">
        <v>2502.33</v>
      </c>
      <c r="AP414" s="60">
        <v>2211.19</v>
      </c>
      <c r="AQ414" s="60">
        <v>2206.56</v>
      </c>
      <c r="AR414" s="61">
        <v>2502.33</v>
      </c>
    </row>
    <row r="415" spans="1:44" x14ac:dyDescent="0.35">
      <c r="A415" s="49" t="str">
        <f t="shared" si="31"/>
        <v>39</v>
      </c>
      <c r="B415" s="27">
        <v>75499</v>
      </c>
      <c r="C415" s="25" t="str">
        <f t="shared" si="32"/>
        <v>0000000</v>
      </c>
      <c r="D415" s="26" t="s">
        <v>3663</v>
      </c>
      <c r="E415" s="25" t="s">
        <v>2496</v>
      </c>
      <c r="F415" s="25" t="s">
        <v>2409</v>
      </c>
      <c r="G415" s="59" t="s">
        <v>2497</v>
      </c>
      <c r="H415" s="60">
        <v>12591.74</v>
      </c>
      <c r="I415" s="60">
        <v>12663.99</v>
      </c>
      <c r="J415" s="60">
        <v>13879.32</v>
      </c>
      <c r="K415" s="60">
        <v>0</v>
      </c>
      <c r="L415" s="60">
        <v>0</v>
      </c>
      <c r="M415" s="60">
        <v>0</v>
      </c>
      <c r="N415" s="60">
        <v>0</v>
      </c>
      <c r="O415" s="60">
        <v>0</v>
      </c>
      <c r="P415" s="60">
        <v>0</v>
      </c>
      <c r="Q415" s="60">
        <v>0</v>
      </c>
      <c r="R415" s="60">
        <v>0</v>
      </c>
      <c r="S415" s="60">
        <v>0</v>
      </c>
      <c r="T415" s="60">
        <v>0</v>
      </c>
      <c r="U415" s="60">
        <v>0</v>
      </c>
      <c r="V415" s="60">
        <v>0</v>
      </c>
      <c r="W415" s="60">
        <v>0</v>
      </c>
      <c r="X415" s="60">
        <v>0</v>
      </c>
      <c r="Y415" s="60">
        <v>0</v>
      </c>
      <c r="Z415" s="60">
        <v>0</v>
      </c>
      <c r="AA415" s="60">
        <v>0</v>
      </c>
      <c r="AB415" s="60">
        <v>0</v>
      </c>
      <c r="AC415" s="60">
        <v>273.60000000000002</v>
      </c>
      <c r="AD415" s="60">
        <v>263.41000000000003</v>
      </c>
      <c r="AE415" s="60">
        <v>46.3</v>
      </c>
      <c r="AF415" s="60">
        <v>0</v>
      </c>
      <c r="AG415" s="60">
        <v>0</v>
      </c>
      <c r="AH415" s="60">
        <v>0</v>
      </c>
      <c r="AI415" s="60">
        <v>12865.34</v>
      </c>
      <c r="AJ415" s="60">
        <v>12927.4</v>
      </c>
      <c r="AK415" s="60">
        <v>13925.62</v>
      </c>
      <c r="AL415" s="60">
        <v>0</v>
      </c>
      <c r="AM415" s="60">
        <v>0</v>
      </c>
      <c r="AN415" s="60">
        <v>0</v>
      </c>
      <c r="AO415" s="60">
        <v>12865.34</v>
      </c>
      <c r="AP415" s="60">
        <v>12927.4</v>
      </c>
      <c r="AQ415" s="60">
        <v>13925.62</v>
      </c>
      <c r="AR415" s="61">
        <v>13925.62</v>
      </c>
    </row>
    <row r="416" spans="1:44" x14ac:dyDescent="0.35">
      <c r="A416" s="49" t="str">
        <f t="shared" si="31"/>
        <v>39</v>
      </c>
      <c r="B416" s="27">
        <v>76760</v>
      </c>
      <c r="C416" s="25" t="str">
        <f t="shared" si="32"/>
        <v>0000000</v>
      </c>
      <c r="D416" s="26" t="s">
        <v>3663</v>
      </c>
      <c r="E416" s="25" t="s">
        <v>2507</v>
      </c>
      <c r="F416" s="25" t="s">
        <v>2409</v>
      </c>
      <c r="G416" s="59" t="s">
        <v>2508</v>
      </c>
      <c r="H416" s="60">
        <v>7187.16</v>
      </c>
      <c r="I416" s="60">
        <v>6716.49</v>
      </c>
      <c r="J416" s="60">
        <v>5931.08</v>
      </c>
      <c r="K416" s="60">
        <v>0</v>
      </c>
      <c r="L416" s="60">
        <v>0</v>
      </c>
      <c r="M416" s="60">
        <v>0</v>
      </c>
      <c r="N416" s="60">
        <v>0</v>
      </c>
      <c r="O416" s="60">
        <v>0</v>
      </c>
      <c r="P416" s="60">
        <v>0</v>
      </c>
      <c r="Q416" s="60">
        <v>0</v>
      </c>
      <c r="R416" s="60">
        <v>0</v>
      </c>
      <c r="S416" s="60">
        <v>0</v>
      </c>
      <c r="T416" s="60">
        <v>0</v>
      </c>
      <c r="U416" s="60">
        <v>0</v>
      </c>
      <c r="V416" s="60">
        <v>0</v>
      </c>
      <c r="W416" s="60">
        <v>0</v>
      </c>
      <c r="X416" s="60">
        <v>0</v>
      </c>
      <c r="Y416" s="60">
        <v>0</v>
      </c>
      <c r="Z416" s="60">
        <v>0</v>
      </c>
      <c r="AA416" s="60">
        <v>0</v>
      </c>
      <c r="AB416" s="60">
        <v>0</v>
      </c>
      <c r="AC416" s="60">
        <v>0</v>
      </c>
      <c r="AD416" s="60">
        <v>0</v>
      </c>
      <c r="AE416" s="60">
        <v>0</v>
      </c>
      <c r="AF416" s="60">
        <v>0</v>
      </c>
      <c r="AG416" s="60">
        <v>0</v>
      </c>
      <c r="AH416" s="60">
        <v>0</v>
      </c>
      <c r="AI416" s="60">
        <v>7187.16</v>
      </c>
      <c r="AJ416" s="60">
        <v>6716.49</v>
      </c>
      <c r="AK416" s="60">
        <v>5931.08</v>
      </c>
      <c r="AL416" s="60">
        <v>0</v>
      </c>
      <c r="AM416" s="60">
        <v>0</v>
      </c>
      <c r="AN416" s="60">
        <v>0</v>
      </c>
      <c r="AO416" s="60">
        <v>7187.16</v>
      </c>
      <c r="AP416" s="60">
        <v>6716.49</v>
      </c>
      <c r="AQ416" s="60">
        <v>5931.08</v>
      </c>
      <c r="AR416" s="61">
        <v>7187.16</v>
      </c>
    </row>
    <row r="417" spans="1:44" x14ac:dyDescent="0.35">
      <c r="A417" s="49" t="str">
        <f t="shared" ref="A417:A447" si="33">TEXT(10,"00")</f>
        <v>10</v>
      </c>
      <c r="B417" s="27">
        <v>10108</v>
      </c>
      <c r="C417" s="25" t="str">
        <f t="shared" si="32"/>
        <v>0000000</v>
      </c>
      <c r="D417" s="26" t="s">
        <v>3663</v>
      </c>
      <c r="E417" s="25" t="s">
        <v>386</v>
      </c>
      <c r="F417" s="25" t="s">
        <v>387</v>
      </c>
      <c r="G417" s="59" t="s">
        <v>387</v>
      </c>
      <c r="H417" s="60">
        <v>0</v>
      </c>
      <c r="I417" s="60">
        <v>0</v>
      </c>
      <c r="J417" s="60">
        <v>0</v>
      </c>
      <c r="K417" s="60">
        <v>0</v>
      </c>
      <c r="L417" s="60">
        <v>0</v>
      </c>
      <c r="M417" s="60">
        <v>0</v>
      </c>
      <c r="N417" s="60">
        <v>0</v>
      </c>
      <c r="O417" s="60">
        <v>0</v>
      </c>
      <c r="P417" s="60">
        <v>0</v>
      </c>
      <c r="Q417" s="60">
        <v>0</v>
      </c>
      <c r="R417" s="60">
        <v>0</v>
      </c>
      <c r="S417" s="60">
        <v>0</v>
      </c>
      <c r="T417" s="60">
        <v>151.22</v>
      </c>
      <c r="U417" s="60">
        <v>171.26</v>
      </c>
      <c r="V417" s="60">
        <v>323.60000000000002</v>
      </c>
      <c r="W417" s="60">
        <v>514.79999999999995</v>
      </c>
      <c r="X417" s="60">
        <v>498.17</v>
      </c>
      <c r="Y417" s="60">
        <v>576.71</v>
      </c>
      <c r="Z417" s="60">
        <v>0</v>
      </c>
      <c r="AA417" s="60">
        <v>0</v>
      </c>
      <c r="AB417" s="60">
        <v>0</v>
      </c>
      <c r="AC417" s="60">
        <v>0</v>
      </c>
      <c r="AD417" s="60">
        <v>0</v>
      </c>
      <c r="AE417" s="60">
        <v>0</v>
      </c>
      <c r="AF417" s="60">
        <v>0</v>
      </c>
      <c r="AG417" s="60">
        <v>0</v>
      </c>
      <c r="AH417" s="60">
        <v>0</v>
      </c>
      <c r="AI417" s="60">
        <v>666.02</v>
      </c>
      <c r="AJ417" s="60">
        <v>669.43</v>
      </c>
      <c r="AK417" s="60">
        <v>900.31</v>
      </c>
      <c r="AL417" s="60">
        <v>0</v>
      </c>
      <c r="AM417" s="60">
        <v>0</v>
      </c>
      <c r="AN417" s="60">
        <v>0</v>
      </c>
      <c r="AO417" s="60">
        <v>666.02</v>
      </c>
      <c r="AP417" s="60">
        <v>669.43</v>
      </c>
      <c r="AQ417" s="60">
        <v>900.31</v>
      </c>
      <c r="AR417" s="61">
        <v>900.31</v>
      </c>
    </row>
    <row r="418" spans="1:44" x14ac:dyDescent="0.35">
      <c r="A418" s="49" t="str">
        <f t="shared" si="33"/>
        <v>10</v>
      </c>
      <c r="B418" s="27">
        <v>62240</v>
      </c>
      <c r="C418" s="25" t="str">
        <f t="shared" si="32"/>
        <v>0000000</v>
      </c>
      <c r="D418" s="26" t="s">
        <v>3663</v>
      </c>
      <c r="E418" s="25" t="s">
        <v>440</v>
      </c>
      <c r="F418" s="25" t="s">
        <v>387</v>
      </c>
      <c r="G418" s="59" t="s">
        <v>441</v>
      </c>
      <c r="H418" s="60">
        <v>0</v>
      </c>
      <c r="I418" s="60">
        <v>0</v>
      </c>
      <c r="J418" s="60">
        <v>0</v>
      </c>
      <c r="K418" s="60">
        <v>0</v>
      </c>
      <c r="L418" s="60">
        <v>0</v>
      </c>
      <c r="M418" s="60">
        <v>0</v>
      </c>
      <c r="N418" s="60">
        <v>0</v>
      </c>
      <c r="O418" s="60">
        <v>0</v>
      </c>
      <c r="P418" s="60">
        <v>0</v>
      </c>
      <c r="Q418" s="60">
        <v>0</v>
      </c>
      <c r="R418" s="60">
        <v>0</v>
      </c>
      <c r="S418" s="60">
        <v>0</v>
      </c>
      <c r="T418" s="60">
        <v>0</v>
      </c>
      <c r="U418" s="60">
        <v>0</v>
      </c>
      <c r="V418" s="60">
        <v>0</v>
      </c>
      <c r="W418" s="60">
        <v>0</v>
      </c>
      <c r="X418" s="60">
        <v>0</v>
      </c>
      <c r="Y418" s="60">
        <v>0</v>
      </c>
      <c r="Z418" s="60">
        <v>0</v>
      </c>
      <c r="AA418" s="60">
        <v>0</v>
      </c>
      <c r="AB418" s="60">
        <v>0</v>
      </c>
      <c r="AC418" s="60">
        <v>2127.62</v>
      </c>
      <c r="AD418" s="60">
        <v>2161.4899999999998</v>
      </c>
      <c r="AE418" s="60">
        <v>2150.16</v>
      </c>
      <c r="AF418" s="60">
        <v>0</v>
      </c>
      <c r="AG418" s="60">
        <v>0</v>
      </c>
      <c r="AH418" s="60">
        <v>0</v>
      </c>
      <c r="AI418" s="60">
        <v>2127.62</v>
      </c>
      <c r="AJ418" s="60">
        <v>2161.4899999999998</v>
      </c>
      <c r="AK418" s="60">
        <v>2150.16</v>
      </c>
      <c r="AL418" s="60">
        <v>0</v>
      </c>
      <c r="AM418" s="60">
        <v>0</v>
      </c>
      <c r="AN418" s="60">
        <v>0</v>
      </c>
      <c r="AO418" s="60">
        <v>2127.62</v>
      </c>
      <c r="AP418" s="60">
        <v>2161.4899999999998</v>
      </c>
      <c r="AQ418" s="60">
        <v>2150.16</v>
      </c>
      <c r="AR418" s="61">
        <v>2161.4899999999998</v>
      </c>
    </row>
    <row r="419" spans="1:44" x14ac:dyDescent="0.35">
      <c r="A419" s="49" t="str">
        <f t="shared" si="33"/>
        <v>10</v>
      </c>
      <c r="B419" s="27">
        <v>75127</v>
      </c>
      <c r="C419" s="25" t="str">
        <f t="shared" si="32"/>
        <v>0000000</v>
      </c>
      <c r="D419" s="26" t="s">
        <v>3663</v>
      </c>
      <c r="E419" s="25" t="s">
        <v>484</v>
      </c>
      <c r="F419" s="25" t="s">
        <v>387</v>
      </c>
      <c r="G419" s="59" t="s">
        <v>485</v>
      </c>
      <c r="H419" s="60">
        <v>3536.22</v>
      </c>
      <c r="I419" s="60">
        <v>3225.33</v>
      </c>
      <c r="J419" s="60">
        <v>3435.71</v>
      </c>
      <c r="K419" s="60">
        <v>0</v>
      </c>
      <c r="L419" s="60">
        <v>0</v>
      </c>
      <c r="M419" s="60">
        <v>0</v>
      </c>
      <c r="N419" s="60">
        <v>0</v>
      </c>
      <c r="O419" s="60">
        <v>0</v>
      </c>
      <c r="P419" s="60">
        <v>0</v>
      </c>
      <c r="Q419" s="60">
        <v>0</v>
      </c>
      <c r="R419" s="60">
        <v>0</v>
      </c>
      <c r="S419" s="60">
        <v>0</v>
      </c>
      <c r="T419" s="60">
        <v>0</v>
      </c>
      <c r="U419" s="60">
        <v>0</v>
      </c>
      <c r="V419" s="60">
        <v>0</v>
      </c>
      <c r="W419" s="60">
        <v>0</v>
      </c>
      <c r="X419" s="60">
        <v>0</v>
      </c>
      <c r="Y419" s="60">
        <v>0</v>
      </c>
      <c r="Z419" s="60">
        <v>0</v>
      </c>
      <c r="AA419" s="60">
        <v>0</v>
      </c>
      <c r="AB419" s="60">
        <v>0</v>
      </c>
      <c r="AC419" s="60">
        <v>0</v>
      </c>
      <c r="AD419" s="60">
        <v>0</v>
      </c>
      <c r="AE419" s="60">
        <v>0</v>
      </c>
      <c r="AF419" s="60">
        <v>0</v>
      </c>
      <c r="AG419" s="60">
        <v>0</v>
      </c>
      <c r="AH419" s="60">
        <v>0</v>
      </c>
      <c r="AI419" s="60">
        <v>3536.22</v>
      </c>
      <c r="AJ419" s="60">
        <v>3225.33</v>
      </c>
      <c r="AK419" s="60">
        <v>3435.71</v>
      </c>
      <c r="AL419" s="60">
        <v>0</v>
      </c>
      <c r="AM419" s="60">
        <v>0</v>
      </c>
      <c r="AN419" s="60">
        <v>0</v>
      </c>
      <c r="AO419" s="60">
        <v>3536.22</v>
      </c>
      <c r="AP419" s="60">
        <v>3225.33</v>
      </c>
      <c r="AQ419" s="60">
        <v>3435.71</v>
      </c>
      <c r="AR419" s="61">
        <v>3536.22</v>
      </c>
    </row>
    <row r="420" spans="1:44" x14ac:dyDescent="0.35">
      <c r="A420" s="49" t="str">
        <f t="shared" si="33"/>
        <v>10</v>
      </c>
      <c r="B420" s="27">
        <v>62331</v>
      </c>
      <c r="C420" s="25" t="str">
        <f t="shared" si="32"/>
        <v>0000000</v>
      </c>
      <c r="D420" s="26" t="s">
        <v>3663</v>
      </c>
      <c r="E420" s="25" t="s">
        <v>450</v>
      </c>
      <c r="F420" s="25" t="s">
        <v>387</v>
      </c>
      <c r="G420" s="59" t="s">
        <v>451</v>
      </c>
      <c r="H420" s="60">
        <v>230.15</v>
      </c>
      <c r="I420" s="60">
        <v>242.68</v>
      </c>
      <c r="J420" s="60">
        <v>320.07</v>
      </c>
      <c r="K420" s="60">
        <v>0</v>
      </c>
      <c r="L420" s="60">
        <v>0</v>
      </c>
      <c r="M420" s="60">
        <v>0</v>
      </c>
      <c r="N420" s="60">
        <v>0</v>
      </c>
      <c r="O420" s="60">
        <v>0</v>
      </c>
      <c r="P420" s="60">
        <v>0</v>
      </c>
      <c r="Q420" s="60">
        <v>0</v>
      </c>
      <c r="R420" s="60">
        <v>0</v>
      </c>
      <c r="S420" s="60">
        <v>0</v>
      </c>
      <c r="T420" s="60">
        <v>0</v>
      </c>
      <c r="U420" s="60">
        <v>0</v>
      </c>
      <c r="V420" s="60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0">
        <v>0</v>
      </c>
      <c r="AD420" s="60">
        <v>0</v>
      </c>
      <c r="AE420" s="60">
        <v>0</v>
      </c>
      <c r="AF420" s="60">
        <v>0</v>
      </c>
      <c r="AG420" s="60">
        <v>0</v>
      </c>
      <c r="AH420" s="60">
        <v>0</v>
      </c>
      <c r="AI420" s="60">
        <v>230.15</v>
      </c>
      <c r="AJ420" s="60">
        <v>242.68</v>
      </c>
      <c r="AK420" s="60">
        <v>320.07</v>
      </c>
      <c r="AL420" s="60">
        <v>0</v>
      </c>
      <c r="AM420" s="60">
        <v>0</v>
      </c>
      <c r="AN420" s="60">
        <v>0</v>
      </c>
      <c r="AO420" s="60">
        <v>230.15</v>
      </c>
      <c r="AP420" s="60">
        <v>242.68</v>
      </c>
      <c r="AQ420" s="60">
        <v>320.07</v>
      </c>
      <c r="AR420" s="61">
        <v>320.07</v>
      </c>
    </row>
    <row r="421" spans="1:44" x14ac:dyDescent="0.35">
      <c r="A421" s="49" t="str">
        <f t="shared" si="33"/>
        <v>10</v>
      </c>
      <c r="B421" s="27">
        <v>62356</v>
      </c>
      <c r="C421" s="25" t="str">
        <f t="shared" si="32"/>
        <v>0000000</v>
      </c>
      <c r="D421" s="26" t="s">
        <v>3663</v>
      </c>
      <c r="E421" s="25" t="s">
        <v>454</v>
      </c>
      <c r="F421" s="25" t="s">
        <v>387</v>
      </c>
      <c r="G421" s="59" t="s">
        <v>455</v>
      </c>
      <c r="H421" s="60">
        <v>323.63</v>
      </c>
      <c r="I421" s="60">
        <v>313.87</v>
      </c>
      <c r="J421" s="60">
        <v>371.44</v>
      </c>
      <c r="K421" s="60">
        <v>0</v>
      </c>
      <c r="L421" s="60">
        <v>0</v>
      </c>
      <c r="M421" s="60">
        <v>0</v>
      </c>
      <c r="N421" s="60">
        <v>0</v>
      </c>
      <c r="O421" s="60">
        <v>0</v>
      </c>
      <c r="P421" s="60">
        <v>0</v>
      </c>
      <c r="Q421" s="60">
        <v>0</v>
      </c>
      <c r="R421" s="60">
        <v>0</v>
      </c>
      <c r="S421" s="60">
        <v>0</v>
      </c>
      <c r="T421" s="60">
        <v>0</v>
      </c>
      <c r="U421" s="60">
        <v>0</v>
      </c>
      <c r="V421" s="60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0">
        <v>0</v>
      </c>
      <c r="AD421" s="60">
        <v>0</v>
      </c>
      <c r="AE421" s="60">
        <v>0</v>
      </c>
      <c r="AF421" s="60">
        <v>0</v>
      </c>
      <c r="AG421" s="60">
        <v>0</v>
      </c>
      <c r="AH421" s="60">
        <v>0</v>
      </c>
      <c r="AI421" s="60">
        <v>323.63</v>
      </c>
      <c r="AJ421" s="60">
        <v>313.87</v>
      </c>
      <c r="AK421" s="60">
        <v>371.44</v>
      </c>
      <c r="AL421" s="60">
        <v>0</v>
      </c>
      <c r="AM421" s="60">
        <v>0</v>
      </c>
      <c r="AN421" s="60">
        <v>0</v>
      </c>
      <c r="AO421" s="60">
        <v>323.63</v>
      </c>
      <c r="AP421" s="60">
        <v>313.87</v>
      </c>
      <c r="AQ421" s="60">
        <v>371.44</v>
      </c>
      <c r="AR421" s="61">
        <v>371.44</v>
      </c>
    </row>
    <row r="422" spans="1:44" x14ac:dyDescent="0.35">
      <c r="A422" s="49" t="str">
        <f t="shared" si="33"/>
        <v>10</v>
      </c>
      <c r="B422" s="27">
        <v>62380</v>
      </c>
      <c r="C422" s="25" t="str">
        <f t="shared" si="32"/>
        <v>0000000</v>
      </c>
      <c r="D422" s="26" t="s">
        <v>3663</v>
      </c>
      <c r="E422" s="25" t="s">
        <v>460</v>
      </c>
      <c r="F422" s="25" t="s">
        <v>387</v>
      </c>
      <c r="G422" s="59" t="s">
        <v>461</v>
      </c>
      <c r="H422" s="60">
        <v>243.51</v>
      </c>
      <c r="I422" s="60">
        <v>240.64</v>
      </c>
      <c r="J422" s="60">
        <v>280.25</v>
      </c>
      <c r="K422" s="60">
        <v>0</v>
      </c>
      <c r="L422" s="60">
        <v>0</v>
      </c>
      <c r="M422" s="60">
        <v>0</v>
      </c>
      <c r="N422" s="60">
        <v>0</v>
      </c>
      <c r="O422" s="60">
        <v>0</v>
      </c>
      <c r="P422" s="60">
        <v>0</v>
      </c>
      <c r="Q422" s="60">
        <v>0</v>
      </c>
      <c r="R422" s="60">
        <v>0</v>
      </c>
      <c r="S422" s="60">
        <v>0</v>
      </c>
      <c r="T422" s="60">
        <v>0</v>
      </c>
      <c r="U422" s="60">
        <v>0</v>
      </c>
      <c r="V422" s="60">
        <v>0</v>
      </c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0">
        <v>0</v>
      </c>
      <c r="AE422" s="60">
        <v>0</v>
      </c>
      <c r="AF422" s="60">
        <v>0</v>
      </c>
      <c r="AG422" s="60">
        <v>0</v>
      </c>
      <c r="AH422" s="60">
        <v>0</v>
      </c>
      <c r="AI422" s="60">
        <v>243.51</v>
      </c>
      <c r="AJ422" s="60">
        <v>240.64</v>
      </c>
      <c r="AK422" s="60">
        <v>280.25</v>
      </c>
      <c r="AL422" s="60">
        <v>0</v>
      </c>
      <c r="AM422" s="60">
        <v>0</v>
      </c>
      <c r="AN422" s="60">
        <v>0</v>
      </c>
      <c r="AO422" s="60">
        <v>243.51</v>
      </c>
      <c r="AP422" s="60">
        <v>240.64</v>
      </c>
      <c r="AQ422" s="60">
        <v>280.25</v>
      </c>
      <c r="AR422" s="61">
        <v>280.25</v>
      </c>
    </row>
    <row r="423" spans="1:44" x14ac:dyDescent="0.35">
      <c r="A423" s="49" t="str">
        <f t="shared" si="33"/>
        <v>10</v>
      </c>
      <c r="B423" s="27">
        <v>62539</v>
      </c>
      <c r="C423" s="25" t="str">
        <f t="shared" si="32"/>
        <v>0000000</v>
      </c>
      <c r="D423" s="26" t="s">
        <v>3663</v>
      </c>
      <c r="E423" s="25" t="s">
        <v>470</v>
      </c>
      <c r="F423" s="25" t="s">
        <v>387</v>
      </c>
      <c r="G423" s="59" t="s">
        <v>471</v>
      </c>
      <c r="H423" s="60">
        <v>277.64</v>
      </c>
      <c r="I423" s="60">
        <v>269.29000000000002</v>
      </c>
      <c r="J423" s="60">
        <v>347.95</v>
      </c>
      <c r="K423" s="60">
        <v>0</v>
      </c>
      <c r="L423" s="60">
        <v>0</v>
      </c>
      <c r="M423" s="60">
        <v>0</v>
      </c>
      <c r="N423" s="60">
        <v>0</v>
      </c>
      <c r="O423" s="60">
        <v>0</v>
      </c>
      <c r="P423" s="60">
        <v>0</v>
      </c>
      <c r="Q423" s="60">
        <v>0</v>
      </c>
      <c r="R423" s="60">
        <v>0</v>
      </c>
      <c r="S423" s="60">
        <v>0</v>
      </c>
      <c r="T423" s="60">
        <v>0</v>
      </c>
      <c r="U423" s="60">
        <v>0</v>
      </c>
      <c r="V423" s="60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218.54</v>
      </c>
      <c r="AD423" s="60">
        <v>250.53</v>
      </c>
      <c r="AE423" s="60">
        <v>291.95999999999998</v>
      </c>
      <c r="AF423" s="60">
        <v>0</v>
      </c>
      <c r="AG423" s="60">
        <v>0</v>
      </c>
      <c r="AH423" s="60">
        <v>0</v>
      </c>
      <c r="AI423" s="60">
        <v>496.18</v>
      </c>
      <c r="AJ423" s="60">
        <v>519.82000000000005</v>
      </c>
      <c r="AK423" s="60">
        <v>639.91</v>
      </c>
      <c r="AL423" s="60">
        <v>0</v>
      </c>
      <c r="AM423" s="60">
        <v>0</v>
      </c>
      <c r="AN423" s="60">
        <v>0</v>
      </c>
      <c r="AO423" s="60">
        <v>496.18</v>
      </c>
      <c r="AP423" s="60">
        <v>519.82000000000005</v>
      </c>
      <c r="AQ423" s="60">
        <v>639.91</v>
      </c>
      <c r="AR423" s="61">
        <v>639.91</v>
      </c>
    </row>
    <row r="424" spans="1:44" x14ac:dyDescent="0.35">
      <c r="A424" s="49" t="str">
        <f t="shared" si="33"/>
        <v>10</v>
      </c>
      <c r="B424" s="27">
        <v>62257</v>
      </c>
      <c r="C424" s="25" t="str">
        <f t="shared" si="32"/>
        <v>0000000</v>
      </c>
      <c r="D424" s="26" t="s">
        <v>3663</v>
      </c>
      <c r="E424" s="25" t="s">
        <v>442</v>
      </c>
      <c r="F424" s="25" t="s">
        <v>387</v>
      </c>
      <c r="G424" s="59" t="s">
        <v>443</v>
      </c>
      <c r="H424" s="60">
        <v>1150.3499999999999</v>
      </c>
      <c r="I424" s="60">
        <v>1133.07</v>
      </c>
      <c r="J424" s="60">
        <v>1129.04</v>
      </c>
      <c r="K424" s="60">
        <v>0</v>
      </c>
      <c r="L424" s="60">
        <v>0</v>
      </c>
      <c r="M424" s="60">
        <v>0</v>
      </c>
      <c r="N424" s="60">
        <v>0</v>
      </c>
      <c r="O424" s="60">
        <v>0</v>
      </c>
      <c r="P424" s="60">
        <v>0</v>
      </c>
      <c r="Q424" s="60">
        <v>0</v>
      </c>
      <c r="R424" s="60">
        <v>0</v>
      </c>
      <c r="S424" s="60">
        <v>0</v>
      </c>
      <c r="T424" s="60">
        <v>0</v>
      </c>
      <c r="U424" s="60">
        <v>0</v>
      </c>
      <c r="V424" s="60">
        <v>0</v>
      </c>
      <c r="W424" s="60">
        <v>0</v>
      </c>
      <c r="X424" s="60">
        <v>0</v>
      </c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0">
        <v>0</v>
      </c>
      <c r="AE424" s="60">
        <v>0</v>
      </c>
      <c r="AF424" s="60">
        <v>0</v>
      </c>
      <c r="AG424" s="60">
        <v>0</v>
      </c>
      <c r="AH424" s="60">
        <v>0</v>
      </c>
      <c r="AI424" s="60">
        <v>1150.3499999999999</v>
      </c>
      <c r="AJ424" s="60">
        <v>1133.07</v>
      </c>
      <c r="AK424" s="60">
        <v>1129.04</v>
      </c>
      <c r="AL424" s="60">
        <v>0</v>
      </c>
      <c r="AM424" s="60">
        <v>0</v>
      </c>
      <c r="AN424" s="60">
        <v>0</v>
      </c>
      <c r="AO424" s="60">
        <v>1150.3499999999999</v>
      </c>
      <c r="AP424" s="60">
        <v>1133.07</v>
      </c>
      <c r="AQ424" s="60">
        <v>1129.04</v>
      </c>
      <c r="AR424" s="61">
        <v>1150.3499999999999</v>
      </c>
    </row>
    <row r="425" spans="1:44" x14ac:dyDescent="0.35">
      <c r="A425" s="49" t="str">
        <f t="shared" si="33"/>
        <v>10</v>
      </c>
      <c r="B425" s="27">
        <v>62125</v>
      </c>
      <c r="C425" s="25" t="str">
        <f t="shared" si="32"/>
        <v>0000000</v>
      </c>
      <c r="D425" s="26" t="s">
        <v>3663</v>
      </c>
      <c r="E425" s="25" t="s">
        <v>417</v>
      </c>
      <c r="F425" s="25" t="s">
        <v>387</v>
      </c>
      <c r="G425" s="59" t="s">
        <v>418</v>
      </c>
      <c r="H425" s="60">
        <v>4053.18</v>
      </c>
      <c r="I425" s="60">
        <v>3878.58</v>
      </c>
      <c r="J425" s="60">
        <v>4226.92</v>
      </c>
      <c r="K425" s="60">
        <v>0</v>
      </c>
      <c r="L425" s="60">
        <v>0</v>
      </c>
      <c r="M425" s="60">
        <v>0</v>
      </c>
      <c r="N425" s="60">
        <v>0</v>
      </c>
      <c r="O425" s="60">
        <v>0</v>
      </c>
      <c r="P425" s="60">
        <v>0</v>
      </c>
      <c r="Q425" s="60">
        <v>0</v>
      </c>
      <c r="R425" s="60">
        <v>0</v>
      </c>
      <c r="S425" s="60">
        <v>0</v>
      </c>
      <c r="T425" s="60">
        <v>0</v>
      </c>
      <c r="U425" s="60">
        <v>0</v>
      </c>
      <c r="V425" s="60">
        <v>0</v>
      </c>
      <c r="W425" s="60">
        <v>0</v>
      </c>
      <c r="X425" s="60">
        <v>0</v>
      </c>
      <c r="Y425" s="60">
        <v>0</v>
      </c>
      <c r="Z425" s="60">
        <v>0</v>
      </c>
      <c r="AA425" s="60">
        <v>0</v>
      </c>
      <c r="AB425" s="60">
        <v>0</v>
      </c>
      <c r="AC425" s="60">
        <v>0</v>
      </c>
      <c r="AD425" s="60">
        <v>0</v>
      </c>
      <c r="AE425" s="60">
        <v>0</v>
      </c>
      <c r="AF425" s="60">
        <v>0</v>
      </c>
      <c r="AG425" s="60">
        <v>0</v>
      </c>
      <c r="AH425" s="60">
        <v>0</v>
      </c>
      <c r="AI425" s="60">
        <v>4053.18</v>
      </c>
      <c r="AJ425" s="60">
        <v>3878.58</v>
      </c>
      <c r="AK425" s="60">
        <v>4226.92</v>
      </c>
      <c r="AL425" s="60">
        <v>0</v>
      </c>
      <c r="AM425" s="60">
        <v>0</v>
      </c>
      <c r="AN425" s="60">
        <v>0</v>
      </c>
      <c r="AO425" s="60">
        <v>4053.18</v>
      </c>
      <c r="AP425" s="60">
        <v>3878.58</v>
      </c>
      <c r="AQ425" s="60">
        <v>4226.92</v>
      </c>
      <c r="AR425" s="61">
        <v>4226.92</v>
      </c>
    </row>
    <row r="426" spans="1:44" x14ac:dyDescent="0.35">
      <c r="A426" s="49" t="str">
        <f t="shared" si="33"/>
        <v>10</v>
      </c>
      <c r="B426" s="27">
        <v>62265</v>
      </c>
      <c r="C426" s="25" t="str">
        <f t="shared" si="32"/>
        <v>0000000</v>
      </c>
      <c r="D426" s="26" t="s">
        <v>3663</v>
      </c>
      <c r="E426" s="25" t="s">
        <v>444</v>
      </c>
      <c r="F426" s="25" t="s">
        <v>387</v>
      </c>
      <c r="G426" s="59" t="s">
        <v>445</v>
      </c>
      <c r="H426" s="60">
        <v>8736.8799999999992</v>
      </c>
      <c r="I426" s="60">
        <v>8707.84</v>
      </c>
      <c r="J426" s="60">
        <v>9158.19</v>
      </c>
      <c r="K426" s="60">
        <v>0</v>
      </c>
      <c r="L426" s="60">
        <v>0</v>
      </c>
      <c r="M426" s="60">
        <v>0</v>
      </c>
      <c r="N426" s="60">
        <v>0</v>
      </c>
      <c r="O426" s="60">
        <v>0</v>
      </c>
      <c r="P426" s="60">
        <v>0</v>
      </c>
      <c r="Q426" s="60">
        <v>0</v>
      </c>
      <c r="R426" s="60">
        <v>0</v>
      </c>
      <c r="S426" s="60">
        <v>0</v>
      </c>
      <c r="T426" s="60">
        <v>0</v>
      </c>
      <c r="U426" s="60">
        <v>0</v>
      </c>
      <c r="V426" s="60">
        <v>0</v>
      </c>
      <c r="W426" s="60">
        <v>0</v>
      </c>
      <c r="X426" s="60">
        <v>0</v>
      </c>
      <c r="Y426" s="60">
        <v>0</v>
      </c>
      <c r="Z426" s="60">
        <v>0</v>
      </c>
      <c r="AA426" s="60">
        <v>0</v>
      </c>
      <c r="AB426" s="60">
        <v>0</v>
      </c>
      <c r="AC426" s="60">
        <v>367.02</v>
      </c>
      <c r="AD426" s="60">
        <v>424.41</v>
      </c>
      <c r="AE426" s="60">
        <v>265.14999999999998</v>
      </c>
      <c r="AF426" s="60">
        <v>0</v>
      </c>
      <c r="AG426" s="60">
        <v>0</v>
      </c>
      <c r="AH426" s="60">
        <v>0</v>
      </c>
      <c r="AI426" s="60">
        <v>9103.9</v>
      </c>
      <c r="AJ426" s="60">
        <v>9132.25</v>
      </c>
      <c r="AK426" s="60">
        <v>9423.34</v>
      </c>
      <c r="AL426" s="60">
        <v>0</v>
      </c>
      <c r="AM426" s="60">
        <v>0</v>
      </c>
      <c r="AN426" s="60">
        <v>0</v>
      </c>
      <c r="AO426" s="60">
        <v>9103.9</v>
      </c>
      <c r="AP426" s="60">
        <v>9132.25</v>
      </c>
      <c r="AQ426" s="60">
        <v>9423.34</v>
      </c>
      <c r="AR426" s="61">
        <v>9423.34</v>
      </c>
    </row>
    <row r="427" spans="1:44" x14ac:dyDescent="0.35">
      <c r="A427" s="49" t="str">
        <f t="shared" si="33"/>
        <v>10</v>
      </c>
      <c r="B427" s="27">
        <v>62281</v>
      </c>
      <c r="C427" s="25" t="str">
        <f t="shared" si="32"/>
        <v>0000000</v>
      </c>
      <c r="D427" s="26" t="s">
        <v>3663</v>
      </c>
      <c r="E427" s="25" t="s">
        <v>446</v>
      </c>
      <c r="F427" s="25" t="s">
        <v>387</v>
      </c>
      <c r="G427" s="59" t="s">
        <v>447</v>
      </c>
      <c r="H427" s="60">
        <v>578.29999999999995</v>
      </c>
      <c r="I427" s="60">
        <v>525.04</v>
      </c>
      <c r="J427" s="60">
        <v>625.25</v>
      </c>
      <c r="K427" s="60">
        <v>0</v>
      </c>
      <c r="L427" s="60">
        <v>0</v>
      </c>
      <c r="M427" s="60">
        <v>0</v>
      </c>
      <c r="N427" s="60">
        <v>0</v>
      </c>
      <c r="O427" s="60">
        <v>0</v>
      </c>
      <c r="P427" s="60">
        <v>0</v>
      </c>
      <c r="Q427" s="60">
        <v>0</v>
      </c>
      <c r="R427" s="60">
        <v>0</v>
      </c>
      <c r="S427" s="60">
        <v>0</v>
      </c>
      <c r="T427" s="60">
        <v>0</v>
      </c>
      <c r="U427" s="60">
        <v>0</v>
      </c>
      <c r="V427" s="60">
        <v>0</v>
      </c>
      <c r="W427" s="60">
        <v>0</v>
      </c>
      <c r="X427" s="60">
        <v>0</v>
      </c>
      <c r="Y427" s="60">
        <v>0</v>
      </c>
      <c r="Z427" s="60">
        <v>0</v>
      </c>
      <c r="AA427" s="60">
        <v>0</v>
      </c>
      <c r="AB427" s="60">
        <v>0</v>
      </c>
      <c r="AC427" s="60">
        <v>0</v>
      </c>
      <c r="AD427" s="60">
        <v>0</v>
      </c>
      <c r="AE427" s="60">
        <v>0</v>
      </c>
      <c r="AF427" s="60">
        <v>0</v>
      </c>
      <c r="AG427" s="60">
        <v>0</v>
      </c>
      <c r="AH427" s="60">
        <v>0</v>
      </c>
      <c r="AI427" s="60">
        <v>578.29999999999995</v>
      </c>
      <c r="AJ427" s="60">
        <v>525.04</v>
      </c>
      <c r="AK427" s="60">
        <v>625.25</v>
      </c>
      <c r="AL427" s="60">
        <v>0</v>
      </c>
      <c r="AM427" s="60">
        <v>0</v>
      </c>
      <c r="AN427" s="60">
        <v>0</v>
      </c>
      <c r="AO427" s="60">
        <v>578.29999999999995</v>
      </c>
      <c r="AP427" s="60">
        <v>525.04</v>
      </c>
      <c r="AQ427" s="60">
        <v>625.25</v>
      </c>
      <c r="AR427" s="61">
        <v>625.25</v>
      </c>
    </row>
    <row r="428" spans="1:44" x14ac:dyDescent="0.35">
      <c r="A428" s="49" t="str">
        <f t="shared" si="33"/>
        <v>10</v>
      </c>
      <c r="B428" s="27">
        <v>62364</v>
      </c>
      <c r="C428" s="25" t="str">
        <f t="shared" si="32"/>
        <v>0000000</v>
      </c>
      <c r="D428" s="26" t="s">
        <v>3663</v>
      </c>
      <c r="E428" s="25" t="s">
        <v>456</v>
      </c>
      <c r="F428" s="25" t="s">
        <v>387</v>
      </c>
      <c r="G428" s="59" t="s">
        <v>457</v>
      </c>
      <c r="H428" s="60">
        <v>3057.27</v>
      </c>
      <c r="I428" s="60">
        <v>2917.09</v>
      </c>
      <c r="J428" s="60">
        <v>3337.48</v>
      </c>
      <c r="K428" s="60">
        <v>0</v>
      </c>
      <c r="L428" s="60">
        <v>0</v>
      </c>
      <c r="M428" s="60">
        <v>0</v>
      </c>
      <c r="N428" s="60">
        <v>0</v>
      </c>
      <c r="O428" s="60">
        <v>0</v>
      </c>
      <c r="P428" s="60">
        <v>0</v>
      </c>
      <c r="Q428" s="60">
        <v>0</v>
      </c>
      <c r="R428" s="60">
        <v>0</v>
      </c>
      <c r="S428" s="60">
        <v>0</v>
      </c>
      <c r="T428" s="60">
        <v>0</v>
      </c>
      <c r="U428" s="60">
        <v>0</v>
      </c>
      <c r="V428" s="60">
        <v>0</v>
      </c>
      <c r="W428" s="60">
        <v>0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0">
        <v>0</v>
      </c>
      <c r="AE428" s="60">
        <v>0</v>
      </c>
      <c r="AF428" s="60">
        <v>0</v>
      </c>
      <c r="AG428" s="60">
        <v>0</v>
      </c>
      <c r="AH428" s="60">
        <v>0</v>
      </c>
      <c r="AI428" s="60">
        <v>3057.27</v>
      </c>
      <c r="AJ428" s="60">
        <v>2917.09</v>
      </c>
      <c r="AK428" s="60">
        <v>3337.48</v>
      </c>
      <c r="AL428" s="60">
        <v>0</v>
      </c>
      <c r="AM428" s="60">
        <v>0</v>
      </c>
      <c r="AN428" s="60">
        <v>0</v>
      </c>
      <c r="AO428" s="60">
        <v>3057.27</v>
      </c>
      <c r="AP428" s="60">
        <v>2917.09</v>
      </c>
      <c r="AQ428" s="60">
        <v>3337.48</v>
      </c>
      <c r="AR428" s="61">
        <v>3337.48</v>
      </c>
    </row>
    <row r="429" spans="1:44" x14ac:dyDescent="0.35">
      <c r="A429" s="49" t="str">
        <f t="shared" si="33"/>
        <v>10</v>
      </c>
      <c r="B429" s="27">
        <v>62414</v>
      </c>
      <c r="C429" s="25" t="str">
        <f t="shared" si="32"/>
        <v>0000000</v>
      </c>
      <c r="D429" s="26" t="s">
        <v>3663</v>
      </c>
      <c r="E429" s="25" t="s">
        <v>464</v>
      </c>
      <c r="F429" s="25" t="s">
        <v>387</v>
      </c>
      <c r="G429" s="59" t="s">
        <v>465</v>
      </c>
      <c r="H429" s="60">
        <v>11212.64</v>
      </c>
      <c r="I429" s="60">
        <v>10666.26</v>
      </c>
      <c r="J429" s="60">
        <v>10667.42</v>
      </c>
      <c r="K429" s="60">
        <v>0</v>
      </c>
      <c r="L429" s="60">
        <v>0</v>
      </c>
      <c r="M429" s="60">
        <v>0</v>
      </c>
      <c r="N429" s="60">
        <v>0</v>
      </c>
      <c r="O429" s="60">
        <v>0</v>
      </c>
      <c r="P429" s="60">
        <v>0</v>
      </c>
      <c r="Q429" s="60">
        <v>0</v>
      </c>
      <c r="R429" s="60">
        <v>0</v>
      </c>
      <c r="S429" s="60">
        <v>0</v>
      </c>
      <c r="T429" s="60">
        <v>0</v>
      </c>
      <c r="U429" s="60">
        <v>0</v>
      </c>
      <c r="V429" s="60">
        <v>0</v>
      </c>
      <c r="W429" s="60">
        <v>0</v>
      </c>
      <c r="X429" s="60">
        <v>0</v>
      </c>
      <c r="Y429" s="60">
        <v>0</v>
      </c>
      <c r="Z429" s="60">
        <v>0</v>
      </c>
      <c r="AA429" s="60">
        <v>0</v>
      </c>
      <c r="AB429" s="60">
        <v>0</v>
      </c>
      <c r="AC429" s="60">
        <v>1174.31</v>
      </c>
      <c r="AD429" s="60">
        <v>1367.56</v>
      </c>
      <c r="AE429" s="60">
        <v>1488.26</v>
      </c>
      <c r="AF429" s="60">
        <v>0</v>
      </c>
      <c r="AG429" s="60">
        <v>0</v>
      </c>
      <c r="AH429" s="60">
        <v>0</v>
      </c>
      <c r="AI429" s="60">
        <v>12386.95</v>
      </c>
      <c r="AJ429" s="60">
        <v>12033.82</v>
      </c>
      <c r="AK429" s="60">
        <v>12155.68</v>
      </c>
      <c r="AL429" s="60">
        <v>0</v>
      </c>
      <c r="AM429" s="60">
        <v>0</v>
      </c>
      <c r="AN429" s="60">
        <v>0</v>
      </c>
      <c r="AO429" s="60">
        <v>12386.95</v>
      </c>
      <c r="AP429" s="60">
        <v>12033.82</v>
      </c>
      <c r="AQ429" s="60">
        <v>12155.68</v>
      </c>
      <c r="AR429" s="61">
        <v>12386.95</v>
      </c>
    </row>
    <row r="430" spans="1:44" x14ac:dyDescent="0.35">
      <c r="A430" s="49" t="str">
        <f t="shared" si="33"/>
        <v>10</v>
      </c>
      <c r="B430" s="27">
        <v>62430</v>
      </c>
      <c r="C430" s="25" t="str">
        <f t="shared" si="32"/>
        <v>0000000</v>
      </c>
      <c r="D430" s="26" t="s">
        <v>3663</v>
      </c>
      <c r="E430" s="25" t="s">
        <v>466</v>
      </c>
      <c r="F430" s="25" t="s">
        <v>387</v>
      </c>
      <c r="G430" s="59" t="s">
        <v>467</v>
      </c>
      <c r="H430" s="60">
        <v>5553.36</v>
      </c>
      <c r="I430" s="60">
        <v>5322.07</v>
      </c>
      <c r="J430" s="60">
        <v>5966.42</v>
      </c>
      <c r="K430" s="60">
        <v>0</v>
      </c>
      <c r="L430" s="60">
        <v>0</v>
      </c>
      <c r="M430" s="60">
        <v>0</v>
      </c>
      <c r="N430" s="60">
        <v>0</v>
      </c>
      <c r="O430" s="60">
        <v>0</v>
      </c>
      <c r="P430" s="60">
        <v>0</v>
      </c>
      <c r="Q430" s="60">
        <v>0</v>
      </c>
      <c r="R430" s="60">
        <v>0</v>
      </c>
      <c r="S430" s="60">
        <v>0</v>
      </c>
      <c r="T430" s="60">
        <v>0</v>
      </c>
      <c r="U430" s="60">
        <v>0</v>
      </c>
      <c r="V430" s="60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0</v>
      </c>
      <c r="AD430" s="60">
        <v>0</v>
      </c>
      <c r="AE430" s="60">
        <v>0</v>
      </c>
      <c r="AF430" s="60">
        <v>0</v>
      </c>
      <c r="AG430" s="60">
        <v>0</v>
      </c>
      <c r="AH430" s="60">
        <v>0</v>
      </c>
      <c r="AI430" s="60">
        <v>5553.36</v>
      </c>
      <c r="AJ430" s="60">
        <v>5322.07</v>
      </c>
      <c r="AK430" s="60">
        <v>5966.42</v>
      </c>
      <c r="AL430" s="60">
        <v>0</v>
      </c>
      <c r="AM430" s="60">
        <v>0</v>
      </c>
      <c r="AN430" s="60">
        <v>0</v>
      </c>
      <c r="AO430" s="60">
        <v>5553.36</v>
      </c>
      <c r="AP430" s="60">
        <v>5322.07</v>
      </c>
      <c r="AQ430" s="60">
        <v>5966.42</v>
      </c>
      <c r="AR430" s="61">
        <v>5966.42</v>
      </c>
    </row>
    <row r="431" spans="1:44" x14ac:dyDescent="0.35">
      <c r="A431" s="49" t="str">
        <f t="shared" si="33"/>
        <v>10</v>
      </c>
      <c r="B431" s="27">
        <v>73809</v>
      </c>
      <c r="C431" s="25" t="str">
        <f t="shared" si="32"/>
        <v>0000000</v>
      </c>
      <c r="D431" s="26" t="s">
        <v>3663</v>
      </c>
      <c r="E431" s="25" t="s">
        <v>478</v>
      </c>
      <c r="F431" s="25" t="s">
        <v>387</v>
      </c>
      <c r="G431" s="59" t="s">
        <v>479</v>
      </c>
      <c r="H431" s="60">
        <v>2034.41</v>
      </c>
      <c r="I431" s="60">
        <v>1994.52</v>
      </c>
      <c r="J431" s="60">
        <v>2140.31</v>
      </c>
      <c r="K431" s="60">
        <v>0</v>
      </c>
      <c r="L431" s="60">
        <v>0</v>
      </c>
      <c r="M431" s="60">
        <v>0</v>
      </c>
      <c r="N431" s="60">
        <v>0</v>
      </c>
      <c r="O431" s="60">
        <v>0</v>
      </c>
      <c r="P431" s="60">
        <v>0</v>
      </c>
      <c r="Q431" s="60">
        <v>0</v>
      </c>
      <c r="R431" s="60">
        <v>0</v>
      </c>
      <c r="S431" s="60">
        <v>0</v>
      </c>
      <c r="T431" s="60">
        <v>0</v>
      </c>
      <c r="U431" s="60">
        <v>0</v>
      </c>
      <c r="V431" s="60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0">
        <v>0</v>
      </c>
      <c r="AE431" s="60">
        <v>0</v>
      </c>
      <c r="AF431" s="60">
        <v>0</v>
      </c>
      <c r="AG431" s="60">
        <v>0</v>
      </c>
      <c r="AH431" s="60">
        <v>0</v>
      </c>
      <c r="AI431" s="60">
        <v>2034.41</v>
      </c>
      <c r="AJ431" s="60">
        <v>1994.52</v>
      </c>
      <c r="AK431" s="60">
        <v>2140.31</v>
      </c>
      <c r="AL431" s="60">
        <v>0</v>
      </c>
      <c r="AM431" s="60">
        <v>0</v>
      </c>
      <c r="AN431" s="60">
        <v>0</v>
      </c>
      <c r="AO431" s="60">
        <v>2034.41</v>
      </c>
      <c r="AP431" s="60">
        <v>1994.52</v>
      </c>
      <c r="AQ431" s="60">
        <v>2140.31</v>
      </c>
      <c r="AR431" s="61">
        <v>2140.31</v>
      </c>
    </row>
    <row r="432" spans="1:44" x14ac:dyDescent="0.35">
      <c r="A432" s="49" t="str">
        <f t="shared" si="33"/>
        <v>10</v>
      </c>
      <c r="B432" s="27">
        <v>62547</v>
      </c>
      <c r="C432" s="25" t="str">
        <f t="shared" si="32"/>
        <v>0000000</v>
      </c>
      <c r="D432" s="26" t="s">
        <v>3663</v>
      </c>
      <c r="E432" s="25" t="s">
        <v>472</v>
      </c>
      <c r="F432" s="25" t="s">
        <v>387</v>
      </c>
      <c r="G432" s="59" t="s">
        <v>473</v>
      </c>
      <c r="H432" s="60">
        <v>123.95</v>
      </c>
      <c r="I432" s="60">
        <v>137.19</v>
      </c>
      <c r="J432" s="60">
        <v>182.79</v>
      </c>
      <c r="K432" s="60">
        <v>0</v>
      </c>
      <c r="L432" s="60">
        <v>0</v>
      </c>
      <c r="M432" s="60">
        <v>0</v>
      </c>
      <c r="N432" s="60">
        <v>0</v>
      </c>
      <c r="O432" s="60">
        <v>0</v>
      </c>
      <c r="P432" s="60">
        <v>0</v>
      </c>
      <c r="Q432" s="60">
        <v>0</v>
      </c>
      <c r="R432" s="60">
        <v>0</v>
      </c>
      <c r="S432" s="60">
        <v>0</v>
      </c>
      <c r="T432" s="60">
        <v>0</v>
      </c>
      <c r="U432" s="60">
        <v>0</v>
      </c>
      <c r="V432" s="60">
        <v>0</v>
      </c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60">
        <v>0</v>
      </c>
      <c r="AE432" s="60">
        <v>0</v>
      </c>
      <c r="AF432" s="60">
        <v>0</v>
      </c>
      <c r="AG432" s="60">
        <v>0</v>
      </c>
      <c r="AH432" s="60">
        <v>0</v>
      </c>
      <c r="AI432" s="60">
        <v>123.95</v>
      </c>
      <c r="AJ432" s="60">
        <v>137.19</v>
      </c>
      <c r="AK432" s="60">
        <v>182.79</v>
      </c>
      <c r="AL432" s="60">
        <v>0</v>
      </c>
      <c r="AM432" s="60">
        <v>0</v>
      </c>
      <c r="AN432" s="60">
        <v>0</v>
      </c>
      <c r="AO432" s="60">
        <v>123.95</v>
      </c>
      <c r="AP432" s="60">
        <v>137.19</v>
      </c>
      <c r="AQ432" s="60">
        <v>182.79</v>
      </c>
      <c r="AR432" s="61">
        <v>182.79</v>
      </c>
    </row>
    <row r="433" spans="1:44" x14ac:dyDescent="0.35">
      <c r="A433" s="49" t="str">
        <f t="shared" si="33"/>
        <v>10</v>
      </c>
      <c r="B433" s="27">
        <v>62158</v>
      </c>
      <c r="C433" s="25" t="str">
        <f t="shared" si="32"/>
        <v>0000000</v>
      </c>
      <c r="D433" s="26" t="s">
        <v>3663</v>
      </c>
      <c r="E433" s="25" t="s">
        <v>419</v>
      </c>
      <c r="F433" s="25" t="s">
        <v>387</v>
      </c>
      <c r="G433" s="59" t="s">
        <v>420</v>
      </c>
      <c r="H433" s="60">
        <v>2372.5700000000002</v>
      </c>
      <c r="I433" s="60">
        <v>2326.3000000000002</v>
      </c>
      <c r="J433" s="60">
        <v>2476.2199999999998</v>
      </c>
      <c r="K433" s="60">
        <v>0</v>
      </c>
      <c r="L433" s="60">
        <v>0</v>
      </c>
      <c r="M433" s="60">
        <v>0</v>
      </c>
      <c r="N433" s="60">
        <v>0</v>
      </c>
      <c r="O433" s="60">
        <v>0</v>
      </c>
      <c r="P433" s="60">
        <v>0</v>
      </c>
      <c r="Q433" s="60">
        <v>0</v>
      </c>
      <c r="R433" s="60">
        <v>0</v>
      </c>
      <c r="S433" s="60">
        <v>0</v>
      </c>
      <c r="T433" s="60">
        <v>0</v>
      </c>
      <c r="U433" s="60">
        <v>0</v>
      </c>
      <c r="V433" s="60">
        <v>0</v>
      </c>
      <c r="W433" s="60">
        <v>0</v>
      </c>
      <c r="X433" s="60">
        <v>0</v>
      </c>
      <c r="Y433" s="60">
        <v>0</v>
      </c>
      <c r="Z433" s="60">
        <v>0</v>
      </c>
      <c r="AA433" s="60">
        <v>0</v>
      </c>
      <c r="AB433" s="60">
        <v>0</v>
      </c>
      <c r="AC433" s="60">
        <v>0</v>
      </c>
      <c r="AD433" s="60">
        <v>0</v>
      </c>
      <c r="AE433" s="60">
        <v>0</v>
      </c>
      <c r="AF433" s="60">
        <v>0</v>
      </c>
      <c r="AG433" s="60">
        <v>0</v>
      </c>
      <c r="AH433" s="60">
        <v>0</v>
      </c>
      <c r="AI433" s="60">
        <v>2372.5700000000002</v>
      </c>
      <c r="AJ433" s="60">
        <v>2326.3000000000002</v>
      </c>
      <c r="AK433" s="60">
        <v>2476.2199999999998</v>
      </c>
      <c r="AL433" s="60">
        <v>0</v>
      </c>
      <c r="AM433" s="60">
        <v>0</v>
      </c>
      <c r="AN433" s="60">
        <v>0</v>
      </c>
      <c r="AO433" s="60">
        <v>2372.5700000000002</v>
      </c>
      <c r="AP433" s="60">
        <v>2326.3000000000002</v>
      </c>
      <c r="AQ433" s="60">
        <v>2476.2199999999998</v>
      </c>
      <c r="AR433" s="61">
        <v>2476.2199999999998</v>
      </c>
    </row>
    <row r="434" spans="1:44" x14ac:dyDescent="0.35">
      <c r="A434" s="49" t="str">
        <f t="shared" si="33"/>
        <v>10</v>
      </c>
      <c r="B434" s="27">
        <v>73965</v>
      </c>
      <c r="C434" s="25" t="str">
        <f t="shared" si="32"/>
        <v>0000000</v>
      </c>
      <c r="D434" s="26" t="s">
        <v>3663</v>
      </c>
      <c r="E434" s="25" t="s">
        <v>480</v>
      </c>
      <c r="F434" s="25" t="s">
        <v>387</v>
      </c>
      <c r="G434" s="59" t="s">
        <v>481</v>
      </c>
      <c r="H434" s="60">
        <v>14265.38</v>
      </c>
      <c r="I434" s="60">
        <v>14191.88</v>
      </c>
      <c r="J434" s="60">
        <v>15039.38</v>
      </c>
      <c r="K434" s="60">
        <v>0</v>
      </c>
      <c r="L434" s="60">
        <v>0</v>
      </c>
      <c r="M434" s="60">
        <v>0</v>
      </c>
      <c r="N434" s="60">
        <v>0</v>
      </c>
      <c r="O434" s="60">
        <v>0</v>
      </c>
      <c r="P434" s="60">
        <v>0</v>
      </c>
      <c r="Q434" s="60">
        <v>0</v>
      </c>
      <c r="R434" s="60">
        <v>0</v>
      </c>
      <c r="S434" s="60">
        <v>0</v>
      </c>
      <c r="T434" s="60">
        <v>0</v>
      </c>
      <c r="U434" s="60">
        <v>0</v>
      </c>
      <c r="V434" s="60">
        <v>0</v>
      </c>
      <c r="W434" s="60">
        <v>0</v>
      </c>
      <c r="X434" s="60">
        <v>0</v>
      </c>
      <c r="Y434" s="60">
        <v>0</v>
      </c>
      <c r="Z434" s="60">
        <v>0</v>
      </c>
      <c r="AA434" s="60">
        <v>0</v>
      </c>
      <c r="AB434" s="60">
        <v>0</v>
      </c>
      <c r="AC434" s="60">
        <v>0</v>
      </c>
      <c r="AD434" s="60">
        <v>0</v>
      </c>
      <c r="AE434" s="60">
        <v>0</v>
      </c>
      <c r="AF434" s="60">
        <v>0</v>
      </c>
      <c r="AG434" s="60">
        <v>0</v>
      </c>
      <c r="AH434" s="60">
        <v>0</v>
      </c>
      <c r="AI434" s="60">
        <v>14265.38</v>
      </c>
      <c r="AJ434" s="60">
        <v>14191.88</v>
      </c>
      <c r="AK434" s="60">
        <v>15039.38</v>
      </c>
      <c r="AL434" s="60">
        <v>0</v>
      </c>
      <c r="AM434" s="60">
        <v>0</v>
      </c>
      <c r="AN434" s="60">
        <v>0</v>
      </c>
      <c r="AO434" s="60">
        <v>14265.38</v>
      </c>
      <c r="AP434" s="60">
        <v>14191.88</v>
      </c>
      <c r="AQ434" s="60">
        <v>15039.38</v>
      </c>
      <c r="AR434" s="61">
        <v>15039.38</v>
      </c>
    </row>
    <row r="435" spans="1:44" x14ac:dyDescent="0.35">
      <c r="A435" s="49" t="str">
        <f t="shared" si="33"/>
        <v>10</v>
      </c>
      <c r="B435" s="27">
        <v>73999</v>
      </c>
      <c r="C435" s="25" t="str">
        <f t="shared" si="32"/>
        <v>0000000</v>
      </c>
      <c r="D435" s="26" t="s">
        <v>3663</v>
      </c>
      <c r="E435" s="25" t="s">
        <v>482</v>
      </c>
      <c r="F435" s="25" t="s">
        <v>387</v>
      </c>
      <c r="G435" s="59" t="s">
        <v>483</v>
      </c>
      <c r="H435" s="60">
        <v>4884.88</v>
      </c>
      <c r="I435" s="60">
        <v>4476.8900000000003</v>
      </c>
      <c r="J435" s="60">
        <v>5055.2</v>
      </c>
      <c r="K435" s="60">
        <v>0</v>
      </c>
      <c r="L435" s="60">
        <v>0</v>
      </c>
      <c r="M435" s="60">
        <v>0</v>
      </c>
      <c r="N435" s="60">
        <v>0</v>
      </c>
      <c r="O435" s="60">
        <v>0</v>
      </c>
      <c r="P435" s="60">
        <v>0</v>
      </c>
      <c r="Q435" s="60">
        <v>0</v>
      </c>
      <c r="R435" s="60">
        <v>0</v>
      </c>
      <c r="S435" s="60">
        <v>0</v>
      </c>
      <c r="T435" s="60">
        <v>0</v>
      </c>
      <c r="U435" s="60">
        <v>0</v>
      </c>
      <c r="V435" s="60">
        <v>0</v>
      </c>
      <c r="W435" s="60">
        <v>0</v>
      </c>
      <c r="X435" s="60">
        <v>0</v>
      </c>
      <c r="Y435" s="60">
        <v>0</v>
      </c>
      <c r="Z435" s="60">
        <v>0</v>
      </c>
      <c r="AA435" s="60">
        <v>0</v>
      </c>
      <c r="AB435" s="60">
        <v>0</v>
      </c>
      <c r="AC435" s="60">
        <v>0</v>
      </c>
      <c r="AD435" s="60">
        <v>0</v>
      </c>
      <c r="AE435" s="60">
        <v>0</v>
      </c>
      <c r="AF435" s="60">
        <v>0</v>
      </c>
      <c r="AG435" s="60">
        <v>0</v>
      </c>
      <c r="AH435" s="60">
        <v>0</v>
      </c>
      <c r="AI435" s="60">
        <v>4884.88</v>
      </c>
      <c r="AJ435" s="60">
        <v>4476.8900000000003</v>
      </c>
      <c r="AK435" s="60">
        <v>5055.2</v>
      </c>
      <c r="AL435" s="60">
        <v>0</v>
      </c>
      <c r="AM435" s="60">
        <v>0</v>
      </c>
      <c r="AN435" s="60">
        <v>0</v>
      </c>
      <c r="AO435" s="60">
        <v>4884.88</v>
      </c>
      <c r="AP435" s="60">
        <v>4476.8900000000003</v>
      </c>
      <c r="AQ435" s="60">
        <v>5055.2</v>
      </c>
      <c r="AR435" s="61">
        <v>5055.2</v>
      </c>
    </row>
    <row r="436" spans="1:44" x14ac:dyDescent="0.35">
      <c r="A436" s="49" t="str">
        <f t="shared" si="33"/>
        <v>10</v>
      </c>
      <c r="B436" s="27">
        <v>75234</v>
      </c>
      <c r="C436" s="25" t="str">
        <f t="shared" si="32"/>
        <v>0000000</v>
      </c>
      <c r="D436" s="26" t="s">
        <v>3663</v>
      </c>
      <c r="E436" s="25" t="s">
        <v>486</v>
      </c>
      <c r="F436" s="25" t="s">
        <v>387</v>
      </c>
      <c r="G436" s="59" t="s">
        <v>487</v>
      </c>
      <c r="H436" s="60">
        <v>1253.5899999999999</v>
      </c>
      <c r="I436" s="60">
        <v>1198.25</v>
      </c>
      <c r="J436" s="60">
        <v>1497</v>
      </c>
      <c r="K436" s="60">
        <v>0</v>
      </c>
      <c r="L436" s="60">
        <v>0</v>
      </c>
      <c r="M436" s="60">
        <v>0</v>
      </c>
      <c r="N436" s="60">
        <v>0</v>
      </c>
      <c r="O436" s="60">
        <v>0</v>
      </c>
      <c r="P436" s="60">
        <v>0</v>
      </c>
      <c r="Q436" s="60">
        <v>0</v>
      </c>
      <c r="R436" s="60">
        <v>0</v>
      </c>
      <c r="S436" s="60">
        <v>0</v>
      </c>
      <c r="T436" s="60">
        <v>0</v>
      </c>
      <c r="U436" s="60">
        <v>0</v>
      </c>
      <c r="V436" s="60">
        <v>0</v>
      </c>
      <c r="W436" s="60">
        <v>0</v>
      </c>
      <c r="X436" s="60">
        <v>0</v>
      </c>
      <c r="Y436" s="60">
        <v>0</v>
      </c>
      <c r="Z436" s="60">
        <v>0</v>
      </c>
      <c r="AA436" s="60">
        <v>0</v>
      </c>
      <c r="AB436" s="60">
        <v>0</v>
      </c>
      <c r="AC436" s="60">
        <v>0</v>
      </c>
      <c r="AD436" s="60">
        <v>0</v>
      </c>
      <c r="AE436" s="60">
        <v>0</v>
      </c>
      <c r="AF436" s="60">
        <v>0</v>
      </c>
      <c r="AG436" s="60">
        <v>0</v>
      </c>
      <c r="AH436" s="60">
        <v>0</v>
      </c>
      <c r="AI436" s="60">
        <v>1253.5899999999999</v>
      </c>
      <c r="AJ436" s="60">
        <v>1198.25</v>
      </c>
      <c r="AK436" s="60">
        <v>1497</v>
      </c>
      <c r="AL436" s="60">
        <v>0</v>
      </c>
      <c r="AM436" s="60">
        <v>0</v>
      </c>
      <c r="AN436" s="60">
        <v>0</v>
      </c>
      <c r="AO436" s="60">
        <v>1253.5899999999999</v>
      </c>
      <c r="AP436" s="60">
        <v>1198.25</v>
      </c>
      <c r="AQ436" s="60">
        <v>1497</v>
      </c>
      <c r="AR436" s="61">
        <v>1497</v>
      </c>
    </row>
    <row r="437" spans="1:44" x14ac:dyDescent="0.35">
      <c r="A437" s="49" t="str">
        <f t="shared" si="33"/>
        <v>10</v>
      </c>
      <c r="B437" s="27">
        <v>62026</v>
      </c>
      <c r="C437" s="25" t="str">
        <f t="shared" si="32"/>
        <v>0000000</v>
      </c>
      <c r="D437" s="26" t="s">
        <v>3663</v>
      </c>
      <c r="E437" s="25" t="s">
        <v>409</v>
      </c>
      <c r="F437" s="25" t="s">
        <v>387</v>
      </c>
      <c r="G437" s="59" t="s">
        <v>410</v>
      </c>
      <c r="H437" s="60">
        <v>24.61</v>
      </c>
      <c r="I437" s="60">
        <v>27.48</v>
      </c>
      <c r="J437" s="60">
        <v>40.68</v>
      </c>
      <c r="K437" s="60">
        <v>0</v>
      </c>
      <c r="L437" s="60">
        <v>0</v>
      </c>
      <c r="M437" s="60">
        <v>0</v>
      </c>
      <c r="N437" s="60">
        <v>2.35</v>
      </c>
      <c r="O437" s="60">
        <v>3.67</v>
      </c>
      <c r="P437" s="60">
        <v>2.54</v>
      </c>
      <c r="Q437" s="60">
        <v>0</v>
      </c>
      <c r="R437" s="60">
        <v>0</v>
      </c>
      <c r="S437" s="60">
        <v>0</v>
      </c>
      <c r="T437" s="60">
        <v>0</v>
      </c>
      <c r="U437" s="60">
        <v>0</v>
      </c>
      <c r="V437" s="60">
        <v>0</v>
      </c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0">
        <v>0</v>
      </c>
      <c r="AD437" s="60">
        <v>0</v>
      </c>
      <c r="AE437" s="60">
        <v>0</v>
      </c>
      <c r="AF437" s="60">
        <v>0</v>
      </c>
      <c r="AG437" s="60">
        <v>0</v>
      </c>
      <c r="AH437" s="60">
        <v>0</v>
      </c>
      <c r="AI437" s="60">
        <v>26.96</v>
      </c>
      <c r="AJ437" s="60">
        <v>31.15</v>
      </c>
      <c r="AK437" s="60">
        <v>43.22</v>
      </c>
      <c r="AL437" s="60">
        <v>0</v>
      </c>
      <c r="AM437" s="60">
        <v>0</v>
      </c>
      <c r="AN437" s="60">
        <v>0</v>
      </c>
      <c r="AO437" s="60">
        <v>26.96</v>
      </c>
      <c r="AP437" s="60">
        <v>31.15</v>
      </c>
      <c r="AQ437" s="60">
        <v>43.22</v>
      </c>
      <c r="AR437" s="61">
        <v>43.22</v>
      </c>
    </row>
    <row r="438" spans="1:44" x14ac:dyDescent="0.35">
      <c r="A438" s="49" t="str">
        <f t="shared" si="33"/>
        <v>10</v>
      </c>
      <c r="B438" s="27">
        <v>75275</v>
      </c>
      <c r="C438" s="25" t="str">
        <f t="shared" ref="C438:C470" si="34">TEXT(,"0000000")</f>
        <v>0000000</v>
      </c>
      <c r="D438" s="26" t="s">
        <v>3663</v>
      </c>
      <c r="E438" s="25" t="s">
        <v>488</v>
      </c>
      <c r="F438" s="25" t="s">
        <v>387</v>
      </c>
      <c r="G438" s="59" t="s">
        <v>489</v>
      </c>
      <c r="H438" s="60">
        <v>1205.76</v>
      </c>
      <c r="I438" s="60">
        <v>1110.78</v>
      </c>
      <c r="J438" s="60">
        <v>1169.4000000000001</v>
      </c>
      <c r="K438" s="60">
        <v>0</v>
      </c>
      <c r="L438" s="60">
        <v>0</v>
      </c>
      <c r="M438" s="60">
        <v>0</v>
      </c>
      <c r="N438" s="60">
        <v>0</v>
      </c>
      <c r="O438" s="60">
        <v>0</v>
      </c>
      <c r="P438" s="60">
        <v>0</v>
      </c>
      <c r="Q438" s="60">
        <v>0</v>
      </c>
      <c r="R438" s="60">
        <v>0</v>
      </c>
      <c r="S438" s="60">
        <v>0</v>
      </c>
      <c r="T438" s="60">
        <v>0</v>
      </c>
      <c r="U438" s="60">
        <v>0</v>
      </c>
      <c r="V438" s="60">
        <v>0</v>
      </c>
      <c r="W438" s="60">
        <v>0</v>
      </c>
      <c r="X438" s="60">
        <v>0</v>
      </c>
      <c r="Y438" s="60">
        <v>0</v>
      </c>
      <c r="Z438" s="60">
        <v>0</v>
      </c>
      <c r="AA438" s="60">
        <v>0</v>
      </c>
      <c r="AB438" s="60">
        <v>0</v>
      </c>
      <c r="AC438" s="60">
        <v>0</v>
      </c>
      <c r="AD438" s="60">
        <v>0</v>
      </c>
      <c r="AE438" s="60">
        <v>0</v>
      </c>
      <c r="AF438" s="60">
        <v>0</v>
      </c>
      <c r="AG438" s="60">
        <v>0</v>
      </c>
      <c r="AH438" s="60">
        <v>0</v>
      </c>
      <c r="AI438" s="60">
        <v>1205.76</v>
      </c>
      <c r="AJ438" s="60">
        <v>1110.78</v>
      </c>
      <c r="AK438" s="60">
        <v>1169.4000000000001</v>
      </c>
      <c r="AL438" s="60">
        <v>0</v>
      </c>
      <c r="AM438" s="60">
        <v>0</v>
      </c>
      <c r="AN438" s="60">
        <v>0</v>
      </c>
      <c r="AO438" s="60">
        <v>1205.76</v>
      </c>
      <c r="AP438" s="60">
        <v>1110.78</v>
      </c>
      <c r="AQ438" s="60">
        <v>1169.4000000000001</v>
      </c>
      <c r="AR438" s="61">
        <v>1205.76</v>
      </c>
    </row>
    <row r="439" spans="1:44" x14ac:dyDescent="0.35">
      <c r="A439" s="49" t="str">
        <f t="shared" si="33"/>
        <v>10</v>
      </c>
      <c r="B439" s="27">
        <v>75408</v>
      </c>
      <c r="C439" s="25" t="str">
        <f t="shared" si="34"/>
        <v>0000000</v>
      </c>
      <c r="D439" s="26" t="s">
        <v>3663</v>
      </c>
      <c r="E439" s="25" t="s">
        <v>490</v>
      </c>
      <c r="F439" s="25" t="s">
        <v>387</v>
      </c>
      <c r="G439" s="59" t="s">
        <v>491</v>
      </c>
      <c r="H439" s="60">
        <v>1374.38</v>
      </c>
      <c r="I439" s="60">
        <v>1345.52</v>
      </c>
      <c r="J439" s="60">
        <v>1489.41</v>
      </c>
      <c r="K439" s="60">
        <v>0</v>
      </c>
      <c r="L439" s="60">
        <v>0</v>
      </c>
      <c r="M439" s="60">
        <v>0</v>
      </c>
      <c r="N439" s="60">
        <v>0</v>
      </c>
      <c r="O439" s="60">
        <v>0</v>
      </c>
      <c r="P439" s="60">
        <v>0</v>
      </c>
      <c r="Q439" s="60">
        <v>0</v>
      </c>
      <c r="R439" s="60">
        <v>0</v>
      </c>
      <c r="S439" s="60">
        <v>0</v>
      </c>
      <c r="T439" s="60">
        <v>0</v>
      </c>
      <c r="U439" s="60">
        <v>0</v>
      </c>
      <c r="V439" s="60">
        <v>0</v>
      </c>
      <c r="W439" s="60">
        <v>0</v>
      </c>
      <c r="X439" s="60">
        <v>0</v>
      </c>
      <c r="Y439" s="60">
        <v>0</v>
      </c>
      <c r="Z439" s="60">
        <v>0</v>
      </c>
      <c r="AA439" s="60">
        <v>0</v>
      </c>
      <c r="AB439" s="60">
        <v>0</v>
      </c>
      <c r="AC439" s="60">
        <v>0</v>
      </c>
      <c r="AD439" s="60">
        <v>0</v>
      </c>
      <c r="AE439" s="60">
        <v>0</v>
      </c>
      <c r="AF439" s="60">
        <v>0</v>
      </c>
      <c r="AG439" s="60">
        <v>0</v>
      </c>
      <c r="AH439" s="60">
        <v>0</v>
      </c>
      <c r="AI439" s="60">
        <v>1374.38</v>
      </c>
      <c r="AJ439" s="60">
        <v>1345.52</v>
      </c>
      <c r="AK439" s="60">
        <v>1489.41</v>
      </c>
      <c r="AL439" s="60">
        <v>0</v>
      </c>
      <c r="AM439" s="60">
        <v>0</v>
      </c>
      <c r="AN439" s="60">
        <v>0</v>
      </c>
      <c r="AO439" s="60">
        <v>1374.38</v>
      </c>
      <c r="AP439" s="60">
        <v>1345.52</v>
      </c>
      <c r="AQ439" s="60">
        <v>1489.41</v>
      </c>
      <c r="AR439" s="61">
        <v>1489.41</v>
      </c>
    </row>
    <row r="440" spans="1:44" x14ac:dyDescent="0.35">
      <c r="A440" s="49" t="str">
        <f t="shared" si="33"/>
        <v>10</v>
      </c>
      <c r="B440" s="27">
        <v>75598</v>
      </c>
      <c r="C440" s="25" t="str">
        <f t="shared" si="34"/>
        <v>0000000</v>
      </c>
      <c r="D440" s="26" t="s">
        <v>3663</v>
      </c>
      <c r="E440" s="25" t="s">
        <v>492</v>
      </c>
      <c r="F440" s="25" t="s">
        <v>387</v>
      </c>
      <c r="G440" s="59" t="s">
        <v>493</v>
      </c>
      <c r="H440" s="60">
        <v>1466.42</v>
      </c>
      <c r="I440" s="60">
        <v>1451.48</v>
      </c>
      <c r="J440" s="60">
        <v>1480.69</v>
      </c>
      <c r="K440" s="60">
        <v>0</v>
      </c>
      <c r="L440" s="60">
        <v>0</v>
      </c>
      <c r="M440" s="60">
        <v>0</v>
      </c>
      <c r="N440" s="60">
        <v>0</v>
      </c>
      <c r="O440" s="60">
        <v>0</v>
      </c>
      <c r="P440" s="60">
        <v>0</v>
      </c>
      <c r="Q440" s="60">
        <v>0</v>
      </c>
      <c r="R440" s="60">
        <v>0</v>
      </c>
      <c r="S440" s="60">
        <v>0</v>
      </c>
      <c r="T440" s="60">
        <v>0</v>
      </c>
      <c r="U440" s="60">
        <v>0</v>
      </c>
      <c r="V440" s="60">
        <v>0</v>
      </c>
      <c r="W440" s="60">
        <v>0</v>
      </c>
      <c r="X440" s="60">
        <v>0</v>
      </c>
      <c r="Y440" s="60">
        <v>0</v>
      </c>
      <c r="Z440" s="60">
        <v>0</v>
      </c>
      <c r="AA440" s="60">
        <v>0</v>
      </c>
      <c r="AB440" s="60">
        <v>0</v>
      </c>
      <c r="AC440" s="60">
        <v>0</v>
      </c>
      <c r="AD440" s="60">
        <v>0</v>
      </c>
      <c r="AE440" s="60">
        <v>0</v>
      </c>
      <c r="AF440" s="60">
        <v>0</v>
      </c>
      <c r="AG440" s="60">
        <v>0</v>
      </c>
      <c r="AH440" s="60">
        <v>0</v>
      </c>
      <c r="AI440" s="60">
        <v>1466.42</v>
      </c>
      <c r="AJ440" s="60">
        <v>1451.48</v>
      </c>
      <c r="AK440" s="60">
        <v>1480.69</v>
      </c>
      <c r="AL440" s="60">
        <v>0</v>
      </c>
      <c r="AM440" s="60">
        <v>0</v>
      </c>
      <c r="AN440" s="60">
        <v>0</v>
      </c>
      <c r="AO440" s="60">
        <v>1466.42</v>
      </c>
      <c r="AP440" s="60">
        <v>1451.48</v>
      </c>
      <c r="AQ440" s="60">
        <v>1480.69</v>
      </c>
      <c r="AR440" s="61">
        <v>1480.69</v>
      </c>
    </row>
    <row r="441" spans="1:44" x14ac:dyDescent="0.35">
      <c r="A441" s="49" t="str">
        <f t="shared" si="33"/>
        <v>10</v>
      </c>
      <c r="B441" s="27">
        <v>61994</v>
      </c>
      <c r="C441" s="25" t="str">
        <f t="shared" si="34"/>
        <v>0000000</v>
      </c>
      <c r="D441" s="26" t="s">
        <v>3663</v>
      </c>
      <c r="E441" s="25" t="s">
        <v>407</v>
      </c>
      <c r="F441" s="25" t="s">
        <v>387</v>
      </c>
      <c r="G441" s="59" t="s">
        <v>408</v>
      </c>
      <c r="H441" s="60">
        <v>0</v>
      </c>
      <c r="I441" s="60">
        <v>0</v>
      </c>
      <c r="J441" s="60">
        <v>0</v>
      </c>
      <c r="K441" s="60">
        <v>0</v>
      </c>
      <c r="L441" s="60">
        <v>0</v>
      </c>
      <c r="M441" s="60">
        <v>0</v>
      </c>
      <c r="N441" s="60">
        <v>0</v>
      </c>
      <c r="O441" s="60">
        <v>0</v>
      </c>
      <c r="P441" s="60">
        <v>0</v>
      </c>
      <c r="Q441" s="60">
        <v>0</v>
      </c>
      <c r="R441" s="60">
        <v>0</v>
      </c>
      <c r="S441" s="60">
        <v>0</v>
      </c>
      <c r="T441" s="60">
        <v>0</v>
      </c>
      <c r="U441" s="60">
        <v>0</v>
      </c>
      <c r="V441" s="60">
        <v>0</v>
      </c>
      <c r="W441" s="60">
        <v>0</v>
      </c>
      <c r="X441" s="60">
        <v>0</v>
      </c>
      <c r="Y441" s="60">
        <v>0</v>
      </c>
      <c r="Z441" s="60">
        <v>0</v>
      </c>
      <c r="AA441" s="60">
        <v>0</v>
      </c>
      <c r="AB441" s="60">
        <v>0</v>
      </c>
      <c r="AC441" s="60">
        <v>168.95</v>
      </c>
      <c r="AD441" s="60">
        <v>167.05</v>
      </c>
      <c r="AE441" s="60">
        <v>192.27</v>
      </c>
      <c r="AF441" s="60">
        <v>0</v>
      </c>
      <c r="AG441" s="60">
        <v>0</v>
      </c>
      <c r="AH441" s="60">
        <v>0</v>
      </c>
      <c r="AI441" s="60">
        <v>168.95</v>
      </c>
      <c r="AJ441" s="60">
        <v>167.05</v>
      </c>
      <c r="AK441" s="60">
        <v>192.27</v>
      </c>
      <c r="AL441" s="60">
        <v>0</v>
      </c>
      <c r="AM441" s="60">
        <v>0</v>
      </c>
      <c r="AN441" s="60">
        <v>0</v>
      </c>
      <c r="AO441" s="60">
        <v>168.95</v>
      </c>
      <c r="AP441" s="60">
        <v>167.05</v>
      </c>
      <c r="AQ441" s="60">
        <v>192.27</v>
      </c>
      <c r="AR441" s="61">
        <v>192.27</v>
      </c>
    </row>
    <row r="442" spans="1:44" x14ac:dyDescent="0.35">
      <c r="A442" s="49" t="str">
        <f t="shared" si="33"/>
        <v>10</v>
      </c>
      <c r="B442" s="27">
        <v>62042</v>
      </c>
      <c r="C442" s="25" t="str">
        <f t="shared" si="34"/>
        <v>0000000</v>
      </c>
      <c r="D442" s="26" t="s">
        <v>3663</v>
      </c>
      <c r="E442" s="25" t="s">
        <v>411</v>
      </c>
      <c r="F442" s="25" t="s">
        <v>387</v>
      </c>
      <c r="G442" s="59" t="s">
        <v>412</v>
      </c>
      <c r="H442" s="60">
        <v>116.91</v>
      </c>
      <c r="I442" s="60">
        <v>117.95</v>
      </c>
      <c r="J442" s="60">
        <v>118.08</v>
      </c>
      <c r="K442" s="60">
        <v>0</v>
      </c>
      <c r="L442" s="60">
        <v>0</v>
      </c>
      <c r="M442" s="60">
        <v>0</v>
      </c>
      <c r="N442" s="60">
        <v>0</v>
      </c>
      <c r="O442" s="60">
        <v>0</v>
      </c>
      <c r="P442" s="60">
        <v>0</v>
      </c>
      <c r="Q442" s="60">
        <v>0</v>
      </c>
      <c r="R442" s="60">
        <v>0</v>
      </c>
      <c r="S442" s="60">
        <v>0</v>
      </c>
      <c r="T442" s="60">
        <v>0</v>
      </c>
      <c r="U442" s="60">
        <v>0</v>
      </c>
      <c r="V442" s="60">
        <v>0</v>
      </c>
      <c r="W442" s="60">
        <v>0</v>
      </c>
      <c r="X442" s="60">
        <v>0</v>
      </c>
      <c r="Y442" s="60">
        <v>0</v>
      </c>
      <c r="Z442" s="60">
        <v>0</v>
      </c>
      <c r="AA442" s="60">
        <v>0</v>
      </c>
      <c r="AB442" s="60">
        <v>0</v>
      </c>
      <c r="AC442" s="60">
        <v>0</v>
      </c>
      <c r="AD442" s="60">
        <v>0</v>
      </c>
      <c r="AE442" s="60">
        <v>0</v>
      </c>
      <c r="AF442" s="60">
        <v>0</v>
      </c>
      <c r="AG442" s="60">
        <v>0</v>
      </c>
      <c r="AH442" s="60">
        <v>0</v>
      </c>
      <c r="AI442" s="60">
        <v>116.91</v>
      </c>
      <c r="AJ442" s="60">
        <v>117.95</v>
      </c>
      <c r="AK442" s="60">
        <v>118.08</v>
      </c>
      <c r="AL442" s="60">
        <v>0</v>
      </c>
      <c r="AM442" s="60">
        <v>0</v>
      </c>
      <c r="AN442" s="60">
        <v>0</v>
      </c>
      <c r="AO442" s="60">
        <v>116.91</v>
      </c>
      <c r="AP442" s="60">
        <v>117.95</v>
      </c>
      <c r="AQ442" s="60">
        <v>118.08</v>
      </c>
      <c r="AR442" s="61">
        <v>118.08</v>
      </c>
    </row>
    <row r="443" spans="1:44" x14ac:dyDescent="0.35">
      <c r="A443" s="49" t="str">
        <f t="shared" si="33"/>
        <v>10</v>
      </c>
      <c r="B443" s="27">
        <v>62109</v>
      </c>
      <c r="C443" s="25" t="str">
        <f t="shared" si="34"/>
        <v>0000000</v>
      </c>
      <c r="D443" s="26" t="s">
        <v>3663</v>
      </c>
      <c r="E443" s="25" t="s">
        <v>413</v>
      </c>
      <c r="F443" s="25" t="s">
        <v>387</v>
      </c>
      <c r="G443" s="59" t="s">
        <v>414</v>
      </c>
      <c r="H443" s="60">
        <v>234.05</v>
      </c>
      <c r="I443" s="60">
        <v>239.73</v>
      </c>
      <c r="J443" s="60">
        <v>239.66</v>
      </c>
      <c r="K443" s="60">
        <v>0</v>
      </c>
      <c r="L443" s="60">
        <v>0</v>
      </c>
      <c r="M443" s="60">
        <v>0</v>
      </c>
      <c r="N443" s="60">
        <v>0</v>
      </c>
      <c r="O443" s="60">
        <v>0</v>
      </c>
      <c r="P443" s="60">
        <v>0</v>
      </c>
      <c r="Q443" s="60">
        <v>0</v>
      </c>
      <c r="R443" s="60">
        <v>0</v>
      </c>
      <c r="S443" s="60">
        <v>0</v>
      </c>
      <c r="T443" s="60">
        <v>0</v>
      </c>
      <c r="U443" s="60">
        <v>0</v>
      </c>
      <c r="V443" s="60">
        <v>0</v>
      </c>
      <c r="W443" s="60">
        <v>0</v>
      </c>
      <c r="X443" s="60">
        <v>0</v>
      </c>
      <c r="Y443" s="60">
        <v>0</v>
      </c>
      <c r="Z443" s="60">
        <v>0</v>
      </c>
      <c r="AA443" s="60">
        <v>0</v>
      </c>
      <c r="AB443" s="60">
        <v>0</v>
      </c>
      <c r="AC443" s="60">
        <v>0</v>
      </c>
      <c r="AD443" s="60">
        <v>0</v>
      </c>
      <c r="AE443" s="60">
        <v>0</v>
      </c>
      <c r="AF443" s="60">
        <v>0</v>
      </c>
      <c r="AG443" s="60">
        <v>0</v>
      </c>
      <c r="AH443" s="60">
        <v>0</v>
      </c>
      <c r="AI443" s="60">
        <v>234.05</v>
      </c>
      <c r="AJ443" s="60">
        <v>239.73</v>
      </c>
      <c r="AK443" s="60">
        <v>239.66</v>
      </c>
      <c r="AL443" s="60">
        <v>0</v>
      </c>
      <c r="AM443" s="60">
        <v>0</v>
      </c>
      <c r="AN443" s="60">
        <v>0</v>
      </c>
      <c r="AO443" s="60">
        <v>234.05</v>
      </c>
      <c r="AP443" s="60">
        <v>239.73</v>
      </c>
      <c r="AQ443" s="60">
        <v>239.66</v>
      </c>
      <c r="AR443" s="61">
        <v>239.73</v>
      </c>
    </row>
    <row r="444" spans="1:44" x14ac:dyDescent="0.35">
      <c r="A444" s="49" t="str">
        <f t="shared" si="33"/>
        <v>10</v>
      </c>
      <c r="B444" s="27">
        <v>62323</v>
      </c>
      <c r="C444" s="25" t="str">
        <f t="shared" si="34"/>
        <v>0000000</v>
      </c>
      <c r="D444" s="26" t="s">
        <v>3663</v>
      </c>
      <c r="E444" s="25" t="s">
        <v>448</v>
      </c>
      <c r="F444" s="25" t="s">
        <v>387</v>
      </c>
      <c r="G444" s="59" t="s">
        <v>449</v>
      </c>
      <c r="H444" s="60">
        <v>148.24</v>
      </c>
      <c r="I444" s="60">
        <v>129.82</v>
      </c>
      <c r="J444" s="60">
        <v>158.91999999999999</v>
      </c>
      <c r="K444" s="60">
        <v>0</v>
      </c>
      <c r="L444" s="60">
        <v>0</v>
      </c>
      <c r="M444" s="60">
        <v>0</v>
      </c>
      <c r="N444" s="60">
        <v>0</v>
      </c>
      <c r="O444" s="60">
        <v>0</v>
      </c>
      <c r="P444" s="60">
        <v>0</v>
      </c>
      <c r="Q444" s="60">
        <v>0</v>
      </c>
      <c r="R444" s="60">
        <v>0</v>
      </c>
      <c r="S444" s="60">
        <v>0</v>
      </c>
      <c r="T444" s="60">
        <v>0</v>
      </c>
      <c r="U444" s="60">
        <v>0</v>
      </c>
      <c r="V444" s="60">
        <v>0</v>
      </c>
      <c r="W444" s="60">
        <v>0</v>
      </c>
      <c r="X444" s="60">
        <v>0</v>
      </c>
      <c r="Y444" s="60">
        <v>0</v>
      </c>
      <c r="Z444" s="60">
        <v>0</v>
      </c>
      <c r="AA444" s="60">
        <v>0</v>
      </c>
      <c r="AB444" s="60">
        <v>0</v>
      </c>
      <c r="AC444" s="60">
        <v>0</v>
      </c>
      <c r="AD444" s="60">
        <v>0</v>
      </c>
      <c r="AE444" s="60">
        <v>0</v>
      </c>
      <c r="AF444" s="60">
        <v>0</v>
      </c>
      <c r="AG444" s="60">
        <v>0</v>
      </c>
      <c r="AH444" s="60">
        <v>0</v>
      </c>
      <c r="AI444" s="60">
        <v>148.24</v>
      </c>
      <c r="AJ444" s="60">
        <v>129.82</v>
      </c>
      <c r="AK444" s="60">
        <v>158.91999999999999</v>
      </c>
      <c r="AL444" s="60">
        <v>0</v>
      </c>
      <c r="AM444" s="60">
        <v>0</v>
      </c>
      <c r="AN444" s="60">
        <v>0</v>
      </c>
      <c r="AO444" s="60">
        <v>148.24</v>
      </c>
      <c r="AP444" s="60">
        <v>129.82</v>
      </c>
      <c r="AQ444" s="60">
        <v>158.91999999999999</v>
      </c>
      <c r="AR444" s="61">
        <v>158.91999999999999</v>
      </c>
    </row>
    <row r="445" spans="1:44" x14ac:dyDescent="0.35">
      <c r="A445" s="49" t="str">
        <f t="shared" si="33"/>
        <v>10</v>
      </c>
      <c r="B445" s="27">
        <v>62372</v>
      </c>
      <c r="C445" s="25" t="str">
        <f t="shared" si="34"/>
        <v>0000000</v>
      </c>
      <c r="D445" s="26" t="s">
        <v>3663</v>
      </c>
      <c r="E445" s="25" t="s">
        <v>458</v>
      </c>
      <c r="F445" s="25" t="s">
        <v>387</v>
      </c>
      <c r="G445" s="59" t="s">
        <v>459</v>
      </c>
      <c r="H445" s="60">
        <v>40.53</v>
      </c>
      <c r="I445" s="60">
        <v>50.35</v>
      </c>
      <c r="J445" s="60">
        <v>84.96</v>
      </c>
      <c r="K445" s="60">
        <v>0</v>
      </c>
      <c r="L445" s="60">
        <v>0</v>
      </c>
      <c r="M445" s="60">
        <v>0</v>
      </c>
      <c r="N445" s="60">
        <v>22.02</v>
      </c>
      <c r="O445" s="60">
        <v>27.11</v>
      </c>
      <c r="P445" s="60">
        <v>27.59</v>
      </c>
      <c r="Q445" s="60">
        <v>0</v>
      </c>
      <c r="R445" s="60">
        <v>0</v>
      </c>
      <c r="S445" s="60">
        <v>0</v>
      </c>
      <c r="T445" s="60">
        <v>0</v>
      </c>
      <c r="U445" s="60">
        <v>0</v>
      </c>
      <c r="V445" s="60">
        <v>0</v>
      </c>
      <c r="W445" s="60">
        <v>0</v>
      </c>
      <c r="X445" s="60">
        <v>0</v>
      </c>
      <c r="Y445" s="60">
        <v>0</v>
      </c>
      <c r="Z445" s="60">
        <v>0</v>
      </c>
      <c r="AA445" s="60">
        <v>0</v>
      </c>
      <c r="AB445" s="60">
        <v>0</v>
      </c>
      <c r="AC445" s="60">
        <v>0</v>
      </c>
      <c r="AD445" s="60">
        <v>0</v>
      </c>
      <c r="AE445" s="60">
        <v>0</v>
      </c>
      <c r="AF445" s="60">
        <v>0</v>
      </c>
      <c r="AG445" s="60">
        <v>0</v>
      </c>
      <c r="AH445" s="60">
        <v>0</v>
      </c>
      <c r="AI445" s="60">
        <v>62.55</v>
      </c>
      <c r="AJ445" s="60">
        <v>77.459999999999994</v>
      </c>
      <c r="AK445" s="60">
        <v>112.55</v>
      </c>
      <c r="AL445" s="60">
        <v>0</v>
      </c>
      <c r="AM445" s="60">
        <v>0</v>
      </c>
      <c r="AN445" s="60">
        <v>0</v>
      </c>
      <c r="AO445" s="60">
        <v>62.55</v>
      </c>
      <c r="AP445" s="60">
        <v>77.459999999999994</v>
      </c>
      <c r="AQ445" s="60">
        <v>112.55</v>
      </c>
      <c r="AR445" s="61">
        <v>112.55</v>
      </c>
    </row>
    <row r="446" spans="1:44" x14ac:dyDescent="0.35">
      <c r="A446" s="49" t="str">
        <f t="shared" si="33"/>
        <v>10</v>
      </c>
      <c r="B446" s="27">
        <v>62513</v>
      </c>
      <c r="C446" s="25" t="str">
        <f t="shared" si="34"/>
        <v>0000000</v>
      </c>
      <c r="D446" s="26" t="s">
        <v>3663</v>
      </c>
      <c r="E446" s="25" t="s">
        <v>468</v>
      </c>
      <c r="F446" s="25" t="s">
        <v>387</v>
      </c>
      <c r="G446" s="59" t="s">
        <v>469</v>
      </c>
      <c r="H446" s="60">
        <v>418.45</v>
      </c>
      <c r="I446" s="60">
        <v>415.58</v>
      </c>
      <c r="J446" s="60">
        <v>439.78</v>
      </c>
      <c r="K446" s="60">
        <v>0</v>
      </c>
      <c r="L446" s="60">
        <v>0</v>
      </c>
      <c r="M446" s="60">
        <v>0</v>
      </c>
      <c r="N446" s="60">
        <v>0</v>
      </c>
      <c r="O446" s="60">
        <v>0</v>
      </c>
      <c r="P446" s="60">
        <v>0</v>
      </c>
      <c r="Q446" s="60">
        <v>0</v>
      </c>
      <c r="R446" s="60">
        <v>0</v>
      </c>
      <c r="S446" s="60">
        <v>0</v>
      </c>
      <c r="T446" s="60">
        <v>0</v>
      </c>
      <c r="U446" s="60">
        <v>0</v>
      </c>
      <c r="V446" s="60">
        <v>0</v>
      </c>
      <c r="W446" s="60">
        <v>0</v>
      </c>
      <c r="X446" s="60">
        <v>0</v>
      </c>
      <c r="Y446" s="60">
        <v>0</v>
      </c>
      <c r="Z446" s="60">
        <v>0</v>
      </c>
      <c r="AA446" s="60">
        <v>0</v>
      </c>
      <c r="AB446" s="60">
        <v>0</v>
      </c>
      <c r="AC446" s="60">
        <v>0</v>
      </c>
      <c r="AD446" s="60">
        <v>0</v>
      </c>
      <c r="AE446" s="60">
        <v>0</v>
      </c>
      <c r="AF446" s="60">
        <v>0</v>
      </c>
      <c r="AG446" s="60">
        <v>0</v>
      </c>
      <c r="AH446" s="60">
        <v>0</v>
      </c>
      <c r="AI446" s="60">
        <v>418.45</v>
      </c>
      <c r="AJ446" s="60">
        <v>415.58</v>
      </c>
      <c r="AK446" s="60">
        <v>439.78</v>
      </c>
      <c r="AL446" s="60">
        <v>0</v>
      </c>
      <c r="AM446" s="60">
        <v>0</v>
      </c>
      <c r="AN446" s="60">
        <v>0</v>
      </c>
      <c r="AO446" s="60">
        <v>418.45</v>
      </c>
      <c r="AP446" s="60">
        <v>415.58</v>
      </c>
      <c r="AQ446" s="60">
        <v>439.78</v>
      </c>
      <c r="AR446" s="61">
        <v>439.78</v>
      </c>
    </row>
    <row r="447" spans="1:44" x14ac:dyDescent="0.35">
      <c r="A447" s="49" t="str">
        <f t="shared" si="33"/>
        <v>10</v>
      </c>
      <c r="B447" s="27">
        <v>76778</v>
      </c>
      <c r="C447" s="25" t="str">
        <f t="shared" si="34"/>
        <v>0000000</v>
      </c>
      <c r="D447" s="26" t="s">
        <v>3663</v>
      </c>
      <c r="E447" s="25" t="s">
        <v>494</v>
      </c>
      <c r="F447" s="25" t="s">
        <v>387</v>
      </c>
      <c r="G447" s="59" t="s">
        <v>495</v>
      </c>
      <c r="H447" s="60">
        <v>2333.9699999999998</v>
      </c>
      <c r="I447" s="60">
        <v>2245.4</v>
      </c>
      <c r="J447" s="60">
        <v>2458.62</v>
      </c>
      <c r="K447" s="60">
        <v>0</v>
      </c>
      <c r="L447" s="60">
        <v>0</v>
      </c>
      <c r="M447" s="60">
        <v>0</v>
      </c>
      <c r="N447" s="60">
        <v>0</v>
      </c>
      <c r="O447" s="60">
        <v>0</v>
      </c>
      <c r="P447" s="60">
        <v>0</v>
      </c>
      <c r="Q447" s="60">
        <v>0</v>
      </c>
      <c r="R447" s="60">
        <v>0</v>
      </c>
      <c r="S447" s="60">
        <v>0</v>
      </c>
      <c r="T447" s="60">
        <v>0</v>
      </c>
      <c r="U447" s="60">
        <v>0</v>
      </c>
      <c r="V447" s="60">
        <v>0</v>
      </c>
      <c r="W447" s="60">
        <v>0</v>
      </c>
      <c r="X447" s="60">
        <v>0</v>
      </c>
      <c r="Y447" s="60">
        <v>0</v>
      </c>
      <c r="Z447" s="60">
        <v>0</v>
      </c>
      <c r="AA447" s="60">
        <v>0</v>
      </c>
      <c r="AB447" s="60">
        <v>0</v>
      </c>
      <c r="AC447" s="60">
        <v>302.06</v>
      </c>
      <c r="AD447" s="60">
        <v>325.62</v>
      </c>
      <c r="AE447" s="60">
        <v>328.25</v>
      </c>
      <c r="AF447" s="60">
        <v>0</v>
      </c>
      <c r="AG447" s="60">
        <v>0</v>
      </c>
      <c r="AH447" s="60">
        <v>0</v>
      </c>
      <c r="AI447" s="60">
        <v>2636.03</v>
      </c>
      <c r="AJ447" s="60">
        <v>2571.02</v>
      </c>
      <c r="AK447" s="60">
        <v>2786.87</v>
      </c>
      <c r="AL447" s="60">
        <v>0</v>
      </c>
      <c r="AM447" s="60">
        <v>0</v>
      </c>
      <c r="AN447" s="60">
        <v>0</v>
      </c>
      <c r="AO447" s="60">
        <v>2636.03</v>
      </c>
      <c r="AP447" s="60">
        <v>2571.02</v>
      </c>
      <c r="AQ447" s="60">
        <v>2786.87</v>
      </c>
      <c r="AR447" s="61">
        <v>2786.87</v>
      </c>
    </row>
    <row r="448" spans="1:44" x14ac:dyDescent="0.35">
      <c r="A448" s="49" t="str">
        <f t="shared" ref="A448:A454" si="35">TEXT(14,"00")</f>
        <v>14</v>
      </c>
      <c r="B448" s="27">
        <v>10140</v>
      </c>
      <c r="C448" s="25" t="str">
        <f t="shared" si="34"/>
        <v>0000000</v>
      </c>
      <c r="D448" s="26" t="s">
        <v>3663</v>
      </c>
      <c r="E448" s="25" t="s">
        <v>625</v>
      </c>
      <c r="F448" s="25" t="s">
        <v>626</v>
      </c>
      <c r="G448" s="59" t="s">
        <v>626</v>
      </c>
      <c r="H448" s="60">
        <v>0</v>
      </c>
      <c r="I448" s="60">
        <v>0</v>
      </c>
      <c r="J448" s="60">
        <v>0</v>
      </c>
      <c r="K448" s="60">
        <v>0</v>
      </c>
      <c r="L448" s="60">
        <v>0</v>
      </c>
      <c r="M448" s="60">
        <v>0</v>
      </c>
      <c r="N448" s="60">
        <v>0</v>
      </c>
      <c r="O448" s="60">
        <v>0</v>
      </c>
      <c r="P448" s="60">
        <v>0</v>
      </c>
      <c r="Q448" s="60">
        <v>0</v>
      </c>
      <c r="R448" s="60">
        <v>0</v>
      </c>
      <c r="S448" s="60">
        <v>0</v>
      </c>
      <c r="T448" s="60">
        <v>3.55</v>
      </c>
      <c r="U448" s="60">
        <v>4.76</v>
      </c>
      <c r="V448" s="60">
        <v>5.95</v>
      </c>
      <c r="W448" s="60">
        <v>0.14000000000000001</v>
      </c>
      <c r="X448" s="60">
        <v>0.4</v>
      </c>
      <c r="Y448" s="60">
        <v>5.47</v>
      </c>
      <c r="Z448" s="60">
        <v>831.78</v>
      </c>
      <c r="AA448" s="60">
        <v>679.43</v>
      </c>
      <c r="AB448" s="60">
        <v>1293.1300000000001</v>
      </c>
      <c r="AC448" s="60">
        <v>0</v>
      </c>
      <c r="AD448" s="60">
        <v>0</v>
      </c>
      <c r="AE448" s="60">
        <v>0</v>
      </c>
      <c r="AF448" s="60">
        <v>0</v>
      </c>
      <c r="AG448" s="60">
        <v>0</v>
      </c>
      <c r="AH448" s="60">
        <v>0</v>
      </c>
      <c r="AI448" s="60">
        <v>835.47</v>
      </c>
      <c r="AJ448" s="60">
        <v>684.59</v>
      </c>
      <c r="AK448" s="60">
        <v>1304.55</v>
      </c>
      <c r="AL448" s="60">
        <v>0</v>
      </c>
      <c r="AM448" s="60">
        <v>0</v>
      </c>
      <c r="AN448" s="60">
        <v>0</v>
      </c>
      <c r="AO448" s="60">
        <v>835.47</v>
      </c>
      <c r="AP448" s="60">
        <v>684.59</v>
      </c>
      <c r="AQ448" s="60">
        <v>1304.55</v>
      </c>
      <c r="AR448" s="61">
        <v>1304.55</v>
      </c>
    </row>
    <row r="449" spans="1:44" x14ac:dyDescent="0.35">
      <c r="A449" s="49" t="str">
        <f t="shared" si="35"/>
        <v>14</v>
      </c>
      <c r="B449" s="27">
        <v>63271</v>
      </c>
      <c r="C449" s="25" t="str">
        <f t="shared" si="34"/>
        <v>0000000</v>
      </c>
      <c r="D449" s="26" t="s">
        <v>3663</v>
      </c>
      <c r="E449" s="25" t="s">
        <v>629</v>
      </c>
      <c r="F449" s="25" t="s">
        <v>626</v>
      </c>
      <c r="G449" s="59" t="s">
        <v>630</v>
      </c>
      <c r="H449" s="60">
        <v>19.14</v>
      </c>
      <c r="I449" s="60">
        <v>23.66</v>
      </c>
      <c r="J449" s="60">
        <v>22.12</v>
      </c>
      <c r="K449" s="60">
        <v>0</v>
      </c>
      <c r="L449" s="60">
        <v>0</v>
      </c>
      <c r="M449" s="60">
        <v>0</v>
      </c>
      <c r="N449" s="60">
        <v>0</v>
      </c>
      <c r="O449" s="60">
        <v>0</v>
      </c>
      <c r="P449" s="60">
        <v>0</v>
      </c>
      <c r="Q449" s="60">
        <v>0</v>
      </c>
      <c r="R449" s="60">
        <v>0</v>
      </c>
      <c r="S449" s="60">
        <v>0</v>
      </c>
      <c r="T449" s="60">
        <v>0</v>
      </c>
      <c r="U449" s="60">
        <v>0</v>
      </c>
      <c r="V449" s="60">
        <v>0</v>
      </c>
      <c r="W449" s="60">
        <v>0</v>
      </c>
      <c r="X449" s="60">
        <v>0</v>
      </c>
      <c r="Y449" s="60">
        <v>0</v>
      </c>
      <c r="Z449" s="60">
        <v>0</v>
      </c>
      <c r="AA449" s="60">
        <v>0</v>
      </c>
      <c r="AB449" s="60">
        <v>0</v>
      </c>
      <c r="AC449" s="60">
        <v>0</v>
      </c>
      <c r="AD449" s="60">
        <v>0</v>
      </c>
      <c r="AE449" s="60">
        <v>0</v>
      </c>
      <c r="AF449" s="60">
        <v>0</v>
      </c>
      <c r="AG449" s="60">
        <v>0</v>
      </c>
      <c r="AH449" s="60">
        <v>0</v>
      </c>
      <c r="AI449" s="60">
        <v>19.14</v>
      </c>
      <c r="AJ449" s="60">
        <v>23.66</v>
      </c>
      <c r="AK449" s="60">
        <v>22.12</v>
      </c>
      <c r="AL449" s="60">
        <v>0</v>
      </c>
      <c r="AM449" s="60">
        <v>0</v>
      </c>
      <c r="AN449" s="60">
        <v>0</v>
      </c>
      <c r="AO449" s="60">
        <v>19.14</v>
      </c>
      <c r="AP449" s="60">
        <v>23.66</v>
      </c>
      <c r="AQ449" s="60">
        <v>22.12</v>
      </c>
      <c r="AR449" s="61">
        <v>23.66</v>
      </c>
    </row>
    <row r="450" spans="1:44" x14ac:dyDescent="0.35">
      <c r="A450" s="49" t="str">
        <f t="shared" si="35"/>
        <v>14</v>
      </c>
      <c r="B450" s="27">
        <v>63289</v>
      </c>
      <c r="C450" s="25" t="str">
        <f t="shared" si="34"/>
        <v>0000000</v>
      </c>
      <c r="D450" s="26" t="s">
        <v>3663</v>
      </c>
      <c r="E450" s="25" t="s">
        <v>631</v>
      </c>
      <c r="F450" s="25" t="s">
        <v>626</v>
      </c>
      <c r="G450" s="59" t="s">
        <v>632</v>
      </c>
      <c r="H450" s="60">
        <v>292.82</v>
      </c>
      <c r="I450" s="60">
        <v>302.19</v>
      </c>
      <c r="J450" s="60">
        <v>310.35000000000002</v>
      </c>
      <c r="K450" s="60">
        <v>0</v>
      </c>
      <c r="L450" s="60">
        <v>0</v>
      </c>
      <c r="M450" s="60">
        <v>0</v>
      </c>
      <c r="N450" s="60">
        <v>0</v>
      </c>
      <c r="O450" s="60">
        <v>0</v>
      </c>
      <c r="P450" s="60">
        <v>0</v>
      </c>
      <c r="Q450" s="60">
        <v>0</v>
      </c>
      <c r="R450" s="60">
        <v>0</v>
      </c>
      <c r="S450" s="60">
        <v>0</v>
      </c>
      <c r="T450" s="60">
        <v>0</v>
      </c>
      <c r="U450" s="60">
        <v>0</v>
      </c>
      <c r="V450" s="60">
        <v>0</v>
      </c>
      <c r="W450" s="60">
        <v>0</v>
      </c>
      <c r="X450" s="60">
        <v>0</v>
      </c>
      <c r="Y450" s="60">
        <v>0</v>
      </c>
      <c r="Z450" s="60">
        <v>0</v>
      </c>
      <c r="AA450" s="60">
        <v>0</v>
      </c>
      <c r="AB450" s="60">
        <v>0</v>
      </c>
      <c r="AC450" s="60">
        <v>0</v>
      </c>
      <c r="AD450" s="60">
        <v>0</v>
      </c>
      <c r="AE450" s="60">
        <v>0</v>
      </c>
      <c r="AF450" s="60">
        <v>0</v>
      </c>
      <c r="AG450" s="60">
        <v>0</v>
      </c>
      <c r="AH450" s="60">
        <v>0</v>
      </c>
      <c r="AI450" s="60">
        <v>292.82</v>
      </c>
      <c r="AJ450" s="60">
        <v>302.19</v>
      </c>
      <c r="AK450" s="60">
        <v>310.35000000000002</v>
      </c>
      <c r="AL450" s="60">
        <v>0</v>
      </c>
      <c r="AM450" s="60">
        <v>0</v>
      </c>
      <c r="AN450" s="60">
        <v>0</v>
      </c>
      <c r="AO450" s="60">
        <v>292.82</v>
      </c>
      <c r="AP450" s="60">
        <v>302.19</v>
      </c>
      <c r="AQ450" s="60">
        <v>310.35000000000002</v>
      </c>
      <c r="AR450" s="61">
        <v>310.35000000000002</v>
      </c>
    </row>
    <row r="451" spans="1:44" x14ac:dyDescent="0.35">
      <c r="A451" s="49" t="str">
        <f t="shared" si="35"/>
        <v>14</v>
      </c>
      <c r="B451" s="27">
        <v>63297</v>
      </c>
      <c r="C451" s="25" t="str">
        <f t="shared" si="34"/>
        <v>0000000</v>
      </c>
      <c r="D451" s="26" t="s">
        <v>3663</v>
      </c>
      <c r="E451" s="25" t="s">
        <v>633</v>
      </c>
      <c r="F451" s="25" t="s">
        <v>626</v>
      </c>
      <c r="G451" s="59" t="s">
        <v>634</v>
      </c>
      <c r="H451" s="60">
        <v>83.93</v>
      </c>
      <c r="I451" s="60">
        <v>68.900000000000006</v>
      </c>
      <c r="J451" s="60">
        <v>75.400000000000006</v>
      </c>
      <c r="K451" s="60">
        <v>0</v>
      </c>
      <c r="L451" s="60">
        <v>0</v>
      </c>
      <c r="M451" s="60">
        <v>0</v>
      </c>
      <c r="N451" s="60">
        <v>0</v>
      </c>
      <c r="O451" s="60">
        <v>0</v>
      </c>
      <c r="P451" s="60">
        <v>0</v>
      </c>
      <c r="Q451" s="60">
        <v>0</v>
      </c>
      <c r="R451" s="60">
        <v>0</v>
      </c>
      <c r="S451" s="60">
        <v>0</v>
      </c>
      <c r="T451" s="60">
        <v>0</v>
      </c>
      <c r="U451" s="60">
        <v>0</v>
      </c>
      <c r="V451" s="60">
        <v>0</v>
      </c>
      <c r="W451" s="60">
        <v>0</v>
      </c>
      <c r="X451" s="60">
        <v>0</v>
      </c>
      <c r="Y451" s="60">
        <v>0</v>
      </c>
      <c r="Z451" s="60">
        <v>0</v>
      </c>
      <c r="AA451" s="60">
        <v>0</v>
      </c>
      <c r="AB451" s="60">
        <v>0</v>
      </c>
      <c r="AC451" s="60">
        <v>0</v>
      </c>
      <c r="AD451" s="60">
        <v>0</v>
      </c>
      <c r="AE451" s="60">
        <v>0</v>
      </c>
      <c r="AF451" s="60">
        <v>0</v>
      </c>
      <c r="AG451" s="60">
        <v>0</v>
      </c>
      <c r="AH451" s="60">
        <v>0</v>
      </c>
      <c r="AI451" s="60">
        <v>83.93</v>
      </c>
      <c r="AJ451" s="60">
        <v>68.900000000000006</v>
      </c>
      <c r="AK451" s="60">
        <v>75.400000000000006</v>
      </c>
      <c r="AL451" s="60">
        <v>0</v>
      </c>
      <c r="AM451" s="60">
        <v>0</v>
      </c>
      <c r="AN451" s="60">
        <v>0</v>
      </c>
      <c r="AO451" s="60">
        <v>83.93</v>
      </c>
      <c r="AP451" s="60">
        <v>68.900000000000006</v>
      </c>
      <c r="AQ451" s="60">
        <v>75.400000000000006</v>
      </c>
      <c r="AR451" s="61">
        <v>83.93</v>
      </c>
    </row>
    <row r="452" spans="1:44" x14ac:dyDescent="0.35">
      <c r="A452" s="49" t="str">
        <f t="shared" si="35"/>
        <v>14</v>
      </c>
      <c r="B452" s="27">
        <v>63248</v>
      </c>
      <c r="C452" s="25" t="str">
        <f t="shared" si="34"/>
        <v>0000000</v>
      </c>
      <c r="D452" s="26" t="s">
        <v>3663</v>
      </c>
      <c r="E452" s="25" t="s">
        <v>627</v>
      </c>
      <c r="F452" s="25" t="s">
        <v>626</v>
      </c>
      <c r="G452" s="59" t="s">
        <v>628</v>
      </c>
      <c r="H452" s="60">
        <v>139.01</v>
      </c>
      <c r="I452" s="60">
        <v>135.88</v>
      </c>
      <c r="J452" s="60">
        <v>137.18</v>
      </c>
      <c r="K452" s="60">
        <v>0</v>
      </c>
      <c r="L452" s="60">
        <v>0</v>
      </c>
      <c r="M452" s="60">
        <v>0</v>
      </c>
      <c r="N452" s="60">
        <v>0</v>
      </c>
      <c r="O452" s="60">
        <v>0</v>
      </c>
      <c r="P452" s="60">
        <v>0</v>
      </c>
      <c r="Q452" s="60">
        <v>0</v>
      </c>
      <c r="R452" s="60">
        <v>0</v>
      </c>
      <c r="S452" s="60">
        <v>0</v>
      </c>
      <c r="T452" s="60">
        <v>0</v>
      </c>
      <c r="U452" s="60">
        <v>0</v>
      </c>
      <c r="V452" s="60">
        <v>0</v>
      </c>
      <c r="W452" s="60">
        <v>0</v>
      </c>
      <c r="X452" s="60">
        <v>0</v>
      </c>
      <c r="Y452" s="60">
        <v>0</v>
      </c>
      <c r="Z452" s="60">
        <v>0</v>
      </c>
      <c r="AA452" s="60">
        <v>0</v>
      </c>
      <c r="AB452" s="60">
        <v>0</v>
      </c>
      <c r="AC452" s="60">
        <v>0</v>
      </c>
      <c r="AD452" s="60">
        <v>0</v>
      </c>
      <c r="AE452" s="60">
        <v>0</v>
      </c>
      <c r="AF452" s="60">
        <v>0</v>
      </c>
      <c r="AG452" s="60">
        <v>0</v>
      </c>
      <c r="AH452" s="60">
        <v>0</v>
      </c>
      <c r="AI452" s="60">
        <v>139.01</v>
      </c>
      <c r="AJ452" s="60">
        <v>135.88</v>
      </c>
      <c r="AK452" s="60">
        <v>137.18</v>
      </c>
      <c r="AL452" s="60">
        <v>0</v>
      </c>
      <c r="AM452" s="60">
        <v>0</v>
      </c>
      <c r="AN452" s="60">
        <v>0</v>
      </c>
      <c r="AO452" s="60">
        <v>139.01</v>
      </c>
      <c r="AP452" s="60">
        <v>135.88</v>
      </c>
      <c r="AQ452" s="60">
        <v>137.18</v>
      </c>
      <c r="AR452" s="61">
        <v>139.01</v>
      </c>
    </row>
    <row r="453" spans="1:44" x14ac:dyDescent="0.35">
      <c r="A453" s="49" t="str">
        <f t="shared" si="35"/>
        <v>14</v>
      </c>
      <c r="B453" s="27">
        <v>63305</v>
      </c>
      <c r="C453" s="25" t="str">
        <f t="shared" si="34"/>
        <v>0000000</v>
      </c>
      <c r="D453" s="26" t="s">
        <v>3663</v>
      </c>
      <c r="E453" s="25" t="s">
        <v>635</v>
      </c>
      <c r="F453" s="25" t="s">
        <v>626</v>
      </c>
      <c r="G453" s="59" t="s">
        <v>636</v>
      </c>
      <c r="H453" s="60">
        <v>37.71</v>
      </c>
      <c r="I453" s="60">
        <v>38.24</v>
      </c>
      <c r="J453" s="60">
        <v>52.08</v>
      </c>
      <c r="K453" s="60">
        <v>0</v>
      </c>
      <c r="L453" s="60">
        <v>0</v>
      </c>
      <c r="M453" s="60">
        <v>0</v>
      </c>
      <c r="N453" s="60">
        <v>20.7</v>
      </c>
      <c r="O453" s="60">
        <v>15.69</v>
      </c>
      <c r="P453" s="60">
        <v>22.43</v>
      </c>
      <c r="Q453" s="60">
        <v>0</v>
      </c>
      <c r="R453" s="60">
        <v>0</v>
      </c>
      <c r="S453" s="60">
        <v>0</v>
      </c>
      <c r="T453" s="60">
        <v>0</v>
      </c>
      <c r="U453" s="60">
        <v>0</v>
      </c>
      <c r="V453" s="60">
        <v>0</v>
      </c>
      <c r="W453" s="60">
        <v>0</v>
      </c>
      <c r="X453" s="60">
        <v>0</v>
      </c>
      <c r="Y453" s="60">
        <v>0</v>
      </c>
      <c r="Z453" s="60">
        <v>0</v>
      </c>
      <c r="AA453" s="60">
        <v>0</v>
      </c>
      <c r="AB453" s="60">
        <v>0</v>
      </c>
      <c r="AC453" s="60">
        <v>0</v>
      </c>
      <c r="AD453" s="60">
        <v>0</v>
      </c>
      <c r="AE453" s="60">
        <v>0</v>
      </c>
      <c r="AF453" s="60">
        <v>0</v>
      </c>
      <c r="AG453" s="60">
        <v>0</v>
      </c>
      <c r="AH453" s="60">
        <v>0</v>
      </c>
      <c r="AI453" s="60">
        <v>58.41</v>
      </c>
      <c r="AJ453" s="60">
        <v>53.93</v>
      </c>
      <c r="AK453" s="60">
        <v>74.510000000000005</v>
      </c>
      <c r="AL453" s="60">
        <v>0</v>
      </c>
      <c r="AM453" s="60">
        <v>0</v>
      </c>
      <c r="AN453" s="60">
        <v>0</v>
      </c>
      <c r="AO453" s="60">
        <v>58.41</v>
      </c>
      <c r="AP453" s="60">
        <v>53.93</v>
      </c>
      <c r="AQ453" s="60">
        <v>74.510000000000005</v>
      </c>
      <c r="AR453" s="61">
        <v>74.510000000000005</v>
      </c>
    </row>
    <row r="454" spans="1:44" x14ac:dyDescent="0.35">
      <c r="A454" s="49" t="str">
        <f t="shared" si="35"/>
        <v>14</v>
      </c>
      <c r="B454" s="27">
        <v>76687</v>
      </c>
      <c r="C454" s="25" t="str">
        <f t="shared" si="34"/>
        <v>0000000</v>
      </c>
      <c r="D454" s="26" t="s">
        <v>3663</v>
      </c>
      <c r="E454" s="25" t="s">
        <v>637</v>
      </c>
      <c r="F454" s="25" t="s">
        <v>626</v>
      </c>
      <c r="G454" s="59" t="s">
        <v>638</v>
      </c>
      <c r="H454" s="60">
        <v>1766.41</v>
      </c>
      <c r="I454" s="60">
        <v>1751.52</v>
      </c>
      <c r="J454" s="60">
        <v>1969.21</v>
      </c>
      <c r="K454" s="60">
        <v>0</v>
      </c>
      <c r="L454" s="60">
        <v>0</v>
      </c>
      <c r="M454" s="60">
        <v>0</v>
      </c>
      <c r="N454" s="60">
        <v>0</v>
      </c>
      <c r="O454" s="60">
        <v>0</v>
      </c>
      <c r="P454" s="60">
        <v>0</v>
      </c>
      <c r="Q454" s="60">
        <v>0</v>
      </c>
      <c r="R454" s="60">
        <v>0</v>
      </c>
      <c r="S454" s="60">
        <v>0</v>
      </c>
      <c r="T454" s="60">
        <v>0</v>
      </c>
      <c r="U454" s="60">
        <v>0</v>
      </c>
      <c r="V454" s="60">
        <v>0</v>
      </c>
      <c r="W454" s="60">
        <v>0</v>
      </c>
      <c r="X454" s="60">
        <v>0</v>
      </c>
      <c r="Y454" s="60">
        <v>0</v>
      </c>
      <c r="Z454" s="60">
        <v>0</v>
      </c>
      <c r="AA454" s="60">
        <v>0</v>
      </c>
      <c r="AB454" s="60">
        <v>0</v>
      </c>
      <c r="AC454" s="60">
        <v>0</v>
      </c>
      <c r="AD454" s="60">
        <v>0</v>
      </c>
      <c r="AE454" s="60">
        <v>0</v>
      </c>
      <c r="AF454" s="60">
        <v>0</v>
      </c>
      <c r="AG454" s="60">
        <v>0</v>
      </c>
      <c r="AH454" s="60">
        <v>0</v>
      </c>
      <c r="AI454" s="60">
        <v>1766.41</v>
      </c>
      <c r="AJ454" s="60">
        <v>1751.52</v>
      </c>
      <c r="AK454" s="60">
        <v>1969.21</v>
      </c>
      <c r="AL454" s="60">
        <v>0</v>
      </c>
      <c r="AM454" s="60">
        <v>0</v>
      </c>
      <c r="AN454" s="60">
        <v>0</v>
      </c>
      <c r="AO454" s="60">
        <v>1766.41</v>
      </c>
      <c r="AP454" s="60">
        <v>1751.52</v>
      </c>
      <c r="AQ454" s="60">
        <v>1969.21</v>
      </c>
      <c r="AR454" s="61">
        <v>1969.21</v>
      </c>
    </row>
    <row r="455" spans="1:44" x14ac:dyDescent="0.35">
      <c r="A455" s="49" t="str">
        <f t="shared" ref="A455:A460" si="36">TEXT(57,"00")</f>
        <v>57</v>
      </c>
      <c r="B455" s="27">
        <v>10579</v>
      </c>
      <c r="C455" s="25" t="str">
        <f t="shared" si="34"/>
        <v>0000000</v>
      </c>
      <c r="D455" s="26" t="s">
        <v>3663</v>
      </c>
      <c r="E455" s="25" t="s">
        <v>3476</v>
      </c>
      <c r="F455" s="25" t="s">
        <v>3477</v>
      </c>
      <c r="G455" s="59" t="s">
        <v>3477</v>
      </c>
      <c r="H455" s="60">
        <v>0</v>
      </c>
      <c r="I455" s="60">
        <v>0</v>
      </c>
      <c r="J455" s="60">
        <v>0</v>
      </c>
      <c r="K455" s="60">
        <v>0</v>
      </c>
      <c r="L455" s="60">
        <v>0</v>
      </c>
      <c r="M455" s="60">
        <v>0</v>
      </c>
      <c r="N455" s="60">
        <v>0</v>
      </c>
      <c r="O455" s="60">
        <v>0</v>
      </c>
      <c r="P455" s="60">
        <v>0</v>
      </c>
      <c r="Q455" s="60">
        <v>0</v>
      </c>
      <c r="R455" s="60">
        <v>0</v>
      </c>
      <c r="S455" s="60">
        <v>0</v>
      </c>
      <c r="T455" s="60">
        <v>32.14</v>
      </c>
      <c r="U455" s="60">
        <v>22.02</v>
      </c>
      <c r="V455" s="60">
        <v>71.45</v>
      </c>
      <c r="W455" s="60">
        <v>135.41</v>
      </c>
      <c r="X455" s="60">
        <v>121.04</v>
      </c>
      <c r="Y455" s="60">
        <v>138.22</v>
      </c>
      <c r="Z455" s="60">
        <v>0</v>
      </c>
      <c r="AA455" s="60">
        <v>0</v>
      </c>
      <c r="AB455" s="60">
        <v>0</v>
      </c>
      <c r="AC455" s="60">
        <v>0</v>
      </c>
      <c r="AD455" s="60">
        <v>0</v>
      </c>
      <c r="AE455" s="60">
        <v>0</v>
      </c>
      <c r="AF455" s="60">
        <v>0</v>
      </c>
      <c r="AG455" s="60">
        <v>0</v>
      </c>
      <c r="AH455" s="60">
        <v>0</v>
      </c>
      <c r="AI455" s="60">
        <v>167.55</v>
      </c>
      <c r="AJ455" s="60">
        <v>143.06</v>
      </c>
      <c r="AK455" s="60">
        <v>209.67</v>
      </c>
      <c r="AL455" s="60">
        <v>0</v>
      </c>
      <c r="AM455" s="60">
        <v>0</v>
      </c>
      <c r="AN455" s="60">
        <v>0</v>
      </c>
      <c r="AO455" s="60">
        <v>167.55</v>
      </c>
      <c r="AP455" s="60">
        <v>143.06</v>
      </c>
      <c r="AQ455" s="60">
        <v>209.67</v>
      </c>
      <c r="AR455" s="61">
        <v>209.67</v>
      </c>
    </row>
    <row r="456" spans="1:44" x14ac:dyDescent="0.35">
      <c r="A456" s="49" t="str">
        <f t="shared" si="36"/>
        <v>57</v>
      </c>
      <c r="B456" s="27">
        <v>72678</v>
      </c>
      <c r="C456" s="25" t="str">
        <f t="shared" si="34"/>
        <v>0000000</v>
      </c>
      <c r="D456" s="26" t="s">
        <v>3663</v>
      </c>
      <c r="E456" s="25" t="s">
        <v>3480</v>
      </c>
      <c r="F456" s="25" t="s">
        <v>3477</v>
      </c>
      <c r="G456" s="59" t="s">
        <v>3481</v>
      </c>
      <c r="H456" s="60">
        <v>7210.91</v>
      </c>
      <c r="I456" s="60">
        <v>7206.62</v>
      </c>
      <c r="J456" s="60">
        <v>7637.43</v>
      </c>
      <c r="K456" s="60">
        <v>0</v>
      </c>
      <c r="L456" s="60">
        <v>0</v>
      </c>
      <c r="M456" s="60">
        <v>0</v>
      </c>
      <c r="N456" s="60">
        <v>0</v>
      </c>
      <c r="O456" s="60">
        <v>0</v>
      </c>
      <c r="P456" s="60">
        <v>0</v>
      </c>
      <c r="Q456" s="60">
        <v>0</v>
      </c>
      <c r="R456" s="60">
        <v>0</v>
      </c>
      <c r="S456" s="60">
        <v>0</v>
      </c>
      <c r="T456" s="60">
        <v>0</v>
      </c>
      <c r="U456" s="60">
        <v>0</v>
      </c>
      <c r="V456" s="60">
        <v>0</v>
      </c>
      <c r="W456" s="60">
        <v>0</v>
      </c>
      <c r="X456" s="60">
        <v>0</v>
      </c>
      <c r="Y456" s="60">
        <v>0</v>
      </c>
      <c r="Z456" s="60">
        <v>0</v>
      </c>
      <c r="AA456" s="60">
        <v>0</v>
      </c>
      <c r="AB456" s="60">
        <v>0</v>
      </c>
      <c r="AC456" s="60">
        <v>561.30999999999995</v>
      </c>
      <c r="AD456" s="60">
        <v>530.62</v>
      </c>
      <c r="AE456" s="60">
        <v>550.14</v>
      </c>
      <c r="AF456" s="60">
        <v>0</v>
      </c>
      <c r="AG456" s="60">
        <v>0</v>
      </c>
      <c r="AH456" s="60">
        <v>0</v>
      </c>
      <c r="AI456" s="60">
        <v>7772.22</v>
      </c>
      <c r="AJ456" s="60">
        <v>7737.24</v>
      </c>
      <c r="AK456" s="60">
        <v>8187.57</v>
      </c>
      <c r="AL456" s="60">
        <v>0</v>
      </c>
      <c r="AM456" s="60">
        <v>0</v>
      </c>
      <c r="AN456" s="60">
        <v>0</v>
      </c>
      <c r="AO456" s="60">
        <v>7772.22</v>
      </c>
      <c r="AP456" s="60">
        <v>7737.24</v>
      </c>
      <c r="AQ456" s="60">
        <v>8187.57</v>
      </c>
      <c r="AR456" s="61">
        <v>8187.57</v>
      </c>
    </row>
    <row r="457" spans="1:44" x14ac:dyDescent="0.35">
      <c r="A457" s="49" t="str">
        <f t="shared" si="36"/>
        <v>57</v>
      </c>
      <c r="B457" s="27">
        <v>72686</v>
      </c>
      <c r="C457" s="25" t="str">
        <f t="shared" si="34"/>
        <v>0000000</v>
      </c>
      <c r="D457" s="26" t="s">
        <v>3663</v>
      </c>
      <c r="E457" s="25" t="s">
        <v>3482</v>
      </c>
      <c r="F457" s="25" t="s">
        <v>3477</v>
      </c>
      <c r="G457" s="59" t="s">
        <v>3483</v>
      </c>
      <c r="H457" s="60">
        <v>836.82</v>
      </c>
      <c r="I457" s="60">
        <v>818.83</v>
      </c>
      <c r="J457" s="60">
        <v>907.75</v>
      </c>
      <c r="K457" s="60">
        <v>0</v>
      </c>
      <c r="L457" s="60">
        <v>0</v>
      </c>
      <c r="M457" s="60">
        <v>0</v>
      </c>
      <c r="N457" s="60">
        <v>0</v>
      </c>
      <c r="O457" s="60">
        <v>0</v>
      </c>
      <c r="P457" s="60">
        <v>0</v>
      </c>
      <c r="Q457" s="60">
        <v>0</v>
      </c>
      <c r="R457" s="60">
        <v>0</v>
      </c>
      <c r="S457" s="60">
        <v>0</v>
      </c>
      <c r="T457" s="60">
        <v>0</v>
      </c>
      <c r="U457" s="60">
        <v>0</v>
      </c>
      <c r="V457" s="60">
        <v>0</v>
      </c>
      <c r="W457" s="60">
        <v>0</v>
      </c>
      <c r="X457" s="60">
        <v>0</v>
      </c>
      <c r="Y457" s="60">
        <v>0</v>
      </c>
      <c r="Z457" s="60">
        <v>0</v>
      </c>
      <c r="AA457" s="60">
        <v>0</v>
      </c>
      <c r="AB457" s="60">
        <v>0</v>
      </c>
      <c r="AC457" s="60">
        <v>0</v>
      </c>
      <c r="AD457" s="60">
        <v>0</v>
      </c>
      <c r="AE457" s="60">
        <v>0</v>
      </c>
      <c r="AF457" s="60">
        <v>0</v>
      </c>
      <c r="AG457" s="60">
        <v>0</v>
      </c>
      <c r="AH457" s="60">
        <v>0</v>
      </c>
      <c r="AI457" s="60">
        <v>836.82</v>
      </c>
      <c r="AJ457" s="60">
        <v>818.83</v>
      </c>
      <c r="AK457" s="60">
        <v>907.75</v>
      </c>
      <c r="AL457" s="60">
        <v>0</v>
      </c>
      <c r="AM457" s="60">
        <v>0</v>
      </c>
      <c r="AN457" s="60">
        <v>0</v>
      </c>
      <c r="AO457" s="60">
        <v>836.82</v>
      </c>
      <c r="AP457" s="60">
        <v>818.83</v>
      </c>
      <c r="AQ457" s="60">
        <v>907.75</v>
      </c>
      <c r="AR457" s="61">
        <v>907.75</v>
      </c>
    </row>
    <row r="458" spans="1:44" x14ac:dyDescent="0.35">
      <c r="A458" s="49" t="str">
        <f t="shared" si="36"/>
        <v>57</v>
      </c>
      <c r="B458" s="27">
        <v>72694</v>
      </c>
      <c r="C458" s="25" t="str">
        <f t="shared" si="34"/>
        <v>0000000</v>
      </c>
      <c r="D458" s="26" t="s">
        <v>3663</v>
      </c>
      <c r="E458" s="25" t="s">
        <v>3484</v>
      </c>
      <c r="F458" s="25" t="s">
        <v>3477</v>
      </c>
      <c r="G458" s="59" t="s">
        <v>495</v>
      </c>
      <c r="H458" s="60">
        <v>6710</v>
      </c>
      <c r="I458" s="60">
        <v>6637.21</v>
      </c>
      <c r="J458" s="60">
        <v>7210.35</v>
      </c>
      <c r="K458" s="60">
        <v>0</v>
      </c>
      <c r="L458" s="60">
        <v>0</v>
      </c>
      <c r="M458" s="60">
        <v>0</v>
      </c>
      <c r="N458" s="60">
        <v>0</v>
      </c>
      <c r="O458" s="60">
        <v>0</v>
      </c>
      <c r="P458" s="60">
        <v>0</v>
      </c>
      <c r="Q458" s="60">
        <v>0</v>
      </c>
      <c r="R458" s="60">
        <v>0</v>
      </c>
      <c r="S458" s="60">
        <v>0</v>
      </c>
      <c r="T458" s="60">
        <v>0</v>
      </c>
      <c r="U458" s="60">
        <v>0</v>
      </c>
      <c r="V458" s="60">
        <v>0</v>
      </c>
      <c r="W458" s="60">
        <v>0</v>
      </c>
      <c r="X458" s="60">
        <v>0</v>
      </c>
      <c r="Y458" s="60">
        <v>0</v>
      </c>
      <c r="Z458" s="60">
        <v>0</v>
      </c>
      <c r="AA458" s="60">
        <v>0</v>
      </c>
      <c r="AB458" s="60">
        <v>0</v>
      </c>
      <c r="AC458" s="60">
        <v>130.26</v>
      </c>
      <c r="AD458" s="60">
        <v>142.80000000000001</v>
      </c>
      <c r="AE458" s="60">
        <v>99.6</v>
      </c>
      <c r="AF458" s="60">
        <v>0</v>
      </c>
      <c r="AG458" s="60">
        <v>0</v>
      </c>
      <c r="AH458" s="60">
        <v>0</v>
      </c>
      <c r="AI458" s="60">
        <v>6840.26</v>
      </c>
      <c r="AJ458" s="60">
        <v>6780.01</v>
      </c>
      <c r="AK458" s="60">
        <v>7309.95</v>
      </c>
      <c r="AL458" s="60">
        <v>0</v>
      </c>
      <c r="AM458" s="60">
        <v>0</v>
      </c>
      <c r="AN458" s="60">
        <v>0</v>
      </c>
      <c r="AO458" s="60">
        <v>6840.26</v>
      </c>
      <c r="AP458" s="60">
        <v>6780.01</v>
      </c>
      <c r="AQ458" s="60">
        <v>7309.95</v>
      </c>
      <c r="AR458" s="61">
        <v>7309.95</v>
      </c>
    </row>
    <row r="459" spans="1:44" x14ac:dyDescent="0.35">
      <c r="A459" s="49" t="str">
        <f t="shared" si="36"/>
        <v>57</v>
      </c>
      <c r="B459" s="27">
        <v>72702</v>
      </c>
      <c r="C459" s="25" t="str">
        <f t="shared" si="34"/>
        <v>0000000</v>
      </c>
      <c r="D459" s="26" t="s">
        <v>3663</v>
      </c>
      <c r="E459" s="25" t="s">
        <v>3489</v>
      </c>
      <c r="F459" s="25" t="s">
        <v>3477</v>
      </c>
      <c r="G459" s="59" t="s">
        <v>3490</v>
      </c>
      <c r="H459" s="60">
        <v>1445.56</v>
      </c>
      <c r="I459" s="60">
        <v>1410.77</v>
      </c>
      <c r="J459" s="60">
        <v>1481.99</v>
      </c>
      <c r="K459" s="60">
        <v>0</v>
      </c>
      <c r="L459" s="60">
        <v>0</v>
      </c>
      <c r="M459" s="60">
        <v>0</v>
      </c>
      <c r="N459" s="60">
        <v>0</v>
      </c>
      <c r="O459" s="60">
        <v>0</v>
      </c>
      <c r="P459" s="60">
        <v>0</v>
      </c>
      <c r="Q459" s="60">
        <v>0</v>
      </c>
      <c r="R459" s="60">
        <v>0</v>
      </c>
      <c r="S459" s="60">
        <v>0</v>
      </c>
      <c r="T459" s="60">
        <v>0</v>
      </c>
      <c r="U459" s="60">
        <v>0</v>
      </c>
      <c r="V459" s="60">
        <v>0</v>
      </c>
      <c r="W459" s="60">
        <v>0</v>
      </c>
      <c r="X459" s="60">
        <v>0</v>
      </c>
      <c r="Y459" s="60">
        <v>0</v>
      </c>
      <c r="Z459" s="60">
        <v>0</v>
      </c>
      <c r="AA459" s="60">
        <v>0</v>
      </c>
      <c r="AB459" s="60">
        <v>0</v>
      </c>
      <c r="AC459" s="60">
        <v>0</v>
      </c>
      <c r="AD459" s="60">
        <v>0</v>
      </c>
      <c r="AE459" s="60">
        <v>0</v>
      </c>
      <c r="AF459" s="60">
        <v>0</v>
      </c>
      <c r="AG459" s="60">
        <v>0</v>
      </c>
      <c r="AH459" s="60">
        <v>0</v>
      </c>
      <c r="AI459" s="60">
        <v>1445.56</v>
      </c>
      <c r="AJ459" s="60">
        <v>1410.77</v>
      </c>
      <c r="AK459" s="60">
        <v>1481.99</v>
      </c>
      <c r="AL459" s="60">
        <v>0</v>
      </c>
      <c r="AM459" s="60">
        <v>0</v>
      </c>
      <c r="AN459" s="60">
        <v>0</v>
      </c>
      <c r="AO459" s="60">
        <v>1445.56</v>
      </c>
      <c r="AP459" s="60">
        <v>1410.77</v>
      </c>
      <c r="AQ459" s="60">
        <v>1481.99</v>
      </c>
      <c r="AR459" s="61">
        <v>1481.99</v>
      </c>
    </row>
    <row r="460" spans="1:44" x14ac:dyDescent="0.35">
      <c r="A460" s="49" t="str">
        <f t="shared" si="36"/>
        <v>57</v>
      </c>
      <c r="B460" s="27">
        <v>72710</v>
      </c>
      <c r="C460" s="25" t="str">
        <f t="shared" si="34"/>
        <v>0000000</v>
      </c>
      <c r="D460" s="26" t="s">
        <v>3663</v>
      </c>
      <c r="E460" s="25" t="s">
        <v>3493</v>
      </c>
      <c r="F460" s="25" t="s">
        <v>3477</v>
      </c>
      <c r="G460" s="59" t="s">
        <v>3494</v>
      </c>
      <c r="H460" s="60">
        <v>8453.73</v>
      </c>
      <c r="I460" s="60">
        <v>8204.2800000000007</v>
      </c>
      <c r="J460" s="60">
        <v>9157.85</v>
      </c>
      <c r="K460" s="60">
        <v>0</v>
      </c>
      <c r="L460" s="60">
        <v>0</v>
      </c>
      <c r="M460" s="60">
        <v>0</v>
      </c>
      <c r="N460" s="60">
        <v>0</v>
      </c>
      <c r="O460" s="60">
        <v>0</v>
      </c>
      <c r="P460" s="60">
        <v>0</v>
      </c>
      <c r="Q460" s="60">
        <v>0</v>
      </c>
      <c r="R460" s="60">
        <v>0</v>
      </c>
      <c r="S460" s="60">
        <v>0</v>
      </c>
      <c r="T460" s="60">
        <v>0</v>
      </c>
      <c r="U460" s="60">
        <v>0</v>
      </c>
      <c r="V460" s="60">
        <v>0</v>
      </c>
      <c r="W460" s="60">
        <v>0</v>
      </c>
      <c r="X460" s="60">
        <v>0</v>
      </c>
      <c r="Y460" s="60">
        <v>0</v>
      </c>
      <c r="Z460" s="60">
        <v>0</v>
      </c>
      <c r="AA460" s="60">
        <v>0</v>
      </c>
      <c r="AB460" s="60">
        <v>0</v>
      </c>
      <c r="AC460" s="60">
        <v>191.45</v>
      </c>
      <c r="AD460" s="60">
        <v>197.88</v>
      </c>
      <c r="AE460" s="60">
        <v>231.07</v>
      </c>
      <c r="AF460" s="60">
        <v>0</v>
      </c>
      <c r="AG460" s="60">
        <v>0</v>
      </c>
      <c r="AH460" s="60">
        <v>0</v>
      </c>
      <c r="AI460" s="60">
        <v>8645.18</v>
      </c>
      <c r="AJ460" s="60">
        <v>8402.16</v>
      </c>
      <c r="AK460" s="60">
        <v>9388.92</v>
      </c>
      <c r="AL460" s="60">
        <v>0</v>
      </c>
      <c r="AM460" s="60">
        <v>0</v>
      </c>
      <c r="AN460" s="60">
        <v>0</v>
      </c>
      <c r="AO460" s="60">
        <v>8645.18</v>
      </c>
      <c r="AP460" s="60">
        <v>8402.16</v>
      </c>
      <c r="AQ460" s="60">
        <v>9388.92</v>
      </c>
      <c r="AR460" s="61">
        <v>9388.92</v>
      </c>
    </row>
    <row r="461" spans="1:44" x14ac:dyDescent="0.35">
      <c r="A461" s="49" t="str">
        <f>TEXT(30,"00")</f>
        <v>30</v>
      </c>
      <c r="B461" s="27">
        <v>66647</v>
      </c>
      <c r="C461" s="25" t="str">
        <f t="shared" si="34"/>
        <v>0000000</v>
      </c>
      <c r="D461" s="26" t="s">
        <v>3663</v>
      </c>
      <c r="E461" s="25" t="s">
        <v>1541</v>
      </c>
      <c r="F461" s="25" t="s">
        <v>1542</v>
      </c>
      <c r="G461" s="59" t="s">
        <v>1542</v>
      </c>
      <c r="H461" s="60">
        <v>21539.35</v>
      </c>
      <c r="I461" s="60">
        <v>22006.959999999999</v>
      </c>
      <c r="J461" s="60">
        <v>23980.62</v>
      </c>
      <c r="K461" s="60">
        <v>0</v>
      </c>
      <c r="L461" s="60">
        <v>0</v>
      </c>
      <c r="M461" s="60">
        <v>0</v>
      </c>
      <c r="N461" s="60">
        <v>0</v>
      </c>
      <c r="O461" s="60">
        <v>0</v>
      </c>
      <c r="P461" s="60">
        <v>0</v>
      </c>
      <c r="Q461" s="60">
        <v>0</v>
      </c>
      <c r="R461" s="60">
        <v>0</v>
      </c>
      <c r="S461" s="60">
        <v>0</v>
      </c>
      <c r="T461" s="60">
        <v>0</v>
      </c>
      <c r="U461" s="60">
        <v>0</v>
      </c>
      <c r="V461" s="60">
        <v>0</v>
      </c>
      <c r="W461" s="60">
        <v>0</v>
      </c>
      <c r="X461" s="60">
        <v>0</v>
      </c>
      <c r="Y461" s="60">
        <v>0</v>
      </c>
      <c r="Z461" s="60">
        <v>0</v>
      </c>
      <c r="AA461" s="60">
        <v>0</v>
      </c>
      <c r="AB461" s="60">
        <v>0</v>
      </c>
      <c r="AC461" s="60">
        <v>0</v>
      </c>
      <c r="AD461" s="60">
        <v>0</v>
      </c>
      <c r="AE461" s="60">
        <v>0</v>
      </c>
      <c r="AF461" s="60">
        <v>0</v>
      </c>
      <c r="AG461" s="60">
        <v>0</v>
      </c>
      <c r="AH461" s="60">
        <v>0</v>
      </c>
      <c r="AI461" s="60">
        <v>21539.35</v>
      </c>
      <c r="AJ461" s="60">
        <v>22006.959999999999</v>
      </c>
      <c r="AK461" s="60">
        <v>23980.62</v>
      </c>
      <c r="AL461" s="60">
        <v>0</v>
      </c>
      <c r="AM461" s="60">
        <v>0</v>
      </c>
      <c r="AN461" s="60">
        <v>0</v>
      </c>
      <c r="AO461" s="60">
        <v>21539.35</v>
      </c>
      <c r="AP461" s="60">
        <v>22006.959999999999</v>
      </c>
      <c r="AQ461" s="60">
        <v>23980.62</v>
      </c>
      <c r="AR461" s="61">
        <v>23980.62</v>
      </c>
    </row>
    <row r="462" spans="1:44" x14ac:dyDescent="0.35">
      <c r="A462" s="49" t="str">
        <f>TEXT(30,"00")</f>
        <v>30</v>
      </c>
      <c r="B462" s="27">
        <v>66449</v>
      </c>
      <c r="C462" s="25" t="str">
        <f t="shared" si="34"/>
        <v>0000000</v>
      </c>
      <c r="D462" s="26" t="s">
        <v>3663</v>
      </c>
      <c r="E462" s="25" t="s">
        <v>1543</v>
      </c>
      <c r="F462" s="25" t="s">
        <v>1542</v>
      </c>
      <c r="G462" s="59" t="s">
        <v>1544</v>
      </c>
      <c r="H462" s="60">
        <v>5560.81</v>
      </c>
      <c r="I462" s="60">
        <v>5587.35</v>
      </c>
      <c r="J462" s="60">
        <v>5857.86</v>
      </c>
      <c r="K462" s="60">
        <v>0</v>
      </c>
      <c r="L462" s="60">
        <v>0</v>
      </c>
      <c r="M462" s="60">
        <v>0</v>
      </c>
      <c r="N462" s="60">
        <v>0</v>
      </c>
      <c r="O462" s="60">
        <v>0</v>
      </c>
      <c r="P462" s="60">
        <v>0</v>
      </c>
      <c r="Q462" s="60">
        <v>0</v>
      </c>
      <c r="R462" s="60">
        <v>0</v>
      </c>
      <c r="S462" s="60">
        <v>0</v>
      </c>
      <c r="T462" s="60">
        <v>0</v>
      </c>
      <c r="U462" s="60">
        <v>0</v>
      </c>
      <c r="V462" s="60">
        <v>0</v>
      </c>
      <c r="W462" s="60">
        <v>0</v>
      </c>
      <c r="X462" s="60">
        <v>0</v>
      </c>
      <c r="Y462" s="60">
        <v>0</v>
      </c>
      <c r="Z462" s="60">
        <v>0</v>
      </c>
      <c r="AA462" s="60">
        <v>0</v>
      </c>
      <c r="AB462" s="60">
        <v>0</v>
      </c>
      <c r="AC462" s="60">
        <v>0</v>
      </c>
      <c r="AD462" s="60">
        <v>0</v>
      </c>
      <c r="AE462" s="60">
        <v>0</v>
      </c>
      <c r="AF462" s="60">
        <v>0</v>
      </c>
      <c r="AG462" s="60">
        <v>0</v>
      </c>
      <c r="AH462" s="60">
        <v>0</v>
      </c>
      <c r="AI462" s="60">
        <v>5560.81</v>
      </c>
      <c r="AJ462" s="60">
        <v>5587.35</v>
      </c>
      <c r="AK462" s="60">
        <v>5857.86</v>
      </c>
      <c r="AL462" s="60">
        <v>0</v>
      </c>
      <c r="AM462" s="60">
        <v>0</v>
      </c>
      <c r="AN462" s="60">
        <v>0</v>
      </c>
      <c r="AO462" s="60">
        <v>5560.81</v>
      </c>
      <c r="AP462" s="60">
        <v>5587.35</v>
      </c>
      <c r="AQ462" s="60">
        <v>5857.86</v>
      </c>
      <c r="AR462" s="61">
        <v>5857.86</v>
      </c>
    </row>
    <row r="463" spans="1:44" x14ac:dyDescent="0.35">
      <c r="A463" s="49" t="str">
        <f t="shared" ref="A463:A471" si="37">TEXT(34,"00")</f>
        <v>34</v>
      </c>
      <c r="B463" s="27">
        <v>10348</v>
      </c>
      <c r="C463" s="25" t="str">
        <f t="shared" si="34"/>
        <v>0000000</v>
      </c>
      <c r="D463" s="26" t="s">
        <v>3663</v>
      </c>
      <c r="E463" s="25" t="s">
        <v>1785</v>
      </c>
      <c r="F463" s="25" t="s">
        <v>1786</v>
      </c>
      <c r="G463" s="59" t="s">
        <v>1786</v>
      </c>
      <c r="H463" s="60">
        <v>0</v>
      </c>
      <c r="I463" s="60">
        <v>0</v>
      </c>
      <c r="J463" s="60">
        <v>0</v>
      </c>
      <c r="K463" s="60">
        <v>0</v>
      </c>
      <c r="L463" s="60">
        <v>0</v>
      </c>
      <c r="M463" s="60">
        <v>0</v>
      </c>
      <c r="N463" s="60">
        <v>0</v>
      </c>
      <c r="O463" s="60">
        <v>0</v>
      </c>
      <c r="P463" s="60">
        <v>0</v>
      </c>
      <c r="Q463" s="60">
        <v>0</v>
      </c>
      <c r="R463" s="60">
        <v>0</v>
      </c>
      <c r="S463" s="60">
        <v>0</v>
      </c>
      <c r="T463" s="60">
        <v>147.47999999999999</v>
      </c>
      <c r="U463" s="60">
        <v>113.08</v>
      </c>
      <c r="V463" s="60">
        <v>253.73</v>
      </c>
      <c r="W463" s="60">
        <v>703.02</v>
      </c>
      <c r="X463" s="60">
        <v>662.55</v>
      </c>
      <c r="Y463" s="60">
        <v>749.14</v>
      </c>
      <c r="Z463" s="60">
        <v>0</v>
      </c>
      <c r="AA463" s="60">
        <v>0</v>
      </c>
      <c r="AB463" s="60">
        <v>0</v>
      </c>
      <c r="AC463" s="60">
        <v>0</v>
      </c>
      <c r="AD463" s="60">
        <v>0</v>
      </c>
      <c r="AE463" s="60">
        <v>0</v>
      </c>
      <c r="AF463" s="60">
        <v>0</v>
      </c>
      <c r="AG463" s="60">
        <v>0</v>
      </c>
      <c r="AH463" s="60">
        <v>0</v>
      </c>
      <c r="AI463" s="60">
        <v>850.5</v>
      </c>
      <c r="AJ463" s="60">
        <v>775.63</v>
      </c>
      <c r="AK463" s="60">
        <v>1002.87</v>
      </c>
      <c r="AL463" s="60">
        <v>0</v>
      </c>
      <c r="AM463" s="60">
        <v>0</v>
      </c>
      <c r="AN463" s="60">
        <v>0</v>
      </c>
      <c r="AO463" s="60">
        <v>850.5</v>
      </c>
      <c r="AP463" s="60">
        <v>775.63</v>
      </c>
      <c r="AQ463" s="60">
        <v>1002.87</v>
      </c>
      <c r="AR463" s="61">
        <v>1002.87</v>
      </c>
    </row>
    <row r="464" spans="1:44" x14ac:dyDescent="0.35">
      <c r="A464" s="49" t="str">
        <f t="shared" si="37"/>
        <v>34</v>
      </c>
      <c r="B464" s="27">
        <v>67355</v>
      </c>
      <c r="C464" s="25" t="str">
        <f t="shared" si="34"/>
        <v>0000000</v>
      </c>
      <c r="D464" s="26" t="s">
        <v>3663</v>
      </c>
      <c r="E464" s="25" t="s">
        <v>1806</v>
      </c>
      <c r="F464" s="25" t="s">
        <v>1786</v>
      </c>
      <c r="G464" s="59" t="s">
        <v>1807</v>
      </c>
      <c r="H464" s="60">
        <v>1893.8</v>
      </c>
      <c r="I464" s="60">
        <v>1967.46</v>
      </c>
      <c r="J464" s="60">
        <v>2075.06</v>
      </c>
      <c r="K464" s="60">
        <v>0</v>
      </c>
      <c r="L464" s="60">
        <v>0</v>
      </c>
      <c r="M464" s="60">
        <v>0</v>
      </c>
      <c r="N464" s="60">
        <v>0</v>
      </c>
      <c r="O464" s="60">
        <v>0</v>
      </c>
      <c r="P464" s="60">
        <v>0</v>
      </c>
      <c r="Q464" s="60">
        <v>0</v>
      </c>
      <c r="R464" s="60">
        <v>0</v>
      </c>
      <c r="S464" s="60">
        <v>0</v>
      </c>
      <c r="T464" s="60">
        <v>0</v>
      </c>
      <c r="U464" s="60">
        <v>0</v>
      </c>
      <c r="V464" s="60">
        <v>0</v>
      </c>
      <c r="W464" s="60">
        <v>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0">
        <v>0</v>
      </c>
      <c r="AE464" s="60">
        <v>0</v>
      </c>
      <c r="AF464" s="60">
        <v>0</v>
      </c>
      <c r="AG464" s="60">
        <v>0</v>
      </c>
      <c r="AH464" s="60">
        <v>0</v>
      </c>
      <c r="AI464" s="60">
        <v>1893.8</v>
      </c>
      <c r="AJ464" s="60">
        <v>1967.46</v>
      </c>
      <c r="AK464" s="60">
        <v>2075.06</v>
      </c>
      <c r="AL464" s="60">
        <v>0</v>
      </c>
      <c r="AM464" s="60">
        <v>0</v>
      </c>
      <c r="AN464" s="60">
        <v>0</v>
      </c>
      <c r="AO464" s="60">
        <v>1893.8</v>
      </c>
      <c r="AP464" s="60">
        <v>1967.46</v>
      </c>
      <c r="AQ464" s="60">
        <v>2075.06</v>
      </c>
      <c r="AR464" s="61">
        <v>2075.06</v>
      </c>
    </row>
    <row r="465" spans="1:44" x14ac:dyDescent="0.35">
      <c r="A465" s="49" t="str">
        <f t="shared" si="37"/>
        <v>34</v>
      </c>
      <c r="B465" s="27">
        <v>67413</v>
      </c>
      <c r="C465" s="25" t="str">
        <f t="shared" si="34"/>
        <v>0000000</v>
      </c>
      <c r="D465" s="26" t="s">
        <v>3663</v>
      </c>
      <c r="E465" s="25" t="s">
        <v>1808</v>
      </c>
      <c r="F465" s="25" t="s">
        <v>1786</v>
      </c>
      <c r="G465" s="59" t="s">
        <v>1809</v>
      </c>
      <c r="H465" s="60">
        <v>1607.67</v>
      </c>
      <c r="I465" s="60">
        <v>1649.18</v>
      </c>
      <c r="J465" s="60">
        <v>1856.11</v>
      </c>
      <c r="K465" s="60">
        <v>0</v>
      </c>
      <c r="L465" s="60">
        <v>0</v>
      </c>
      <c r="M465" s="60">
        <v>0</v>
      </c>
      <c r="N465" s="60">
        <v>0</v>
      </c>
      <c r="O465" s="60">
        <v>0</v>
      </c>
      <c r="P465" s="60">
        <v>0</v>
      </c>
      <c r="Q465" s="60">
        <v>0</v>
      </c>
      <c r="R465" s="60">
        <v>0</v>
      </c>
      <c r="S465" s="60">
        <v>0</v>
      </c>
      <c r="T465" s="60">
        <v>0</v>
      </c>
      <c r="U465" s="60">
        <v>0</v>
      </c>
      <c r="V465" s="60">
        <v>0</v>
      </c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0">
        <v>0</v>
      </c>
      <c r="AE465" s="60">
        <v>0</v>
      </c>
      <c r="AF465" s="60">
        <v>0</v>
      </c>
      <c r="AG465" s="60">
        <v>0</v>
      </c>
      <c r="AH465" s="60">
        <v>0</v>
      </c>
      <c r="AI465" s="60">
        <v>1607.67</v>
      </c>
      <c r="AJ465" s="60">
        <v>1649.18</v>
      </c>
      <c r="AK465" s="60">
        <v>1856.11</v>
      </c>
      <c r="AL465" s="60">
        <v>0</v>
      </c>
      <c r="AM465" s="60">
        <v>0</v>
      </c>
      <c r="AN465" s="60">
        <v>0</v>
      </c>
      <c r="AO465" s="60">
        <v>1607.67</v>
      </c>
      <c r="AP465" s="60">
        <v>1649.18</v>
      </c>
      <c r="AQ465" s="60">
        <v>1856.11</v>
      </c>
      <c r="AR465" s="61">
        <v>1856.11</v>
      </c>
    </row>
    <row r="466" spans="1:44" x14ac:dyDescent="0.35">
      <c r="A466" s="49" t="str">
        <f t="shared" si="37"/>
        <v>34</v>
      </c>
      <c r="B466" s="27">
        <v>73973</v>
      </c>
      <c r="C466" s="25" t="str">
        <f t="shared" si="34"/>
        <v>0000000</v>
      </c>
      <c r="D466" s="26" t="s">
        <v>3663</v>
      </c>
      <c r="E466" s="25" t="s">
        <v>1855</v>
      </c>
      <c r="F466" s="25" t="s">
        <v>1786</v>
      </c>
      <c r="G466" s="59" t="s">
        <v>1856</v>
      </c>
      <c r="H466" s="60">
        <v>3832.86</v>
      </c>
      <c r="I466" s="60">
        <v>3608.33</v>
      </c>
      <c r="J466" s="60">
        <v>4024.39</v>
      </c>
      <c r="K466" s="60">
        <v>0</v>
      </c>
      <c r="L466" s="60">
        <v>0</v>
      </c>
      <c r="M466" s="60">
        <v>0</v>
      </c>
      <c r="N466" s="60">
        <v>0</v>
      </c>
      <c r="O466" s="60">
        <v>0</v>
      </c>
      <c r="P466" s="60">
        <v>0</v>
      </c>
      <c r="Q466" s="60">
        <v>0</v>
      </c>
      <c r="R466" s="60">
        <v>0</v>
      </c>
      <c r="S466" s="60">
        <v>0</v>
      </c>
      <c r="T466" s="60">
        <v>0</v>
      </c>
      <c r="U466" s="60">
        <v>0</v>
      </c>
      <c r="V466" s="60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60">
        <v>0</v>
      </c>
      <c r="AE466" s="60">
        <v>0</v>
      </c>
      <c r="AF466" s="60">
        <v>0</v>
      </c>
      <c r="AG466" s="60">
        <v>0</v>
      </c>
      <c r="AH466" s="60">
        <v>0</v>
      </c>
      <c r="AI466" s="60">
        <v>3832.86</v>
      </c>
      <c r="AJ466" s="60">
        <v>3608.33</v>
      </c>
      <c r="AK466" s="60">
        <v>4024.39</v>
      </c>
      <c r="AL466" s="60">
        <v>0</v>
      </c>
      <c r="AM466" s="60">
        <v>0</v>
      </c>
      <c r="AN466" s="60">
        <v>0</v>
      </c>
      <c r="AO466" s="60">
        <v>3832.86</v>
      </c>
      <c r="AP466" s="60">
        <v>3608.33</v>
      </c>
      <c r="AQ466" s="60">
        <v>4024.39</v>
      </c>
      <c r="AR466" s="61">
        <v>4024.39</v>
      </c>
    </row>
    <row r="467" spans="1:44" x14ac:dyDescent="0.35">
      <c r="A467" s="49" t="str">
        <f t="shared" si="37"/>
        <v>34</v>
      </c>
      <c r="B467" s="27">
        <v>67421</v>
      </c>
      <c r="C467" s="25" t="str">
        <f t="shared" si="34"/>
        <v>0000000</v>
      </c>
      <c r="D467" s="26" t="s">
        <v>3663</v>
      </c>
      <c r="E467" s="25" t="s">
        <v>1813</v>
      </c>
      <c r="F467" s="25" t="s">
        <v>1786</v>
      </c>
      <c r="G467" s="59" t="s">
        <v>1814</v>
      </c>
      <c r="H467" s="60">
        <v>1746.88</v>
      </c>
      <c r="I467" s="60">
        <v>1745.8</v>
      </c>
      <c r="J467" s="60">
        <v>1964.58</v>
      </c>
      <c r="K467" s="60">
        <v>0</v>
      </c>
      <c r="L467" s="60">
        <v>0</v>
      </c>
      <c r="M467" s="60">
        <v>0</v>
      </c>
      <c r="N467" s="60">
        <v>0</v>
      </c>
      <c r="O467" s="60">
        <v>0</v>
      </c>
      <c r="P467" s="60">
        <v>0</v>
      </c>
      <c r="Q467" s="60">
        <v>0</v>
      </c>
      <c r="R467" s="60">
        <v>0</v>
      </c>
      <c r="S467" s="60">
        <v>0</v>
      </c>
      <c r="T467" s="60">
        <v>0</v>
      </c>
      <c r="U467" s="60">
        <v>0</v>
      </c>
      <c r="V467" s="60">
        <v>0</v>
      </c>
      <c r="W467" s="60">
        <v>0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197.6</v>
      </c>
      <c r="AD467" s="60">
        <v>129</v>
      </c>
      <c r="AE467" s="60">
        <v>0</v>
      </c>
      <c r="AF467" s="60">
        <v>0</v>
      </c>
      <c r="AG467" s="60">
        <v>0</v>
      </c>
      <c r="AH467" s="60">
        <v>0</v>
      </c>
      <c r="AI467" s="60">
        <v>1944.48</v>
      </c>
      <c r="AJ467" s="60">
        <v>1874.8</v>
      </c>
      <c r="AK467" s="60">
        <v>1964.58</v>
      </c>
      <c r="AL467" s="60">
        <v>0</v>
      </c>
      <c r="AM467" s="60">
        <v>0</v>
      </c>
      <c r="AN467" s="60">
        <v>0</v>
      </c>
      <c r="AO467" s="60">
        <v>1944.48</v>
      </c>
      <c r="AP467" s="60">
        <v>1874.8</v>
      </c>
      <c r="AQ467" s="60">
        <v>1964.58</v>
      </c>
      <c r="AR467" s="61">
        <v>1964.58</v>
      </c>
    </row>
    <row r="468" spans="1:44" x14ac:dyDescent="0.35">
      <c r="A468" s="49" t="str">
        <f t="shared" si="37"/>
        <v>34</v>
      </c>
      <c r="B468" s="27">
        <v>67348</v>
      </c>
      <c r="C468" s="25" t="str">
        <f t="shared" si="34"/>
        <v>0000000</v>
      </c>
      <c r="D468" s="26" t="s">
        <v>3663</v>
      </c>
      <c r="E468" s="25" t="s">
        <v>1804</v>
      </c>
      <c r="F468" s="25" t="s">
        <v>1786</v>
      </c>
      <c r="G468" s="59" t="s">
        <v>1805</v>
      </c>
      <c r="H468" s="60">
        <v>3088.02</v>
      </c>
      <c r="I468" s="60">
        <v>2994.72</v>
      </c>
      <c r="J468" s="60">
        <v>3402.26</v>
      </c>
      <c r="K468" s="60">
        <v>0</v>
      </c>
      <c r="L468" s="60">
        <v>0</v>
      </c>
      <c r="M468" s="60">
        <v>0</v>
      </c>
      <c r="N468" s="60">
        <v>0</v>
      </c>
      <c r="O468" s="60">
        <v>0</v>
      </c>
      <c r="P468" s="60">
        <v>0</v>
      </c>
      <c r="Q468" s="60">
        <v>0</v>
      </c>
      <c r="R468" s="60">
        <v>0</v>
      </c>
      <c r="S468" s="60">
        <v>0</v>
      </c>
      <c r="T468" s="60">
        <v>0</v>
      </c>
      <c r="U468" s="60">
        <v>0</v>
      </c>
      <c r="V468" s="60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0</v>
      </c>
      <c r="AD468" s="60">
        <v>0</v>
      </c>
      <c r="AE468" s="60">
        <v>0</v>
      </c>
      <c r="AF468" s="60">
        <v>0</v>
      </c>
      <c r="AG468" s="60">
        <v>0</v>
      </c>
      <c r="AH468" s="60">
        <v>0</v>
      </c>
      <c r="AI468" s="60">
        <v>3088.02</v>
      </c>
      <c r="AJ468" s="60">
        <v>2994.72</v>
      </c>
      <c r="AK468" s="60">
        <v>3402.26</v>
      </c>
      <c r="AL468" s="60">
        <v>0</v>
      </c>
      <c r="AM468" s="60">
        <v>0</v>
      </c>
      <c r="AN468" s="60">
        <v>0</v>
      </c>
      <c r="AO468" s="60">
        <v>3088.02</v>
      </c>
      <c r="AP468" s="60">
        <v>2994.72</v>
      </c>
      <c r="AQ468" s="60">
        <v>3402.26</v>
      </c>
      <c r="AR468" s="61">
        <v>3402.26</v>
      </c>
    </row>
    <row r="469" spans="1:44" x14ac:dyDescent="0.35">
      <c r="A469" s="49" t="str">
        <f t="shared" si="37"/>
        <v>34</v>
      </c>
      <c r="B469" s="27">
        <v>67280</v>
      </c>
      <c r="C469" s="25" t="str">
        <f t="shared" si="34"/>
        <v>0000000</v>
      </c>
      <c r="D469" s="26" t="s">
        <v>3663</v>
      </c>
      <c r="E469" s="25" t="s">
        <v>1791</v>
      </c>
      <c r="F469" s="25" t="s">
        <v>1786</v>
      </c>
      <c r="G469" s="59" t="s">
        <v>1792</v>
      </c>
      <c r="H469" s="60">
        <v>451.65</v>
      </c>
      <c r="I469" s="60">
        <v>424.11</v>
      </c>
      <c r="J469" s="60">
        <v>458.13</v>
      </c>
      <c r="K469" s="60">
        <v>0</v>
      </c>
      <c r="L469" s="60">
        <v>0</v>
      </c>
      <c r="M469" s="60">
        <v>0</v>
      </c>
      <c r="N469" s="60">
        <v>0</v>
      </c>
      <c r="O469" s="60">
        <v>0</v>
      </c>
      <c r="P469" s="60">
        <v>0</v>
      </c>
      <c r="Q469" s="60">
        <v>0</v>
      </c>
      <c r="R469" s="60">
        <v>0</v>
      </c>
      <c r="S469" s="60">
        <v>0</v>
      </c>
      <c r="T469" s="60">
        <v>0</v>
      </c>
      <c r="U469" s="60">
        <v>0</v>
      </c>
      <c r="V469" s="60">
        <v>0</v>
      </c>
      <c r="W469" s="60">
        <v>0</v>
      </c>
      <c r="X469" s="60">
        <v>0</v>
      </c>
      <c r="Y469" s="60">
        <v>0</v>
      </c>
      <c r="Z469" s="60">
        <v>0</v>
      </c>
      <c r="AA469" s="60">
        <v>0</v>
      </c>
      <c r="AB469" s="60">
        <v>0</v>
      </c>
      <c r="AC469" s="60">
        <v>0</v>
      </c>
      <c r="AD469" s="60">
        <v>0</v>
      </c>
      <c r="AE469" s="60">
        <v>0</v>
      </c>
      <c r="AF469" s="60">
        <v>0</v>
      </c>
      <c r="AG469" s="60">
        <v>0</v>
      </c>
      <c r="AH469" s="60">
        <v>0</v>
      </c>
      <c r="AI469" s="60">
        <v>451.65</v>
      </c>
      <c r="AJ469" s="60">
        <v>424.11</v>
      </c>
      <c r="AK469" s="60">
        <v>458.13</v>
      </c>
      <c r="AL469" s="60">
        <v>0</v>
      </c>
      <c r="AM469" s="60">
        <v>0</v>
      </c>
      <c r="AN469" s="60">
        <v>0</v>
      </c>
      <c r="AO469" s="60">
        <v>451.65</v>
      </c>
      <c r="AP469" s="60">
        <v>424.11</v>
      </c>
      <c r="AQ469" s="60">
        <v>458.13</v>
      </c>
      <c r="AR469" s="61">
        <v>458.13</v>
      </c>
    </row>
    <row r="470" spans="1:44" x14ac:dyDescent="0.35">
      <c r="A470" s="49" t="str">
        <f t="shared" si="37"/>
        <v>34</v>
      </c>
      <c r="B470" s="27">
        <v>67322</v>
      </c>
      <c r="C470" s="25" t="str">
        <f t="shared" si="34"/>
        <v>0000000</v>
      </c>
      <c r="D470" s="26" t="s">
        <v>3663</v>
      </c>
      <c r="E470" s="25" t="s">
        <v>1800</v>
      </c>
      <c r="F470" s="25" t="s">
        <v>1786</v>
      </c>
      <c r="G470" s="59" t="s">
        <v>1801</v>
      </c>
      <c r="H470" s="60">
        <v>196.21</v>
      </c>
      <c r="I470" s="60">
        <v>191.6</v>
      </c>
      <c r="J470" s="60">
        <v>206.21</v>
      </c>
      <c r="K470" s="60">
        <v>0</v>
      </c>
      <c r="L470" s="60">
        <v>0</v>
      </c>
      <c r="M470" s="60">
        <v>0</v>
      </c>
      <c r="N470" s="60">
        <v>0</v>
      </c>
      <c r="O470" s="60">
        <v>0</v>
      </c>
      <c r="P470" s="60">
        <v>0</v>
      </c>
      <c r="Q470" s="60">
        <v>0</v>
      </c>
      <c r="R470" s="60">
        <v>0</v>
      </c>
      <c r="S470" s="60">
        <v>0</v>
      </c>
      <c r="T470" s="60">
        <v>0</v>
      </c>
      <c r="U470" s="60">
        <v>0</v>
      </c>
      <c r="V470" s="60">
        <v>0</v>
      </c>
      <c r="W470" s="60">
        <v>0</v>
      </c>
      <c r="X470" s="60">
        <v>0</v>
      </c>
      <c r="Y470" s="60">
        <v>0</v>
      </c>
      <c r="Z470" s="60">
        <v>0</v>
      </c>
      <c r="AA470" s="60">
        <v>0</v>
      </c>
      <c r="AB470" s="60">
        <v>0</v>
      </c>
      <c r="AC470" s="60">
        <v>0</v>
      </c>
      <c r="AD470" s="60">
        <v>35.86</v>
      </c>
      <c r="AE470" s="60">
        <v>76.73</v>
      </c>
      <c r="AF470" s="60">
        <v>0</v>
      </c>
      <c r="AG470" s="60">
        <v>0</v>
      </c>
      <c r="AH470" s="60">
        <v>0</v>
      </c>
      <c r="AI470" s="60">
        <v>196.21</v>
      </c>
      <c r="AJ470" s="60">
        <v>227.46</v>
      </c>
      <c r="AK470" s="60">
        <v>282.94</v>
      </c>
      <c r="AL470" s="60">
        <v>0</v>
      </c>
      <c r="AM470" s="60">
        <v>0</v>
      </c>
      <c r="AN470" s="60">
        <v>0</v>
      </c>
      <c r="AO470" s="60">
        <v>196.21</v>
      </c>
      <c r="AP470" s="60">
        <v>227.46</v>
      </c>
      <c r="AQ470" s="60">
        <v>282.94</v>
      </c>
      <c r="AR470" s="61">
        <v>282.94</v>
      </c>
    </row>
    <row r="471" spans="1:44" x14ac:dyDescent="0.35">
      <c r="A471" s="49" t="str">
        <f t="shared" si="37"/>
        <v>34</v>
      </c>
      <c r="B471" s="27">
        <v>75283</v>
      </c>
      <c r="C471" s="25" t="str">
        <f>TEXT(3430659,"0000000")</f>
        <v>3430659</v>
      </c>
      <c r="D471" s="26" t="s">
        <v>1864</v>
      </c>
      <c r="E471" s="25" t="s">
        <v>1862</v>
      </c>
      <c r="F471" s="25" t="s">
        <v>1786</v>
      </c>
      <c r="G471" s="59" t="s">
        <v>1863</v>
      </c>
      <c r="H471" s="60">
        <v>0</v>
      </c>
      <c r="I471" s="60">
        <v>0</v>
      </c>
      <c r="J471" s="60">
        <v>0</v>
      </c>
      <c r="K471" s="60">
        <v>0</v>
      </c>
      <c r="L471" s="60">
        <v>0</v>
      </c>
      <c r="M471" s="60">
        <v>0</v>
      </c>
      <c r="N471" s="60">
        <v>0</v>
      </c>
      <c r="O471" s="60">
        <v>0</v>
      </c>
      <c r="P471" s="60">
        <v>0</v>
      </c>
      <c r="Q471" s="60">
        <v>0</v>
      </c>
      <c r="R471" s="60">
        <v>0</v>
      </c>
      <c r="S471" s="60">
        <v>0</v>
      </c>
      <c r="T471" s="60">
        <v>0</v>
      </c>
      <c r="U471" s="60">
        <v>0</v>
      </c>
      <c r="V471" s="60">
        <v>0</v>
      </c>
      <c r="W471" s="60">
        <v>0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0">
        <v>1787.17</v>
      </c>
      <c r="AD471" s="60">
        <v>1816.59</v>
      </c>
      <c r="AE471" s="60">
        <v>1811</v>
      </c>
      <c r="AF471" s="60">
        <v>0</v>
      </c>
      <c r="AG471" s="60">
        <v>0</v>
      </c>
      <c r="AH471" s="60">
        <v>0</v>
      </c>
      <c r="AI471" s="60">
        <v>1787.17</v>
      </c>
      <c r="AJ471" s="60">
        <v>1816.59</v>
      </c>
      <c r="AK471" s="60">
        <v>1811</v>
      </c>
      <c r="AL471" s="60">
        <v>0</v>
      </c>
      <c r="AM471" s="60">
        <v>0</v>
      </c>
      <c r="AN471" s="60">
        <v>0</v>
      </c>
      <c r="AO471" s="60">
        <v>1787.17</v>
      </c>
      <c r="AP471" s="60">
        <v>1816.59</v>
      </c>
      <c r="AQ471" s="60">
        <v>1811</v>
      </c>
      <c r="AR471" s="61">
        <v>1816.59</v>
      </c>
    </row>
    <row r="472" spans="1:44" x14ac:dyDescent="0.35">
      <c r="A472" s="49" t="str">
        <f t="shared" ref="A472:A481" si="38">TEXT(30,"00")</f>
        <v>30</v>
      </c>
      <c r="B472" s="27">
        <v>66548</v>
      </c>
      <c r="C472" s="25" t="str">
        <f t="shared" ref="C472:C518" si="39">TEXT(,"0000000")</f>
        <v>0000000</v>
      </c>
      <c r="D472" s="26" t="s">
        <v>3663</v>
      </c>
      <c r="E472" s="25" t="s">
        <v>1565</v>
      </c>
      <c r="F472" s="25" t="s">
        <v>1566</v>
      </c>
      <c r="G472" s="59" t="s">
        <v>1566</v>
      </c>
      <c r="H472" s="60">
        <v>13562.28</v>
      </c>
      <c r="I472" s="60">
        <v>14002.12</v>
      </c>
      <c r="J472" s="60">
        <v>15226.18</v>
      </c>
      <c r="K472" s="60">
        <v>0</v>
      </c>
      <c r="L472" s="60">
        <v>0</v>
      </c>
      <c r="M472" s="60">
        <v>0</v>
      </c>
      <c r="N472" s="60">
        <v>0</v>
      </c>
      <c r="O472" s="60">
        <v>0</v>
      </c>
      <c r="P472" s="60">
        <v>0</v>
      </c>
      <c r="Q472" s="60">
        <v>0</v>
      </c>
      <c r="R472" s="60">
        <v>0</v>
      </c>
      <c r="S472" s="60">
        <v>0</v>
      </c>
      <c r="T472" s="60">
        <v>0</v>
      </c>
      <c r="U472" s="60">
        <v>0</v>
      </c>
      <c r="V472" s="60">
        <v>0</v>
      </c>
      <c r="W472" s="60">
        <v>0</v>
      </c>
      <c r="X472" s="60">
        <v>0</v>
      </c>
      <c r="Y472" s="60">
        <v>0</v>
      </c>
      <c r="Z472" s="60">
        <v>0</v>
      </c>
      <c r="AA472" s="60">
        <v>0</v>
      </c>
      <c r="AB472" s="60">
        <v>0</v>
      </c>
      <c r="AC472" s="60">
        <v>0</v>
      </c>
      <c r="AD472" s="60">
        <v>0</v>
      </c>
      <c r="AE472" s="60">
        <v>0</v>
      </c>
      <c r="AF472" s="60">
        <v>0</v>
      </c>
      <c r="AG472" s="60">
        <v>0</v>
      </c>
      <c r="AH472" s="60">
        <v>0</v>
      </c>
      <c r="AI472" s="60">
        <v>13562.28</v>
      </c>
      <c r="AJ472" s="60">
        <v>14002.12</v>
      </c>
      <c r="AK472" s="60">
        <v>15226.18</v>
      </c>
      <c r="AL472" s="60">
        <v>0</v>
      </c>
      <c r="AM472" s="60">
        <v>0</v>
      </c>
      <c r="AN472" s="60">
        <v>0</v>
      </c>
      <c r="AO472" s="60">
        <v>13562.28</v>
      </c>
      <c r="AP472" s="60">
        <v>14002.12</v>
      </c>
      <c r="AQ472" s="60">
        <v>15226.18</v>
      </c>
      <c r="AR472" s="61">
        <v>15226.18</v>
      </c>
    </row>
    <row r="473" spans="1:44" x14ac:dyDescent="0.35">
      <c r="A473" s="49" t="str">
        <f t="shared" si="38"/>
        <v>30</v>
      </c>
      <c r="B473" s="27">
        <v>66498</v>
      </c>
      <c r="C473" s="25" t="str">
        <f t="shared" si="39"/>
        <v>0000000</v>
      </c>
      <c r="D473" s="26" t="s">
        <v>3663</v>
      </c>
      <c r="E473" s="25" t="s">
        <v>1567</v>
      </c>
      <c r="F473" s="25" t="s">
        <v>1566</v>
      </c>
      <c r="G473" s="59" t="s">
        <v>1568</v>
      </c>
      <c r="H473" s="60">
        <v>5654.16</v>
      </c>
      <c r="I473" s="60">
        <v>5670.24</v>
      </c>
      <c r="J473" s="60">
        <v>6139.57</v>
      </c>
      <c r="K473" s="60">
        <v>0</v>
      </c>
      <c r="L473" s="60">
        <v>0</v>
      </c>
      <c r="M473" s="60">
        <v>0</v>
      </c>
      <c r="N473" s="60">
        <v>0</v>
      </c>
      <c r="O473" s="60">
        <v>0</v>
      </c>
      <c r="P473" s="60">
        <v>0</v>
      </c>
      <c r="Q473" s="60">
        <v>0</v>
      </c>
      <c r="R473" s="60">
        <v>0</v>
      </c>
      <c r="S473" s="60">
        <v>0</v>
      </c>
      <c r="T473" s="60">
        <v>0</v>
      </c>
      <c r="U473" s="60">
        <v>0</v>
      </c>
      <c r="V473" s="60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0</v>
      </c>
      <c r="AD473" s="60">
        <v>0</v>
      </c>
      <c r="AE473" s="60">
        <v>0</v>
      </c>
      <c r="AF473" s="60">
        <v>0</v>
      </c>
      <c r="AG473" s="60">
        <v>0</v>
      </c>
      <c r="AH473" s="60">
        <v>0</v>
      </c>
      <c r="AI473" s="60">
        <v>5654.16</v>
      </c>
      <c r="AJ473" s="60">
        <v>5670.24</v>
      </c>
      <c r="AK473" s="60">
        <v>6139.57</v>
      </c>
      <c r="AL473" s="60">
        <v>0</v>
      </c>
      <c r="AM473" s="60">
        <v>0</v>
      </c>
      <c r="AN473" s="60">
        <v>0</v>
      </c>
      <c r="AO473" s="60">
        <v>5654.16</v>
      </c>
      <c r="AP473" s="60">
        <v>5670.24</v>
      </c>
      <c r="AQ473" s="60">
        <v>6139.57</v>
      </c>
      <c r="AR473" s="61">
        <v>6139.57</v>
      </c>
    </row>
    <row r="474" spans="1:44" x14ac:dyDescent="0.35">
      <c r="A474" s="49" t="str">
        <f t="shared" si="38"/>
        <v>30</v>
      </c>
      <c r="B474" s="27">
        <v>66530</v>
      </c>
      <c r="C474" s="25" t="str">
        <f t="shared" si="39"/>
        <v>0000000</v>
      </c>
      <c r="D474" s="26" t="s">
        <v>3663</v>
      </c>
      <c r="E474" s="25" t="s">
        <v>1575</v>
      </c>
      <c r="F474" s="25" t="s">
        <v>1566</v>
      </c>
      <c r="G474" s="59" t="s">
        <v>1576</v>
      </c>
      <c r="H474" s="60">
        <v>4420.3999999999996</v>
      </c>
      <c r="I474" s="60">
        <v>4643.45</v>
      </c>
      <c r="J474" s="60">
        <v>6230.5</v>
      </c>
      <c r="K474" s="60">
        <v>0</v>
      </c>
      <c r="L474" s="60">
        <v>0</v>
      </c>
      <c r="M474" s="60">
        <v>0</v>
      </c>
      <c r="N474" s="60">
        <v>0</v>
      </c>
      <c r="O474" s="60">
        <v>0</v>
      </c>
      <c r="P474" s="60">
        <v>0</v>
      </c>
      <c r="Q474" s="60">
        <v>0</v>
      </c>
      <c r="R474" s="60">
        <v>0</v>
      </c>
      <c r="S474" s="60">
        <v>0</v>
      </c>
      <c r="T474" s="60">
        <v>0</v>
      </c>
      <c r="U474" s="60">
        <v>0</v>
      </c>
      <c r="V474" s="60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0">
        <v>0</v>
      </c>
      <c r="AD474" s="60">
        <v>0</v>
      </c>
      <c r="AE474" s="60">
        <v>0</v>
      </c>
      <c r="AF474" s="60">
        <v>0</v>
      </c>
      <c r="AG474" s="60">
        <v>0</v>
      </c>
      <c r="AH474" s="60">
        <v>0</v>
      </c>
      <c r="AI474" s="60">
        <v>4420.3999999999996</v>
      </c>
      <c r="AJ474" s="60">
        <v>4643.45</v>
      </c>
      <c r="AK474" s="60">
        <v>6230.5</v>
      </c>
      <c r="AL474" s="60">
        <v>0</v>
      </c>
      <c r="AM474" s="60">
        <v>0</v>
      </c>
      <c r="AN474" s="60">
        <v>0</v>
      </c>
      <c r="AO474" s="60">
        <v>4420.3999999999996</v>
      </c>
      <c r="AP474" s="60">
        <v>4643.45</v>
      </c>
      <c r="AQ474" s="60">
        <v>6230.5</v>
      </c>
      <c r="AR474" s="61">
        <v>6230.5</v>
      </c>
    </row>
    <row r="475" spans="1:44" x14ac:dyDescent="0.35">
      <c r="A475" s="49" t="str">
        <f t="shared" si="38"/>
        <v>30</v>
      </c>
      <c r="B475" s="27">
        <v>66613</v>
      </c>
      <c r="C475" s="25" t="str">
        <f t="shared" si="39"/>
        <v>0000000</v>
      </c>
      <c r="D475" s="26" t="s">
        <v>3663</v>
      </c>
      <c r="E475" s="25" t="s">
        <v>1589</v>
      </c>
      <c r="F475" s="25" t="s">
        <v>1566</v>
      </c>
      <c r="G475" s="59" t="s">
        <v>1590</v>
      </c>
      <c r="H475" s="60">
        <v>6387.05</v>
      </c>
      <c r="I475" s="60">
        <v>6456.29</v>
      </c>
      <c r="J475" s="60">
        <v>7463.73</v>
      </c>
      <c r="K475" s="60">
        <v>0</v>
      </c>
      <c r="L475" s="60">
        <v>0</v>
      </c>
      <c r="M475" s="60">
        <v>0</v>
      </c>
      <c r="N475" s="60">
        <v>0</v>
      </c>
      <c r="O475" s="60">
        <v>0</v>
      </c>
      <c r="P475" s="60">
        <v>0</v>
      </c>
      <c r="Q475" s="60">
        <v>0</v>
      </c>
      <c r="R475" s="60">
        <v>0</v>
      </c>
      <c r="S475" s="60">
        <v>0</v>
      </c>
      <c r="T475" s="60">
        <v>0</v>
      </c>
      <c r="U475" s="60">
        <v>0</v>
      </c>
      <c r="V475" s="60">
        <v>0</v>
      </c>
      <c r="W475" s="60">
        <v>0</v>
      </c>
      <c r="X475" s="60">
        <v>0</v>
      </c>
      <c r="Y475" s="60">
        <v>0</v>
      </c>
      <c r="Z475" s="60">
        <v>0</v>
      </c>
      <c r="AA475" s="60">
        <v>0</v>
      </c>
      <c r="AB475" s="60">
        <v>0</v>
      </c>
      <c r="AC475" s="60">
        <v>0</v>
      </c>
      <c r="AD475" s="60">
        <v>0</v>
      </c>
      <c r="AE475" s="60">
        <v>0</v>
      </c>
      <c r="AF475" s="60">
        <v>0</v>
      </c>
      <c r="AG475" s="60">
        <v>0</v>
      </c>
      <c r="AH475" s="60">
        <v>0</v>
      </c>
      <c r="AI475" s="60">
        <v>6387.05</v>
      </c>
      <c r="AJ475" s="60">
        <v>6456.29</v>
      </c>
      <c r="AK475" s="60">
        <v>7463.73</v>
      </c>
      <c r="AL475" s="60">
        <v>0</v>
      </c>
      <c r="AM475" s="60">
        <v>0</v>
      </c>
      <c r="AN475" s="60">
        <v>0</v>
      </c>
      <c r="AO475" s="60">
        <v>6387.05</v>
      </c>
      <c r="AP475" s="60">
        <v>6456.29</v>
      </c>
      <c r="AQ475" s="60">
        <v>7463.73</v>
      </c>
      <c r="AR475" s="61">
        <v>7463.73</v>
      </c>
    </row>
    <row r="476" spans="1:44" x14ac:dyDescent="0.35">
      <c r="A476" s="49" t="str">
        <f t="shared" si="38"/>
        <v>30</v>
      </c>
      <c r="B476" s="27">
        <v>66746</v>
      </c>
      <c r="C476" s="25" t="str">
        <f t="shared" si="39"/>
        <v>0000000</v>
      </c>
      <c r="D476" s="26" t="s">
        <v>3663</v>
      </c>
      <c r="E476" s="25" t="s">
        <v>1615</v>
      </c>
      <c r="F476" s="25" t="s">
        <v>1566</v>
      </c>
      <c r="G476" s="59" t="s">
        <v>1616</v>
      </c>
      <c r="H476" s="60">
        <v>7521.37</v>
      </c>
      <c r="I476" s="60">
        <v>7412.98</v>
      </c>
      <c r="J476" s="60">
        <v>8769.16</v>
      </c>
      <c r="K476" s="60">
        <v>0</v>
      </c>
      <c r="L476" s="60">
        <v>0</v>
      </c>
      <c r="M476" s="60">
        <v>0</v>
      </c>
      <c r="N476" s="60">
        <v>0</v>
      </c>
      <c r="O476" s="60">
        <v>0</v>
      </c>
      <c r="P476" s="60">
        <v>0</v>
      </c>
      <c r="Q476" s="60">
        <v>0</v>
      </c>
      <c r="R476" s="60">
        <v>0</v>
      </c>
      <c r="S476" s="60">
        <v>0</v>
      </c>
      <c r="T476" s="60">
        <v>0</v>
      </c>
      <c r="U476" s="60">
        <v>0</v>
      </c>
      <c r="V476" s="60">
        <v>0</v>
      </c>
      <c r="W476" s="60">
        <v>0</v>
      </c>
      <c r="X476" s="60">
        <v>0</v>
      </c>
      <c r="Y476" s="60">
        <v>0</v>
      </c>
      <c r="Z476" s="60">
        <v>0</v>
      </c>
      <c r="AA476" s="60">
        <v>0</v>
      </c>
      <c r="AB476" s="60">
        <v>0</v>
      </c>
      <c r="AC476" s="60">
        <v>0</v>
      </c>
      <c r="AD476" s="60">
        <v>0</v>
      </c>
      <c r="AE476" s="60">
        <v>0</v>
      </c>
      <c r="AF476" s="60">
        <v>0</v>
      </c>
      <c r="AG476" s="60">
        <v>0</v>
      </c>
      <c r="AH476" s="60">
        <v>0</v>
      </c>
      <c r="AI476" s="60">
        <v>7521.37</v>
      </c>
      <c r="AJ476" s="60">
        <v>7412.98</v>
      </c>
      <c r="AK476" s="60">
        <v>8769.16</v>
      </c>
      <c r="AL476" s="60">
        <v>0</v>
      </c>
      <c r="AM476" s="60">
        <v>0</v>
      </c>
      <c r="AN476" s="60">
        <v>0</v>
      </c>
      <c r="AO476" s="60">
        <v>7521.37</v>
      </c>
      <c r="AP476" s="60">
        <v>7412.98</v>
      </c>
      <c r="AQ476" s="60">
        <v>8769.16</v>
      </c>
      <c r="AR476" s="61">
        <v>8769.16</v>
      </c>
    </row>
    <row r="477" spans="1:44" x14ac:dyDescent="0.35">
      <c r="A477" s="49" t="str">
        <f t="shared" si="38"/>
        <v>30</v>
      </c>
      <c r="B477" s="27">
        <v>66597</v>
      </c>
      <c r="C477" s="25" t="str">
        <f t="shared" si="39"/>
        <v>0000000</v>
      </c>
      <c r="D477" s="26" t="s">
        <v>3663</v>
      </c>
      <c r="E477" s="25" t="s">
        <v>1587</v>
      </c>
      <c r="F477" s="25" t="s">
        <v>1588</v>
      </c>
      <c r="G477" s="59" t="s">
        <v>1588</v>
      </c>
      <c r="H477" s="60">
        <v>16531.939999999999</v>
      </c>
      <c r="I477" s="60">
        <v>16501.12</v>
      </c>
      <c r="J477" s="60">
        <v>19214.900000000001</v>
      </c>
      <c r="K477" s="60">
        <v>0</v>
      </c>
      <c r="L477" s="60">
        <v>0</v>
      </c>
      <c r="M477" s="60">
        <v>0</v>
      </c>
      <c r="N477" s="60">
        <v>0</v>
      </c>
      <c r="O477" s="60">
        <v>0</v>
      </c>
      <c r="P477" s="60">
        <v>0</v>
      </c>
      <c r="Q477" s="60">
        <v>0</v>
      </c>
      <c r="R477" s="60">
        <v>0</v>
      </c>
      <c r="S477" s="60">
        <v>0</v>
      </c>
      <c r="T477" s="60">
        <v>0</v>
      </c>
      <c r="U477" s="60">
        <v>0</v>
      </c>
      <c r="V477" s="60">
        <v>0</v>
      </c>
      <c r="W477" s="60">
        <v>0</v>
      </c>
      <c r="X477" s="60">
        <v>0</v>
      </c>
      <c r="Y477" s="60">
        <v>0</v>
      </c>
      <c r="Z477" s="60">
        <v>0</v>
      </c>
      <c r="AA477" s="60">
        <v>0</v>
      </c>
      <c r="AB477" s="60">
        <v>0</v>
      </c>
      <c r="AC477" s="60">
        <v>0</v>
      </c>
      <c r="AD477" s="60">
        <v>0</v>
      </c>
      <c r="AE477" s="60">
        <v>0</v>
      </c>
      <c r="AF477" s="60">
        <v>0</v>
      </c>
      <c r="AG477" s="60">
        <v>0</v>
      </c>
      <c r="AH477" s="60">
        <v>0</v>
      </c>
      <c r="AI477" s="60">
        <v>16531.939999999999</v>
      </c>
      <c r="AJ477" s="60">
        <v>16501.12</v>
      </c>
      <c r="AK477" s="60">
        <v>19214.900000000001</v>
      </c>
      <c r="AL477" s="60">
        <v>0</v>
      </c>
      <c r="AM477" s="60">
        <v>0</v>
      </c>
      <c r="AN477" s="60">
        <v>0</v>
      </c>
      <c r="AO477" s="60">
        <v>16531.939999999999</v>
      </c>
      <c r="AP477" s="60">
        <v>16501.12</v>
      </c>
      <c r="AQ477" s="60">
        <v>19214.900000000001</v>
      </c>
      <c r="AR477" s="61">
        <v>19214.900000000001</v>
      </c>
    </row>
    <row r="478" spans="1:44" x14ac:dyDescent="0.35">
      <c r="A478" s="49" t="str">
        <f t="shared" si="38"/>
        <v>30</v>
      </c>
      <c r="B478" s="27">
        <v>66621</v>
      </c>
      <c r="C478" s="25" t="str">
        <f t="shared" si="39"/>
        <v>0000000</v>
      </c>
      <c r="D478" s="26" t="s">
        <v>3663</v>
      </c>
      <c r="E478" s="25" t="s">
        <v>1591</v>
      </c>
      <c r="F478" s="25" t="s">
        <v>1592</v>
      </c>
      <c r="G478" s="59" t="s">
        <v>1592</v>
      </c>
      <c r="H478" s="60">
        <v>21942.240000000002</v>
      </c>
      <c r="I478" s="60">
        <v>22205.439999999999</v>
      </c>
      <c r="J478" s="60">
        <v>23854.880000000001</v>
      </c>
      <c r="K478" s="60">
        <v>0</v>
      </c>
      <c r="L478" s="60">
        <v>0</v>
      </c>
      <c r="M478" s="60">
        <v>0</v>
      </c>
      <c r="N478" s="60">
        <v>0</v>
      </c>
      <c r="O478" s="60">
        <v>0</v>
      </c>
      <c r="P478" s="60">
        <v>0</v>
      </c>
      <c r="Q478" s="60">
        <v>0</v>
      </c>
      <c r="R478" s="60">
        <v>0</v>
      </c>
      <c r="S478" s="60">
        <v>0</v>
      </c>
      <c r="T478" s="60">
        <v>0</v>
      </c>
      <c r="U478" s="60">
        <v>0</v>
      </c>
      <c r="V478" s="60">
        <v>0</v>
      </c>
      <c r="W478" s="60">
        <v>0</v>
      </c>
      <c r="X478" s="60">
        <v>0</v>
      </c>
      <c r="Y478" s="60">
        <v>0</v>
      </c>
      <c r="Z478" s="60">
        <v>0</v>
      </c>
      <c r="AA478" s="60">
        <v>0</v>
      </c>
      <c r="AB478" s="60">
        <v>0</v>
      </c>
      <c r="AC478" s="60">
        <v>0</v>
      </c>
      <c r="AD478" s="60">
        <v>0</v>
      </c>
      <c r="AE478" s="60">
        <v>0</v>
      </c>
      <c r="AF478" s="60">
        <v>0</v>
      </c>
      <c r="AG478" s="60">
        <v>0</v>
      </c>
      <c r="AH478" s="60">
        <v>0</v>
      </c>
      <c r="AI478" s="60">
        <v>21942.240000000002</v>
      </c>
      <c r="AJ478" s="60">
        <v>22205.439999999999</v>
      </c>
      <c r="AK478" s="60">
        <v>23854.880000000001</v>
      </c>
      <c r="AL478" s="60">
        <v>0</v>
      </c>
      <c r="AM478" s="60">
        <v>0</v>
      </c>
      <c r="AN478" s="60">
        <v>0</v>
      </c>
      <c r="AO478" s="60">
        <v>21942.240000000002</v>
      </c>
      <c r="AP478" s="60">
        <v>22205.439999999999</v>
      </c>
      <c r="AQ478" s="60">
        <v>23854.880000000001</v>
      </c>
      <c r="AR478" s="61">
        <v>23854.880000000001</v>
      </c>
    </row>
    <row r="479" spans="1:44" x14ac:dyDescent="0.35">
      <c r="A479" s="49" t="str">
        <f t="shared" si="38"/>
        <v>30</v>
      </c>
      <c r="B479" s="27">
        <v>66670</v>
      </c>
      <c r="C479" s="25" t="str">
        <f t="shared" si="39"/>
        <v>0000000</v>
      </c>
      <c r="D479" s="26" t="s">
        <v>3663</v>
      </c>
      <c r="E479" s="25" t="s">
        <v>1599</v>
      </c>
      <c r="F479" s="25" t="s">
        <v>1600</v>
      </c>
      <c r="G479" s="59" t="s">
        <v>1600</v>
      </c>
      <c r="H479" s="60">
        <v>36639.519999999997</v>
      </c>
      <c r="I479" s="60">
        <v>36391.18</v>
      </c>
      <c r="J479" s="60">
        <v>43665.24</v>
      </c>
      <c r="K479" s="60">
        <v>0</v>
      </c>
      <c r="L479" s="60">
        <v>0</v>
      </c>
      <c r="M479" s="60">
        <v>0</v>
      </c>
      <c r="N479" s="60">
        <v>0</v>
      </c>
      <c r="O479" s="60">
        <v>0</v>
      </c>
      <c r="P479" s="60">
        <v>0</v>
      </c>
      <c r="Q479" s="60">
        <v>0</v>
      </c>
      <c r="R479" s="60">
        <v>0</v>
      </c>
      <c r="S479" s="60">
        <v>0</v>
      </c>
      <c r="T479" s="60">
        <v>0</v>
      </c>
      <c r="U479" s="60">
        <v>0</v>
      </c>
      <c r="V479" s="60">
        <v>0</v>
      </c>
      <c r="W479" s="60">
        <v>0</v>
      </c>
      <c r="X479" s="60">
        <v>0</v>
      </c>
      <c r="Y479" s="60">
        <v>0</v>
      </c>
      <c r="Z479" s="60">
        <v>0</v>
      </c>
      <c r="AA479" s="60">
        <v>0</v>
      </c>
      <c r="AB479" s="60">
        <v>0</v>
      </c>
      <c r="AC479" s="60">
        <v>302.55</v>
      </c>
      <c r="AD479" s="60">
        <v>284.33</v>
      </c>
      <c r="AE479" s="60">
        <v>344.15</v>
      </c>
      <c r="AF479" s="60">
        <v>0</v>
      </c>
      <c r="AG479" s="60">
        <v>0</v>
      </c>
      <c r="AH479" s="60">
        <v>0</v>
      </c>
      <c r="AI479" s="60">
        <v>36942.07</v>
      </c>
      <c r="AJ479" s="60">
        <v>36675.51</v>
      </c>
      <c r="AK479" s="60">
        <v>44009.39</v>
      </c>
      <c r="AL479" s="60">
        <v>0</v>
      </c>
      <c r="AM479" s="60">
        <v>0</v>
      </c>
      <c r="AN479" s="60">
        <v>0</v>
      </c>
      <c r="AO479" s="60">
        <v>36942.07</v>
      </c>
      <c r="AP479" s="60">
        <v>36675.51</v>
      </c>
      <c r="AQ479" s="60">
        <v>44009.39</v>
      </c>
      <c r="AR479" s="61">
        <v>44009.39</v>
      </c>
    </row>
    <row r="480" spans="1:44" x14ac:dyDescent="0.35">
      <c r="A480" s="49" t="str">
        <f t="shared" si="38"/>
        <v>30</v>
      </c>
      <c r="B480" s="27">
        <v>66522</v>
      </c>
      <c r="C480" s="25" t="str">
        <f t="shared" si="39"/>
        <v>0000000</v>
      </c>
      <c r="D480" s="26" t="s">
        <v>3663</v>
      </c>
      <c r="E480" s="25" t="s">
        <v>1573</v>
      </c>
      <c r="F480" s="25" t="s">
        <v>1574</v>
      </c>
      <c r="G480" s="59" t="s">
        <v>1574</v>
      </c>
      <c r="H480" s="60">
        <v>35500.82</v>
      </c>
      <c r="I480" s="60">
        <v>35958.67</v>
      </c>
      <c r="J480" s="60">
        <v>40034.370000000003</v>
      </c>
      <c r="K480" s="60">
        <v>0</v>
      </c>
      <c r="L480" s="60">
        <v>0</v>
      </c>
      <c r="M480" s="60">
        <v>0</v>
      </c>
      <c r="N480" s="60">
        <v>0</v>
      </c>
      <c r="O480" s="60">
        <v>0</v>
      </c>
      <c r="P480" s="60">
        <v>0</v>
      </c>
      <c r="Q480" s="60">
        <v>0</v>
      </c>
      <c r="R480" s="60">
        <v>0</v>
      </c>
      <c r="S480" s="60">
        <v>0</v>
      </c>
      <c r="T480" s="60">
        <v>0</v>
      </c>
      <c r="U480" s="60">
        <v>0</v>
      </c>
      <c r="V480" s="60">
        <v>0</v>
      </c>
      <c r="W480" s="60">
        <v>0</v>
      </c>
      <c r="X480" s="60">
        <v>0</v>
      </c>
      <c r="Y480" s="60">
        <v>0</v>
      </c>
      <c r="Z480" s="60">
        <v>0</v>
      </c>
      <c r="AA480" s="60">
        <v>0</v>
      </c>
      <c r="AB480" s="60">
        <v>0</v>
      </c>
      <c r="AC480" s="60">
        <v>0</v>
      </c>
      <c r="AD480" s="60">
        <v>0</v>
      </c>
      <c r="AE480" s="60">
        <v>0</v>
      </c>
      <c r="AF480" s="60">
        <v>0</v>
      </c>
      <c r="AG480" s="60">
        <v>0</v>
      </c>
      <c r="AH480" s="60">
        <v>0</v>
      </c>
      <c r="AI480" s="60">
        <v>35500.82</v>
      </c>
      <c r="AJ480" s="60">
        <v>35958.67</v>
      </c>
      <c r="AK480" s="60">
        <v>40034.370000000003</v>
      </c>
      <c r="AL480" s="60">
        <v>0</v>
      </c>
      <c r="AM480" s="60">
        <v>0</v>
      </c>
      <c r="AN480" s="60">
        <v>0</v>
      </c>
      <c r="AO480" s="60">
        <v>35500.82</v>
      </c>
      <c r="AP480" s="60">
        <v>35958.67</v>
      </c>
      <c r="AQ480" s="60">
        <v>40034.370000000003</v>
      </c>
      <c r="AR480" s="61">
        <v>40034.370000000003</v>
      </c>
    </row>
    <row r="481" spans="1:44" x14ac:dyDescent="0.35">
      <c r="A481" s="49" t="str">
        <f t="shared" si="38"/>
        <v>30</v>
      </c>
      <c r="B481" s="27">
        <v>73650</v>
      </c>
      <c r="C481" s="25" t="str">
        <f t="shared" si="39"/>
        <v>0000000</v>
      </c>
      <c r="D481" s="26" t="s">
        <v>3663</v>
      </c>
      <c r="E481" s="25" t="s">
        <v>1619</v>
      </c>
      <c r="F481" s="25" t="s">
        <v>1620</v>
      </c>
      <c r="G481" s="59" t="s">
        <v>1620</v>
      </c>
      <c r="H481" s="60">
        <v>34960.5</v>
      </c>
      <c r="I481" s="60">
        <v>34505.1</v>
      </c>
      <c r="J481" s="60">
        <v>35035.57</v>
      </c>
      <c r="K481" s="60">
        <v>0</v>
      </c>
      <c r="L481" s="60">
        <v>0</v>
      </c>
      <c r="M481" s="60">
        <v>0</v>
      </c>
      <c r="N481" s="60">
        <v>0</v>
      </c>
      <c r="O481" s="60">
        <v>0</v>
      </c>
      <c r="P481" s="60">
        <v>0</v>
      </c>
      <c r="Q481" s="60">
        <v>0</v>
      </c>
      <c r="R481" s="60">
        <v>0</v>
      </c>
      <c r="S481" s="60">
        <v>0</v>
      </c>
      <c r="T481" s="60">
        <v>0</v>
      </c>
      <c r="U481" s="60">
        <v>0</v>
      </c>
      <c r="V481" s="60">
        <v>0</v>
      </c>
      <c r="W481" s="60">
        <v>0</v>
      </c>
      <c r="X481" s="60">
        <v>0</v>
      </c>
      <c r="Y481" s="60">
        <v>0</v>
      </c>
      <c r="Z481" s="60">
        <v>0</v>
      </c>
      <c r="AA481" s="60">
        <v>0</v>
      </c>
      <c r="AB481" s="60">
        <v>0</v>
      </c>
      <c r="AC481" s="60">
        <v>0</v>
      </c>
      <c r="AD481" s="60">
        <v>0</v>
      </c>
      <c r="AE481" s="60">
        <v>0</v>
      </c>
      <c r="AF481" s="60">
        <v>0</v>
      </c>
      <c r="AG481" s="60">
        <v>0</v>
      </c>
      <c r="AH481" s="60">
        <v>0</v>
      </c>
      <c r="AI481" s="60">
        <v>34960.5</v>
      </c>
      <c r="AJ481" s="60">
        <v>34505.1</v>
      </c>
      <c r="AK481" s="60">
        <v>35035.57</v>
      </c>
      <c r="AL481" s="60">
        <v>0</v>
      </c>
      <c r="AM481" s="60">
        <v>0</v>
      </c>
      <c r="AN481" s="60">
        <v>0</v>
      </c>
      <c r="AO481" s="60">
        <v>34960.5</v>
      </c>
      <c r="AP481" s="60">
        <v>34505.1</v>
      </c>
      <c r="AQ481" s="60">
        <v>35035.57</v>
      </c>
      <c r="AR481" s="61">
        <v>35035.57</v>
      </c>
    </row>
    <row r="482" spans="1:44" x14ac:dyDescent="0.35">
      <c r="A482" s="49" t="str">
        <f>TEXT(10,"00")</f>
        <v>10</v>
      </c>
      <c r="B482" s="27">
        <v>62166</v>
      </c>
      <c r="C482" s="25" t="str">
        <f t="shared" si="39"/>
        <v>0000000</v>
      </c>
      <c r="D482" s="26" t="s">
        <v>3663</v>
      </c>
      <c r="E482" s="25" t="s">
        <v>421</v>
      </c>
      <c r="F482" s="25" t="s">
        <v>422</v>
      </c>
      <c r="G482" s="59" t="s">
        <v>422</v>
      </c>
      <c r="H482" s="60">
        <v>62403.72</v>
      </c>
      <c r="I482" s="60">
        <v>59018.07</v>
      </c>
      <c r="J482" s="60">
        <v>66903.5</v>
      </c>
      <c r="K482" s="60">
        <v>0</v>
      </c>
      <c r="L482" s="60">
        <v>0</v>
      </c>
      <c r="M482" s="60">
        <v>0</v>
      </c>
      <c r="N482" s="60">
        <v>0</v>
      </c>
      <c r="O482" s="60">
        <v>0</v>
      </c>
      <c r="P482" s="60">
        <v>0</v>
      </c>
      <c r="Q482" s="60">
        <v>0</v>
      </c>
      <c r="R482" s="60">
        <v>0</v>
      </c>
      <c r="S482" s="60">
        <v>0</v>
      </c>
      <c r="T482" s="60">
        <v>0</v>
      </c>
      <c r="U482" s="60">
        <v>0</v>
      </c>
      <c r="V482" s="60">
        <v>0</v>
      </c>
      <c r="W482" s="60">
        <v>0</v>
      </c>
      <c r="X482" s="60">
        <v>0</v>
      </c>
      <c r="Y482" s="60">
        <v>0</v>
      </c>
      <c r="Z482" s="60">
        <v>0</v>
      </c>
      <c r="AA482" s="60">
        <v>0</v>
      </c>
      <c r="AB482" s="60">
        <v>0</v>
      </c>
      <c r="AC482" s="60">
        <v>807.65</v>
      </c>
      <c r="AD482" s="60">
        <v>956.84</v>
      </c>
      <c r="AE482" s="60">
        <v>928.25</v>
      </c>
      <c r="AF482" s="60">
        <v>0</v>
      </c>
      <c r="AG482" s="60">
        <v>0</v>
      </c>
      <c r="AH482" s="60">
        <v>0</v>
      </c>
      <c r="AI482" s="60">
        <v>63211.37</v>
      </c>
      <c r="AJ482" s="60">
        <v>59974.91</v>
      </c>
      <c r="AK482" s="60">
        <v>67831.75</v>
      </c>
      <c r="AL482" s="60">
        <v>0</v>
      </c>
      <c r="AM482" s="60">
        <v>-170.34</v>
      </c>
      <c r="AN482" s="60">
        <v>0</v>
      </c>
      <c r="AO482" s="60">
        <v>63211.37</v>
      </c>
      <c r="AP482" s="60">
        <v>59804.57</v>
      </c>
      <c r="AQ482" s="60">
        <v>67831.75</v>
      </c>
      <c r="AR482" s="61">
        <v>67831.75</v>
      </c>
    </row>
    <row r="483" spans="1:44" x14ac:dyDescent="0.35">
      <c r="A483" s="49" t="str">
        <f>TEXT(39,"00")</f>
        <v>39</v>
      </c>
      <c r="B483" s="27">
        <v>68676</v>
      </c>
      <c r="C483" s="25" t="str">
        <f t="shared" si="39"/>
        <v>0000000</v>
      </c>
      <c r="D483" s="26" t="s">
        <v>3663</v>
      </c>
      <c r="E483" s="25" t="s">
        <v>2467</v>
      </c>
      <c r="F483" s="25" t="s">
        <v>2468</v>
      </c>
      <c r="G483" s="59" t="s">
        <v>2468</v>
      </c>
      <c r="H483" s="60">
        <v>29701.72</v>
      </c>
      <c r="I483" s="60">
        <v>28935.86</v>
      </c>
      <c r="J483" s="60">
        <v>32932.46</v>
      </c>
      <c r="K483" s="60">
        <v>0</v>
      </c>
      <c r="L483" s="60">
        <v>0</v>
      </c>
      <c r="M483" s="60">
        <v>0</v>
      </c>
      <c r="N483" s="60">
        <v>0</v>
      </c>
      <c r="O483" s="60">
        <v>0</v>
      </c>
      <c r="P483" s="60">
        <v>0</v>
      </c>
      <c r="Q483" s="60">
        <v>0</v>
      </c>
      <c r="R483" s="60">
        <v>0</v>
      </c>
      <c r="S483" s="60">
        <v>0</v>
      </c>
      <c r="T483" s="60">
        <v>0</v>
      </c>
      <c r="U483" s="60">
        <v>0</v>
      </c>
      <c r="V483" s="60">
        <v>0</v>
      </c>
      <c r="W483" s="60">
        <v>0</v>
      </c>
      <c r="X483" s="60">
        <v>0</v>
      </c>
      <c r="Y483" s="60">
        <v>0</v>
      </c>
      <c r="Z483" s="60">
        <v>0</v>
      </c>
      <c r="AA483" s="60">
        <v>0</v>
      </c>
      <c r="AB483" s="60">
        <v>0</v>
      </c>
      <c r="AC483" s="60">
        <v>1961.09</v>
      </c>
      <c r="AD483" s="60">
        <v>2647.4</v>
      </c>
      <c r="AE483" s="60">
        <v>3200.63</v>
      </c>
      <c r="AF483" s="60">
        <v>0</v>
      </c>
      <c r="AG483" s="60">
        <v>0</v>
      </c>
      <c r="AH483" s="60">
        <v>0</v>
      </c>
      <c r="AI483" s="60">
        <v>31662.81</v>
      </c>
      <c r="AJ483" s="60">
        <v>31583.26</v>
      </c>
      <c r="AK483" s="60">
        <v>36133.089999999997</v>
      </c>
      <c r="AL483" s="60">
        <v>0</v>
      </c>
      <c r="AM483" s="60">
        <v>-684.97</v>
      </c>
      <c r="AN483" s="60">
        <v>-893.64</v>
      </c>
      <c r="AO483" s="60">
        <v>31662.81</v>
      </c>
      <c r="AP483" s="60">
        <v>30898.29</v>
      </c>
      <c r="AQ483" s="60">
        <v>35239.449999999997</v>
      </c>
      <c r="AR483" s="61">
        <v>35239.449999999997</v>
      </c>
    </row>
    <row r="484" spans="1:44" x14ac:dyDescent="0.35">
      <c r="A484" s="49" t="str">
        <f>TEXT(34,"00")</f>
        <v>34</v>
      </c>
      <c r="B484" s="27">
        <v>67439</v>
      </c>
      <c r="C484" s="25" t="str">
        <f t="shared" si="39"/>
        <v>0000000</v>
      </c>
      <c r="D484" s="26" t="s">
        <v>3663</v>
      </c>
      <c r="E484" s="25" t="s">
        <v>1819</v>
      </c>
      <c r="F484" s="25" t="s">
        <v>1820</v>
      </c>
      <c r="G484" s="59" t="s">
        <v>1820</v>
      </c>
      <c r="H484" s="60">
        <v>33726.9</v>
      </c>
      <c r="I484" s="60">
        <v>33551.379999999997</v>
      </c>
      <c r="J484" s="60">
        <v>38219.839999999997</v>
      </c>
      <c r="K484" s="60">
        <v>0</v>
      </c>
      <c r="L484" s="60">
        <v>0</v>
      </c>
      <c r="M484" s="60">
        <v>0</v>
      </c>
      <c r="N484" s="60">
        <v>0</v>
      </c>
      <c r="O484" s="60">
        <v>0</v>
      </c>
      <c r="P484" s="60">
        <v>0</v>
      </c>
      <c r="Q484" s="60">
        <v>0</v>
      </c>
      <c r="R484" s="60">
        <v>0</v>
      </c>
      <c r="S484" s="60">
        <v>0</v>
      </c>
      <c r="T484" s="60">
        <v>0</v>
      </c>
      <c r="U484" s="60">
        <v>0</v>
      </c>
      <c r="V484" s="60">
        <v>0</v>
      </c>
      <c r="W484" s="60">
        <v>0</v>
      </c>
      <c r="X484" s="60">
        <v>0</v>
      </c>
      <c r="Y484" s="60">
        <v>0</v>
      </c>
      <c r="Z484" s="60">
        <v>0</v>
      </c>
      <c r="AA484" s="60">
        <v>0</v>
      </c>
      <c r="AB484" s="60">
        <v>0</v>
      </c>
      <c r="AC484" s="60">
        <v>1737.72</v>
      </c>
      <c r="AD484" s="60">
        <v>1787.74</v>
      </c>
      <c r="AE484" s="60">
        <v>2570.7399999999998</v>
      </c>
      <c r="AF484" s="60">
        <v>0</v>
      </c>
      <c r="AG484" s="60">
        <v>0</v>
      </c>
      <c r="AH484" s="60">
        <v>0</v>
      </c>
      <c r="AI484" s="60">
        <v>35464.620000000003</v>
      </c>
      <c r="AJ484" s="60">
        <v>35339.120000000003</v>
      </c>
      <c r="AK484" s="60">
        <v>40790.58</v>
      </c>
      <c r="AL484" s="60">
        <v>0</v>
      </c>
      <c r="AM484" s="60">
        <v>0</v>
      </c>
      <c r="AN484" s="60">
        <v>0</v>
      </c>
      <c r="AO484" s="60">
        <v>35464.620000000003</v>
      </c>
      <c r="AP484" s="60">
        <v>35339.120000000003</v>
      </c>
      <c r="AQ484" s="60">
        <v>40790.58</v>
      </c>
      <c r="AR484" s="61">
        <v>40790.58</v>
      </c>
    </row>
    <row r="485" spans="1:44" x14ac:dyDescent="0.35">
      <c r="A485" s="49" t="str">
        <f t="shared" ref="A485:A490" si="40">TEXT(48,"00")</f>
        <v>48</v>
      </c>
      <c r="B485" s="27">
        <v>10488</v>
      </c>
      <c r="C485" s="25" t="str">
        <f t="shared" si="39"/>
        <v>0000000</v>
      </c>
      <c r="D485" s="26" t="s">
        <v>3663</v>
      </c>
      <c r="E485" s="25" t="s">
        <v>3019</v>
      </c>
      <c r="F485" s="25" t="s">
        <v>3020</v>
      </c>
      <c r="G485" s="59" t="s">
        <v>3020</v>
      </c>
      <c r="H485" s="60">
        <v>0</v>
      </c>
      <c r="I485" s="60">
        <v>0</v>
      </c>
      <c r="J485" s="60">
        <v>0</v>
      </c>
      <c r="K485" s="60">
        <v>0</v>
      </c>
      <c r="L485" s="60">
        <v>0</v>
      </c>
      <c r="M485" s="60">
        <v>0</v>
      </c>
      <c r="N485" s="60">
        <v>0</v>
      </c>
      <c r="O485" s="60">
        <v>0</v>
      </c>
      <c r="P485" s="60">
        <v>0</v>
      </c>
      <c r="Q485" s="60">
        <v>0</v>
      </c>
      <c r="R485" s="60">
        <v>0</v>
      </c>
      <c r="S485" s="60">
        <v>0</v>
      </c>
      <c r="T485" s="60">
        <v>55.8</v>
      </c>
      <c r="U485" s="60">
        <v>48.07</v>
      </c>
      <c r="V485" s="60">
        <v>82.62</v>
      </c>
      <c r="W485" s="60">
        <v>268.29000000000002</v>
      </c>
      <c r="X485" s="60">
        <v>235.65</v>
      </c>
      <c r="Y485" s="60">
        <v>261.49</v>
      </c>
      <c r="Z485" s="60">
        <v>0</v>
      </c>
      <c r="AA485" s="60">
        <v>0</v>
      </c>
      <c r="AB485" s="60">
        <v>0</v>
      </c>
      <c r="AC485" s="60">
        <v>0</v>
      </c>
      <c r="AD485" s="60">
        <v>0</v>
      </c>
      <c r="AE485" s="60">
        <v>0</v>
      </c>
      <c r="AF485" s="60">
        <v>0</v>
      </c>
      <c r="AG485" s="60">
        <v>0</v>
      </c>
      <c r="AH485" s="60">
        <v>0</v>
      </c>
      <c r="AI485" s="60">
        <v>324.08999999999997</v>
      </c>
      <c r="AJ485" s="60">
        <v>283.72000000000003</v>
      </c>
      <c r="AK485" s="60">
        <v>344.11</v>
      </c>
      <c r="AL485" s="60">
        <v>0</v>
      </c>
      <c r="AM485" s="60">
        <v>0</v>
      </c>
      <c r="AN485" s="60">
        <v>0</v>
      </c>
      <c r="AO485" s="60">
        <v>324.08999999999997</v>
      </c>
      <c r="AP485" s="60">
        <v>283.72000000000003</v>
      </c>
      <c r="AQ485" s="60">
        <v>344.11</v>
      </c>
      <c r="AR485" s="61">
        <v>344.11</v>
      </c>
    </row>
    <row r="486" spans="1:44" x14ac:dyDescent="0.35">
      <c r="A486" s="49" t="str">
        <f t="shared" si="40"/>
        <v>48</v>
      </c>
      <c r="B486" s="27">
        <v>70524</v>
      </c>
      <c r="C486" s="25" t="str">
        <f t="shared" si="39"/>
        <v>0000000</v>
      </c>
      <c r="D486" s="26" t="s">
        <v>3663</v>
      </c>
      <c r="E486" s="25" t="s">
        <v>3023</v>
      </c>
      <c r="F486" s="25" t="s">
        <v>3020</v>
      </c>
      <c r="G486" s="59" t="s">
        <v>3024</v>
      </c>
      <c r="H486" s="60">
        <v>4041.44</v>
      </c>
      <c r="I486" s="60">
        <v>4036.66</v>
      </c>
      <c r="J486" s="60">
        <v>4437.87</v>
      </c>
      <c r="K486" s="60">
        <v>0</v>
      </c>
      <c r="L486" s="60">
        <v>0</v>
      </c>
      <c r="M486" s="60">
        <v>0</v>
      </c>
      <c r="N486" s="60">
        <v>0</v>
      </c>
      <c r="O486" s="60">
        <v>0</v>
      </c>
      <c r="P486" s="60">
        <v>0</v>
      </c>
      <c r="Q486" s="60">
        <v>0</v>
      </c>
      <c r="R486" s="60">
        <v>0</v>
      </c>
      <c r="S486" s="60">
        <v>0</v>
      </c>
      <c r="T486" s="60">
        <v>0</v>
      </c>
      <c r="U486" s="60">
        <v>0</v>
      </c>
      <c r="V486" s="60">
        <v>0</v>
      </c>
      <c r="W486" s="60">
        <v>0</v>
      </c>
      <c r="X486" s="60">
        <v>0</v>
      </c>
      <c r="Y486" s="60">
        <v>0</v>
      </c>
      <c r="Z486" s="60">
        <v>0</v>
      </c>
      <c r="AA486" s="60">
        <v>0</v>
      </c>
      <c r="AB486" s="60">
        <v>0</v>
      </c>
      <c r="AC486" s="60">
        <v>0</v>
      </c>
      <c r="AD486" s="60">
        <v>0</v>
      </c>
      <c r="AE486" s="60">
        <v>0</v>
      </c>
      <c r="AF486" s="60">
        <v>0</v>
      </c>
      <c r="AG486" s="60">
        <v>0</v>
      </c>
      <c r="AH486" s="60">
        <v>0</v>
      </c>
      <c r="AI486" s="60">
        <v>4041.44</v>
      </c>
      <c r="AJ486" s="60">
        <v>4036.66</v>
      </c>
      <c r="AK486" s="60">
        <v>4437.87</v>
      </c>
      <c r="AL486" s="60">
        <v>0</v>
      </c>
      <c r="AM486" s="60">
        <v>0</v>
      </c>
      <c r="AN486" s="60">
        <v>0</v>
      </c>
      <c r="AO486" s="60">
        <v>4041.44</v>
      </c>
      <c r="AP486" s="60">
        <v>4036.66</v>
      </c>
      <c r="AQ486" s="60">
        <v>4437.87</v>
      </c>
      <c r="AR486" s="61">
        <v>4437.87</v>
      </c>
    </row>
    <row r="487" spans="1:44" x14ac:dyDescent="0.35">
      <c r="A487" s="49" t="str">
        <f t="shared" si="40"/>
        <v>48</v>
      </c>
      <c r="B487" s="27">
        <v>70532</v>
      </c>
      <c r="C487" s="25" t="str">
        <f t="shared" si="39"/>
        <v>0000000</v>
      </c>
      <c r="D487" s="26" t="s">
        <v>3663</v>
      </c>
      <c r="E487" s="25" t="s">
        <v>3025</v>
      </c>
      <c r="F487" s="25" t="s">
        <v>3020</v>
      </c>
      <c r="G487" s="59" t="s">
        <v>3026</v>
      </c>
      <c r="H487" s="60">
        <v>2756.39</v>
      </c>
      <c r="I487" s="60">
        <v>2757.41</v>
      </c>
      <c r="J487" s="60">
        <v>2905.9</v>
      </c>
      <c r="K487" s="60">
        <v>0</v>
      </c>
      <c r="L487" s="60">
        <v>0</v>
      </c>
      <c r="M487" s="60">
        <v>0</v>
      </c>
      <c r="N487" s="60">
        <v>0</v>
      </c>
      <c r="O487" s="60">
        <v>0</v>
      </c>
      <c r="P487" s="60">
        <v>0</v>
      </c>
      <c r="Q487" s="60">
        <v>0</v>
      </c>
      <c r="R487" s="60">
        <v>0</v>
      </c>
      <c r="S487" s="60">
        <v>0</v>
      </c>
      <c r="T487" s="60">
        <v>0</v>
      </c>
      <c r="U487" s="60">
        <v>0</v>
      </c>
      <c r="V487" s="60">
        <v>0</v>
      </c>
      <c r="W487" s="60">
        <v>0</v>
      </c>
      <c r="X487" s="60">
        <v>0</v>
      </c>
      <c r="Y487" s="60">
        <v>0</v>
      </c>
      <c r="Z487" s="60">
        <v>0</v>
      </c>
      <c r="AA487" s="60">
        <v>0</v>
      </c>
      <c r="AB487" s="60">
        <v>0</v>
      </c>
      <c r="AC487" s="60">
        <v>0</v>
      </c>
      <c r="AD487" s="60">
        <v>0</v>
      </c>
      <c r="AE487" s="60">
        <v>0</v>
      </c>
      <c r="AF487" s="60">
        <v>0</v>
      </c>
      <c r="AG487" s="60">
        <v>0</v>
      </c>
      <c r="AH487" s="60">
        <v>0</v>
      </c>
      <c r="AI487" s="60">
        <v>2756.39</v>
      </c>
      <c r="AJ487" s="60">
        <v>2757.41</v>
      </c>
      <c r="AK487" s="60">
        <v>2905.9</v>
      </c>
      <c r="AL487" s="60">
        <v>0</v>
      </c>
      <c r="AM487" s="60">
        <v>0</v>
      </c>
      <c r="AN487" s="60">
        <v>0</v>
      </c>
      <c r="AO487" s="60">
        <v>2756.39</v>
      </c>
      <c r="AP487" s="60">
        <v>2757.41</v>
      </c>
      <c r="AQ487" s="60">
        <v>2905.9</v>
      </c>
      <c r="AR487" s="61">
        <v>2905.9</v>
      </c>
    </row>
    <row r="488" spans="1:44" x14ac:dyDescent="0.35">
      <c r="A488" s="49" t="str">
        <f t="shared" si="40"/>
        <v>48</v>
      </c>
      <c r="B488" s="27">
        <v>70540</v>
      </c>
      <c r="C488" s="25" t="str">
        <f t="shared" si="39"/>
        <v>0000000</v>
      </c>
      <c r="D488" s="26" t="s">
        <v>3663</v>
      </c>
      <c r="E488" s="25" t="s">
        <v>3029</v>
      </c>
      <c r="F488" s="25" t="s">
        <v>3020</v>
      </c>
      <c r="G488" s="59" t="s">
        <v>3030</v>
      </c>
      <c r="H488" s="60">
        <v>18725.55</v>
      </c>
      <c r="I488" s="60">
        <v>18766.55</v>
      </c>
      <c r="J488" s="60">
        <v>20230.330000000002</v>
      </c>
      <c r="K488" s="60">
        <v>0</v>
      </c>
      <c r="L488" s="60">
        <v>0</v>
      </c>
      <c r="M488" s="60">
        <v>0</v>
      </c>
      <c r="N488" s="60">
        <v>0</v>
      </c>
      <c r="O488" s="60">
        <v>0</v>
      </c>
      <c r="P488" s="60">
        <v>0</v>
      </c>
      <c r="Q488" s="60">
        <v>0</v>
      </c>
      <c r="R488" s="60">
        <v>0</v>
      </c>
      <c r="S488" s="60">
        <v>0</v>
      </c>
      <c r="T488" s="60">
        <v>0</v>
      </c>
      <c r="U488" s="60">
        <v>0</v>
      </c>
      <c r="V488" s="60">
        <v>0</v>
      </c>
      <c r="W488" s="60">
        <v>0</v>
      </c>
      <c r="X488" s="60">
        <v>0</v>
      </c>
      <c r="Y488" s="60">
        <v>0</v>
      </c>
      <c r="Z488" s="60">
        <v>0</v>
      </c>
      <c r="AA488" s="60">
        <v>0</v>
      </c>
      <c r="AB488" s="60">
        <v>0</v>
      </c>
      <c r="AC488" s="60">
        <v>0</v>
      </c>
      <c r="AD488" s="60">
        <v>0</v>
      </c>
      <c r="AE488" s="60">
        <v>0</v>
      </c>
      <c r="AF488" s="60">
        <v>0</v>
      </c>
      <c r="AG488" s="60">
        <v>0</v>
      </c>
      <c r="AH488" s="60">
        <v>0</v>
      </c>
      <c r="AI488" s="60">
        <v>18725.55</v>
      </c>
      <c r="AJ488" s="60">
        <v>18766.55</v>
      </c>
      <c r="AK488" s="60">
        <v>20230.330000000002</v>
      </c>
      <c r="AL488" s="60">
        <v>0</v>
      </c>
      <c r="AM488" s="60">
        <v>0</v>
      </c>
      <c r="AN488" s="60">
        <v>0</v>
      </c>
      <c r="AO488" s="60">
        <v>18725.55</v>
      </c>
      <c r="AP488" s="60">
        <v>18766.55</v>
      </c>
      <c r="AQ488" s="60">
        <v>20230.330000000002</v>
      </c>
      <c r="AR488" s="61">
        <v>20230.330000000002</v>
      </c>
    </row>
    <row r="489" spans="1:44" x14ac:dyDescent="0.35">
      <c r="A489" s="49" t="str">
        <f t="shared" si="40"/>
        <v>48</v>
      </c>
      <c r="B489" s="27">
        <v>70565</v>
      </c>
      <c r="C489" s="25" t="str">
        <f t="shared" si="39"/>
        <v>0000000</v>
      </c>
      <c r="D489" s="26" t="s">
        <v>3663</v>
      </c>
      <c r="E489" s="25" t="s">
        <v>3031</v>
      </c>
      <c r="F489" s="25" t="s">
        <v>3020</v>
      </c>
      <c r="G489" s="59" t="s">
        <v>3032</v>
      </c>
      <c r="H489" s="60">
        <v>5018.2299999999996</v>
      </c>
      <c r="I489" s="60">
        <v>4924.18</v>
      </c>
      <c r="J489" s="60">
        <v>5274.19</v>
      </c>
      <c r="K489" s="60">
        <v>0</v>
      </c>
      <c r="L489" s="60">
        <v>0</v>
      </c>
      <c r="M489" s="60">
        <v>0</v>
      </c>
      <c r="N489" s="60">
        <v>0</v>
      </c>
      <c r="O489" s="60">
        <v>0</v>
      </c>
      <c r="P489" s="60">
        <v>0</v>
      </c>
      <c r="Q489" s="60">
        <v>0</v>
      </c>
      <c r="R489" s="60">
        <v>0</v>
      </c>
      <c r="S489" s="60">
        <v>0</v>
      </c>
      <c r="T489" s="60">
        <v>0</v>
      </c>
      <c r="U489" s="60">
        <v>0</v>
      </c>
      <c r="V489" s="60">
        <v>0</v>
      </c>
      <c r="W489" s="60">
        <v>0</v>
      </c>
      <c r="X489" s="60">
        <v>0</v>
      </c>
      <c r="Y489" s="60">
        <v>0</v>
      </c>
      <c r="Z489" s="60">
        <v>0</v>
      </c>
      <c r="AA489" s="60">
        <v>0</v>
      </c>
      <c r="AB489" s="60">
        <v>0</v>
      </c>
      <c r="AC489" s="60">
        <v>0</v>
      </c>
      <c r="AD489" s="60">
        <v>0</v>
      </c>
      <c r="AE489" s="60">
        <v>0</v>
      </c>
      <c r="AF489" s="60">
        <v>0</v>
      </c>
      <c r="AG489" s="60">
        <v>0</v>
      </c>
      <c r="AH489" s="60">
        <v>0</v>
      </c>
      <c r="AI489" s="60">
        <v>5018.2299999999996</v>
      </c>
      <c r="AJ489" s="60">
        <v>4924.18</v>
      </c>
      <c r="AK489" s="60">
        <v>5274.19</v>
      </c>
      <c r="AL489" s="60">
        <v>0</v>
      </c>
      <c r="AM489" s="60">
        <v>0</v>
      </c>
      <c r="AN489" s="60">
        <v>0</v>
      </c>
      <c r="AO489" s="60">
        <v>5018.2299999999996</v>
      </c>
      <c r="AP489" s="60">
        <v>4924.18</v>
      </c>
      <c r="AQ489" s="60">
        <v>5274.19</v>
      </c>
      <c r="AR489" s="61">
        <v>5274.19</v>
      </c>
    </row>
    <row r="490" spans="1:44" x14ac:dyDescent="0.35">
      <c r="A490" s="49" t="str">
        <f t="shared" si="40"/>
        <v>48</v>
      </c>
      <c r="B490" s="27">
        <v>70573</v>
      </c>
      <c r="C490" s="25" t="str">
        <f t="shared" si="39"/>
        <v>0000000</v>
      </c>
      <c r="D490" s="26" t="s">
        <v>3663</v>
      </c>
      <c r="E490" s="25" t="s">
        <v>3033</v>
      </c>
      <c r="F490" s="25" t="s">
        <v>3020</v>
      </c>
      <c r="G490" s="59" t="s">
        <v>3034</v>
      </c>
      <c r="H490" s="60">
        <v>10447.16</v>
      </c>
      <c r="I490" s="60">
        <v>10139.530000000001</v>
      </c>
      <c r="J490" s="60">
        <v>11111.92</v>
      </c>
      <c r="K490" s="60">
        <v>0</v>
      </c>
      <c r="L490" s="60">
        <v>0</v>
      </c>
      <c r="M490" s="60">
        <v>0</v>
      </c>
      <c r="N490" s="60">
        <v>0</v>
      </c>
      <c r="O490" s="60">
        <v>0</v>
      </c>
      <c r="P490" s="60">
        <v>0</v>
      </c>
      <c r="Q490" s="60">
        <v>0</v>
      </c>
      <c r="R490" s="60">
        <v>0</v>
      </c>
      <c r="S490" s="60">
        <v>0</v>
      </c>
      <c r="T490" s="60">
        <v>0</v>
      </c>
      <c r="U490" s="60">
        <v>0</v>
      </c>
      <c r="V490" s="60">
        <v>0</v>
      </c>
      <c r="W490" s="60">
        <v>0</v>
      </c>
      <c r="X490" s="60">
        <v>0</v>
      </c>
      <c r="Y490" s="60">
        <v>0</v>
      </c>
      <c r="Z490" s="60">
        <v>0</v>
      </c>
      <c r="AA490" s="60">
        <v>0</v>
      </c>
      <c r="AB490" s="60">
        <v>0</v>
      </c>
      <c r="AC490" s="60">
        <v>1266.19</v>
      </c>
      <c r="AD490" s="60">
        <v>1179.22</v>
      </c>
      <c r="AE490" s="60">
        <v>1229</v>
      </c>
      <c r="AF490" s="60">
        <v>0</v>
      </c>
      <c r="AG490" s="60">
        <v>0</v>
      </c>
      <c r="AH490" s="60">
        <v>0</v>
      </c>
      <c r="AI490" s="60">
        <v>11713.35</v>
      </c>
      <c r="AJ490" s="60">
        <v>11318.75</v>
      </c>
      <c r="AK490" s="60">
        <v>12340.92</v>
      </c>
      <c r="AL490" s="60">
        <v>0</v>
      </c>
      <c r="AM490" s="60">
        <v>0</v>
      </c>
      <c r="AN490" s="60">
        <v>0</v>
      </c>
      <c r="AO490" s="60">
        <v>11713.35</v>
      </c>
      <c r="AP490" s="60">
        <v>11318.75</v>
      </c>
      <c r="AQ490" s="60">
        <v>12340.92</v>
      </c>
      <c r="AR490" s="61">
        <v>12340.92</v>
      </c>
    </row>
    <row r="491" spans="1:44" x14ac:dyDescent="0.35">
      <c r="A491" s="49" t="str">
        <f t="shared" ref="A491:A505" si="41">TEXT(9,"00")</f>
        <v>09</v>
      </c>
      <c r="B491" s="27">
        <v>10090</v>
      </c>
      <c r="C491" s="25" t="str">
        <f t="shared" si="39"/>
        <v>0000000</v>
      </c>
      <c r="D491" s="26" t="s">
        <v>3663</v>
      </c>
      <c r="E491" s="25" t="s">
        <v>344</v>
      </c>
      <c r="F491" s="25" t="s">
        <v>345</v>
      </c>
      <c r="G491" s="59" t="s">
        <v>345</v>
      </c>
      <c r="H491" s="60">
        <v>0</v>
      </c>
      <c r="I491" s="60">
        <v>0</v>
      </c>
      <c r="J491" s="60">
        <v>0</v>
      </c>
      <c r="K491" s="60">
        <v>0</v>
      </c>
      <c r="L491" s="60">
        <v>0</v>
      </c>
      <c r="M491" s="60">
        <v>0</v>
      </c>
      <c r="N491" s="60">
        <v>0</v>
      </c>
      <c r="O491" s="60">
        <v>0</v>
      </c>
      <c r="P491" s="60">
        <v>0</v>
      </c>
      <c r="Q491" s="60">
        <v>0</v>
      </c>
      <c r="R491" s="60">
        <v>0</v>
      </c>
      <c r="S491" s="60">
        <v>0</v>
      </c>
      <c r="T491" s="60">
        <v>321.72000000000003</v>
      </c>
      <c r="U491" s="60">
        <v>273.57</v>
      </c>
      <c r="V491" s="60">
        <v>458.58</v>
      </c>
      <c r="W491" s="60">
        <v>471.96</v>
      </c>
      <c r="X491" s="60">
        <v>493.19</v>
      </c>
      <c r="Y491" s="60">
        <v>532.59</v>
      </c>
      <c r="Z491" s="60">
        <v>0</v>
      </c>
      <c r="AA491" s="60">
        <v>0</v>
      </c>
      <c r="AB491" s="60">
        <v>0</v>
      </c>
      <c r="AC491" s="60">
        <v>0</v>
      </c>
      <c r="AD491" s="60">
        <v>0</v>
      </c>
      <c r="AE491" s="60">
        <v>0</v>
      </c>
      <c r="AF491" s="60">
        <v>0</v>
      </c>
      <c r="AG491" s="60">
        <v>0</v>
      </c>
      <c r="AH491" s="60">
        <v>0</v>
      </c>
      <c r="AI491" s="60">
        <v>793.68</v>
      </c>
      <c r="AJ491" s="60">
        <v>766.76</v>
      </c>
      <c r="AK491" s="60">
        <v>991.17</v>
      </c>
      <c r="AL491" s="60">
        <v>0</v>
      </c>
      <c r="AM491" s="60">
        <v>0</v>
      </c>
      <c r="AN491" s="60">
        <v>0</v>
      </c>
      <c r="AO491" s="60">
        <v>793.68</v>
      </c>
      <c r="AP491" s="60">
        <v>766.76</v>
      </c>
      <c r="AQ491" s="60">
        <v>991.17</v>
      </c>
      <c r="AR491" s="61">
        <v>991.17</v>
      </c>
    </row>
    <row r="492" spans="1:44" x14ac:dyDescent="0.35">
      <c r="A492" s="49" t="str">
        <f t="shared" si="41"/>
        <v>09</v>
      </c>
      <c r="B492" s="27">
        <v>61838</v>
      </c>
      <c r="C492" s="25" t="str">
        <f t="shared" si="39"/>
        <v>0000000</v>
      </c>
      <c r="D492" s="26" t="s">
        <v>3663</v>
      </c>
      <c r="E492" s="25" t="s">
        <v>348</v>
      </c>
      <c r="F492" s="25" t="s">
        <v>345</v>
      </c>
      <c r="G492" s="59" t="s">
        <v>349</v>
      </c>
      <c r="H492" s="60">
        <v>3353.92</v>
      </c>
      <c r="I492" s="60">
        <v>3375.65</v>
      </c>
      <c r="J492" s="60">
        <v>3771.52</v>
      </c>
      <c r="K492" s="60">
        <v>0</v>
      </c>
      <c r="L492" s="60">
        <v>0</v>
      </c>
      <c r="M492" s="60">
        <v>0</v>
      </c>
      <c r="N492" s="60">
        <v>0</v>
      </c>
      <c r="O492" s="60">
        <v>0</v>
      </c>
      <c r="P492" s="60">
        <v>0</v>
      </c>
      <c r="Q492" s="60">
        <v>0</v>
      </c>
      <c r="R492" s="60">
        <v>0</v>
      </c>
      <c r="S492" s="60">
        <v>0</v>
      </c>
      <c r="T492" s="60">
        <v>0</v>
      </c>
      <c r="U492" s="60">
        <v>0</v>
      </c>
      <c r="V492" s="60">
        <v>0</v>
      </c>
      <c r="W492" s="60">
        <v>0</v>
      </c>
      <c r="X492" s="60">
        <v>0</v>
      </c>
      <c r="Y492" s="60">
        <v>0</v>
      </c>
      <c r="Z492" s="60">
        <v>0</v>
      </c>
      <c r="AA492" s="60">
        <v>0</v>
      </c>
      <c r="AB492" s="60">
        <v>0</v>
      </c>
      <c r="AC492" s="60">
        <v>792.9</v>
      </c>
      <c r="AD492" s="60">
        <v>732.34</v>
      </c>
      <c r="AE492" s="60">
        <v>774.41</v>
      </c>
      <c r="AF492" s="60">
        <v>0</v>
      </c>
      <c r="AG492" s="60">
        <v>0</v>
      </c>
      <c r="AH492" s="60">
        <v>0</v>
      </c>
      <c r="AI492" s="60">
        <v>4146.82</v>
      </c>
      <c r="AJ492" s="60">
        <v>4107.99</v>
      </c>
      <c r="AK492" s="60">
        <v>4545.93</v>
      </c>
      <c r="AL492" s="60">
        <v>0</v>
      </c>
      <c r="AM492" s="60">
        <v>0</v>
      </c>
      <c r="AN492" s="60">
        <v>0</v>
      </c>
      <c r="AO492" s="60">
        <v>4146.82</v>
      </c>
      <c r="AP492" s="60">
        <v>4107.99</v>
      </c>
      <c r="AQ492" s="60">
        <v>4545.93</v>
      </c>
      <c r="AR492" s="61">
        <v>4545.93</v>
      </c>
    </row>
    <row r="493" spans="1:44" x14ac:dyDescent="0.35">
      <c r="A493" s="49" t="str">
        <f t="shared" si="41"/>
        <v>09</v>
      </c>
      <c r="B493" s="27">
        <v>61846</v>
      </c>
      <c r="C493" s="25" t="str">
        <f t="shared" si="39"/>
        <v>0000000</v>
      </c>
      <c r="D493" s="26" t="s">
        <v>3663</v>
      </c>
      <c r="E493" s="25" t="s">
        <v>361</v>
      </c>
      <c r="F493" s="25" t="s">
        <v>345</v>
      </c>
      <c r="G493" s="59" t="s">
        <v>362</v>
      </c>
      <c r="H493" s="60">
        <v>373.02</v>
      </c>
      <c r="I493" s="60">
        <v>366.65</v>
      </c>
      <c r="J493" s="60">
        <v>375.58</v>
      </c>
      <c r="K493" s="60">
        <v>0</v>
      </c>
      <c r="L493" s="60">
        <v>0</v>
      </c>
      <c r="M493" s="60">
        <v>0</v>
      </c>
      <c r="N493" s="60">
        <v>0</v>
      </c>
      <c r="O493" s="60">
        <v>0</v>
      </c>
      <c r="P493" s="60">
        <v>0</v>
      </c>
      <c r="Q493" s="60">
        <v>0</v>
      </c>
      <c r="R493" s="60">
        <v>0</v>
      </c>
      <c r="S493" s="60">
        <v>0</v>
      </c>
      <c r="T493" s="60">
        <v>0</v>
      </c>
      <c r="U493" s="60">
        <v>0</v>
      </c>
      <c r="V493" s="60">
        <v>0</v>
      </c>
      <c r="W493" s="60">
        <v>0</v>
      </c>
      <c r="X493" s="60">
        <v>0</v>
      </c>
      <c r="Y493" s="60">
        <v>0</v>
      </c>
      <c r="Z493" s="60">
        <v>0</v>
      </c>
      <c r="AA493" s="60">
        <v>0</v>
      </c>
      <c r="AB493" s="60">
        <v>0</v>
      </c>
      <c r="AC493" s="60">
        <v>17.86</v>
      </c>
      <c r="AD493" s="60">
        <v>30.4</v>
      </c>
      <c r="AE493" s="60">
        <v>46.13</v>
      </c>
      <c r="AF493" s="60">
        <v>0</v>
      </c>
      <c r="AG493" s="60">
        <v>0</v>
      </c>
      <c r="AH493" s="60">
        <v>0</v>
      </c>
      <c r="AI493" s="60">
        <v>390.88</v>
      </c>
      <c r="AJ493" s="60">
        <v>397.05</v>
      </c>
      <c r="AK493" s="60">
        <v>421.71</v>
      </c>
      <c r="AL493" s="60">
        <v>0</v>
      </c>
      <c r="AM493" s="60">
        <v>0</v>
      </c>
      <c r="AN493" s="60">
        <v>0</v>
      </c>
      <c r="AO493" s="60">
        <v>390.88</v>
      </c>
      <c r="AP493" s="60">
        <v>397.05</v>
      </c>
      <c r="AQ493" s="60">
        <v>421.71</v>
      </c>
      <c r="AR493" s="61">
        <v>421.71</v>
      </c>
    </row>
    <row r="494" spans="1:44" x14ac:dyDescent="0.35">
      <c r="A494" s="49" t="str">
        <f t="shared" si="41"/>
        <v>09</v>
      </c>
      <c r="B494" s="27">
        <v>61879</v>
      </c>
      <c r="C494" s="25" t="str">
        <f t="shared" si="39"/>
        <v>0000000</v>
      </c>
      <c r="D494" s="26" t="s">
        <v>3663</v>
      </c>
      <c r="E494" s="25" t="s">
        <v>365</v>
      </c>
      <c r="F494" s="25" t="s">
        <v>345</v>
      </c>
      <c r="G494" s="59" t="s">
        <v>366</v>
      </c>
      <c r="H494" s="60">
        <v>414.5</v>
      </c>
      <c r="I494" s="60">
        <v>373.67</v>
      </c>
      <c r="J494" s="60">
        <v>444.99</v>
      </c>
      <c r="K494" s="60">
        <v>0</v>
      </c>
      <c r="L494" s="60">
        <v>0</v>
      </c>
      <c r="M494" s="60">
        <v>0</v>
      </c>
      <c r="N494" s="60">
        <v>0</v>
      </c>
      <c r="O494" s="60">
        <v>0</v>
      </c>
      <c r="P494" s="60">
        <v>0</v>
      </c>
      <c r="Q494" s="60">
        <v>0</v>
      </c>
      <c r="R494" s="60">
        <v>0</v>
      </c>
      <c r="S494" s="60">
        <v>0</v>
      </c>
      <c r="T494" s="60">
        <v>0</v>
      </c>
      <c r="U494" s="60">
        <v>0</v>
      </c>
      <c r="V494" s="60">
        <v>0</v>
      </c>
      <c r="W494" s="60">
        <v>0</v>
      </c>
      <c r="X494" s="60">
        <v>0</v>
      </c>
      <c r="Y494" s="60">
        <v>0</v>
      </c>
      <c r="Z494" s="60">
        <v>0</v>
      </c>
      <c r="AA494" s="60">
        <v>0</v>
      </c>
      <c r="AB494" s="60">
        <v>0</v>
      </c>
      <c r="AC494" s="60">
        <v>0</v>
      </c>
      <c r="AD494" s="60">
        <v>0</v>
      </c>
      <c r="AE494" s="60">
        <v>0</v>
      </c>
      <c r="AF494" s="60">
        <v>0</v>
      </c>
      <c r="AG494" s="60">
        <v>0</v>
      </c>
      <c r="AH494" s="60">
        <v>0</v>
      </c>
      <c r="AI494" s="60">
        <v>414.5</v>
      </c>
      <c r="AJ494" s="60">
        <v>373.67</v>
      </c>
      <c r="AK494" s="60">
        <v>444.99</v>
      </c>
      <c r="AL494" s="60">
        <v>0</v>
      </c>
      <c r="AM494" s="60">
        <v>0</v>
      </c>
      <c r="AN494" s="60">
        <v>0</v>
      </c>
      <c r="AO494" s="60">
        <v>414.5</v>
      </c>
      <c r="AP494" s="60">
        <v>373.67</v>
      </c>
      <c r="AQ494" s="60">
        <v>444.99</v>
      </c>
      <c r="AR494" s="61">
        <v>444.99</v>
      </c>
    </row>
    <row r="495" spans="1:44" x14ac:dyDescent="0.35">
      <c r="A495" s="49" t="str">
        <f t="shared" si="41"/>
        <v>09</v>
      </c>
      <c r="B495" s="27">
        <v>61887</v>
      </c>
      <c r="C495" s="25" t="str">
        <f t="shared" si="39"/>
        <v>0000000</v>
      </c>
      <c r="D495" s="26" t="s">
        <v>3663</v>
      </c>
      <c r="E495" s="25" t="s">
        <v>367</v>
      </c>
      <c r="F495" s="25" t="s">
        <v>345</v>
      </c>
      <c r="G495" s="59" t="s">
        <v>368</v>
      </c>
      <c r="H495" s="60">
        <v>477.8</v>
      </c>
      <c r="I495" s="60">
        <v>496.93</v>
      </c>
      <c r="J495" s="60">
        <v>624.08000000000004</v>
      </c>
      <c r="K495" s="60">
        <v>0</v>
      </c>
      <c r="L495" s="60">
        <v>0</v>
      </c>
      <c r="M495" s="60">
        <v>0</v>
      </c>
      <c r="N495" s="60">
        <v>0</v>
      </c>
      <c r="O495" s="60">
        <v>0</v>
      </c>
      <c r="P495" s="60">
        <v>0</v>
      </c>
      <c r="Q495" s="60">
        <v>0</v>
      </c>
      <c r="R495" s="60">
        <v>0</v>
      </c>
      <c r="S495" s="60">
        <v>0</v>
      </c>
      <c r="T495" s="60">
        <v>0</v>
      </c>
      <c r="U495" s="60">
        <v>0</v>
      </c>
      <c r="V495" s="60">
        <v>0</v>
      </c>
      <c r="W495" s="60">
        <v>0</v>
      </c>
      <c r="X495" s="60">
        <v>0</v>
      </c>
      <c r="Y495" s="60">
        <v>0</v>
      </c>
      <c r="Z495" s="60">
        <v>0</v>
      </c>
      <c r="AA495" s="60">
        <v>0</v>
      </c>
      <c r="AB495" s="60">
        <v>0</v>
      </c>
      <c r="AC495" s="60">
        <v>0</v>
      </c>
      <c r="AD495" s="60">
        <v>0</v>
      </c>
      <c r="AE495" s="60">
        <v>0</v>
      </c>
      <c r="AF495" s="60">
        <v>0</v>
      </c>
      <c r="AG495" s="60">
        <v>0</v>
      </c>
      <c r="AH495" s="60">
        <v>0</v>
      </c>
      <c r="AI495" s="60">
        <v>477.8</v>
      </c>
      <c r="AJ495" s="60">
        <v>496.93</v>
      </c>
      <c r="AK495" s="60">
        <v>624.08000000000004</v>
      </c>
      <c r="AL495" s="60">
        <v>0</v>
      </c>
      <c r="AM495" s="60">
        <v>0</v>
      </c>
      <c r="AN495" s="60">
        <v>0</v>
      </c>
      <c r="AO495" s="60">
        <v>477.8</v>
      </c>
      <c r="AP495" s="60">
        <v>496.93</v>
      </c>
      <c r="AQ495" s="60">
        <v>624.08000000000004</v>
      </c>
      <c r="AR495" s="61">
        <v>624.08000000000004</v>
      </c>
    </row>
    <row r="496" spans="1:44" x14ac:dyDescent="0.35">
      <c r="A496" s="49" t="str">
        <f t="shared" si="41"/>
        <v>09</v>
      </c>
      <c r="B496" s="27">
        <v>61929</v>
      </c>
      <c r="C496" s="25" t="str">
        <f t="shared" si="39"/>
        <v>0000000</v>
      </c>
      <c r="D496" s="26" t="s">
        <v>3663</v>
      </c>
      <c r="E496" s="25" t="s">
        <v>373</v>
      </c>
      <c r="F496" s="25" t="s">
        <v>345</v>
      </c>
      <c r="G496" s="59" t="s">
        <v>374</v>
      </c>
      <c r="H496" s="60">
        <v>788.8</v>
      </c>
      <c r="I496" s="60">
        <v>786.06</v>
      </c>
      <c r="J496" s="60">
        <v>957.15</v>
      </c>
      <c r="K496" s="60">
        <v>0</v>
      </c>
      <c r="L496" s="60">
        <v>0</v>
      </c>
      <c r="M496" s="60">
        <v>0</v>
      </c>
      <c r="N496" s="60">
        <v>0</v>
      </c>
      <c r="O496" s="60">
        <v>0</v>
      </c>
      <c r="P496" s="60">
        <v>0</v>
      </c>
      <c r="Q496" s="60">
        <v>0</v>
      </c>
      <c r="R496" s="60">
        <v>0</v>
      </c>
      <c r="S496" s="60">
        <v>0</v>
      </c>
      <c r="T496" s="60">
        <v>0</v>
      </c>
      <c r="U496" s="60">
        <v>0</v>
      </c>
      <c r="V496" s="60">
        <v>0</v>
      </c>
      <c r="W496" s="60">
        <v>0</v>
      </c>
      <c r="X496" s="60">
        <v>0</v>
      </c>
      <c r="Y496" s="60">
        <v>0</v>
      </c>
      <c r="Z496" s="60">
        <v>0</v>
      </c>
      <c r="AA496" s="60">
        <v>0</v>
      </c>
      <c r="AB496" s="60">
        <v>0</v>
      </c>
      <c r="AC496" s="60">
        <v>0</v>
      </c>
      <c r="AD496" s="60">
        <v>0</v>
      </c>
      <c r="AE496" s="60">
        <v>0</v>
      </c>
      <c r="AF496" s="60">
        <v>0</v>
      </c>
      <c r="AG496" s="60">
        <v>0</v>
      </c>
      <c r="AH496" s="60">
        <v>0</v>
      </c>
      <c r="AI496" s="60">
        <v>788.8</v>
      </c>
      <c r="AJ496" s="60">
        <v>786.06</v>
      </c>
      <c r="AK496" s="60">
        <v>957.15</v>
      </c>
      <c r="AL496" s="60">
        <v>0</v>
      </c>
      <c r="AM496" s="60">
        <v>0</v>
      </c>
      <c r="AN496" s="60">
        <v>0</v>
      </c>
      <c r="AO496" s="60">
        <v>788.8</v>
      </c>
      <c r="AP496" s="60">
        <v>786.06</v>
      </c>
      <c r="AQ496" s="60">
        <v>957.15</v>
      </c>
      <c r="AR496" s="61">
        <v>957.15</v>
      </c>
    </row>
    <row r="497" spans="1:44" x14ac:dyDescent="0.35">
      <c r="A497" s="49" t="str">
        <f t="shared" si="41"/>
        <v>09</v>
      </c>
      <c r="B497" s="27">
        <v>61945</v>
      </c>
      <c r="C497" s="25" t="str">
        <f t="shared" si="39"/>
        <v>0000000</v>
      </c>
      <c r="D497" s="26" t="s">
        <v>3663</v>
      </c>
      <c r="E497" s="25" t="s">
        <v>375</v>
      </c>
      <c r="F497" s="25" t="s">
        <v>345</v>
      </c>
      <c r="G497" s="59" t="s">
        <v>229</v>
      </c>
      <c r="H497" s="60">
        <v>243.35</v>
      </c>
      <c r="I497" s="60">
        <v>249.77</v>
      </c>
      <c r="J497" s="60">
        <v>255.42</v>
      </c>
      <c r="K497" s="60">
        <v>0</v>
      </c>
      <c r="L497" s="60">
        <v>0</v>
      </c>
      <c r="M497" s="60">
        <v>0</v>
      </c>
      <c r="N497" s="60">
        <v>0</v>
      </c>
      <c r="O497" s="60">
        <v>0</v>
      </c>
      <c r="P497" s="60">
        <v>0</v>
      </c>
      <c r="Q497" s="60">
        <v>0</v>
      </c>
      <c r="R497" s="60">
        <v>0</v>
      </c>
      <c r="S497" s="60">
        <v>0</v>
      </c>
      <c r="T497" s="60">
        <v>0</v>
      </c>
      <c r="U497" s="60">
        <v>0</v>
      </c>
      <c r="V497" s="60">
        <v>0</v>
      </c>
      <c r="W497" s="60">
        <v>0</v>
      </c>
      <c r="X497" s="60">
        <v>0</v>
      </c>
      <c r="Y497" s="60">
        <v>0</v>
      </c>
      <c r="Z497" s="60">
        <v>0</v>
      </c>
      <c r="AA497" s="60">
        <v>0</v>
      </c>
      <c r="AB497" s="60">
        <v>0</v>
      </c>
      <c r="AC497" s="60">
        <v>0</v>
      </c>
      <c r="AD497" s="60">
        <v>0</v>
      </c>
      <c r="AE497" s="60">
        <v>0</v>
      </c>
      <c r="AF497" s="60">
        <v>0</v>
      </c>
      <c r="AG497" s="60">
        <v>0</v>
      </c>
      <c r="AH497" s="60">
        <v>0</v>
      </c>
      <c r="AI497" s="60">
        <v>243.35</v>
      </c>
      <c r="AJ497" s="60">
        <v>249.77</v>
      </c>
      <c r="AK497" s="60">
        <v>255.42</v>
      </c>
      <c r="AL497" s="60">
        <v>0</v>
      </c>
      <c r="AM497" s="60">
        <v>0</v>
      </c>
      <c r="AN497" s="60">
        <v>0</v>
      </c>
      <c r="AO497" s="60">
        <v>243.35</v>
      </c>
      <c r="AP497" s="60">
        <v>249.77</v>
      </c>
      <c r="AQ497" s="60">
        <v>255.42</v>
      </c>
      <c r="AR497" s="61">
        <v>255.42</v>
      </c>
    </row>
    <row r="498" spans="1:44" x14ac:dyDescent="0.35">
      <c r="A498" s="49" t="str">
        <f t="shared" si="41"/>
        <v>09</v>
      </c>
      <c r="B498" s="27">
        <v>61952</v>
      </c>
      <c r="C498" s="25" t="str">
        <f t="shared" si="39"/>
        <v>0000000</v>
      </c>
      <c r="D498" s="26" t="s">
        <v>3663</v>
      </c>
      <c r="E498" s="25" t="s">
        <v>376</v>
      </c>
      <c r="F498" s="25" t="s">
        <v>345</v>
      </c>
      <c r="G498" s="59" t="s">
        <v>377</v>
      </c>
      <c r="H498" s="60">
        <v>1080.3900000000001</v>
      </c>
      <c r="I498" s="60">
        <v>1076.47</v>
      </c>
      <c r="J498" s="60">
        <v>1252.18</v>
      </c>
      <c r="K498" s="60">
        <v>0</v>
      </c>
      <c r="L498" s="60">
        <v>0</v>
      </c>
      <c r="M498" s="60">
        <v>0</v>
      </c>
      <c r="N498" s="60">
        <v>0</v>
      </c>
      <c r="O498" s="60">
        <v>0</v>
      </c>
      <c r="P498" s="60">
        <v>0</v>
      </c>
      <c r="Q498" s="60">
        <v>0</v>
      </c>
      <c r="R498" s="60">
        <v>0</v>
      </c>
      <c r="S498" s="60">
        <v>0</v>
      </c>
      <c r="T498" s="60">
        <v>0</v>
      </c>
      <c r="U498" s="60">
        <v>0</v>
      </c>
      <c r="V498" s="60">
        <v>0</v>
      </c>
      <c r="W498" s="60">
        <v>0</v>
      </c>
      <c r="X498" s="60">
        <v>0</v>
      </c>
      <c r="Y498" s="60">
        <v>0</v>
      </c>
      <c r="Z498" s="60">
        <v>0</v>
      </c>
      <c r="AA498" s="60">
        <v>0</v>
      </c>
      <c r="AB498" s="60">
        <v>0</v>
      </c>
      <c r="AC498" s="60">
        <v>0</v>
      </c>
      <c r="AD498" s="60">
        <v>0</v>
      </c>
      <c r="AE498" s="60">
        <v>0</v>
      </c>
      <c r="AF498" s="60">
        <v>0</v>
      </c>
      <c r="AG498" s="60">
        <v>0</v>
      </c>
      <c r="AH498" s="60">
        <v>0</v>
      </c>
      <c r="AI498" s="60">
        <v>1080.3900000000001</v>
      </c>
      <c r="AJ498" s="60">
        <v>1076.47</v>
      </c>
      <c r="AK498" s="60">
        <v>1252.18</v>
      </c>
      <c r="AL498" s="60">
        <v>0</v>
      </c>
      <c r="AM498" s="60">
        <v>0</v>
      </c>
      <c r="AN498" s="60">
        <v>0</v>
      </c>
      <c r="AO498" s="60">
        <v>1080.3900000000001</v>
      </c>
      <c r="AP498" s="60">
        <v>1076.47</v>
      </c>
      <c r="AQ498" s="60">
        <v>1252.18</v>
      </c>
      <c r="AR498" s="61">
        <v>1252.18</v>
      </c>
    </row>
    <row r="499" spans="1:44" x14ac:dyDescent="0.35">
      <c r="A499" s="49" t="str">
        <f t="shared" si="41"/>
        <v>09</v>
      </c>
      <c r="B499" s="27">
        <v>61960</v>
      </c>
      <c r="C499" s="25" t="str">
        <f t="shared" si="39"/>
        <v>0000000</v>
      </c>
      <c r="D499" s="26" t="s">
        <v>3663</v>
      </c>
      <c r="E499" s="25" t="s">
        <v>378</v>
      </c>
      <c r="F499" s="25" t="s">
        <v>345</v>
      </c>
      <c r="G499" s="59" t="s">
        <v>379</v>
      </c>
      <c r="H499" s="60">
        <v>536.4</v>
      </c>
      <c r="I499" s="60">
        <v>539.66999999999996</v>
      </c>
      <c r="J499" s="60">
        <v>597.12</v>
      </c>
      <c r="K499" s="60">
        <v>0</v>
      </c>
      <c r="L499" s="60">
        <v>0</v>
      </c>
      <c r="M499" s="60">
        <v>0</v>
      </c>
      <c r="N499" s="60">
        <v>0</v>
      </c>
      <c r="O499" s="60">
        <v>0</v>
      </c>
      <c r="P499" s="60">
        <v>0</v>
      </c>
      <c r="Q499" s="60">
        <v>0</v>
      </c>
      <c r="R499" s="60">
        <v>0</v>
      </c>
      <c r="S499" s="60">
        <v>0</v>
      </c>
      <c r="T499" s="60">
        <v>0</v>
      </c>
      <c r="U499" s="60">
        <v>0</v>
      </c>
      <c r="V499" s="60">
        <v>0</v>
      </c>
      <c r="W499" s="60">
        <v>0</v>
      </c>
      <c r="X499" s="60">
        <v>0</v>
      </c>
      <c r="Y499" s="60">
        <v>0</v>
      </c>
      <c r="Z499" s="60">
        <v>0</v>
      </c>
      <c r="AA499" s="60">
        <v>0</v>
      </c>
      <c r="AB499" s="60">
        <v>0</v>
      </c>
      <c r="AC499" s="60">
        <v>0</v>
      </c>
      <c r="AD499" s="60">
        <v>0</v>
      </c>
      <c r="AE499" s="60">
        <v>0</v>
      </c>
      <c r="AF499" s="60">
        <v>0</v>
      </c>
      <c r="AG499" s="60">
        <v>0</v>
      </c>
      <c r="AH499" s="60">
        <v>0</v>
      </c>
      <c r="AI499" s="60">
        <v>536.4</v>
      </c>
      <c r="AJ499" s="60">
        <v>539.66999999999996</v>
      </c>
      <c r="AK499" s="60">
        <v>597.12</v>
      </c>
      <c r="AL499" s="60">
        <v>0</v>
      </c>
      <c r="AM499" s="60">
        <v>0</v>
      </c>
      <c r="AN499" s="60">
        <v>0</v>
      </c>
      <c r="AO499" s="60">
        <v>536.4</v>
      </c>
      <c r="AP499" s="60">
        <v>539.66999999999996</v>
      </c>
      <c r="AQ499" s="60">
        <v>597.12</v>
      </c>
      <c r="AR499" s="61">
        <v>597.12</v>
      </c>
    </row>
    <row r="500" spans="1:44" x14ac:dyDescent="0.35">
      <c r="A500" s="49" t="str">
        <f t="shared" si="41"/>
        <v>09</v>
      </c>
      <c r="B500" s="27">
        <v>61978</v>
      </c>
      <c r="C500" s="25" t="str">
        <f t="shared" si="39"/>
        <v>0000000</v>
      </c>
      <c r="D500" s="26" t="s">
        <v>3663</v>
      </c>
      <c r="E500" s="25" t="s">
        <v>380</v>
      </c>
      <c r="F500" s="25" t="s">
        <v>345</v>
      </c>
      <c r="G500" s="59" t="s">
        <v>381</v>
      </c>
      <c r="H500" s="60">
        <v>3338.84</v>
      </c>
      <c r="I500" s="60">
        <v>3343.52</v>
      </c>
      <c r="J500" s="60">
        <v>3493.19</v>
      </c>
      <c r="K500" s="60">
        <v>0</v>
      </c>
      <c r="L500" s="60">
        <v>0</v>
      </c>
      <c r="M500" s="60">
        <v>0</v>
      </c>
      <c r="N500" s="60">
        <v>0</v>
      </c>
      <c r="O500" s="60">
        <v>0</v>
      </c>
      <c r="P500" s="60">
        <v>0</v>
      </c>
      <c r="Q500" s="60">
        <v>0</v>
      </c>
      <c r="R500" s="60">
        <v>0</v>
      </c>
      <c r="S500" s="60">
        <v>0</v>
      </c>
      <c r="T500" s="60">
        <v>0</v>
      </c>
      <c r="U500" s="60">
        <v>0</v>
      </c>
      <c r="V500" s="60">
        <v>0</v>
      </c>
      <c r="W500" s="60">
        <v>0</v>
      </c>
      <c r="X500" s="60">
        <v>0</v>
      </c>
      <c r="Y500" s="60">
        <v>0</v>
      </c>
      <c r="Z500" s="60">
        <v>0</v>
      </c>
      <c r="AA500" s="60">
        <v>0</v>
      </c>
      <c r="AB500" s="60">
        <v>0</v>
      </c>
      <c r="AC500" s="60">
        <v>0</v>
      </c>
      <c r="AD500" s="60">
        <v>0</v>
      </c>
      <c r="AE500" s="60">
        <v>0</v>
      </c>
      <c r="AF500" s="60">
        <v>0</v>
      </c>
      <c r="AG500" s="60">
        <v>0</v>
      </c>
      <c r="AH500" s="60">
        <v>0</v>
      </c>
      <c r="AI500" s="60">
        <v>3338.84</v>
      </c>
      <c r="AJ500" s="60">
        <v>3343.52</v>
      </c>
      <c r="AK500" s="60">
        <v>3493.19</v>
      </c>
      <c r="AL500" s="60">
        <v>0</v>
      </c>
      <c r="AM500" s="60">
        <v>0</v>
      </c>
      <c r="AN500" s="60">
        <v>0</v>
      </c>
      <c r="AO500" s="60">
        <v>3338.84</v>
      </c>
      <c r="AP500" s="60">
        <v>3343.52</v>
      </c>
      <c r="AQ500" s="60">
        <v>3493.19</v>
      </c>
      <c r="AR500" s="61">
        <v>3493.19</v>
      </c>
    </row>
    <row r="501" spans="1:44" x14ac:dyDescent="0.35">
      <c r="A501" s="49" t="str">
        <f t="shared" si="41"/>
        <v>09</v>
      </c>
      <c r="B501" s="27">
        <v>61853</v>
      </c>
      <c r="C501" s="25" t="str">
        <f t="shared" si="39"/>
        <v>0000000</v>
      </c>
      <c r="D501" s="26" t="s">
        <v>3663</v>
      </c>
      <c r="E501" s="25" t="s">
        <v>363</v>
      </c>
      <c r="F501" s="25" t="s">
        <v>345</v>
      </c>
      <c r="G501" s="59" t="s">
        <v>364</v>
      </c>
      <c r="H501" s="60">
        <v>6168.59</v>
      </c>
      <c r="I501" s="60">
        <v>6234.61</v>
      </c>
      <c r="J501" s="60">
        <v>6367.05</v>
      </c>
      <c r="K501" s="60">
        <v>0</v>
      </c>
      <c r="L501" s="60">
        <v>0</v>
      </c>
      <c r="M501" s="60">
        <v>0</v>
      </c>
      <c r="N501" s="60">
        <v>0</v>
      </c>
      <c r="O501" s="60">
        <v>0</v>
      </c>
      <c r="P501" s="60">
        <v>0</v>
      </c>
      <c r="Q501" s="60">
        <v>0</v>
      </c>
      <c r="R501" s="60">
        <v>0</v>
      </c>
      <c r="S501" s="60">
        <v>0</v>
      </c>
      <c r="T501" s="60">
        <v>0</v>
      </c>
      <c r="U501" s="60">
        <v>0</v>
      </c>
      <c r="V501" s="60">
        <v>0</v>
      </c>
      <c r="W501" s="60">
        <v>0</v>
      </c>
      <c r="X501" s="60">
        <v>0</v>
      </c>
      <c r="Y501" s="60">
        <v>0</v>
      </c>
      <c r="Z501" s="60">
        <v>0</v>
      </c>
      <c r="AA501" s="60">
        <v>0</v>
      </c>
      <c r="AB501" s="60">
        <v>0</v>
      </c>
      <c r="AC501" s="60">
        <v>96.55</v>
      </c>
      <c r="AD501" s="60">
        <v>101.56</v>
      </c>
      <c r="AE501" s="60">
        <v>102.88</v>
      </c>
      <c r="AF501" s="60">
        <v>0</v>
      </c>
      <c r="AG501" s="60">
        <v>0</v>
      </c>
      <c r="AH501" s="60">
        <v>0</v>
      </c>
      <c r="AI501" s="60">
        <v>6265.14</v>
      </c>
      <c r="AJ501" s="60">
        <v>6336.17</v>
      </c>
      <c r="AK501" s="60">
        <v>6469.93</v>
      </c>
      <c r="AL501" s="60">
        <v>0</v>
      </c>
      <c r="AM501" s="60">
        <v>0</v>
      </c>
      <c r="AN501" s="60">
        <v>0</v>
      </c>
      <c r="AO501" s="60">
        <v>6265.14</v>
      </c>
      <c r="AP501" s="60">
        <v>6336.17</v>
      </c>
      <c r="AQ501" s="60">
        <v>6469.93</v>
      </c>
      <c r="AR501" s="61">
        <v>6469.93</v>
      </c>
    </row>
    <row r="502" spans="1:44" x14ac:dyDescent="0.35">
      <c r="A502" s="49" t="str">
        <f t="shared" si="41"/>
        <v>09</v>
      </c>
      <c r="B502" s="27">
        <v>73783</v>
      </c>
      <c r="C502" s="25" t="str">
        <f t="shared" si="39"/>
        <v>0000000</v>
      </c>
      <c r="D502" s="26" t="s">
        <v>3663</v>
      </c>
      <c r="E502" s="25" t="s">
        <v>384</v>
      </c>
      <c r="F502" s="25" t="s">
        <v>345</v>
      </c>
      <c r="G502" s="59" t="s">
        <v>385</v>
      </c>
      <c r="H502" s="60">
        <v>928.07</v>
      </c>
      <c r="I502" s="60">
        <v>940.45</v>
      </c>
      <c r="J502" s="60">
        <v>975.38</v>
      </c>
      <c r="K502" s="60">
        <v>0</v>
      </c>
      <c r="L502" s="60">
        <v>0</v>
      </c>
      <c r="M502" s="60">
        <v>0</v>
      </c>
      <c r="N502" s="60">
        <v>0</v>
      </c>
      <c r="O502" s="60">
        <v>0</v>
      </c>
      <c r="P502" s="60">
        <v>0</v>
      </c>
      <c r="Q502" s="60">
        <v>0</v>
      </c>
      <c r="R502" s="60">
        <v>0</v>
      </c>
      <c r="S502" s="60">
        <v>0</v>
      </c>
      <c r="T502" s="60">
        <v>0</v>
      </c>
      <c r="U502" s="60">
        <v>0</v>
      </c>
      <c r="V502" s="60">
        <v>0</v>
      </c>
      <c r="W502" s="60">
        <v>0</v>
      </c>
      <c r="X502" s="60">
        <v>0</v>
      </c>
      <c r="Y502" s="60">
        <v>0</v>
      </c>
      <c r="Z502" s="60">
        <v>0</v>
      </c>
      <c r="AA502" s="60">
        <v>0</v>
      </c>
      <c r="AB502" s="60">
        <v>0</v>
      </c>
      <c r="AC502" s="60">
        <v>228.56</v>
      </c>
      <c r="AD502" s="60">
        <v>249.54</v>
      </c>
      <c r="AE502" s="60">
        <v>229.74</v>
      </c>
      <c r="AF502" s="60">
        <v>0</v>
      </c>
      <c r="AG502" s="60">
        <v>0</v>
      </c>
      <c r="AH502" s="60">
        <v>0</v>
      </c>
      <c r="AI502" s="60">
        <v>1156.6300000000001</v>
      </c>
      <c r="AJ502" s="60">
        <v>1189.99</v>
      </c>
      <c r="AK502" s="60">
        <v>1205.1199999999999</v>
      </c>
      <c r="AL502" s="60">
        <v>0</v>
      </c>
      <c r="AM502" s="60">
        <v>0</v>
      </c>
      <c r="AN502" s="60">
        <v>0</v>
      </c>
      <c r="AO502" s="60">
        <v>1156.6300000000001</v>
      </c>
      <c r="AP502" s="60">
        <v>1189.99</v>
      </c>
      <c r="AQ502" s="60">
        <v>1205.1199999999999</v>
      </c>
      <c r="AR502" s="61">
        <v>1205.1199999999999</v>
      </c>
    </row>
    <row r="503" spans="1:44" x14ac:dyDescent="0.35">
      <c r="A503" s="49" t="str">
        <f t="shared" si="41"/>
        <v>09</v>
      </c>
      <c r="B503" s="27">
        <v>61895</v>
      </c>
      <c r="C503" s="25" t="str">
        <f t="shared" si="39"/>
        <v>0000000</v>
      </c>
      <c r="D503" s="26" t="s">
        <v>3663</v>
      </c>
      <c r="E503" s="25" t="s">
        <v>369</v>
      </c>
      <c r="F503" s="25" t="s">
        <v>345</v>
      </c>
      <c r="G503" s="59" t="s">
        <v>370</v>
      </c>
      <c r="H503" s="60">
        <v>10.31</v>
      </c>
      <c r="I503" s="60">
        <v>14.48</v>
      </c>
      <c r="J503" s="60">
        <v>19.03</v>
      </c>
      <c r="K503" s="60">
        <v>0</v>
      </c>
      <c r="L503" s="60">
        <v>0</v>
      </c>
      <c r="M503" s="60">
        <v>0</v>
      </c>
      <c r="N503" s="60">
        <v>0</v>
      </c>
      <c r="O503" s="60">
        <v>0</v>
      </c>
      <c r="P503" s="60">
        <v>0</v>
      </c>
      <c r="Q503" s="60">
        <v>0</v>
      </c>
      <c r="R503" s="60">
        <v>0</v>
      </c>
      <c r="S503" s="60">
        <v>0</v>
      </c>
      <c r="T503" s="60">
        <v>0</v>
      </c>
      <c r="U503" s="60">
        <v>0</v>
      </c>
      <c r="V503" s="60">
        <v>0</v>
      </c>
      <c r="W503" s="60">
        <v>0</v>
      </c>
      <c r="X503" s="60">
        <v>0</v>
      </c>
      <c r="Y503" s="60">
        <v>0</v>
      </c>
      <c r="Z503" s="60">
        <v>0</v>
      </c>
      <c r="AA503" s="60">
        <v>0</v>
      </c>
      <c r="AB503" s="60">
        <v>0</v>
      </c>
      <c r="AC503" s="60">
        <v>0</v>
      </c>
      <c r="AD503" s="60">
        <v>0</v>
      </c>
      <c r="AE503" s="60">
        <v>0</v>
      </c>
      <c r="AF503" s="60">
        <v>0</v>
      </c>
      <c r="AG503" s="60">
        <v>0</v>
      </c>
      <c r="AH503" s="60">
        <v>0</v>
      </c>
      <c r="AI503" s="60">
        <v>10.31</v>
      </c>
      <c r="AJ503" s="60">
        <v>14.48</v>
      </c>
      <c r="AK503" s="60">
        <v>19.03</v>
      </c>
      <c r="AL503" s="60">
        <v>0</v>
      </c>
      <c r="AM503" s="60">
        <v>0</v>
      </c>
      <c r="AN503" s="60">
        <v>0</v>
      </c>
      <c r="AO503" s="60">
        <v>10.31</v>
      </c>
      <c r="AP503" s="60">
        <v>14.48</v>
      </c>
      <c r="AQ503" s="60">
        <v>19.03</v>
      </c>
      <c r="AR503" s="61">
        <v>19.03</v>
      </c>
    </row>
    <row r="504" spans="1:44" x14ac:dyDescent="0.35">
      <c r="A504" s="49" t="str">
        <f t="shared" si="41"/>
        <v>09</v>
      </c>
      <c r="B504" s="27">
        <v>61911</v>
      </c>
      <c r="C504" s="25" t="str">
        <f t="shared" si="39"/>
        <v>0000000</v>
      </c>
      <c r="D504" s="26" t="s">
        <v>3663</v>
      </c>
      <c r="E504" s="25" t="s">
        <v>371</v>
      </c>
      <c r="F504" s="25" t="s">
        <v>345</v>
      </c>
      <c r="G504" s="59" t="s">
        <v>372</v>
      </c>
      <c r="H504" s="60">
        <v>152.57</v>
      </c>
      <c r="I504" s="60">
        <v>145.77000000000001</v>
      </c>
      <c r="J504" s="60">
        <v>145.47999999999999</v>
      </c>
      <c r="K504" s="60">
        <v>0</v>
      </c>
      <c r="L504" s="60">
        <v>0</v>
      </c>
      <c r="M504" s="60">
        <v>0</v>
      </c>
      <c r="N504" s="60">
        <v>0</v>
      </c>
      <c r="O504" s="60">
        <v>0</v>
      </c>
      <c r="P504" s="60">
        <v>0</v>
      </c>
      <c r="Q504" s="60">
        <v>0</v>
      </c>
      <c r="R504" s="60">
        <v>0</v>
      </c>
      <c r="S504" s="60">
        <v>0</v>
      </c>
      <c r="T504" s="60">
        <v>0</v>
      </c>
      <c r="U504" s="60">
        <v>0</v>
      </c>
      <c r="V504" s="60">
        <v>0</v>
      </c>
      <c r="W504" s="60">
        <v>0</v>
      </c>
      <c r="X504" s="60">
        <v>0</v>
      </c>
      <c r="Y504" s="60">
        <v>0</v>
      </c>
      <c r="Z504" s="60">
        <v>0</v>
      </c>
      <c r="AA504" s="60">
        <v>0</v>
      </c>
      <c r="AB504" s="60">
        <v>0</v>
      </c>
      <c r="AC504" s="60">
        <v>0</v>
      </c>
      <c r="AD504" s="60">
        <v>0</v>
      </c>
      <c r="AE504" s="60">
        <v>0</v>
      </c>
      <c r="AF504" s="60">
        <v>0</v>
      </c>
      <c r="AG504" s="60">
        <v>0</v>
      </c>
      <c r="AH504" s="60">
        <v>0</v>
      </c>
      <c r="AI504" s="60">
        <v>152.57</v>
      </c>
      <c r="AJ504" s="60">
        <v>145.77000000000001</v>
      </c>
      <c r="AK504" s="60">
        <v>145.47999999999999</v>
      </c>
      <c r="AL504" s="60">
        <v>0</v>
      </c>
      <c r="AM504" s="60">
        <v>0</v>
      </c>
      <c r="AN504" s="60">
        <v>0</v>
      </c>
      <c r="AO504" s="60">
        <v>152.57</v>
      </c>
      <c r="AP504" s="60">
        <v>145.77000000000001</v>
      </c>
      <c r="AQ504" s="60">
        <v>145.47999999999999</v>
      </c>
      <c r="AR504" s="61">
        <v>152.57</v>
      </c>
    </row>
    <row r="505" spans="1:44" x14ac:dyDescent="0.35">
      <c r="A505" s="49" t="str">
        <f t="shared" si="41"/>
        <v>09</v>
      </c>
      <c r="B505" s="27">
        <v>61986</v>
      </c>
      <c r="C505" s="25" t="str">
        <f t="shared" si="39"/>
        <v>0000000</v>
      </c>
      <c r="D505" s="26" t="s">
        <v>3663</v>
      </c>
      <c r="E505" s="25" t="s">
        <v>382</v>
      </c>
      <c r="F505" s="25" t="s">
        <v>345</v>
      </c>
      <c r="G505" s="59" t="s">
        <v>383</v>
      </c>
      <c r="H505" s="60">
        <v>12.28</v>
      </c>
      <c r="I505" s="60">
        <v>13.81</v>
      </c>
      <c r="J505" s="60">
        <v>7.33</v>
      </c>
      <c r="K505" s="60">
        <v>0</v>
      </c>
      <c r="L505" s="60">
        <v>0</v>
      </c>
      <c r="M505" s="60">
        <v>0</v>
      </c>
      <c r="N505" s="60">
        <v>0</v>
      </c>
      <c r="O505" s="60">
        <v>0</v>
      </c>
      <c r="P505" s="60">
        <v>0</v>
      </c>
      <c r="Q505" s="60">
        <v>0</v>
      </c>
      <c r="R505" s="60">
        <v>0</v>
      </c>
      <c r="S505" s="60">
        <v>0</v>
      </c>
      <c r="T505" s="60">
        <v>0</v>
      </c>
      <c r="U505" s="60">
        <v>0</v>
      </c>
      <c r="V505" s="60">
        <v>0</v>
      </c>
      <c r="W505" s="60">
        <v>0</v>
      </c>
      <c r="X505" s="60">
        <v>0</v>
      </c>
      <c r="Y505" s="60">
        <v>0</v>
      </c>
      <c r="Z505" s="60">
        <v>0</v>
      </c>
      <c r="AA505" s="60">
        <v>0</v>
      </c>
      <c r="AB505" s="60">
        <v>0</v>
      </c>
      <c r="AC505" s="60">
        <v>0</v>
      </c>
      <c r="AD505" s="60">
        <v>0</v>
      </c>
      <c r="AE505" s="60">
        <v>0</v>
      </c>
      <c r="AF505" s="60">
        <v>0</v>
      </c>
      <c r="AG505" s="60">
        <v>0</v>
      </c>
      <c r="AH505" s="60">
        <v>0</v>
      </c>
      <c r="AI505" s="60">
        <v>12.28</v>
      </c>
      <c r="AJ505" s="60">
        <v>13.81</v>
      </c>
      <c r="AK505" s="60">
        <v>7.33</v>
      </c>
      <c r="AL505" s="60">
        <v>0</v>
      </c>
      <c r="AM505" s="60">
        <v>0</v>
      </c>
      <c r="AN505" s="60">
        <v>0</v>
      </c>
      <c r="AO505" s="60">
        <v>12.28</v>
      </c>
      <c r="AP505" s="60">
        <v>13.81</v>
      </c>
      <c r="AQ505" s="60">
        <v>7.33</v>
      </c>
      <c r="AR505" s="61">
        <v>13.81</v>
      </c>
    </row>
    <row r="506" spans="1:44" x14ac:dyDescent="0.35">
      <c r="A506" s="49" t="str">
        <f t="shared" ref="A506:A520" si="42">TEXT(51,"00")</f>
        <v>51</v>
      </c>
      <c r="B506" s="27">
        <v>10512</v>
      </c>
      <c r="C506" s="25" t="str">
        <f t="shared" si="39"/>
        <v>0000000</v>
      </c>
      <c r="D506" s="26" t="s">
        <v>3663</v>
      </c>
      <c r="E506" s="25" t="s">
        <v>3221</v>
      </c>
      <c r="F506" s="25" t="s">
        <v>3222</v>
      </c>
      <c r="G506" s="59" t="s">
        <v>3222</v>
      </c>
      <c r="H506" s="60">
        <v>0</v>
      </c>
      <c r="I506" s="60">
        <v>0</v>
      </c>
      <c r="J506" s="60">
        <v>0</v>
      </c>
      <c r="K506" s="60">
        <v>0</v>
      </c>
      <c r="L506" s="60">
        <v>0</v>
      </c>
      <c r="M506" s="60">
        <v>0</v>
      </c>
      <c r="N506" s="60">
        <v>0</v>
      </c>
      <c r="O506" s="60">
        <v>0</v>
      </c>
      <c r="P506" s="60">
        <v>0</v>
      </c>
      <c r="Q506" s="60">
        <v>0</v>
      </c>
      <c r="R506" s="60">
        <v>0</v>
      </c>
      <c r="S506" s="60">
        <v>0</v>
      </c>
      <c r="T506" s="60">
        <v>39.799999999999997</v>
      </c>
      <c r="U506" s="60">
        <v>32.03</v>
      </c>
      <c r="V506" s="60">
        <v>48.9</v>
      </c>
      <c r="W506" s="60">
        <v>290.17</v>
      </c>
      <c r="X506" s="60">
        <v>255.24</v>
      </c>
      <c r="Y506" s="60">
        <v>302.87</v>
      </c>
      <c r="Z506" s="60">
        <v>0</v>
      </c>
      <c r="AA506" s="60">
        <v>0</v>
      </c>
      <c r="AB506" s="60">
        <v>0</v>
      </c>
      <c r="AC506" s="60">
        <v>0</v>
      </c>
      <c r="AD506" s="60">
        <v>0</v>
      </c>
      <c r="AE506" s="60">
        <v>0</v>
      </c>
      <c r="AF506" s="60">
        <v>0</v>
      </c>
      <c r="AG506" s="60">
        <v>0</v>
      </c>
      <c r="AH506" s="60">
        <v>0</v>
      </c>
      <c r="AI506" s="60">
        <v>329.97</v>
      </c>
      <c r="AJ506" s="60">
        <v>287.27</v>
      </c>
      <c r="AK506" s="60">
        <v>351.77</v>
      </c>
      <c r="AL506" s="60">
        <v>0</v>
      </c>
      <c r="AM506" s="60">
        <v>0</v>
      </c>
      <c r="AN506" s="60">
        <v>0</v>
      </c>
      <c r="AO506" s="60">
        <v>329.97</v>
      </c>
      <c r="AP506" s="60">
        <v>287.27</v>
      </c>
      <c r="AQ506" s="60">
        <v>351.77</v>
      </c>
      <c r="AR506" s="61">
        <v>351.77</v>
      </c>
    </row>
    <row r="507" spans="1:44" x14ac:dyDescent="0.35">
      <c r="A507" s="49" t="str">
        <f t="shared" si="42"/>
        <v>51</v>
      </c>
      <c r="B507" s="27">
        <v>71399</v>
      </c>
      <c r="C507" s="25" t="str">
        <f t="shared" si="39"/>
        <v>0000000</v>
      </c>
      <c r="D507" s="26" t="s">
        <v>3663</v>
      </c>
      <c r="E507" s="25" t="s">
        <v>3233</v>
      </c>
      <c r="F507" s="25" t="s">
        <v>3222</v>
      </c>
      <c r="G507" s="59" t="s">
        <v>3234</v>
      </c>
      <c r="H507" s="60">
        <v>1845.75</v>
      </c>
      <c r="I507" s="60">
        <v>1728.92</v>
      </c>
      <c r="J507" s="60">
        <v>1804.3</v>
      </c>
      <c r="K507" s="60">
        <v>0</v>
      </c>
      <c r="L507" s="60">
        <v>0</v>
      </c>
      <c r="M507" s="60">
        <v>0</v>
      </c>
      <c r="N507" s="60">
        <v>0</v>
      </c>
      <c r="O507" s="60">
        <v>0</v>
      </c>
      <c r="P507" s="60">
        <v>0</v>
      </c>
      <c r="Q507" s="60">
        <v>0</v>
      </c>
      <c r="R507" s="60">
        <v>0</v>
      </c>
      <c r="S507" s="60">
        <v>0</v>
      </c>
      <c r="T507" s="60">
        <v>0</v>
      </c>
      <c r="U507" s="60">
        <v>0</v>
      </c>
      <c r="V507" s="60">
        <v>0</v>
      </c>
      <c r="W507" s="60">
        <v>0</v>
      </c>
      <c r="X507" s="60">
        <v>0</v>
      </c>
      <c r="Y507" s="60">
        <v>0</v>
      </c>
      <c r="Z507" s="60">
        <v>0</v>
      </c>
      <c r="AA507" s="60">
        <v>0</v>
      </c>
      <c r="AB507" s="60">
        <v>0</v>
      </c>
      <c r="AC507" s="60">
        <v>0</v>
      </c>
      <c r="AD507" s="60">
        <v>0</v>
      </c>
      <c r="AE507" s="60">
        <v>0</v>
      </c>
      <c r="AF507" s="60">
        <v>0</v>
      </c>
      <c r="AG507" s="60">
        <v>0</v>
      </c>
      <c r="AH507" s="60">
        <v>0</v>
      </c>
      <c r="AI507" s="60">
        <v>1845.75</v>
      </c>
      <c r="AJ507" s="60">
        <v>1728.92</v>
      </c>
      <c r="AK507" s="60">
        <v>1804.3</v>
      </c>
      <c r="AL507" s="60">
        <v>0</v>
      </c>
      <c r="AM507" s="60">
        <v>0</v>
      </c>
      <c r="AN507" s="60">
        <v>0</v>
      </c>
      <c r="AO507" s="60">
        <v>1845.75</v>
      </c>
      <c r="AP507" s="60">
        <v>1728.92</v>
      </c>
      <c r="AQ507" s="60">
        <v>1804.3</v>
      </c>
      <c r="AR507" s="61">
        <v>1845.75</v>
      </c>
    </row>
    <row r="508" spans="1:44" x14ac:dyDescent="0.35">
      <c r="A508" s="49" t="str">
        <f t="shared" si="42"/>
        <v>51</v>
      </c>
      <c r="B508" s="27">
        <v>71449</v>
      </c>
      <c r="C508" s="25" t="str">
        <f t="shared" si="39"/>
        <v>0000000</v>
      </c>
      <c r="D508" s="26" t="s">
        <v>3663</v>
      </c>
      <c r="E508" s="25" t="s">
        <v>3248</v>
      </c>
      <c r="F508" s="25" t="s">
        <v>3222</v>
      </c>
      <c r="G508" s="59" t="s">
        <v>3249</v>
      </c>
      <c r="H508" s="60">
        <v>745.78</v>
      </c>
      <c r="I508" s="60">
        <v>747.96</v>
      </c>
      <c r="J508" s="60">
        <v>774.13</v>
      </c>
      <c r="K508" s="60">
        <v>0</v>
      </c>
      <c r="L508" s="60">
        <v>0</v>
      </c>
      <c r="M508" s="60">
        <v>0</v>
      </c>
      <c r="N508" s="60">
        <v>0</v>
      </c>
      <c r="O508" s="60">
        <v>0</v>
      </c>
      <c r="P508" s="60">
        <v>0</v>
      </c>
      <c r="Q508" s="60">
        <v>0</v>
      </c>
      <c r="R508" s="60">
        <v>0</v>
      </c>
      <c r="S508" s="60">
        <v>0</v>
      </c>
      <c r="T508" s="60">
        <v>0</v>
      </c>
      <c r="U508" s="60">
        <v>0</v>
      </c>
      <c r="V508" s="60">
        <v>0</v>
      </c>
      <c r="W508" s="60">
        <v>0</v>
      </c>
      <c r="X508" s="60">
        <v>0</v>
      </c>
      <c r="Y508" s="60">
        <v>0</v>
      </c>
      <c r="Z508" s="60">
        <v>0</v>
      </c>
      <c r="AA508" s="60">
        <v>0</v>
      </c>
      <c r="AB508" s="60">
        <v>0</v>
      </c>
      <c r="AC508" s="60">
        <v>0</v>
      </c>
      <c r="AD508" s="60">
        <v>0</v>
      </c>
      <c r="AE508" s="60">
        <v>0</v>
      </c>
      <c r="AF508" s="60">
        <v>0</v>
      </c>
      <c r="AG508" s="60">
        <v>0</v>
      </c>
      <c r="AH508" s="60">
        <v>0</v>
      </c>
      <c r="AI508" s="60">
        <v>745.78</v>
      </c>
      <c r="AJ508" s="60">
        <v>747.96</v>
      </c>
      <c r="AK508" s="60">
        <v>774.13</v>
      </c>
      <c r="AL508" s="60">
        <v>0</v>
      </c>
      <c r="AM508" s="60">
        <v>0</v>
      </c>
      <c r="AN508" s="60">
        <v>0</v>
      </c>
      <c r="AO508" s="60">
        <v>745.78</v>
      </c>
      <c r="AP508" s="60">
        <v>747.96</v>
      </c>
      <c r="AQ508" s="60">
        <v>774.13</v>
      </c>
      <c r="AR508" s="61">
        <v>774.13</v>
      </c>
    </row>
    <row r="509" spans="1:44" x14ac:dyDescent="0.35">
      <c r="A509" s="49" t="str">
        <f t="shared" si="42"/>
        <v>51</v>
      </c>
      <c r="B509" s="27">
        <v>71464</v>
      </c>
      <c r="C509" s="25" t="str">
        <f t="shared" si="39"/>
        <v>0000000</v>
      </c>
      <c r="D509" s="26" t="s">
        <v>3663</v>
      </c>
      <c r="E509" s="25" t="s">
        <v>3254</v>
      </c>
      <c r="F509" s="25" t="s">
        <v>3222</v>
      </c>
      <c r="G509" s="59" t="s">
        <v>3255</v>
      </c>
      <c r="H509" s="60">
        <v>10690.18</v>
      </c>
      <c r="I509" s="60">
        <v>10256.52</v>
      </c>
      <c r="J509" s="60">
        <v>11641.08</v>
      </c>
      <c r="K509" s="60">
        <v>0</v>
      </c>
      <c r="L509" s="60">
        <v>0</v>
      </c>
      <c r="M509" s="60">
        <v>0</v>
      </c>
      <c r="N509" s="60">
        <v>0</v>
      </c>
      <c r="O509" s="60">
        <v>0</v>
      </c>
      <c r="P509" s="60">
        <v>0</v>
      </c>
      <c r="Q509" s="60">
        <v>0</v>
      </c>
      <c r="R509" s="60">
        <v>0</v>
      </c>
      <c r="S509" s="60">
        <v>0</v>
      </c>
      <c r="T509" s="60">
        <v>0</v>
      </c>
      <c r="U509" s="60">
        <v>0</v>
      </c>
      <c r="V509" s="60">
        <v>0</v>
      </c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0">
        <v>0</v>
      </c>
      <c r="AE509" s="60">
        <v>0</v>
      </c>
      <c r="AF509" s="60">
        <v>0</v>
      </c>
      <c r="AG509" s="60">
        <v>0</v>
      </c>
      <c r="AH509" s="60">
        <v>0</v>
      </c>
      <c r="AI509" s="60">
        <v>10690.18</v>
      </c>
      <c r="AJ509" s="60">
        <v>10256.52</v>
      </c>
      <c r="AK509" s="60">
        <v>11641.08</v>
      </c>
      <c r="AL509" s="60">
        <v>0</v>
      </c>
      <c r="AM509" s="60">
        <v>0</v>
      </c>
      <c r="AN509" s="60">
        <v>0</v>
      </c>
      <c r="AO509" s="60">
        <v>10690.18</v>
      </c>
      <c r="AP509" s="60">
        <v>10256.52</v>
      </c>
      <c r="AQ509" s="60">
        <v>11641.08</v>
      </c>
      <c r="AR509" s="61">
        <v>11641.08</v>
      </c>
    </row>
    <row r="510" spans="1:44" x14ac:dyDescent="0.35">
      <c r="A510" s="49" t="str">
        <f t="shared" si="42"/>
        <v>51</v>
      </c>
      <c r="B510" s="27">
        <v>71357</v>
      </c>
      <c r="C510" s="25" t="str">
        <f t="shared" si="39"/>
        <v>0000000</v>
      </c>
      <c r="D510" s="26" t="s">
        <v>3663</v>
      </c>
      <c r="E510" s="25" t="s">
        <v>3225</v>
      </c>
      <c r="F510" s="25" t="s">
        <v>3222</v>
      </c>
      <c r="G510" s="59" t="s">
        <v>3226</v>
      </c>
      <c r="H510" s="60">
        <v>430.15</v>
      </c>
      <c r="I510" s="60">
        <v>398.07</v>
      </c>
      <c r="J510" s="60">
        <v>429.36</v>
      </c>
      <c r="K510" s="60">
        <v>0</v>
      </c>
      <c r="L510" s="60">
        <v>0</v>
      </c>
      <c r="M510" s="60">
        <v>0</v>
      </c>
      <c r="N510" s="60">
        <v>0</v>
      </c>
      <c r="O510" s="60">
        <v>0</v>
      </c>
      <c r="P510" s="60">
        <v>0</v>
      </c>
      <c r="Q510" s="60">
        <v>0</v>
      </c>
      <c r="R510" s="60">
        <v>0</v>
      </c>
      <c r="S510" s="60">
        <v>0</v>
      </c>
      <c r="T510" s="60">
        <v>0</v>
      </c>
      <c r="U510" s="60">
        <v>0</v>
      </c>
      <c r="V510" s="60">
        <v>0</v>
      </c>
      <c r="W510" s="60">
        <v>0</v>
      </c>
      <c r="X510" s="60">
        <v>0</v>
      </c>
      <c r="Y510" s="60">
        <v>0</v>
      </c>
      <c r="Z510" s="60">
        <v>0</v>
      </c>
      <c r="AA510" s="60">
        <v>0</v>
      </c>
      <c r="AB510" s="60">
        <v>0</v>
      </c>
      <c r="AC510" s="60">
        <v>0</v>
      </c>
      <c r="AD510" s="60">
        <v>0</v>
      </c>
      <c r="AE510" s="60">
        <v>0</v>
      </c>
      <c r="AF510" s="60">
        <v>0</v>
      </c>
      <c r="AG510" s="60">
        <v>0</v>
      </c>
      <c r="AH510" s="60">
        <v>0</v>
      </c>
      <c r="AI510" s="60">
        <v>430.15</v>
      </c>
      <c r="AJ510" s="60">
        <v>398.07</v>
      </c>
      <c r="AK510" s="60">
        <v>429.36</v>
      </c>
      <c r="AL510" s="60">
        <v>0</v>
      </c>
      <c r="AM510" s="60">
        <v>0</v>
      </c>
      <c r="AN510" s="60">
        <v>0</v>
      </c>
      <c r="AO510" s="60">
        <v>430.15</v>
      </c>
      <c r="AP510" s="60">
        <v>398.07</v>
      </c>
      <c r="AQ510" s="60">
        <v>429.36</v>
      </c>
      <c r="AR510" s="61">
        <v>430.15</v>
      </c>
    </row>
    <row r="511" spans="1:44" x14ac:dyDescent="0.35">
      <c r="A511" s="49" t="str">
        <f t="shared" si="42"/>
        <v>51</v>
      </c>
      <c r="B511" s="27">
        <v>71365</v>
      </c>
      <c r="C511" s="25" t="str">
        <f t="shared" si="39"/>
        <v>0000000</v>
      </c>
      <c r="D511" s="26" t="s">
        <v>3663</v>
      </c>
      <c r="E511" s="25" t="s">
        <v>3227</v>
      </c>
      <c r="F511" s="25" t="s">
        <v>3222</v>
      </c>
      <c r="G511" s="59" t="s">
        <v>3228</v>
      </c>
      <c r="H511" s="60">
        <v>115.63</v>
      </c>
      <c r="I511" s="60">
        <v>118.2</v>
      </c>
      <c r="J511" s="60">
        <v>135.05000000000001</v>
      </c>
      <c r="K511" s="60">
        <v>0</v>
      </c>
      <c r="L511" s="60">
        <v>0</v>
      </c>
      <c r="M511" s="60">
        <v>0</v>
      </c>
      <c r="N511" s="60">
        <v>0</v>
      </c>
      <c r="O511" s="60">
        <v>0</v>
      </c>
      <c r="P511" s="60">
        <v>0</v>
      </c>
      <c r="Q511" s="60">
        <v>0</v>
      </c>
      <c r="R511" s="60">
        <v>0</v>
      </c>
      <c r="S511" s="60">
        <v>0</v>
      </c>
      <c r="T511" s="60">
        <v>0</v>
      </c>
      <c r="U511" s="60">
        <v>0</v>
      </c>
      <c r="V511" s="60">
        <v>0</v>
      </c>
      <c r="W511" s="60">
        <v>0</v>
      </c>
      <c r="X511" s="60">
        <v>0</v>
      </c>
      <c r="Y511" s="60">
        <v>0</v>
      </c>
      <c r="Z511" s="60">
        <v>0</v>
      </c>
      <c r="AA511" s="60">
        <v>0</v>
      </c>
      <c r="AB511" s="60">
        <v>0</v>
      </c>
      <c r="AC511" s="60">
        <v>0</v>
      </c>
      <c r="AD511" s="60">
        <v>0</v>
      </c>
      <c r="AE511" s="60">
        <v>0</v>
      </c>
      <c r="AF511" s="60">
        <v>0</v>
      </c>
      <c r="AG511" s="60">
        <v>0</v>
      </c>
      <c r="AH511" s="60">
        <v>0</v>
      </c>
      <c r="AI511" s="60">
        <v>115.63</v>
      </c>
      <c r="AJ511" s="60">
        <v>118.2</v>
      </c>
      <c r="AK511" s="60">
        <v>135.05000000000001</v>
      </c>
      <c r="AL511" s="60">
        <v>0</v>
      </c>
      <c r="AM511" s="60">
        <v>0</v>
      </c>
      <c r="AN511" s="60">
        <v>0</v>
      </c>
      <c r="AO511" s="60">
        <v>115.63</v>
      </c>
      <c r="AP511" s="60">
        <v>118.2</v>
      </c>
      <c r="AQ511" s="60">
        <v>135.05000000000001</v>
      </c>
      <c r="AR511" s="61">
        <v>135.05000000000001</v>
      </c>
    </row>
    <row r="512" spans="1:44" x14ac:dyDescent="0.35">
      <c r="A512" s="49" t="str">
        <f t="shared" si="42"/>
        <v>51</v>
      </c>
      <c r="B512" s="27">
        <v>71373</v>
      </c>
      <c r="C512" s="25" t="str">
        <f t="shared" si="39"/>
        <v>0000000</v>
      </c>
      <c r="D512" s="26" t="s">
        <v>3663</v>
      </c>
      <c r="E512" s="25" t="s">
        <v>3229</v>
      </c>
      <c r="F512" s="25" t="s">
        <v>3222</v>
      </c>
      <c r="G512" s="59" t="s">
        <v>3230</v>
      </c>
      <c r="H512" s="60">
        <v>289.3</v>
      </c>
      <c r="I512" s="60">
        <v>279.88</v>
      </c>
      <c r="J512" s="60">
        <v>296.39</v>
      </c>
      <c r="K512" s="60">
        <v>0</v>
      </c>
      <c r="L512" s="60">
        <v>0</v>
      </c>
      <c r="M512" s="60">
        <v>0</v>
      </c>
      <c r="N512" s="60">
        <v>0</v>
      </c>
      <c r="O512" s="60">
        <v>0</v>
      </c>
      <c r="P512" s="60">
        <v>0</v>
      </c>
      <c r="Q512" s="60">
        <v>0</v>
      </c>
      <c r="R512" s="60">
        <v>0</v>
      </c>
      <c r="S512" s="60">
        <v>0</v>
      </c>
      <c r="T512" s="60">
        <v>0</v>
      </c>
      <c r="U512" s="60">
        <v>0</v>
      </c>
      <c r="V512" s="60">
        <v>0</v>
      </c>
      <c r="W512" s="60">
        <v>0</v>
      </c>
      <c r="X512" s="60">
        <v>0</v>
      </c>
      <c r="Y512" s="60">
        <v>0</v>
      </c>
      <c r="Z512" s="60">
        <v>0</v>
      </c>
      <c r="AA512" s="60">
        <v>0</v>
      </c>
      <c r="AB512" s="60">
        <v>0</v>
      </c>
      <c r="AC512" s="60">
        <v>0</v>
      </c>
      <c r="AD512" s="60">
        <v>0</v>
      </c>
      <c r="AE512" s="60">
        <v>0</v>
      </c>
      <c r="AF512" s="60">
        <v>0</v>
      </c>
      <c r="AG512" s="60">
        <v>0</v>
      </c>
      <c r="AH512" s="60">
        <v>0</v>
      </c>
      <c r="AI512" s="60">
        <v>289.3</v>
      </c>
      <c r="AJ512" s="60">
        <v>279.88</v>
      </c>
      <c r="AK512" s="60">
        <v>296.39</v>
      </c>
      <c r="AL512" s="60">
        <v>0</v>
      </c>
      <c r="AM512" s="60">
        <v>0</v>
      </c>
      <c r="AN512" s="60">
        <v>0</v>
      </c>
      <c r="AO512" s="60">
        <v>289.3</v>
      </c>
      <c r="AP512" s="60">
        <v>279.88</v>
      </c>
      <c r="AQ512" s="60">
        <v>296.39</v>
      </c>
      <c r="AR512" s="61">
        <v>296.39</v>
      </c>
    </row>
    <row r="513" spans="1:44" x14ac:dyDescent="0.35">
      <c r="A513" s="49" t="str">
        <f t="shared" si="42"/>
        <v>51</v>
      </c>
      <c r="B513" s="27">
        <v>71381</v>
      </c>
      <c r="C513" s="25" t="str">
        <f t="shared" si="39"/>
        <v>0000000</v>
      </c>
      <c r="D513" s="26" t="s">
        <v>3663</v>
      </c>
      <c r="E513" s="25" t="s">
        <v>3231</v>
      </c>
      <c r="F513" s="25" t="s">
        <v>3222</v>
      </c>
      <c r="G513" s="59" t="s">
        <v>3232</v>
      </c>
      <c r="H513" s="60">
        <v>461.41</v>
      </c>
      <c r="I513" s="60">
        <v>445.83</v>
      </c>
      <c r="J513" s="60">
        <v>473.11</v>
      </c>
      <c r="K513" s="60">
        <v>0</v>
      </c>
      <c r="L513" s="60">
        <v>0</v>
      </c>
      <c r="M513" s="60">
        <v>0</v>
      </c>
      <c r="N513" s="60">
        <v>0</v>
      </c>
      <c r="O513" s="60">
        <v>0</v>
      </c>
      <c r="P513" s="60">
        <v>0</v>
      </c>
      <c r="Q513" s="60">
        <v>0</v>
      </c>
      <c r="R513" s="60">
        <v>0</v>
      </c>
      <c r="S513" s="60">
        <v>0</v>
      </c>
      <c r="T513" s="60">
        <v>0</v>
      </c>
      <c r="U513" s="60">
        <v>0</v>
      </c>
      <c r="V513" s="60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60">
        <v>0</v>
      </c>
      <c r="AE513" s="60">
        <v>0</v>
      </c>
      <c r="AF513" s="60">
        <v>0</v>
      </c>
      <c r="AG513" s="60">
        <v>0</v>
      </c>
      <c r="AH513" s="60">
        <v>0</v>
      </c>
      <c r="AI513" s="60">
        <v>461.41</v>
      </c>
      <c r="AJ513" s="60">
        <v>445.83</v>
      </c>
      <c r="AK513" s="60">
        <v>473.11</v>
      </c>
      <c r="AL513" s="60">
        <v>0</v>
      </c>
      <c r="AM513" s="60">
        <v>0</v>
      </c>
      <c r="AN513" s="60">
        <v>0</v>
      </c>
      <c r="AO513" s="60">
        <v>461.41</v>
      </c>
      <c r="AP513" s="60">
        <v>445.83</v>
      </c>
      <c r="AQ513" s="60">
        <v>473.11</v>
      </c>
      <c r="AR513" s="61">
        <v>473.11</v>
      </c>
    </row>
    <row r="514" spans="1:44" x14ac:dyDescent="0.35">
      <c r="A514" s="49" t="str">
        <f t="shared" si="42"/>
        <v>51</v>
      </c>
      <c r="B514" s="27">
        <v>71407</v>
      </c>
      <c r="C514" s="25" t="str">
        <f t="shared" si="39"/>
        <v>0000000</v>
      </c>
      <c r="D514" s="26" t="s">
        <v>3663</v>
      </c>
      <c r="E514" s="25" t="s">
        <v>3235</v>
      </c>
      <c r="F514" s="25" t="s">
        <v>3222</v>
      </c>
      <c r="G514" s="59" t="s">
        <v>3236</v>
      </c>
      <c r="H514" s="60">
        <v>182.52</v>
      </c>
      <c r="I514" s="60">
        <v>173.6</v>
      </c>
      <c r="J514" s="60">
        <v>175.01</v>
      </c>
      <c r="K514" s="60">
        <v>0</v>
      </c>
      <c r="L514" s="60">
        <v>0</v>
      </c>
      <c r="M514" s="60">
        <v>0</v>
      </c>
      <c r="N514" s="60">
        <v>0</v>
      </c>
      <c r="O514" s="60">
        <v>0</v>
      </c>
      <c r="P514" s="60">
        <v>0</v>
      </c>
      <c r="Q514" s="60">
        <v>0</v>
      </c>
      <c r="R514" s="60">
        <v>0</v>
      </c>
      <c r="S514" s="60">
        <v>0</v>
      </c>
      <c r="T514" s="60">
        <v>0</v>
      </c>
      <c r="U514" s="60">
        <v>0</v>
      </c>
      <c r="V514" s="60">
        <v>0</v>
      </c>
      <c r="W514" s="60">
        <v>0</v>
      </c>
      <c r="X514" s="60">
        <v>0</v>
      </c>
      <c r="Y514" s="60">
        <v>0</v>
      </c>
      <c r="Z514" s="60">
        <v>0</v>
      </c>
      <c r="AA514" s="60">
        <v>0</v>
      </c>
      <c r="AB514" s="60">
        <v>0</v>
      </c>
      <c r="AC514" s="60">
        <v>0</v>
      </c>
      <c r="AD514" s="60">
        <v>0</v>
      </c>
      <c r="AE514" s="60">
        <v>0</v>
      </c>
      <c r="AF514" s="60">
        <v>0</v>
      </c>
      <c r="AG514" s="60">
        <v>0</v>
      </c>
      <c r="AH514" s="60">
        <v>0</v>
      </c>
      <c r="AI514" s="60">
        <v>182.52</v>
      </c>
      <c r="AJ514" s="60">
        <v>173.6</v>
      </c>
      <c r="AK514" s="60">
        <v>175.01</v>
      </c>
      <c r="AL514" s="60">
        <v>0</v>
      </c>
      <c r="AM514" s="60">
        <v>0</v>
      </c>
      <c r="AN514" s="60">
        <v>0</v>
      </c>
      <c r="AO514" s="60">
        <v>182.52</v>
      </c>
      <c r="AP514" s="60">
        <v>173.6</v>
      </c>
      <c r="AQ514" s="60">
        <v>175.01</v>
      </c>
      <c r="AR514" s="61">
        <v>182.52</v>
      </c>
    </row>
    <row r="515" spans="1:44" x14ac:dyDescent="0.35">
      <c r="A515" s="49" t="str">
        <f t="shared" si="42"/>
        <v>51</v>
      </c>
      <c r="B515" s="27">
        <v>71415</v>
      </c>
      <c r="C515" s="25" t="str">
        <f t="shared" si="39"/>
        <v>0000000</v>
      </c>
      <c r="D515" s="26" t="s">
        <v>3663</v>
      </c>
      <c r="E515" s="25" t="s">
        <v>3240</v>
      </c>
      <c r="F515" s="25" t="s">
        <v>3222</v>
      </c>
      <c r="G515" s="59" t="s">
        <v>3241</v>
      </c>
      <c r="H515" s="60">
        <v>67.989999999999995</v>
      </c>
      <c r="I515" s="60">
        <v>66.069999999999993</v>
      </c>
      <c r="J515" s="60">
        <v>59.2</v>
      </c>
      <c r="K515" s="60">
        <v>0</v>
      </c>
      <c r="L515" s="60">
        <v>0</v>
      </c>
      <c r="M515" s="60">
        <v>0</v>
      </c>
      <c r="N515" s="60">
        <v>0</v>
      </c>
      <c r="O515" s="60">
        <v>0</v>
      </c>
      <c r="P515" s="60">
        <v>0</v>
      </c>
      <c r="Q515" s="60">
        <v>0</v>
      </c>
      <c r="R515" s="60">
        <v>0</v>
      </c>
      <c r="S515" s="60">
        <v>0</v>
      </c>
      <c r="T515" s="60">
        <v>0</v>
      </c>
      <c r="U515" s="60">
        <v>0</v>
      </c>
      <c r="V515" s="60">
        <v>0</v>
      </c>
      <c r="W515" s="60">
        <v>0</v>
      </c>
      <c r="X515" s="60">
        <v>0</v>
      </c>
      <c r="Y515" s="60">
        <v>0</v>
      </c>
      <c r="Z515" s="60">
        <v>0</v>
      </c>
      <c r="AA515" s="60">
        <v>0</v>
      </c>
      <c r="AB515" s="60">
        <v>0</v>
      </c>
      <c r="AC515" s="60">
        <v>1384.47</v>
      </c>
      <c r="AD515" s="60">
        <v>1444.96</v>
      </c>
      <c r="AE515" s="60">
        <v>985.39</v>
      </c>
      <c r="AF515" s="60">
        <v>0</v>
      </c>
      <c r="AG515" s="60">
        <v>0</v>
      </c>
      <c r="AH515" s="60">
        <v>0</v>
      </c>
      <c r="AI515" s="60">
        <v>1452.46</v>
      </c>
      <c r="AJ515" s="60">
        <v>1511.03</v>
      </c>
      <c r="AK515" s="60">
        <v>1044.5899999999999</v>
      </c>
      <c r="AL515" s="60">
        <v>0</v>
      </c>
      <c r="AM515" s="60">
        <v>0</v>
      </c>
      <c r="AN515" s="60">
        <v>0</v>
      </c>
      <c r="AO515" s="60">
        <v>1452.46</v>
      </c>
      <c r="AP515" s="60">
        <v>1511.03</v>
      </c>
      <c r="AQ515" s="60">
        <v>1044.5899999999999</v>
      </c>
      <c r="AR515" s="61">
        <v>1511.03</v>
      </c>
    </row>
    <row r="516" spans="1:44" x14ac:dyDescent="0.35">
      <c r="A516" s="49" t="str">
        <f t="shared" si="42"/>
        <v>51</v>
      </c>
      <c r="B516" s="27">
        <v>71423</v>
      </c>
      <c r="C516" s="25" t="str">
        <f t="shared" si="39"/>
        <v>0000000</v>
      </c>
      <c r="D516" s="26" t="s">
        <v>3663</v>
      </c>
      <c r="E516" s="25" t="s">
        <v>3242</v>
      </c>
      <c r="F516" s="25" t="s">
        <v>3222</v>
      </c>
      <c r="G516" s="59" t="s">
        <v>3243</v>
      </c>
      <c r="H516" s="60">
        <v>172.93</v>
      </c>
      <c r="I516" s="60">
        <v>165.37</v>
      </c>
      <c r="J516" s="60">
        <v>178.36</v>
      </c>
      <c r="K516" s="60">
        <v>0</v>
      </c>
      <c r="L516" s="60">
        <v>0</v>
      </c>
      <c r="M516" s="60">
        <v>0</v>
      </c>
      <c r="N516" s="60">
        <v>0</v>
      </c>
      <c r="O516" s="60">
        <v>0</v>
      </c>
      <c r="P516" s="60">
        <v>0</v>
      </c>
      <c r="Q516" s="60">
        <v>0</v>
      </c>
      <c r="R516" s="60">
        <v>0</v>
      </c>
      <c r="S516" s="60">
        <v>0</v>
      </c>
      <c r="T516" s="60">
        <v>0</v>
      </c>
      <c r="U516" s="60">
        <v>0</v>
      </c>
      <c r="V516" s="60">
        <v>0</v>
      </c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v>0</v>
      </c>
      <c r="AD516" s="60">
        <v>0</v>
      </c>
      <c r="AE516" s="60">
        <v>0</v>
      </c>
      <c r="AF516" s="60">
        <v>0</v>
      </c>
      <c r="AG516" s="60">
        <v>0</v>
      </c>
      <c r="AH516" s="60">
        <v>0</v>
      </c>
      <c r="AI516" s="60">
        <v>172.93</v>
      </c>
      <c r="AJ516" s="60">
        <v>165.37</v>
      </c>
      <c r="AK516" s="60">
        <v>178.36</v>
      </c>
      <c r="AL516" s="60">
        <v>0</v>
      </c>
      <c r="AM516" s="60">
        <v>0</v>
      </c>
      <c r="AN516" s="60">
        <v>0</v>
      </c>
      <c r="AO516" s="60">
        <v>172.93</v>
      </c>
      <c r="AP516" s="60">
        <v>165.37</v>
      </c>
      <c r="AQ516" s="60">
        <v>178.36</v>
      </c>
      <c r="AR516" s="61">
        <v>178.36</v>
      </c>
    </row>
    <row r="517" spans="1:44" x14ac:dyDescent="0.35">
      <c r="A517" s="49" t="str">
        <f t="shared" si="42"/>
        <v>51</v>
      </c>
      <c r="B517" s="27">
        <v>71431</v>
      </c>
      <c r="C517" s="25" t="str">
        <f t="shared" si="39"/>
        <v>0000000</v>
      </c>
      <c r="D517" s="26" t="s">
        <v>3663</v>
      </c>
      <c r="E517" s="25" t="s">
        <v>3246</v>
      </c>
      <c r="F517" s="25" t="s">
        <v>3222</v>
      </c>
      <c r="G517" s="59" t="s">
        <v>3247</v>
      </c>
      <c r="H517" s="60">
        <v>137.61000000000001</v>
      </c>
      <c r="I517" s="60">
        <v>154.80000000000001</v>
      </c>
      <c r="J517" s="60">
        <v>161.56</v>
      </c>
      <c r="K517" s="60">
        <v>0</v>
      </c>
      <c r="L517" s="60">
        <v>0</v>
      </c>
      <c r="M517" s="60">
        <v>0</v>
      </c>
      <c r="N517" s="60">
        <v>0</v>
      </c>
      <c r="O517" s="60">
        <v>0</v>
      </c>
      <c r="P517" s="60">
        <v>0</v>
      </c>
      <c r="Q517" s="60">
        <v>0</v>
      </c>
      <c r="R517" s="60">
        <v>0</v>
      </c>
      <c r="S517" s="60">
        <v>0</v>
      </c>
      <c r="T517" s="60">
        <v>0</v>
      </c>
      <c r="U517" s="60">
        <v>0</v>
      </c>
      <c r="V517" s="60">
        <v>0</v>
      </c>
      <c r="W517" s="60">
        <v>0</v>
      </c>
      <c r="X517" s="60">
        <v>0</v>
      </c>
      <c r="Y517" s="60">
        <v>0</v>
      </c>
      <c r="Z517" s="60">
        <v>0</v>
      </c>
      <c r="AA517" s="60">
        <v>0</v>
      </c>
      <c r="AB517" s="60">
        <v>0</v>
      </c>
      <c r="AC517" s="60">
        <v>0</v>
      </c>
      <c r="AD517" s="60">
        <v>0</v>
      </c>
      <c r="AE517" s="60">
        <v>0</v>
      </c>
      <c r="AF517" s="60">
        <v>0</v>
      </c>
      <c r="AG517" s="60">
        <v>0</v>
      </c>
      <c r="AH517" s="60">
        <v>0</v>
      </c>
      <c r="AI517" s="60">
        <v>137.61000000000001</v>
      </c>
      <c r="AJ517" s="60">
        <v>154.80000000000001</v>
      </c>
      <c r="AK517" s="60">
        <v>161.56</v>
      </c>
      <c r="AL517" s="60">
        <v>0</v>
      </c>
      <c r="AM517" s="60">
        <v>0</v>
      </c>
      <c r="AN517" s="60">
        <v>0</v>
      </c>
      <c r="AO517" s="60">
        <v>137.61000000000001</v>
      </c>
      <c r="AP517" s="60">
        <v>154.80000000000001</v>
      </c>
      <c r="AQ517" s="60">
        <v>161.56</v>
      </c>
      <c r="AR517" s="61">
        <v>161.56</v>
      </c>
    </row>
    <row r="518" spans="1:44" x14ac:dyDescent="0.35">
      <c r="A518" s="49" t="str">
        <f t="shared" si="42"/>
        <v>51</v>
      </c>
      <c r="B518" s="27">
        <v>71456</v>
      </c>
      <c r="C518" s="25" t="str">
        <f t="shared" si="39"/>
        <v>0000000</v>
      </c>
      <c r="D518" s="26" t="s">
        <v>3663</v>
      </c>
      <c r="E518" s="25" t="s">
        <v>3250</v>
      </c>
      <c r="F518" s="25" t="s">
        <v>3222</v>
      </c>
      <c r="G518" s="59" t="s">
        <v>3251</v>
      </c>
      <c r="H518" s="60">
        <v>97.98</v>
      </c>
      <c r="I518" s="60">
        <v>106.47</v>
      </c>
      <c r="J518" s="60">
        <v>113.57</v>
      </c>
      <c r="K518" s="60">
        <v>0</v>
      </c>
      <c r="L518" s="60">
        <v>0</v>
      </c>
      <c r="M518" s="60">
        <v>0</v>
      </c>
      <c r="N518" s="60">
        <v>0</v>
      </c>
      <c r="O518" s="60">
        <v>0</v>
      </c>
      <c r="P518" s="60">
        <v>0</v>
      </c>
      <c r="Q518" s="60">
        <v>0</v>
      </c>
      <c r="R518" s="60">
        <v>0</v>
      </c>
      <c r="S518" s="60">
        <v>0</v>
      </c>
      <c r="T518" s="60">
        <v>0</v>
      </c>
      <c r="U518" s="60">
        <v>0</v>
      </c>
      <c r="V518" s="60">
        <v>0</v>
      </c>
      <c r="W518" s="60">
        <v>0</v>
      </c>
      <c r="X518" s="60">
        <v>0</v>
      </c>
      <c r="Y518" s="60">
        <v>0</v>
      </c>
      <c r="Z518" s="60">
        <v>0</v>
      </c>
      <c r="AA518" s="60">
        <v>0</v>
      </c>
      <c r="AB518" s="60">
        <v>0</v>
      </c>
      <c r="AC518" s="60">
        <v>0</v>
      </c>
      <c r="AD518" s="60">
        <v>0</v>
      </c>
      <c r="AE518" s="60">
        <v>0</v>
      </c>
      <c r="AF518" s="60">
        <v>0</v>
      </c>
      <c r="AG518" s="60">
        <v>0</v>
      </c>
      <c r="AH518" s="60">
        <v>0</v>
      </c>
      <c r="AI518" s="60">
        <v>97.98</v>
      </c>
      <c r="AJ518" s="60">
        <v>106.47</v>
      </c>
      <c r="AK518" s="60">
        <v>113.57</v>
      </c>
      <c r="AL518" s="60">
        <v>0</v>
      </c>
      <c r="AM518" s="60">
        <v>0</v>
      </c>
      <c r="AN518" s="60">
        <v>0</v>
      </c>
      <c r="AO518" s="60">
        <v>97.98</v>
      </c>
      <c r="AP518" s="60">
        <v>106.47</v>
      </c>
      <c r="AQ518" s="60">
        <v>113.57</v>
      </c>
      <c r="AR518" s="61">
        <v>113.57</v>
      </c>
    </row>
    <row r="519" spans="1:44" x14ac:dyDescent="0.35">
      <c r="A519" s="49" t="str">
        <f t="shared" si="42"/>
        <v>51</v>
      </c>
      <c r="B519" s="27">
        <v>71464</v>
      </c>
      <c r="C519" s="25" t="str">
        <f>TEXT(107318,"0000000")</f>
        <v>0107318</v>
      </c>
      <c r="D519" s="26" t="s">
        <v>3258</v>
      </c>
      <c r="E519" s="25" t="s">
        <v>3256</v>
      </c>
      <c r="F519" s="25" t="s">
        <v>3222</v>
      </c>
      <c r="G519" s="59" t="s">
        <v>3257</v>
      </c>
      <c r="H519" s="60">
        <v>0</v>
      </c>
      <c r="I519" s="60">
        <v>0</v>
      </c>
      <c r="J519" s="60">
        <v>0</v>
      </c>
      <c r="K519" s="60">
        <v>0</v>
      </c>
      <c r="L519" s="60">
        <v>0</v>
      </c>
      <c r="M519" s="60">
        <v>0</v>
      </c>
      <c r="N519" s="60">
        <v>0</v>
      </c>
      <c r="O519" s="60">
        <v>0</v>
      </c>
      <c r="P519" s="60">
        <v>0</v>
      </c>
      <c r="Q519" s="60">
        <v>0</v>
      </c>
      <c r="R519" s="60">
        <v>0</v>
      </c>
      <c r="S519" s="60">
        <v>0</v>
      </c>
      <c r="T519" s="60">
        <v>0</v>
      </c>
      <c r="U519" s="60">
        <v>0</v>
      </c>
      <c r="V519" s="60">
        <v>0</v>
      </c>
      <c r="W519" s="60">
        <v>0</v>
      </c>
      <c r="X519" s="60">
        <v>0</v>
      </c>
      <c r="Y519" s="60">
        <v>0</v>
      </c>
      <c r="Z519" s="60">
        <v>0</v>
      </c>
      <c r="AA519" s="60">
        <v>0</v>
      </c>
      <c r="AB519" s="60">
        <v>0</v>
      </c>
      <c r="AC519" s="60">
        <v>456.75</v>
      </c>
      <c r="AD519" s="60">
        <v>438.08</v>
      </c>
      <c r="AE519" s="60">
        <v>450.9</v>
      </c>
      <c r="AF519" s="60">
        <v>0</v>
      </c>
      <c r="AG519" s="60">
        <v>0</v>
      </c>
      <c r="AH519" s="60">
        <v>0</v>
      </c>
      <c r="AI519" s="60">
        <v>456.75</v>
      </c>
      <c r="AJ519" s="60">
        <v>438.08</v>
      </c>
      <c r="AK519" s="60">
        <v>450.9</v>
      </c>
      <c r="AL519" s="60">
        <v>0</v>
      </c>
      <c r="AM519" s="60">
        <v>0</v>
      </c>
      <c r="AN519" s="60">
        <v>0</v>
      </c>
      <c r="AO519" s="60">
        <v>456.75</v>
      </c>
      <c r="AP519" s="60">
        <v>438.08</v>
      </c>
      <c r="AQ519" s="60">
        <v>450.9</v>
      </c>
      <c r="AR519" s="61">
        <v>456.75</v>
      </c>
    </row>
    <row r="520" spans="1:44" x14ac:dyDescent="0.35">
      <c r="A520" s="49" t="str">
        <f t="shared" si="42"/>
        <v>51</v>
      </c>
      <c r="B520" s="27">
        <v>10512</v>
      </c>
      <c r="C520" s="25" t="str">
        <f>TEXT(138040,"0000000")</f>
        <v>0138040</v>
      </c>
      <c r="D520" s="27">
        <v>2000</v>
      </c>
      <c r="E520" s="25" t="s">
        <v>3223</v>
      </c>
      <c r="F520" s="25" t="s">
        <v>3222</v>
      </c>
      <c r="G520" s="59" t="s">
        <v>3224</v>
      </c>
      <c r="H520" s="60">
        <v>0</v>
      </c>
      <c r="I520" s="60">
        <v>0</v>
      </c>
      <c r="J520" s="60">
        <v>0</v>
      </c>
      <c r="K520" s="60">
        <v>0</v>
      </c>
      <c r="L520" s="60">
        <v>0</v>
      </c>
      <c r="M520" s="60">
        <v>0</v>
      </c>
      <c r="N520" s="60">
        <v>0</v>
      </c>
      <c r="O520" s="60">
        <v>0</v>
      </c>
      <c r="P520" s="60">
        <v>0</v>
      </c>
      <c r="Q520" s="60">
        <v>0</v>
      </c>
      <c r="R520" s="60">
        <v>0</v>
      </c>
      <c r="S520" s="60">
        <v>0</v>
      </c>
      <c r="T520" s="60">
        <v>0</v>
      </c>
      <c r="U520" s="60">
        <v>0</v>
      </c>
      <c r="V520" s="60">
        <v>0</v>
      </c>
      <c r="W520" s="60">
        <v>0</v>
      </c>
      <c r="X520" s="60">
        <v>0</v>
      </c>
      <c r="Y520" s="60">
        <v>0</v>
      </c>
      <c r="Z520" s="60">
        <v>0</v>
      </c>
      <c r="AA520" s="60">
        <v>0</v>
      </c>
      <c r="AB520" s="60">
        <v>0</v>
      </c>
      <c r="AC520" s="60">
        <v>116.72</v>
      </c>
      <c r="AD520" s="60">
        <v>138.11000000000001</v>
      </c>
      <c r="AE520" s="60">
        <v>132.1</v>
      </c>
      <c r="AF520" s="60">
        <v>0</v>
      </c>
      <c r="AG520" s="60">
        <v>0</v>
      </c>
      <c r="AH520" s="60">
        <v>0</v>
      </c>
      <c r="AI520" s="60">
        <v>116.72</v>
      </c>
      <c r="AJ520" s="60">
        <v>138.11000000000001</v>
      </c>
      <c r="AK520" s="60">
        <v>132.1</v>
      </c>
      <c r="AL520" s="60">
        <v>0</v>
      </c>
      <c r="AM520" s="60">
        <v>0</v>
      </c>
      <c r="AN520" s="60">
        <v>0</v>
      </c>
      <c r="AO520" s="60">
        <v>116.72</v>
      </c>
      <c r="AP520" s="60">
        <v>138.11000000000001</v>
      </c>
      <c r="AQ520" s="60">
        <v>132.1</v>
      </c>
      <c r="AR520" s="61">
        <v>138.11000000000001</v>
      </c>
    </row>
    <row r="521" spans="1:44" x14ac:dyDescent="0.35">
      <c r="A521" s="49" t="str">
        <f>TEXT(37,"00")</f>
        <v>37</v>
      </c>
      <c r="B521" s="27">
        <v>68338</v>
      </c>
      <c r="C521" s="25" t="str">
        <f t="shared" ref="C521:C552" si="43">TEXT(,"0000000")</f>
        <v>0000000</v>
      </c>
      <c r="D521" s="26" t="s">
        <v>3663</v>
      </c>
      <c r="E521" s="25" t="s">
        <v>2175</v>
      </c>
      <c r="F521" s="25" t="s">
        <v>2176</v>
      </c>
      <c r="G521" s="59" t="s">
        <v>2176</v>
      </c>
      <c r="H521" s="60">
        <v>86408.56</v>
      </c>
      <c r="I521" s="60">
        <v>85812.74</v>
      </c>
      <c r="J521" s="60">
        <v>97695.07</v>
      </c>
      <c r="K521" s="60">
        <v>0</v>
      </c>
      <c r="L521" s="60">
        <v>0</v>
      </c>
      <c r="M521" s="60">
        <v>0</v>
      </c>
      <c r="N521" s="60">
        <v>0</v>
      </c>
      <c r="O521" s="60">
        <v>0</v>
      </c>
      <c r="P521" s="60">
        <v>0</v>
      </c>
      <c r="Q521" s="60">
        <v>0</v>
      </c>
      <c r="R521" s="60">
        <v>0</v>
      </c>
      <c r="S521" s="60">
        <v>0</v>
      </c>
      <c r="T521" s="60">
        <v>0</v>
      </c>
      <c r="U521" s="60">
        <v>0</v>
      </c>
      <c r="V521" s="60">
        <v>0</v>
      </c>
      <c r="W521" s="60">
        <v>0</v>
      </c>
      <c r="X521" s="60">
        <v>0</v>
      </c>
      <c r="Y521" s="60">
        <v>0</v>
      </c>
      <c r="Z521" s="60">
        <v>0</v>
      </c>
      <c r="AA521" s="60">
        <v>0</v>
      </c>
      <c r="AB521" s="60">
        <v>0</v>
      </c>
      <c r="AC521" s="60">
        <v>0</v>
      </c>
      <c r="AD521" s="60">
        <v>0</v>
      </c>
      <c r="AE521" s="60">
        <v>0</v>
      </c>
      <c r="AF521" s="60">
        <v>0</v>
      </c>
      <c r="AG521" s="60">
        <v>0</v>
      </c>
      <c r="AH521" s="60">
        <v>0</v>
      </c>
      <c r="AI521" s="60">
        <v>86408.56</v>
      </c>
      <c r="AJ521" s="60">
        <v>85812.74</v>
      </c>
      <c r="AK521" s="60">
        <v>97695.07</v>
      </c>
      <c r="AL521" s="60">
        <v>0</v>
      </c>
      <c r="AM521" s="60">
        <v>0</v>
      </c>
      <c r="AN521" s="60">
        <v>0</v>
      </c>
      <c r="AO521" s="60">
        <v>86408.56</v>
      </c>
      <c r="AP521" s="60">
        <v>85812.74</v>
      </c>
      <c r="AQ521" s="60">
        <v>97695.07</v>
      </c>
      <c r="AR521" s="61">
        <v>97695.07</v>
      </c>
    </row>
    <row r="522" spans="1:44" x14ac:dyDescent="0.35">
      <c r="A522" s="49" t="str">
        <f t="shared" ref="A522:A531" si="44">TEXT(19,"00")</f>
        <v>19</v>
      </c>
      <c r="B522" s="27">
        <v>64444</v>
      </c>
      <c r="C522" s="25" t="str">
        <f t="shared" si="43"/>
        <v>0000000</v>
      </c>
      <c r="D522" s="26" t="s">
        <v>3663</v>
      </c>
      <c r="E522" s="25" t="s">
        <v>918</v>
      </c>
      <c r="F522" s="25" t="s">
        <v>919</v>
      </c>
      <c r="G522" s="59" t="s">
        <v>919</v>
      </c>
      <c r="H522" s="60">
        <v>6418</v>
      </c>
      <c r="I522" s="60">
        <v>6347.12</v>
      </c>
      <c r="J522" s="60">
        <v>6871</v>
      </c>
      <c r="K522" s="60">
        <v>0</v>
      </c>
      <c r="L522" s="60">
        <v>0</v>
      </c>
      <c r="M522" s="60">
        <v>0</v>
      </c>
      <c r="N522" s="60">
        <v>0</v>
      </c>
      <c r="O522" s="60">
        <v>0</v>
      </c>
      <c r="P522" s="60">
        <v>0</v>
      </c>
      <c r="Q522" s="60">
        <v>0</v>
      </c>
      <c r="R522" s="60">
        <v>0</v>
      </c>
      <c r="S522" s="60">
        <v>0</v>
      </c>
      <c r="T522" s="60">
        <v>7.9</v>
      </c>
      <c r="U522" s="60">
        <v>7.18</v>
      </c>
      <c r="V522" s="60">
        <v>20.41</v>
      </c>
      <c r="W522" s="60">
        <v>16.59</v>
      </c>
      <c r="X522" s="60">
        <v>11.76</v>
      </c>
      <c r="Y522" s="60">
        <v>7.5</v>
      </c>
      <c r="Z522" s="60">
        <v>0</v>
      </c>
      <c r="AA522" s="60">
        <v>0</v>
      </c>
      <c r="AB522" s="60">
        <v>0</v>
      </c>
      <c r="AC522" s="60">
        <v>0</v>
      </c>
      <c r="AD522" s="60">
        <v>0</v>
      </c>
      <c r="AE522" s="60">
        <v>0</v>
      </c>
      <c r="AF522" s="60">
        <v>0</v>
      </c>
      <c r="AG522" s="60">
        <v>0</v>
      </c>
      <c r="AH522" s="60">
        <v>0</v>
      </c>
      <c r="AI522" s="60">
        <v>6442.49</v>
      </c>
      <c r="AJ522" s="60">
        <v>6366.06</v>
      </c>
      <c r="AK522" s="60">
        <v>6898.91</v>
      </c>
      <c r="AL522" s="60">
        <v>0</v>
      </c>
      <c r="AM522" s="60">
        <v>0</v>
      </c>
      <c r="AN522" s="60">
        <v>0</v>
      </c>
      <c r="AO522" s="60">
        <v>6442.49</v>
      </c>
      <c r="AP522" s="60">
        <v>6366.06</v>
      </c>
      <c r="AQ522" s="60">
        <v>6898.91</v>
      </c>
      <c r="AR522" s="61">
        <v>6898.91</v>
      </c>
    </row>
    <row r="523" spans="1:44" x14ac:dyDescent="0.35">
      <c r="A523" s="49" t="str">
        <f t="shared" si="44"/>
        <v>19</v>
      </c>
      <c r="B523" s="27">
        <v>64311</v>
      </c>
      <c r="C523" s="25" t="str">
        <f t="shared" si="43"/>
        <v>0000000</v>
      </c>
      <c r="D523" s="26" t="s">
        <v>3663</v>
      </c>
      <c r="E523" s="25" t="s">
        <v>920</v>
      </c>
      <c r="F523" s="25" t="s">
        <v>919</v>
      </c>
      <c r="G523" s="59" t="s">
        <v>921</v>
      </c>
      <c r="H523" s="60">
        <v>2940.51</v>
      </c>
      <c r="I523" s="60">
        <v>2959.6</v>
      </c>
      <c r="J523" s="60">
        <v>3398.34</v>
      </c>
      <c r="K523" s="60">
        <v>0</v>
      </c>
      <c r="L523" s="60">
        <v>0</v>
      </c>
      <c r="M523" s="60">
        <v>0</v>
      </c>
      <c r="N523" s="60">
        <v>0</v>
      </c>
      <c r="O523" s="60">
        <v>0</v>
      </c>
      <c r="P523" s="60">
        <v>0</v>
      </c>
      <c r="Q523" s="60">
        <v>0</v>
      </c>
      <c r="R523" s="60">
        <v>0</v>
      </c>
      <c r="S523" s="60">
        <v>0</v>
      </c>
      <c r="T523" s="60">
        <v>0</v>
      </c>
      <c r="U523" s="60">
        <v>0</v>
      </c>
      <c r="V523" s="60">
        <v>0</v>
      </c>
      <c r="W523" s="60">
        <v>0</v>
      </c>
      <c r="X523" s="60">
        <v>0</v>
      </c>
      <c r="Y523" s="60">
        <v>0</v>
      </c>
      <c r="Z523" s="60">
        <v>0</v>
      </c>
      <c r="AA523" s="60">
        <v>0</v>
      </c>
      <c r="AB523" s="60">
        <v>0</v>
      </c>
      <c r="AC523" s="60">
        <v>0</v>
      </c>
      <c r="AD523" s="60">
        <v>0</v>
      </c>
      <c r="AE523" s="60">
        <v>0</v>
      </c>
      <c r="AF523" s="60">
        <v>0</v>
      </c>
      <c r="AG523" s="60">
        <v>0</v>
      </c>
      <c r="AH523" s="60">
        <v>0</v>
      </c>
      <c r="AI523" s="60">
        <v>2940.51</v>
      </c>
      <c r="AJ523" s="60">
        <v>2959.6</v>
      </c>
      <c r="AK523" s="60">
        <v>3398.34</v>
      </c>
      <c r="AL523" s="60">
        <v>0</v>
      </c>
      <c r="AM523" s="60">
        <v>0</v>
      </c>
      <c r="AN523" s="60">
        <v>0</v>
      </c>
      <c r="AO523" s="60">
        <v>2940.51</v>
      </c>
      <c r="AP523" s="60">
        <v>2959.6</v>
      </c>
      <c r="AQ523" s="60">
        <v>3398.34</v>
      </c>
      <c r="AR523" s="61">
        <v>3398.34</v>
      </c>
    </row>
    <row r="524" spans="1:44" x14ac:dyDescent="0.35">
      <c r="A524" s="49" t="str">
        <f t="shared" si="44"/>
        <v>19</v>
      </c>
      <c r="B524" s="27">
        <v>64980</v>
      </c>
      <c r="C524" s="25" t="str">
        <f t="shared" si="43"/>
        <v>0000000</v>
      </c>
      <c r="D524" s="26" t="s">
        <v>3663</v>
      </c>
      <c r="E524" s="25" t="s">
        <v>1102</v>
      </c>
      <c r="F524" s="25" t="s">
        <v>919</v>
      </c>
      <c r="G524" s="59" t="s">
        <v>1103</v>
      </c>
      <c r="H524" s="60">
        <v>8232.18</v>
      </c>
      <c r="I524" s="60">
        <v>8463.9599999999991</v>
      </c>
      <c r="J524" s="60">
        <v>9840.5499999999993</v>
      </c>
      <c r="K524" s="60">
        <v>0</v>
      </c>
      <c r="L524" s="60">
        <v>0</v>
      </c>
      <c r="M524" s="60">
        <v>0</v>
      </c>
      <c r="N524" s="60">
        <v>0</v>
      </c>
      <c r="O524" s="60">
        <v>0</v>
      </c>
      <c r="P524" s="60">
        <v>0</v>
      </c>
      <c r="Q524" s="60">
        <v>0</v>
      </c>
      <c r="R524" s="60">
        <v>0</v>
      </c>
      <c r="S524" s="60">
        <v>0</v>
      </c>
      <c r="T524" s="60">
        <v>0</v>
      </c>
      <c r="U524" s="60">
        <v>0</v>
      </c>
      <c r="V524" s="60">
        <v>0</v>
      </c>
      <c r="W524" s="60">
        <v>0</v>
      </c>
      <c r="X524" s="60">
        <v>0</v>
      </c>
      <c r="Y524" s="60">
        <v>0</v>
      </c>
      <c r="Z524" s="60">
        <v>0</v>
      </c>
      <c r="AA524" s="60">
        <v>0</v>
      </c>
      <c r="AB524" s="60">
        <v>0</v>
      </c>
      <c r="AC524" s="60">
        <v>0</v>
      </c>
      <c r="AD524" s="60">
        <v>0</v>
      </c>
      <c r="AE524" s="60">
        <v>0</v>
      </c>
      <c r="AF524" s="60">
        <v>0</v>
      </c>
      <c r="AG524" s="60">
        <v>0</v>
      </c>
      <c r="AH524" s="60">
        <v>0</v>
      </c>
      <c r="AI524" s="60">
        <v>8232.18</v>
      </c>
      <c r="AJ524" s="60">
        <v>8463.9599999999991</v>
      </c>
      <c r="AK524" s="60">
        <v>9840.5499999999993</v>
      </c>
      <c r="AL524" s="60">
        <v>0</v>
      </c>
      <c r="AM524" s="60">
        <v>0</v>
      </c>
      <c r="AN524" s="60">
        <v>0</v>
      </c>
      <c r="AO524" s="60">
        <v>8232.18</v>
      </c>
      <c r="AP524" s="60">
        <v>8463.9599999999991</v>
      </c>
      <c r="AQ524" s="60">
        <v>9840.5499999999993</v>
      </c>
      <c r="AR524" s="61">
        <v>9840.5499999999993</v>
      </c>
    </row>
    <row r="525" spans="1:44" x14ac:dyDescent="0.35">
      <c r="A525" s="49" t="str">
        <f t="shared" si="44"/>
        <v>19</v>
      </c>
      <c r="B525" s="27">
        <v>65128</v>
      </c>
      <c r="C525" s="25" t="str">
        <f t="shared" si="43"/>
        <v>0000000</v>
      </c>
      <c r="D525" s="26" t="s">
        <v>3663</v>
      </c>
      <c r="E525" s="25" t="s">
        <v>954</v>
      </c>
      <c r="F525" s="25" t="s">
        <v>955</v>
      </c>
      <c r="G525" s="59" t="s">
        <v>955</v>
      </c>
      <c r="H525" s="60">
        <v>9848.1299999999992</v>
      </c>
      <c r="I525" s="60">
        <v>9909.43</v>
      </c>
      <c r="J525" s="60">
        <v>10744.63</v>
      </c>
      <c r="K525" s="60">
        <v>0</v>
      </c>
      <c r="L525" s="60">
        <v>0</v>
      </c>
      <c r="M525" s="60">
        <v>0</v>
      </c>
      <c r="N525" s="60">
        <v>0</v>
      </c>
      <c r="O525" s="60">
        <v>0</v>
      </c>
      <c r="P525" s="60">
        <v>0</v>
      </c>
      <c r="Q525" s="60">
        <v>0</v>
      </c>
      <c r="R525" s="60">
        <v>0</v>
      </c>
      <c r="S525" s="60">
        <v>0</v>
      </c>
      <c r="T525" s="60">
        <v>15.93</v>
      </c>
      <c r="U525" s="60">
        <v>14.52</v>
      </c>
      <c r="V525" s="60">
        <v>41.36</v>
      </c>
      <c r="W525" s="60">
        <v>25.57</v>
      </c>
      <c r="X525" s="60">
        <v>22.53</v>
      </c>
      <c r="Y525" s="60">
        <v>40.71</v>
      </c>
      <c r="Z525" s="60">
        <v>0</v>
      </c>
      <c r="AA525" s="60">
        <v>0</v>
      </c>
      <c r="AB525" s="60">
        <v>0</v>
      </c>
      <c r="AC525" s="60">
        <v>0</v>
      </c>
      <c r="AD525" s="60">
        <v>0</v>
      </c>
      <c r="AE525" s="60">
        <v>0</v>
      </c>
      <c r="AF525" s="60">
        <v>0</v>
      </c>
      <c r="AG525" s="60">
        <v>0</v>
      </c>
      <c r="AH525" s="60">
        <v>0</v>
      </c>
      <c r="AI525" s="60">
        <v>9889.6299999999992</v>
      </c>
      <c r="AJ525" s="60">
        <v>9946.48</v>
      </c>
      <c r="AK525" s="60">
        <v>10826.7</v>
      </c>
      <c r="AL525" s="60">
        <v>0</v>
      </c>
      <c r="AM525" s="60">
        <v>0</v>
      </c>
      <c r="AN525" s="60">
        <v>0</v>
      </c>
      <c r="AO525" s="60">
        <v>9889.6299999999992</v>
      </c>
      <c r="AP525" s="60">
        <v>9946.48</v>
      </c>
      <c r="AQ525" s="60">
        <v>10826.7</v>
      </c>
      <c r="AR525" s="61">
        <v>10826.7</v>
      </c>
    </row>
    <row r="526" spans="1:44" x14ac:dyDescent="0.35">
      <c r="A526" s="49" t="str">
        <f t="shared" si="44"/>
        <v>19</v>
      </c>
      <c r="B526" s="27">
        <v>64527</v>
      </c>
      <c r="C526" s="25" t="str">
        <f t="shared" si="43"/>
        <v>0000000</v>
      </c>
      <c r="D526" s="26" t="s">
        <v>3663</v>
      </c>
      <c r="E526" s="25" t="s">
        <v>962</v>
      </c>
      <c r="F526" s="25" t="s">
        <v>955</v>
      </c>
      <c r="G526" s="59" t="s">
        <v>963</v>
      </c>
      <c r="H526" s="60">
        <v>6695.56</v>
      </c>
      <c r="I526" s="60">
        <v>6645.83</v>
      </c>
      <c r="J526" s="60">
        <v>7872.93</v>
      </c>
      <c r="K526" s="60">
        <v>0</v>
      </c>
      <c r="L526" s="60">
        <v>0</v>
      </c>
      <c r="M526" s="60">
        <v>0</v>
      </c>
      <c r="N526" s="60">
        <v>0</v>
      </c>
      <c r="O526" s="60">
        <v>0</v>
      </c>
      <c r="P526" s="60">
        <v>0</v>
      </c>
      <c r="Q526" s="60">
        <v>0</v>
      </c>
      <c r="R526" s="60">
        <v>0</v>
      </c>
      <c r="S526" s="60">
        <v>0</v>
      </c>
      <c r="T526" s="60">
        <v>0</v>
      </c>
      <c r="U526" s="60">
        <v>0</v>
      </c>
      <c r="V526" s="60">
        <v>0</v>
      </c>
      <c r="W526" s="60">
        <v>0</v>
      </c>
      <c r="X526" s="60">
        <v>0</v>
      </c>
      <c r="Y526" s="60">
        <v>0</v>
      </c>
      <c r="Z526" s="60">
        <v>0</v>
      </c>
      <c r="AA526" s="60">
        <v>0</v>
      </c>
      <c r="AB526" s="60">
        <v>0</v>
      </c>
      <c r="AC526" s="60">
        <v>0</v>
      </c>
      <c r="AD526" s="60">
        <v>0</v>
      </c>
      <c r="AE526" s="60">
        <v>0</v>
      </c>
      <c r="AF526" s="60">
        <v>0</v>
      </c>
      <c r="AG526" s="60">
        <v>0</v>
      </c>
      <c r="AH526" s="60">
        <v>0</v>
      </c>
      <c r="AI526" s="60">
        <v>6695.56</v>
      </c>
      <c r="AJ526" s="60">
        <v>6645.83</v>
      </c>
      <c r="AK526" s="60">
        <v>7872.93</v>
      </c>
      <c r="AL526" s="60">
        <v>0</v>
      </c>
      <c r="AM526" s="60">
        <v>0</v>
      </c>
      <c r="AN526" s="60">
        <v>0</v>
      </c>
      <c r="AO526" s="60">
        <v>6695.56</v>
      </c>
      <c r="AP526" s="60">
        <v>6645.83</v>
      </c>
      <c r="AQ526" s="60">
        <v>7872.93</v>
      </c>
      <c r="AR526" s="61">
        <v>7872.93</v>
      </c>
    </row>
    <row r="527" spans="1:44" x14ac:dyDescent="0.35">
      <c r="A527" s="49" t="str">
        <f t="shared" si="44"/>
        <v>19</v>
      </c>
      <c r="B527" s="27">
        <v>64717</v>
      </c>
      <c r="C527" s="25" t="str">
        <f t="shared" si="43"/>
        <v>0000000</v>
      </c>
      <c r="D527" s="26" t="s">
        <v>3663</v>
      </c>
      <c r="E527" s="25" t="s">
        <v>1024</v>
      </c>
      <c r="F527" s="25" t="s">
        <v>955</v>
      </c>
      <c r="G527" s="59" t="s">
        <v>1025</v>
      </c>
      <c r="H527" s="60">
        <v>3463.56</v>
      </c>
      <c r="I527" s="60">
        <v>3421.22</v>
      </c>
      <c r="J527" s="60">
        <v>4151.93</v>
      </c>
      <c r="K527" s="60">
        <v>0</v>
      </c>
      <c r="L527" s="60">
        <v>0</v>
      </c>
      <c r="M527" s="60">
        <v>0</v>
      </c>
      <c r="N527" s="60">
        <v>0</v>
      </c>
      <c r="O527" s="60">
        <v>0</v>
      </c>
      <c r="P527" s="60">
        <v>0</v>
      </c>
      <c r="Q527" s="60">
        <v>0</v>
      </c>
      <c r="R527" s="60">
        <v>0</v>
      </c>
      <c r="S527" s="60">
        <v>0</v>
      </c>
      <c r="T527" s="60">
        <v>0</v>
      </c>
      <c r="U527" s="60">
        <v>0</v>
      </c>
      <c r="V527" s="60">
        <v>0</v>
      </c>
      <c r="W527" s="60">
        <v>0</v>
      </c>
      <c r="X527" s="60">
        <v>0</v>
      </c>
      <c r="Y527" s="60">
        <v>0</v>
      </c>
      <c r="Z527" s="60">
        <v>0</v>
      </c>
      <c r="AA527" s="60">
        <v>0</v>
      </c>
      <c r="AB527" s="60">
        <v>0</v>
      </c>
      <c r="AC527" s="60">
        <v>0</v>
      </c>
      <c r="AD527" s="60">
        <v>0</v>
      </c>
      <c r="AE527" s="60">
        <v>0</v>
      </c>
      <c r="AF527" s="60">
        <v>0</v>
      </c>
      <c r="AG527" s="60">
        <v>0</v>
      </c>
      <c r="AH527" s="60">
        <v>0</v>
      </c>
      <c r="AI527" s="60">
        <v>3463.56</v>
      </c>
      <c r="AJ527" s="60">
        <v>3421.22</v>
      </c>
      <c r="AK527" s="60">
        <v>4151.93</v>
      </c>
      <c r="AL527" s="60">
        <v>0</v>
      </c>
      <c r="AM527" s="60">
        <v>0</v>
      </c>
      <c r="AN527" s="60">
        <v>0</v>
      </c>
      <c r="AO527" s="60">
        <v>3463.56</v>
      </c>
      <c r="AP527" s="60">
        <v>3421.22</v>
      </c>
      <c r="AQ527" s="60">
        <v>4151.93</v>
      </c>
      <c r="AR527" s="61">
        <v>4151.93</v>
      </c>
    </row>
    <row r="528" spans="1:44" x14ac:dyDescent="0.35">
      <c r="A528" s="49" t="str">
        <f t="shared" si="44"/>
        <v>19</v>
      </c>
      <c r="B528" s="27">
        <v>64758</v>
      </c>
      <c r="C528" s="25" t="str">
        <f t="shared" si="43"/>
        <v>0000000</v>
      </c>
      <c r="D528" s="26" t="s">
        <v>3663</v>
      </c>
      <c r="E528" s="25" t="s">
        <v>1057</v>
      </c>
      <c r="F528" s="25" t="s">
        <v>955</v>
      </c>
      <c r="G528" s="59" t="s">
        <v>1058</v>
      </c>
      <c r="H528" s="60">
        <v>1140.1400000000001</v>
      </c>
      <c r="I528" s="60">
        <v>1190.94</v>
      </c>
      <c r="J528" s="60">
        <v>1439.61</v>
      </c>
      <c r="K528" s="60">
        <v>0</v>
      </c>
      <c r="L528" s="60">
        <v>0</v>
      </c>
      <c r="M528" s="60">
        <v>0</v>
      </c>
      <c r="N528" s="60">
        <v>0</v>
      </c>
      <c r="O528" s="60">
        <v>0</v>
      </c>
      <c r="P528" s="60">
        <v>0</v>
      </c>
      <c r="Q528" s="60">
        <v>0</v>
      </c>
      <c r="R528" s="60">
        <v>0</v>
      </c>
      <c r="S528" s="60">
        <v>0</v>
      </c>
      <c r="T528" s="60">
        <v>0</v>
      </c>
      <c r="U528" s="60">
        <v>0</v>
      </c>
      <c r="V528" s="60">
        <v>0</v>
      </c>
      <c r="W528" s="60">
        <v>0</v>
      </c>
      <c r="X528" s="60">
        <v>0</v>
      </c>
      <c r="Y528" s="60">
        <v>0</v>
      </c>
      <c r="Z528" s="60">
        <v>0</v>
      </c>
      <c r="AA528" s="60">
        <v>0</v>
      </c>
      <c r="AB528" s="60">
        <v>0</v>
      </c>
      <c r="AC528" s="60">
        <v>0</v>
      </c>
      <c r="AD528" s="60">
        <v>0</v>
      </c>
      <c r="AE528" s="60">
        <v>0</v>
      </c>
      <c r="AF528" s="60">
        <v>0</v>
      </c>
      <c r="AG528" s="60">
        <v>0</v>
      </c>
      <c r="AH528" s="60">
        <v>0</v>
      </c>
      <c r="AI528" s="60">
        <v>1140.1400000000001</v>
      </c>
      <c r="AJ528" s="60">
        <v>1190.94</v>
      </c>
      <c r="AK528" s="60">
        <v>1439.61</v>
      </c>
      <c r="AL528" s="60">
        <v>0</v>
      </c>
      <c r="AM528" s="60">
        <v>0</v>
      </c>
      <c r="AN528" s="60">
        <v>0</v>
      </c>
      <c r="AO528" s="60">
        <v>1140.1400000000001</v>
      </c>
      <c r="AP528" s="60">
        <v>1190.94</v>
      </c>
      <c r="AQ528" s="60">
        <v>1439.61</v>
      </c>
      <c r="AR528" s="61">
        <v>1439.61</v>
      </c>
    </row>
    <row r="529" spans="1:44" x14ac:dyDescent="0.35">
      <c r="A529" s="49" t="str">
        <f t="shared" si="44"/>
        <v>19</v>
      </c>
      <c r="B529" s="27">
        <v>65037</v>
      </c>
      <c r="C529" s="25" t="str">
        <f t="shared" si="43"/>
        <v>0000000</v>
      </c>
      <c r="D529" s="26" t="s">
        <v>3663</v>
      </c>
      <c r="E529" s="25" t="s">
        <v>1108</v>
      </c>
      <c r="F529" s="25" t="s">
        <v>955</v>
      </c>
      <c r="G529" s="59" t="s">
        <v>1109</v>
      </c>
      <c r="H529" s="60">
        <v>2117.0300000000002</v>
      </c>
      <c r="I529" s="60">
        <v>2140.16</v>
      </c>
      <c r="J529" s="60">
        <v>2465.4499999999998</v>
      </c>
      <c r="K529" s="60">
        <v>0</v>
      </c>
      <c r="L529" s="60">
        <v>0</v>
      </c>
      <c r="M529" s="60">
        <v>0</v>
      </c>
      <c r="N529" s="60">
        <v>0</v>
      </c>
      <c r="O529" s="60">
        <v>0</v>
      </c>
      <c r="P529" s="60">
        <v>0</v>
      </c>
      <c r="Q529" s="60">
        <v>0</v>
      </c>
      <c r="R529" s="60">
        <v>0</v>
      </c>
      <c r="S529" s="60">
        <v>0</v>
      </c>
      <c r="T529" s="60">
        <v>0</v>
      </c>
      <c r="U529" s="60">
        <v>0</v>
      </c>
      <c r="V529" s="60">
        <v>0</v>
      </c>
      <c r="W529" s="60">
        <v>0</v>
      </c>
      <c r="X529" s="60">
        <v>0</v>
      </c>
      <c r="Y529" s="60">
        <v>0</v>
      </c>
      <c r="Z529" s="60">
        <v>0</v>
      </c>
      <c r="AA529" s="60">
        <v>0</v>
      </c>
      <c r="AB529" s="60">
        <v>0</v>
      </c>
      <c r="AC529" s="60">
        <v>0</v>
      </c>
      <c r="AD529" s="60">
        <v>0</v>
      </c>
      <c r="AE529" s="60">
        <v>0</v>
      </c>
      <c r="AF529" s="60">
        <v>0</v>
      </c>
      <c r="AG529" s="60">
        <v>0</v>
      </c>
      <c r="AH529" s="60">
        <v>0</v>
      </c>
      <c r="AI529" s="60">
        <v>2117.0300000000002</v>
      </c>
      <c r="AJ529" s="60">
        <v>2140.16</v>
      </c>
      <c r="AK529" s="60">
        <v>2465.4499999999998</v>
      </c>
      <c r="AL529" s="60">
        <v>0</v>
      </c>
      <c r="AM529" s="60">
        <v>0</v>
      </c>
      <c r="AN529" s="60">
        <v>0</v>
      </c>
      <c r="AO529" s="60">
        <v>2117.0300000000002</v>
      </c>
      <c r="AP529" s="60">
        <v>2140.16</v>
      </c>
      <c r="AQ529" s="60">
        <v>2465.4499999999998</v>
      </c>
      <c r="AR529" s="61">
        <v>2465.4499999999998</v>
      </c>
    </row>
    <row r="530" spans="1:44" x14ac:dyDescent="0.35">
      <c r="A530" s="49" t="str">
        <f t="shared" si="44"/>
        <v>19</v>
      </c>
      <c r="B530" s="27">
        <v>65110</v>
      </c>
      <c r="C530" s="25" t="str">
        <f t="shared" si="43"/>
        <v>0000000</v>
      </c>
      <c r="D530" s="26" t="s">
        <v>3663</v>
      </c>
      <c r="E530" s="25" t="s">
        <v>1128</v>
      </c>
      <c r="F530" s="25" t="s">
        <v>955</v>
      </c>
      <c r="G530" s="59" t="s">
        <v>1129</v>
      </c>
      <c r="H530" s="60">
        <v>5041.82</v>
      </c>
      <c r="I530" s="60">
        <v>5208.08</v>
      </c>
      <c r="J530" s="60">
        <v>5759.31</v>
      </c>
      <c r="K530" s="60">
        <v>0</v>
      </c>
      <c r="L530" s="60">
        <v>0</v>
      </c>
      <c r="M530" s="60">
        <v>0</v>
      </c>
      <c r="N530" s="60">
        <v>0</v>
      </c>
      <c r="O530" s="60">
        <v>0</v>
      </c>
      <c r="P530" s="60">
        <v>0</v>
      </c>
      <c r="Q530" s="60">
        <v>0</v>
      </c>
      <c r="R530" s="60">
        <v>0</v>
      </c>
      <c r="S530" s="60">
        <v>0</v>
      </c>
      <c r="T530" s="60">
        <v>0</v>
      </c>
      <c r="U530" s="60">
        <v>0</v>
      </c>
      <c r="V530" s="60">
        <v>0</v>
      </c>
      <c r="W530" s="60">
        <v>0</v>
      </c>
      <c r="X530" s="60">
        <v>0</v>
      </c>
      <c r="Y530" s="60">
        <v>0</v>
      </c>
      <c r="Z530" s="60">
        <v>0</v>
      </c>
      <c r="AA530" s="60">
        <v>0</v>
      </c>
      <c r="AB530" s="60">
        <v>0</v>
      </c>
      <c r="AC530" s="60">
        <v>0</v>
      </c>
      <c r="AD530" s="60">
        <v>0</v>
      </c>
      <c r="AE530" s="60">
        <v>0</v>
      </c>
      <c r="AF530" s="60">
        <v>0</v>
      </c>
      <c r="AG530" s="60">
        <v>0</v>
      </c>
      <c r="AH530" s="60">
        <v>0</v>
      </c>
      <c r="AI530" s="60">
        <v>5041.82</v>
      </c>
      <c r="AJ530" s="60">
        <v>5208.08</v>
      </c>
      <c r="AK530" s="60">
        <v>5759.31</v>
      </c>
      <c r="AL530" s="60">
        <v>0</v>
      </c>
      <c r="AM530" s="60">
        <v>0</v>
      </c>
      <c r="AN530" s="60">
        <v>0</v>
      </c>
      <c r="AO530" s="60">
        <v>5041.82</v>
      </c>
      <c r="AP530" s="60">
        <v>5208.08</v>
      </c>
      <c r="AQ530" s="60">
        <v>5759.31</v>
      </c>
      <c r="AR530" s="61">
        <v>5759.31</v>
      </c>
    </row>
    <row r="531" spans="1:44" x14ac:dyDescent="0.35">
      <c r="A531" s="49" t="str">
        <f t="shared" si="44"/>
        <v>19</v>
      </c>
      <c r="B531" s="27">
        <v>64485</v>
      </c>
      <c r="C531" s="25" t="str">
        <f t="shared" si="43"/>
        <v>0000000</v>
      </c>
      <c r="D531" s="26" t="s">
        <v>3663</v>
      </c>
      <c r="E531" s="25" t="s">
        <v>956</v>
      </c>
      <c r="F531" s="25" t="s">
        <v>955</v>
      </c>
      <c r="G531" s="59" t="s">
        <v>957</v>
      </c>
      <c r="H531" s="60">
        <v>7182.4</v>
      </c>
      <c r="I531" s="60">
        <v>7341.07</v>
      </c>
      <c r="J531" s="60">
        <v>8124.39</v>
      </c>
      <c r="K531" s="60">
        <v>0</v>
      </c>
      <c r="L531" s="60">
        <v>0</v>
      </c>
      <c r="M531" s="60">
        <v>0</v>
      </c>
      <c r="N531" s="60">
        <v>0</v>
      </c>
      <c r="O531" s="60">
        <v>0</v>
      </c>
      <c r="P531" s="60">
        <v>0</v>
      </c>
      <c r="Q531" s="60">
        <v>0</v>
      </c>
      <c r="R531" s="60">
        <v>0</v>
      </c>
      <c r="S531" s="60">
        <v>0</v>
      </c>
      <c r="T531" s="60">
        <v>0</v>
      </c>
      <c r="U531" s="60">
        <v>0</v>
      </c>
      <c r="V531" s="60">
        <v>0</v>
      </c>
      <c r="W531" s="60">
        <v>0</v>
      </c>
      <c r="X531" s="60">
        <v>0</v>
      </c>
      <c r="Y531" s="60">
        <v>0</v>
      </c>
      <c r="Z531" s="60">
        <v>0</v>
      </c>
      <c r="AA531" s="60">
        <v>0</v>
      </c>
      <c r="AB531" s="60">
        <v>0</v>
      </c>
      <c r="AC531" s="60">
        <v>0</v>
      </c>
      <c r="AD531" s="60">
        <v>0</v>
      </c>
      <c r="AE531" s="60">
        <v>0</v>
      </c>
      <c r="AF531" s="60">
        <v>0</v>
      </c>
      <c r="AG531" s="60">
        <v>0</v>
      </c>
      <c r="AH531" s="60">
        <v>0</v>
      </c>
      <c r="AI531" s="60">
        <v>7182.4</v>
      </c>
      <c r="AJ531" s="60">
        <v>7341.07</v>
      </c>
      <c r="AK531" s="60">
        <v>8124.39</v>
      </c>
      <c r="AL531" s="60">
        <v>0</v>
      </c>
      <c r="AM531" s="60">
        <v>0</v>
      </c>
      <c r="AN531" s="60">
        <v>0</v>
      </c>
      <c r="AO531" s="60">
        <v>7182.4</v>
      </c>
      <c r="AP531" s="60">
        <v>7341.07</v>
      </c>
      <c r="AQ531" s="60">
        <v>8124.39</v>
      </c>
      <c r="AR531" s="61">
        <v>8124.39</v>
      </c>
    </row>
    <row r="532" spans="1:44" x14ac:dyDescent="0.35">
      <c r="A532" s="49" t="str">
        <f t="shared" ref="A532:A548" si="45">TEXT(13,"00")</f>
        <v>13</v>
      </c>
      <c r="B532" s="27">
        <v>10132</v>
      </c>
      <c r="C532" s="25" t="str">
        <f t="shared" si="43"/>
        <v>0000000</v>
      </c>
      <c r="D532" s="26" t="s">
        <v>3663</v>
      </c>
      <c r="E532" s="25" t="s">
        <v>587</v>
      </c>
      <c r="F532" s="25" t="s">
        <v>588</v>
      </c>
      <c r="G532" s="59" t="s">
        <v>588</v>
      </c>
      <c r="H532" s="60">
        <v>0</v>
      </c>
      <c r="I532" s="60">
        <v>0</v>
      </c>
      <c r="J532" s="60">
        <v>0</v>
      </c>
      <c r="K532" s="60">
        <v>0</v>
      </c>
      <c r="L532" s="60">
        <v>0</v>
      </c>
      <c r="M532" s="60">
        <v>0</v>
      </c>
      <c r="N532" s="60">
        <v>0</v>
      </c>
      <c r="O532" s="60">
        <v>0</v>
      </c>
      <c r="P532" s="60">
        <v>0</v>
      </c>
      <c r="Q532" s="60">
        <v>0</v>
      </c>
      <c r="R532" s="60">
        <v>0</v>
      </c>
      <c r="S532" s="60">
        <v>0</v>
      </c>
      <c r="T532" s="60">
        <v>153.36000000000001</v>
      </c>
      <c r="U532" s="60">
        <v>122.48</v>
      </c>
      <c r="V532" s="60">
        <v>194.44</v>
      </c>
      <c r="W532" s="60">
        <v>637.97</v>
      </c>
      <c r="X532" s="60">
        <v>523.59</v>
      </c>
      <c r="Y532" s="60">
        <v>584.22</v>
      </c>
      <c r="Z532" s="60">
        <v>0</v>
      </c>
      <c r="AA532" s="60">
        <v>0</v>
      </c>
      <c r="AB532" s="60">
        <v>0</v>
      </c>
      <c r="AC532" s="60">
        <v>0</v>
      </c>
      <c r="AD532" s="60">
        <v>0</v>
      </c>
      <c r="AE532" s="60">
        <v>0</v>
      </c>
      <c r="AF532" s="60">
        <v>0</v>
      </c>
      <c r="AG532" s="60">
        <v>0</v>
      </c>
      <c r="AH532" s="60">
        <v>0</v>
      </c>
      <c r="AI532" s="60">
        <v>791.33</v>
      </c>
      <c r="AJ532" s="60">
        <v>646.07000000000005</v>
      </c>
      <c r="AK532" s="60">
        <v>778.66</v>
      </c>
      <c r="AL532" s="60">
        <v>0</v>
      </c>
      <c r="AM532" s="60">
        <v>0</v>
      </c>
      <c r="AN532" s="60">
        <v>0</v>
      </c>
      <c r="AO532" s="60">
        <v>791.33</v>
      </c>
      <c r="AP532" s="60">
        <v>646.07000000000005</v>
      </c>
      <c r="AQ532" s="60">
        <v>778.66</v>
      </c>
      <c r="AR532" s="61">
        <v>791.33</v>
      </c>
    </row>
    <row r="533" spans="1:44" x14ac:dyDescent="0.35">
      <c r="A533" s="49" t="str">
        <f t="shared" si="45"/>
        <v>13</v>
      </c>
      <c r="B533" s="27">
        <v>63073</v>
      </c>
      <c r="C533" s="25" t="str">
        <f t="shared" si="43"/>
        <v>0000000</v>
      </c>
      <c r="D533" s="26" t="s">
        <v>3663</v>
      </c>
      <c r="E533" s="25" t="s">
        <v>589</v>
      </c>
      <c r="F533" s="25" t="s">
        <v>588</v>
      </c>
      <c r="G533" s="59" t="s">
        <v>590</v>
      </c>
      <c r="H533" s="60">
        <v>3500.74</v>
      </c>
      <c r="I533" s="60">
        <v>3329.5</v>
      </c>
      <c r="J533" s="60">
        <v>3802.95</v>
      </c>
      <c r="K533" s="60">
        <v>0</v>
      </c>
      <c r="L533" s="60">
        <v>0</v>
      </c>
      <c r="M533" s="60">
        <v>0</v>
      </c>
      <c r="N533" s="60">
        <v>0</v>
      </c>
      <c r="O533" s="60">
        <v>0</v>
      </c>
      <c r="P533" s="60">
        <v>0</v>
      </c>
      <c r="Q533" s="60">
        <v>0</v>
      </c>
      <c r="R533" s="60">
        <v>0</v>
      </c>
      <c r="S533" s="60">
        <v>0</v>
      </c>
      <c r="T533" s="60">
        <v>0</v>
      </c>
      <c r="U533" s="60">
        <v>0</v>
      </c>
      <c r="V533" s="60">
        <v>0</v>
      </c>
      <c r="W533" s="60">
        <v>0</v>
      </c>
      <c r="X533" s="60">
        <v>0</v>
      </c>
      <c r="Y533" s="60">
        <v>0</v>
      </c>
      <c r="Z533" s="60">
        <v>0</v>
      </c>
      <c r="AA533" s="60">
        <v>0</v>
      </c>
      <c r="AB533" s="60">
        <v>0</v>
      </c>
      <c r="AC533" s="60">
        <v>0</v>
      </c>
      <c r="AD533" s="60">
        <v>0</v>
      </c>
      <c r="AE533" s="60">
        <v>0</v>
      </c>
      <c r="AF533" s="60">
        <v>0</v>
      </c>
      <c r="AG533" s="60">
        <v>0</v>
      </c>
      <c r="AH533" s="60">
        <v>0</v>
      </c>
      <c r="AI533" s="60">
        <v>3500.74</v>
      </c>
      <c r="AJ533" s="60">
        <v>3329.5</v>
      </c>
      <c r="AK533" s="60">
        <v>3802.95</v>
      </c>
      <c r="AL533" s="60">
        <v>0</v>
      </c>
      <c r="AM533" s="60">
        <v>0</v>
      </c>
      <c r="AN533" s="60">
        <v>0</v>
      </c>
      <c r="AO533" s="60">
        <v>3500.74</v>
      </c>
      <c r="AP533" s="60">
        <v>3329.5</v>
      </c>
      <c r="AQ533" s="60">
        <v>3802.95</v>
      </c>
      <c r="AR533" s="61">
        <v>3802.95</v>
      </c>
    </row>
    <row r="534" spans="1:44" x14ac:dyDescent="0.35">
      <c r="A534" s="49" t="str">
        <f t="shared" si="45"/>
        <v>13</v>
      </c>
      <c r="B534" s="27">
        <v>63081</v>
      </c>
      <c r="C534" s="25" t="str">
        <f t="shared" si="43"/>
        <v>0000000</v>
      </c>
      <c r="D534" s="26" t="s">
        <v>3663</v>
      </c>
      <c r="E534" s="25" t="s">
        <v>591</v>
      </c>
      <c r="F534" s="25" t="s">
        <v>588</v>
      </c>
      <c r="G534" s="59" t="s">
        <v>592</v>
      </c>
      <c r="H534" s="60">
        <v>1873.64</v>
      </c>
      <c r="I534" s="60">
        <v>1828.73</v>
      </c>
      <c r="J534" s="60">
        <v>1879.15</v>
      </c>
      <c r="K534" s="60">
        <v>0</v>
      </c>
      <c r="L534" s="60">
        <v>0</v>
      </c>
      <c r="M534" s="60">
        <v>0</v>
      </c>
      <c r="N534" s="60">
        <v>0</v>
      </c>
      <c r="O534" s="60">
        <v>0</v>
      </c>
      <c r="P534" s="60">
        <v>0</v>
      </c>
      <c r="Q534" s="60">
        <v>0</v>
      </c>
      <c r="R534" s="60">
        <v>0</v>
      </c>
      <c r="S534" s="60">
        <v>0</v>
      </c>
      <c r="T534" s="60">
        <v>0</v>
      </c>
      <c r="U534" s="60">
        <v>0</v>
      </c>
      <c r="V534" s="60">
        <v>0</v>
      </c>
      <c r="W534" s="60">
        <v>0</v>
      </c>
      <c r="X534" s="60">
        <v>0</v>
      </c>
      <c r="Y534" s="60">
        <v>0</v>
      </c>
      <c r="Z534" s="60">
        <v>0</v>
      </c>
      <c r="AA534" s="60">
        <v>0</v>
      </c>
      <c r="AB534" s="60">
        <v>0</v>
      </c>
      <c r="AC534" s="60">
        <v>0</v>
      </c>
      <c r="AD534" s="60">
        <v>0</v>
      </c>
      <c r="AE534" s="60">
        <v>0</v>
      </c>
      <c r="AF534" s="60">
        <v>0</v>
      </c>
      <c r="AG534" s="60">
        <v>0</v>
      </c>
      <c r="AH534" s="60">
        <v>0</v>
      </c>
      <c r="AI534" s="60">
        <v>1873.64</v>
      </c>
      <c r="AJ534" s="60">
        <v>1828.73</v>
      </c>
      <c r="AK534" s="60">
        <v>1879.15</v>
      </c>
      <c r="AL534" s="60">
        <v>0</v>
      </c>
      <c r="AM534" s="60">
        <v>0</v>
      </c>
      <c r="AN534" s="60">
        <v>0</v>
      </c>
      <c r="AO534" s="60">
        <v>1873.64</v>
      </c>
      <c r="AP534" s="60">
        <v>1828.73</v>
      </c>
      <c r="AQ534" s="60">
        <v>1879.15</v>
      </c>
      <c r="AR534" s="61">
        <v>1879.15</v>
      </c>
    </row>
    <row r="535" spans="1:44" x14ac:dyDescent="0.35">
      <c r="A535" s="49" t="str">
        <f t="shared" si="45"/>
        <v>13</v>
      </c>
      <c r="B535" s="27">
        <v>63099</v>
      </c>
      <c r="C535" s="25" t="str">
        <f t="shared" si="43"/>
        <v>0000000</v>
      </c>
      <c r="D535" s="26" t="s">
        <v>3663</v>
      </c>
      <c r="E535" s="25" t="s">
        <v>593</v>
      </c>
      <c r="F535" s="25" t="s">
        <v>588</v>
      </c>
      <c r="G535" s="59" t="s">
        <v>594</v>
      </c>
      <c r="H535" s="60">
        <v>7617.65</v>
      </c>
      <c r="I535" s="60">
        <v>7317.06</v>
      </c>
      <c r="J535" s="60">
        <v>8543.89</v>
      </c>
      <c r="K535" s="60">
        <v>0</v>
      </c>
      <c r="L535" s="60">
        <v>0</v>
      </c>
      <c r="M535" s="60">
        <v>0</v>
      </c>
      <c r="N535" s="60">
        <v>0</v>
      </c>
      <c r="O535" s="60">
        <v>0</v>
      </c>
      <c r="P535" s="60">
        <v>0</v>
      </c>
      <c r="Q535" s="60">
        <v>0</v>
      </c>
      <c r="R535" s="60">
        <v>0</v>
      </c>
      <c r="S535" s="60">
        <v>0</v>
      </c>
      <c r="T535" s="60">
        <v>0</v>
      </c>
      <c r="U535" s="60">
        <v>0</v>
      </c>
      <c r="V535" s="60">
        <v>0</v>
      </c>
      <c r="W535" s="60">
        <v>0</v>
      </c>
      <c r="X535" s="60">
        <v>0</v>
      </c>
      <c r="Y535" s="60">
        <v>0</v>
      </c>
      <c r="Z535" s="60">
        <v>0</v>
      </c>
      <c r="AA535" s="60">
        <v>0</v>
      </c>
      <c r="AB535" s="60">
        <v>0</v>
      </c>
      <c r="AC535" s="60">
        <v>0</v>
      </c>
      <c r="AD535" s="60">
        <v>0</v>
      </c>
      <c r="AE535" s="60">
        <v>0</v>
      </c>
      <c r="AF535" s="60">
        <v>0</v>
      </c>
      <c r="AG535" s="60">
        <v>0</v>
      </c>
      <c r="AH535" s="60">
        <v>0</v>
      </c>
      <c r="AI535" s="60">
        <v>7617.65</v>
      </c>
      <c r="AJ535" s="60">
        <v>7317.06</v>
      </c>
      <c r="AK535" s="60">
        <v>8543.89</v>
      </c>
      <c r="AL535" s="60">
        <v>0</v>
      </c>
      <c r="AM535" s="60">
        <v>0</v>
      </c>
      <c r="AN535" s="60">
        <v>0</v>
      </c>
      <c r="AO535" s="60">
        <v>7617.65</v>
      </c>
      <c r="AP535" s="60">
        <v>7317.06</v>
      </c>
      <c r="AQ535" s="60">
        <v>8543.89</v>
      </c>
      <c r="AR535" s="61">
        <v>8543.89</v>
      </c>
    </row>
    <row r="536" spans="1:44" x14ac:dyDescent="0.35">
      <c r="A536" s="49" t="str">
        <f t="shared" si="45"/>
        <v>13</v>
      </c>
      <c r="B536" s="27">
        <v>63107</v>
      </c>
      <c r="C536" s="25" t="str">
        <f t="shared" si="43"/>
        <v>0000000</v>
      </c>
      <c r="D536" s="26" t="s">
        <v>3663</v>
      </c>
      <c r="E536" s="25" t="s">
        <v>595</v>
      </c>
      <c r="F536" s="25" t="s">
        <v>588</v>
      </c>
      <c r="G536" s="59" t="s">
        <v>596</v>
      </c>
      <c r="H536" s="60">
        <v>1049</v>
      </c>
      <c r="I536" s="60">
        <v>997.83</v>
      </c>
      <c r="J536" s="60">
        <v>1087.3399999999999</v>
      </c>
      <c r="K536" s="60">
        <v>0</v>
      </c>
      <c r="L536" s="60">
        <v>0</v>
      </c>
      <c r="M536" s="60">
        <v>0</v>
      </c>
      <c r="N536" s="60">
        <v>0</v>
      </c>
      <c r="O536" s="60">
        <v>0</v>
      </c>
      <c r="P536" s="60">
        <v>0</v>
      </c>
      <c r="Q536" s="60">
        <v>0</v>
      </c>
      <c r="R536" s="60">
        <v>0</v>
      </c>
      <c r="S536" s="60">
        <v>0</v>
      </c>
      <c r="T536" s="60">
        <v>0</v>
      </c>
      <c r="U536" s="60">
        <v>0</v>
      </c>
      <c r="V536" s="60">
        <v>0</v>
      </c>
      <c r="W536" s="60">
        <v>0</v>
      </c>
      <c r="X536" s="60">
        <v>0</v>
      </c>
      <c r="Y536" s="60">
        <v>0</v>
      </c>
      <c r="Z536" s="60">
        <v>0</v>
      </c>
      <c r="AA536" s="60">
        <v>0</v>
      </c>
      <c r="AB536" s="60">
        <v>0</v>
      </c>
      <c r="AC536" s="60">
        <v>0</v>
      </c>
      <c r="AD536" s="60">
        <v>0</v>
      </c>
      <c r="AE536" s="60">
        <v>0</v>
      </c>
      <c r="AF536" s="60">
        <v>0</v>
      </c>
      <c r="AG536" s="60">
        <v>0</v>
      </c>
      <c r="AH536" s="60">
        <v>0</v>
      </c>
      <c r="AI536" s="60">
        <v>1049</v>
      </c>
      <c r="AJ536" s="60">
        <v>997.83</v>
      </c>
      <c r="AK536" s="60">
        <v>1087.3399999999999</v>
      </c>
      <c r="AL536" s="60">
        <v>0</v>
      </c>
      <c r="AM536" s="60">
        <v>0</v>
      </c>
      <c r="AN536" s="60">
        <v>0</v>
      </c>
      <c r="AO536" s="60">
        <v>1049</v>
      </c>
      <c r="AP536" s="60">
        <v>997.83</v>
      </c>
      <c r="AQ536" s="60">
        <v>1087.3399999999999</v>
      </c>
      <c r="AR536" s="61">
        <v>1087.3399999999999</v>
      </c>
    </row>
    <row r="537" spans="1:44" x14ac:dyDescent="0.35">
      <c r="A537" s="49" t="str">
        <f t="shared" si="45"/>
        <v>13</v>
      </c>
      <c r="B537" s="27">
        <v>63115</v>
      </c>
      <c r="C537" s="25" t="str">
        <f t="shared" si="43"/>
        <v>0000000</v>
      </c>
      <c r="D537" s="26" t="s">
        <v>3663</v>
      </c>
      <c r="E537" s="25" t="s">
        <v>597</v>
      </c>
      <c r="F537" s="25" t="s">
        <v>588</v>
      </c>
      <c r="G537" s="59" t="s">
        <v>598</v>
      </c>
      <c r="H537" s="60">
        <v>3836.88</v>
      </c>
      <c r="I537" s="60">
        <v>3796.57</v>
      </c>
      <c r="J537" s="60">
        <v>3999.79</v>
      </c>
      <c r="K537" s="60">
        <v>0</v>
      </c>
      <c r="L537" s="60">
        <v>0</v>
      </c>
      <c r="M537" s="60">
        <v>0</v>
      </c>
      <c r="N537" s="60">
        <v>0</v>
      </c>
      <c r="O537" s="60">
        <v>0</v>
      </c>
      <c r="P537" s="60">
        <v>0</v>
      </c>
      <c r="Q537" s="60">
        <v>0</v>
      </c>
      <c r="R537" s="60">
        <v>0</v>
      </c>
      <c r="S537" s="60">
        <v>0</v>
      </c>
      <c r="T537" s="60">
        <v>0</v>
      </c>
      <c r="U537" s="60">
        <v>0</v>
      </c>
      <c r="V537" s="60">
        <v>0</v>
      </c>
      <c r="W537" s="60">
        <v>0</v>
      </c>
      <c r="X537" s="60">
        <v>0</v>
      </c>
      <c r="Y537" s="60">
        <v>0</v>
      </c>
      <c r="Z537" s="60">
        <v>0</v>
      </c>
      <c r="AA537" s="60">
        <v>0</v>
      </c>
      <c r="AB537" s="60">
        <v>0</v>
      </c>
      <c r="AC537" s="60">
        <v>0</v>
      </c>
      <c r="AD537" s="60">
        <v>0</v>
      </c>
      <c r="AE537" s="60">
        <v>0</v>
      </c>
      <c r="AF537" s="60">
        <v>0</v>
      </c>
      <c r="AG537" s="60">
        <v>0</v>
      </c>
      <c r="AH537" s="60">
        <v>0</v>
      </c>
      <c r="AI537" s="60">
        <v>3836.88</v>
      </c>
      <c r="AJ537" s="60">
        <v>3796.57</v>
      </c>
      <c r="AK537" s="60">
        <v>3999.79</v>
      </c>
      <c r="AL537" s="60">
        <v>0</v>
      </c>
      <c r="AM537" s="60">
        <v>0</v>
      </c>
      <c r="AN537" s="60">
        <v>0</v>
      </c>
      <c r="AO537" s="60">
        <v>3836.88</v>
      </c>
      <c r="AP537" s="60">
        <v>3796.57</v>
      </c>
      <c r="AQ537" s="60">
        <v>3999.79</v>
      </c>
      <c r="AR537" s="61">
        <v>3999.79</v>
      </c>
    </row>
    <row r="538" spans="1:44" x14ac:dyDescent="0.35">
      <c r="A538" s="49" t="str">
        <f t="shared" si="45"/>
        <v>13</v>
      </c>
      <c r="B538" s="27">
        <v>63123</v>
      </c>
      <c r="C538" s="25" t="str">
        <f t="shared" si="43"/>
        <v>0000000</v>
      </c>
      <c r="D538" s="26" t="s">
        <v>3663</v>
      </c>
      <c r="E538" s="25" t="s">
        <v>599</v>
      </c>
      <c r="F538" s="25" t="s">
        <v>588</v>
      </c>
      <c r="G538" s="59" t="s">
        <v>600</v>
      </c>
      <c r="H538" s="60">
        <v>4735.1000000000004</v>
      </c>
      <c r="I538" s="60">
        <v>4531.7299999999996</v>
      </c>
      <c r="J538" s="60">
        <v>5060.42</v>
      </c>
      <c r="K538" s="60">
        <v>0</v>
      </c>
      <c r="L538" s="60">
        <v>0</v>
      </c>
      <c r="M538" s="60">
        <v>0</v>
      </c>
      <c r="N538" s="60">
        <v>0</v>
      </c>
      <c r="O538" s="60">
        <v>0</v>
      </c>
      <c r="P538" s="60">
        <v>0</v>
      </c>
      <c r="Q538" s="60">
        <v>0</v>
      </c>
      <c r="R538" s="60">
        <v>0</v>
      </c>
      <c r="S538" s="60">
        <v>0</v>
      </c>
      <c r="T538" s="60">
        <v>0</v>
      </c>
      <c r="U538" s="60">
        <v>0</v>
      </c>
      <c r="V538" s="60">
        <v>0</v>
      </c>
      <c r="W538" s="60">
        <v>0</v>
      </c>
      <c r="X538" s="60">
        <v>0</v>
      </c>
      <c r="Y538" s="60">
        <v>0</v>
      </c>
      <c r="Z538" s="60">
        <v>0</v>
      </c>
      <c r="AA538" s="60">
        <v>0</v>
      </c>
      <c r="AB538" s="60">
        <v>0</v>
      </c>
      <c r="AC538" s="60">
        <v>140.63999999999999</v>
      </c>
      <c r="AD538" s="60">
        <v>112.91</v>
      </c>
      <c r="AE538" s="60">
        <v>95.94</v>
      </c>
      <c r="AF538" s="60">
        <v>0</v>
      </c>
      <c r="AG538" s="60">
        <v>0</v>
      </c>
      <c r="AH538" s="60">
        <v>0</v>
      </c>
      <c r="AI538" s="60">
        <v>4875.74</v>
      </c>
      <c r="AJ538" s="60">
        <v>4644.6400000000003</v>
      </c>
      <c r="AK538" s="60">
        <v>5156.3599999999997</v>
      </c>
      <c r="AL538" s="60">
        <v>0</v>
      </c>
      <c r="AM538" s="60">
        <v>0</v>
      </c>
      <c r="AN538" s="60">
        <v>0</v>
      </c>
      <c r="AO538" s="60">
        <v>4875.74</v>
      </c>
      <c r="AP538" s="60">
        <v>4644.6400000000003</v>
      </c>
      <c r="AQ538" s="60">
        <v>5156.3599999999997</v>
      </c>
      <c r="AR538" s="61">
        <v>5156.3599999999997</v>
      </c>
    </row>
    <row r="539" spans="1:44" x14ac:dyDescent="0.35">
      <c r="A539" s="49" t="str">
        <f t="shared" si="45"/>
        <v>13</v>
      </c>
      <c r="B539" s="27">
        <v>63131</v>
      </c>
      <c r="C539" s="25" t="str">
        <f t="shared" si="43"/>
        <v>0000000</v>
      </c>
      <c r="D539" s="26" t="s">
        <v>3663</v>
      </c>
      <c r="E539" s="25" t="s">
        <v>605</v>
      </c>
      <c r="F539" s="25" t="s">
        <v>588</v>
      </c>
      <c r="G539" s="59" t="s">
        <v>606</v>
      </c>
      <c r="H539" s="60">
        <v>1094.44</v>
      </c>
      <c r="I539" s="60">
        <v>1047.99</v>
      </c>
      <c r="J539" s="60">
        <v>1214.2</v>
      </c>
      <c r="K539" s="60">
        <v>0</v>
      </c>
      <c r="L539" s="60">
        <v>0</v>
      </c>
      <c r="M539" s="60">
        <v>0</v>
      </c>
      <c r="N539" s="60">
        <v>0</v>
      </c>
      <c r="O539" s="60">
        <v>0</v>
      </c>
      <c r="P539" s="60">
        <v>0</v>
      </c>
      <c r="Q539" s="60">
        <v>0</v>
      </c>
      <c r="R539" s="60">
        <v>0</v>
      </c>
      <c r="S539" s="60">
        <v>0</v>
      </c>
      <c r="T539" s="60">
        <v>0</v>
      </c>
      <c r="U539" s="60">
        <v>0</v>
      </c>
      <c r="V539" s="60">
        <v>0</v>
      </c>
      <c r="W539" s="60">
        <v>0</v>
      </c>
      <c r="X539" s="60">
        <v>0</v>
      </c>
      <c r="Y539" s="60">
        <v>0</v>
      </c>
      <c r="Z539" s="60">
        <v>0</v>
      </c>
      <c r="AA539" s="60">
        <v>0</v>
      </c>
      <c r="AB539" s="60">
        <v>0</v>
      </c>
      <c r="AC539" s="60">
        <v>0</v>
      </c>
      <c r="AD539" s="60">
        <v>0</v>
      </c>
      <c r="AE539" s="60">
        <v>0</v>
      </c>
      <c r="AF539" s="60">
        <v>0</v>
      </c>
      <c r="AG539" s="60">
        <v>0</v>
      </c>
      <c r="AH539" s="60">
        <v>0</v>
      </c>
      <c r="AI539" s="60">
        <v>1094.44</v>
      </c>
      <c r="AJ539" s="60">
        <v>1047.99</v>
      </c>
      <c r="AK539" s="60">
        <v>1214.2</v>
      </c>
      <c r="AL539" s="60">
        <v>0</v>
      </c>
      <c r="AM539" s="60">
        <v>0</v>
      </c>
      <c r="AN539" s="60">
        <v>0</v>
      </c>
      <c r="AO539" s="60">
        <v>1094.44</v>
      </c>
      <c r="AP539" s="60">
        <v>1047.99</v>
      </c>
      <c r="AQ539" s="60">
        <v>1214.2</v>
      </c>
      <c r="AR539" s="61">
        <v>1214.2</v>
      </c>
    </row>
    <row r="540" spans="1:44" x14ac:dyDescent="0.35">
      <c r="A540" s="49" t="str">
        <f t="shared" si="45"/>
        <v>13</v>
      </c>
      <c r="B540" s="27">
        <v>63149</v>
      </c>
      <c r="C540" s="25" t="str">
        <f t="shared" si="43"/>
        <v>0000000</v>
      </c>
      <c r="D540" s="26" t="s">
        <v>3663</v>
      </c>
      <c r="E540" s="25" t="s">
        <v>607</v>
      </c>
      <c r="F540" s="25" t="s">
        <v>588</v>
      </c>
      <c r="G540" s="59" t="s">
        <v>608</v>
      </c>
      <c r="H540" s="60">
        <v>1485.84</v>
      </c>
      <c r="I540" s="60">
        <v>1468.59</v>
      </c>
      <c r="J540" s="60">
        <v>1519.21</v>
      </c>
      <c r="K540" s="60">
        <v>0</v>
      </c>
      <c r="L540" s="60">
        <v>0</v>
      </c>
      <c r="M540" s="60">
        <v>0</v>
      </c>
      <c r="N540" s="60">
        <v>0</v>
      </c>
      <c r="O540" s="60">
        <v>0</v>
      </c>
      <c r="P540" s="60">
        <v>0</v>
      </c>
      <c r="Q540" s="60">
        <v>0</v>
      </c>
      <c r="R540" s="60">
        <v>0</v>
      </c>
      <c r="S540" s="60">
        <v>0</v>
      </c>
      <c r="T540" s="60">
        <v>0</v>
      </c>
      <c r="U540" s="60">
        <v>0</v>
      </c>
      <c r="V540" s="60">
        <v>0</v>
      </c>
      <c r="W540" s="60">
        <v>0</v>
      </c>
      <c r="X540" s="60">
        <v>0</v>
      </c>
      <c r="Y540" s="60">
        <v>0</v>
      </c>
      <c r="Z540" s="60">
        <v>0</v>
      </c>
      <c r="AA540" s="60">
        <v>0</v>
      </c>
      <c r="AB540" s="60">
        <v>0</v>
      </c>
      <c r="AC540" s="60">
        <v>0</v>
      </c>
      <c r="AD540" s="60">
        <v>0</v>
      </c>
      <c r="AE540" s="60">
        <v>0</v>
      </c>
      <c r="AF540" s="60">
        <v>0</v>
      </c>
      <c r="AG540" s="60">
        <v>0</v>
      </c>
      <c r="AH540" s="60">
        <v>0</v>
      </c>
      <c r="AI540" s="60">
        <v>1485.84</v>
      </c>
      <c r="AJ540" s="60">
        <v>1468.59</v>
      </c>
      <c r="AK540" s="60">
        <v>1519.21</v>
      </c>
      <c r="AL540" s="60">
        <v>0</v>
      </c>
      <c r="AM540" s="60">
        <v>0</v>
      </c>
      <c r="AN540" s="60">
        <v>0</v>
      </c>
      <c r="AO540" s="60">
        <v>1485.84</v>
      </c>
      <c r="AP540" s="60">
        <v>1468.59</v>
      </c>
      <c r="AQ540" s="60">
        <v>1519.21</v>
      </c>
      <c r="AR540" s="61">
        <v>1519.21</v>
      </c>
    </row>
    <row r="541" spans="1:44" x14ac:dyDescent="0.35">
      <c r="A541" s="49" t="str">
        <f t="shared" si="45"/>
        <v>13</v>
      </c>
      <c r="B541" s="27">
        <v>63164</v>
      </c>
      <c r="C541" s="25" t="str">
        <f t="shared" si="43"/>
        <v>0000000</v>
      </c>
      <c r="D541" s="26" t="s">
        <v>3663</v>
      </c>
      <c r="E541" s="25" t="s">
        <v>609</v>
      </c>
      <c r="F541" s="25" t="s">
        <v>588</v>
      </c>
      <c r="G541" s="59" t="s">
        <v>610</v>
      </c>
      <c r="H541" s="60">
        <v>4262.93</v>
      </c>
      <c r="I541" s="60">
        <v>4063.59</v>
      </c>
      <c r="J541" s="60">
        <v>4203.0600000000004</v>
      </c>
      <c r="K541" s="60">
        <v>0</v>
      </c>
      <c r="L541" s="60">
        <v>0</v>
      </c>
      <c r="M541" s="60">
        <v>0</v>
      </c>
      <c r="N541" s="60">
        <v>0</v>
      </c>
      <c r="O541" s="60">
        <v>0</v>
      </c>
      <c r="P541" s="60">
        <v>0</v>
      </c>
      <c r="Q541" s="60">
        <v>0</v>
      </c>
      <c r="R541" s="60">
        <v>0</v>
      </c>
      <c r="S541" s="60">
        <v>0</v>
      </c>
      <c r="T541" s="60">
        <v>0</v>
      </c>
      <c r="U541" s="60">
        <v>0</v>
      </c>
      <c r="V541" s="60">
        <v>0</v>
      </c>
      <c r="W541" s="60">
        <v>0</v>
      </c>
      <c r="X541" s="60">
        <v>0</v>
      </c>
      <c r="Y541" s="60">
        <v>0</v>
      </c>
      <c r="Z541" s="60">
        <v>0</v>
      </c>
      <c r="AA541" s="60">
        <v>0</v>
      </c>
      <c r="AB541" s="60">
        <v>0</v>
      </c>
      <c r="AC541" s="60">
        <v>0</v>
      </c>
      <c r="AD541" s="60">
        <v>0</v>
      </c>
      <c r="AE541" s="60">
        <v>0</v>
      </c>
      <c r="AF541" s="60">
        <v>0</v>
      </c>
      <c r="AG541" s="60">
        <v>0</v>
      </c>
      <c r="AH541" s="60">
        <v>0</v>
      </c>
      <c r="AI541" s="60">
        <v>4262.93</v>
      </c>
      <c r="AJ541" s="60">
        <v>4063.59</v>
      </c>
      <c r="AK541" s="60">
        <v>4203.0600000000004</v>
      </c>
      <c r="AL541" s="60">
        <v>0</v>
      </c>
      <c r="AM541" s="60">
        <v>0</v>
      </c>
      <c r="AN541" s="60">
        <v>0</v>
      </c>
      <c r="AO541" s="60">
        <v>4262.93</v>
      </c>
      <c r="AP541" s="60">
        <v>4063.59</v>
      </c>
      <c r="AQ541" s="60">
        <v>4203.0600000000004</v>
      </c>
      <c r="AR541" s="61">
        <v>4262.93</v>
      </c>
    </row>
    <row r="542" spans="1:44" x14ac:dyDescent="0.35">
      <c r="A542" s="49" t="str">
        <f t="shared" si="45"/>
        <v>13</v>
      </c>
      <c r="B542" s="27">
        <v>63180</v>
      </c>
      <c r="C542" s="25" t="str">
        <f t="shared" si="43"/>
        <v>0000000</v>
      </c>
      <c r="D542" s="26" t="s">
        <v>3663</v>
      </c>
      <c r="E542" s="25" t="s">
        <v>613</v>
      </c>
      <c r="F542" s="25" t="s">
        <v>588</v>
      </c>
      <c r="G542" s="59" t="s">
        <v>614</v>
      </c>
      <c r="H542" s="60">
        <v>1140.01</v>
      </c>
      <c r="I542" s="60">
        <v>1166.8699999999999</v>
      </c>
      <c r="J542" s="60">
        <v>1313.42</v>
      </c>
      <c r="K542" s="60">
        <v>0</v>
      </c>
      <c r="L542" s="60">
        <v>0</v>
      </c>
      <c r="M542" s="60">
        <v>0</v>
      </c>
      <c r="N542" s="60">
        <v>0</v>
      </c>
      <c r="O542" s="60">
        <v>0</v>
      </c>
      <c r="P542" s="60">
        <v>0</v>
      </c>
      <c r="Q542" s="60">
        <v>0</v>
      </c>
      <c r="R542" s="60">
        <v>0</v>
      </c>
      <c r="S542" s="60">
        <v>0</v>
      </c>
      <c r="T542" s="60">
        <v>0</v>
      </c>
      <c r="U542" s="60">
        <v>0</v>
      </c>
      <c r="V542" s="60">
        <v>0</v>
      </c>
      <c r="W542" s="60">
        <v>0</v>
      </c>
      <c r="X542" s="60">
        <v>0</v>
      </c>
      <c r="Y542" s="60">
        <v>0</v>
      </c>
      <c r="Z542" s="60">
        <v>0</v>
      </c>
      <c r="AA542" s="60">
        <v>0</v>
      </c>
      <c r="AB542" s="60">
        <v>0</v>
      </c>
      <c r="AC542" s="60">
        <v>0</v>
      </c>
      <c r="AD542" s="60">
        <v>0</v>
      </c>
      <c r="AE542" s="60">
        <v>0</v>
      </c>
      <c r="AF542" s="60">
        <v>0</v>
      </c>
      <c r="AG542" s="60">
        <v>0</v>
      </c>
      <c r="AH542" s="60">
        <v>0</v>
      </c>
      <c r="AI542" s="60">
        <v>1140.01</v>
      </c>
      <c r="AJ542" s="60">
        <v>1166.8699999999999</v>
      </c>
      <c r="AK542" s="60">
        <v>1313.42</v>
      </c>
      <c r="AL542" s="60">
        <v>0</v>
      </c>
      <c r="AM542" s="60">
        <v>0</v>
      </c>
      <c r="AN542" s="60">
        <v>0</v>
      </c>
      <c r="AO542" s="60">
        <v>1140.01</v>
      </c>
      <c r="AP542" s="60">
        <v>1166.8699999999999</v>
      </c>
      <c r="AQ542" s="60">
        <v>1313.42</v>
      </c>
      <c r="AR542" s="61">
        <v>1313.42</v>
      </c>
    </row>
    <row r="543" spans="1:44" x14ac:dyDescent="0.35">
      <c r="A543" s="49" t="str">
        <f t="shared" si="45"/>
        <v>13</v>
      </c>
      <c r="B543" s="27">
        <v>63198</v>
      </c>
      <c r="C543" s="25" t="str">
        <f t="shared" si="43"/>
        <v>0000000</v>
      </c>
      <c r="D543" s="26" t="s">
        <v>3663</v>
      </c>
      <c r="E543" s="25" t="s">
        <v>615</v>
      </c>
      <c r="F543" s="25" t="s">
        <v>588</v>
      </c>
      <c r="G543" s="59" t="s">
        <v>616</v>
      </c>
      <c r="H543" s="60">
        <v>355.53</v>
      </c>
      <c r="I543" s="60">
        <v>381.01</v>
      </c>
      <c r="J543" s="60">
        <v>454</v>
      </c>
      <c r="K543" s="60">
        <v>0</v>
      </c>
      <c r="L543" s="60">
        <v>0</v>
      </c>
      <c r="M543" s="60">
        <v>0</v>
      </c>
      <c r="N543" s="60">
        <v>0</v>
      </c>
      <c r="O543" s="60">
        <v>0</v>
      </c>
      <c r="P543" s="60">
        <v>0</v>
      </c>
      <c r="Q543" s="60">
        <v>0</v>
      </c>
      <c r="R543" s="60">
        <v>0</v>
      </c>
      <c r="S543" s="60">
        <v>0</v>
      </c>
      <c r="T543" s="60">
        <v>0</v>
      </c>
      <c r="U543" s="60">
        <v>0</v>
      </c>
      <c r="V543" s="60">
        <v>0</v>
      </c>
      <c r="W543" s="60">
        <v>0</v>
      </c>
      <c r="X543" s="60">
        <v>0</v>
      </c>
      <c r="Y543" s="60">
        <v>0</v>
      </c>
      <c r="Z543" s="60">
        <v>0</v>
      </c>
      <c r="AA543" s="60">
        <v>0</v>
      </c>
      <c r="AB543" s="60">
        <v>0</v>
      </c>
      <c r="AC543" s="60">
        <v>0</v>
      </c>
      <c r="AD543" s="60">
        <v>0</v>
      </c>
      <c r="AE543" s="60">
        <v>0</v>
      </c>
      <c r="AF543" s="60">
        <v>0</v>
      </c>
      <c r="AG543" s="60">
        <v>0</v>
      </c>
      <c r="AH543" s="60">
        <v>0</v>
      </c>
      <c r="AI543" s="60">
        <v>355.53</v>
      </c>
      <c r="AJ543" s="60">
        <v>381.01</v>
      </c>
      <c r="AK543" s="60">
        <v>454</v>
      </c>
      <c r="AL543" s="60">
        <v>0</v>
      </c>
      <c r="AM543" s="60">
        <v>0</v>
      </c>
      <c r="AN543" s="60">
        <v>0</v>
      </c>
      <c r="AO543" s="60">
        <v>355.53</v>
      </c>
      <c r="AP543" s="60">
        <v>381.01</v>
      </c>
      <c r="AQ543" s="60">
        <v>454</v>
      </c>
      <c r="AR543" s="61">
        <v>454</v>
      </c>
    </row>
    <row r="544" spans="1:44" x14ac:dyDescent="0.35">
      <c r="A544" s="49" t="str">
        <f t="shared" si="45"/>
        <v>13</v>
      </c>
      <c r="B544" s="27">
        <v>63214</v>
      </c>
      <c r="C544" s="25" t="str">
        <f t="shared" si="43"/>
        <v>0000000</v>
      </c>
      <c r="D544" s="26" t="s">
        <v>3663</v>
      </c>
      <c r="E544" s="25" t="s">
        <v>619</v>
      </c>
      <c r="F544" s="25" t="s">
        <v>588</v>
      </c>
      <c r="G544" s="59" t="s">
        <v>620</v>
      </c>
      <c r="H544" s="60">
        <v>521.16999999999996</v>
      </c>
      <c r="I544" s="60">
        <v>515.66999999999996</v>
      </c>
      <c r="J544" s="60">
        <v>600.64</v>
      </c>
      <c r="K544" s="60">
        <v>0</v>
      </c>
      <c r="L544" s="60">
        <v>0</v>
      </c>
      <c r="M544" s="60">
        <v>0</v>
      </c>
      <c r="N544" s="60">
        <v>0</v>
      </c>
      <c r="O544" s="60">
        <v>0</v>
      </c>
      <c r="P544" s="60">
        <v>0</v>
      </c>
      <c r="Q544" s="60">
        <v>0</v>
      </c>
      <c r="R544" s="60">
        <v>0</v>
      </c>
      <c r="S544" s="60">
        <v>0</v>
      </c>
      <c r="T544" s="60">
        <v>0</v>
      </c>
      <c r="U544" s="60">
        <v>0</v>
      </c>
      <c r="V544" s="60">
        <v>0</v>
      </c>
      <c r="W544" s="60">
        <v>0</v>
      </c>
      <c r="X544" s="60">
        <v>0</v>
      </c>
      <c r="Y544" s="60">
        <v>0</v>
      </c>
      <c r="Z544" s="60">
        <v>0</v>
      </c>
      <c r="AA544" s="60">
        <v>0</v>
      </c>
      <c r="AB544" s="60">
        <v>0</v>
      </c>
      <c r="AC544" s="60">
        <v>0</v>
      </c>
      <c r="AD544" s="60">
        <v>0</v>
      </c>
      <c r="AE544" s="60">
        <v>0</v>
      </c>
      <c r="AF544" s="60">
        <v>0</v>
      </c>
      <c r="AG544" s="60">
        <v>0</v>
      </c>
      <c r="AH544" s="60">
        <v>0</v>
      </c>
      <c r="AI544" s="60">
        <v>521.16999999999996</v>
      </c>
      <c r="AJ544" s="60">
        <v>515.66999999999996</v>
      </c>
      <c r="AK544" s="60">
        <v>600.64</v>
      </c>
      <c r="AL544" s="60">
        <v>0</v>
      </c>
      <c r="AM544" s="60">
        <v>0</v>
      </c>
      <c r="AN544" s="60">
        <v>0</v>
      </c>
      <c r="AO544" s="60">
        <v>521.16999999999996</v>
      </c>
      <c r="AP544" s="60">
        <v>515.66999999999996</v>
      </c>
      <c r="AQ544" s="60">
        <v>600.64</v>
      </c>
      <c r="AR544" s="61">
        <v>600.64</v>
      </c>
    </row>
    <row r="545" spans="1:44" x14ac:dyDescent="0.35">
      <c r="A545" s="49" t="str">
        <f t="shared" si="45"/>
        <v>13</v>
      </c>
      <c r="B545" s="27">
        <v>63222</v>
      </c>
      <c r="C545" s="25" t="str">
        <f t="shared" si="43"/>
        <v>0000000</v>
      </c>
      <c r="D545" s="26" t="s">
        <v>3663</v>
      </c>
      <c r="E545" s="25" t="s">
        <v>621</v>
      </c>
      <c r="F545" s="25" t="s">
        <v>588</v>
      </c>
      <c r="G545" s="59" t="s">
        <v>622</v>
      </c>
      <c r="H545" s="60">
        <v>321.7</v>
      </c>
      <c r="I545" s="60">
        <v>336.64</v>
      </c>
      <c r="J545" s="60">
        <v>370.08</v>
      </c>
      <c r="K545" s="60">
        <v>0</v>
      </c>
      <c r="L545" s="60">
        <v>0</v>
      </c>
      <c r="M545" s="60">
        <v>0</v>
      </c>
      <c r="N545" s="60">
        <v>0</v>
      </c>
      <c r="O545" s="60">
        <v>0</v>
      </c>
      <c r="P545" s="60">
        <v>0</v>
      </c>
      <c r="Q545" s="60">
        <v>0</v>
      </c>
      <c r="R545" s="60">
        <v>0</v>
      </c>
      <c r="S545" s="60">
        <v>0</v>
      </c>
      <c r="T545" s="60">
        <v>0</v>
      </c>
      <c r="U545" s="60">
        <v>0</v>
      </c>
      <c r="V545" s="60">
        <v>0</v>
      </c>
      <c r="W545" s="60">
        <v>0</v>
      </c>
      <c r="X545" s="60">
        <v>0</v>
      </c>
      <c r="Y545" s="60">
        <v>0</v>
      </c>
      <c r="Z545" s="60">
        <v>0</v>
      </c>
      <c r="AA545" s="60">
        <v>0</v>
      </c>
      <c r="AB545" s="60">
        <v>0</v>
      </c>
      <c r="AC545" s="60">
        <v>0</v>
      </c>
      <c r="AD545" s="60">
        <v>0</v>
      </c>
      <c r="AE545" s="60">
        <v>0</v>
      </c>
      <c r="AF545" s="60">
        <v>0</v>
      </c>
      <c r="AG545" s="60">
        <v>0</v>
      </c>
      <c r="AH545" s="60">
        <v>0</v>
      </c>
      <c r="AI545" s="60">
        <v>321.7</v>
      </c>
      <c r="AJ545" s="60">
        <v>336.64</v>
      </c>
      <c r="AK545" s="60">
        <v>370.08</v>
      </c>
      <c r="AL545" s="60">
        <v>0</v>
      </c>
      <c r="AM545" s="60">
        <v>0</v>
      </c>
      <c r="AN545" s="60">
        <v>0</v>
      </c>
      <c r="AO545" s="60">
        <v>321.7</v>
      </c>
      <c r="AP545" s="60">
        <v>336.64</v>
      </c>
      <c r="AQ545" s="60">
        <v>370.08</v>
      </c>
      <c r="AR545" s="61">
        <v>370.08</v>
      </c>
    </row>
    <row r="546" spans="1:44" x14ac:dyDescent="0.35">
      <c r="A546" s="49" t="str">
        <f t="shared" si="45"/>
        <v>13</v>
      </c>
      <c r="B546" s="27">
        <v>63230</v>
      </c>
      <c r="C546" s="25" t="str">
        <f t="shared" si="43"/>
        <v>0000000</v>
      </c>
      <c r="D546" s="26" t="s">
        <v>3663</v>
      </c>
      <c r="E546" s="25" t="s">
        <v>623</v>
      </c>
      <c r="F546" s="25" t="s">
        <v>588</v>
      </c>
      <c r="G546" s="59" t="s">
        <v>624</v>
      </c>
      <c r="H546" s="60">
        <v>301.67</v>
      </c>
      <c r="I546" s="60">
        <v>297.37</v>
      </c>
      <c r="J546" s="60">
        <v>365.96</v>
      </c>
      <c r="K546" s="60">
        <v>0</v>
      </c>
      <c r="L546" s="60">
        <v>0</v>
      </c>
      <c r="M546" s="60">
        <v>0</v>
      </c>
      <c r="N546" s="60">
        <v>0</v>
      </c>
      <c r="O546" s="60">
        <v>0</v>
      </c>
      <c r="P546" s="60">
        <v>0</v>
      </c>
      <c r="Q546" s="60">
        <v>0</v>
      </c>
      <c r="R546" s="60">
        <v>0</v>
      </c>
      <c r="S546" s="60">
        <v>0</v>
      </c>
      <c r="T546" s="60">
        <v>0</v>
      </c>
      <c r="U546" s="60">
        <v>0</v>
      </c>
      <c r="V546" s="60">
        <v>0</v>
      </c>
      <c r="W546" s="60">
        <v>0</v>
      </c>
      <c r="X546" s="60">
        <v>0</v>
      </c>
      <c r="Y546" s="60">
        <v>0</v>
      </c>
      <c r="Z546" s="60">
        <v>0</v>
      </c>
      <c r="AA546" s="60">
        <v>0</v>
      </c>
      <c r="AB546" s="60">
        <v>0</v>
      </c>
      <c r="AC546" s="60">
        <v>0</v>
      </c>
      <c r="AD546" s="60">
        <v>0</v>
      </c>
      <c r="AE546" s="60">
        <v>0</v>
      </c>
      <c r="AF546" s="60">
        <v>0</v>
      </c>
      <c r="AG546" s="60">
        <v>0</v>
      </c>
      <c r="AH546" s="60">
        <v>0</v>
      </c>
      <c r="AI546" s="60">
        <v>301.67</v>
      </c>
      <c r="AJ546" s="60">
        <v>297.37</v>
      </c>
      <c r="AK546" s="60">
        <v>365.96</v>
      </c>
      <c r="AL546" s="60">
        <v>0</v>
      </c>
      <c r="AM546" s="60">
        <v>0</v>
      </c>
      <c r="AN546" s="60">
        <v>0</v>
      </c>
      <c r="AO546" s="60">
        <v>301.67</v>
      </c>
      <c r="AP546" s="60">
        <v>297.37</v>
      </c>
      <c r="AQ546" s="60">
        <v>365.96</v>
      </c>
      <c r="AR546" s="61">
        <v>365.96</v>
      </c>
    </row>
    <row r="547" spans="1:44" x14ac:dyDescent="0.35">
      <c r="A547" s="49" t="str">
        <f t="shared" si="45"/>
        <v>13</v>
      </c>
      <c r="B547" s="27">
        <v>63172</v>
      </c>
      <c r="C547" s="25" t="str">
        <f t="shared" si="43"/>
        <v>0000000</v>
      </c>
      <c r="D547" s="26" t="s">
        <v>3663</v>
      </c>
      <c r="E547" s="25" t="s">
        <v>611</v>
      </c>
      <c r="F547" s="25" t="s">
        <v>588</v>
      </c>
      <c r="G547" s="59" t="s">
        <v>612</v>
      </c>
      <c r="H547" s="60">
        <v>119.78</v>
      </c>
      <c r="I547" s="60">
        <v>114.77</v>
      </c>
      <c r="J547" s="60">
        <v>128</v>
      </c>
      <c r="K547" s="60">
        <v>0</v>
      </c>
      <c r="L547" s="60">
        <v>0</v>
      </c>
      <c r="M547" s="60">
        <v>0</v>
      </c>
      <c r="N547" s="60">
        <v>0</v>
      </c>
      <c r="O547" s="60">
        <v>0</v>
      </c>
      <c r="P547" s="60">
        <v>0</v>
      </c>
      <c r="Q547" s="60">
        <v>0</v>
      </c>
      <c r="R547" s="60">
        <v>0</v>
      </c>
      <c r="S547" s="60">
        <v>0</v>
      </c>
      <c r="T547" s="60">
        <v>0</v>
      </c>
      <c r="U547" s="60">
        <v>0</v>
      </c>
      <c r="V547" s="60">
        <v>0</v>
      </c>
      <c r="W547" s="60">
        <v>0</v>
      </c>
      <c r="X547" s="60">
        <v>0</v>
      </c>
      <c r="Y547" s="60">
        <v>0</v>
      </c>
      <c r="Z547" s="60">
        <v>0</v>
      </c>
      <c r="AA547" s="60">
        <v>0</v>
      </c>
      <c r="AB547" s="60">
        <v>0</v>
      </c>
      <c r="AC547" s="60">
        <v>0</v>
      </c>
      <c r="AD547" s="60">
        <v>0</v>
      </c>
      <c r="AE547" s="60">
        <v>0</v>
      </c>
      <c r="AF547" s="60">
        <v>0</v>
      </c>
      <c r="AG547" s="60">
        <v>0</v>
      </c>
      <c r="AH547" s="60">
        <v>0</v>
      </c>
      <c r="AI547" s="60">
        <v>119.78</v>
      </c>
      <c r="AJ547" s="60">
        <v>114.77</v>
      </c>
      <c r="AK547" s="60">
        <v>128</v>
      </c>
      <c r="AL547" s="60">
        <v>0</v>
      </c>
      <c r="AM547" s="60">
        <v>0</v>
      </c>
      <c r="AN547" s="60">
        <v>0</v>
      </c>
      <c r="AO547" s="60">
        <v>119.78</v>
      </c>
      <c r="AP547" s="60">
        <v>114.77</v>
      </c>
      <c r="AQ547" s="60">
        <v>128</v>
      </c>
      <c r="AR547" s="61">
        <v>128</v>
      </c>
    </row>
    <row r="548" spans="1:44" x14ac:dyDescent="0.35">
      <c r="A548" s="49" t="str">
        <f t="shared" si="45"/>
        <v>13</v>
      </c>
      <c r="B548" s="27">
        <v>63206</v>
      </c>
      <c r="C548" s="25" t="str">
        <f t="shared" si="43"/>
        <v>0000000</v>
      </c>
      <c r="D548" s="26" t="s">
        <v>3663</v>
      </c>
      <c r="E548" s="25" t="s">
        <v>617</v>
      </c>
      <c r="F548" s="25" t="s">
        <v>588</v>
      </c>
      <c r="G548" s="59" t="s">
        <v>618</v>
      </c>
      <c r="H548" s="60">
        <v>61.27</v>
      </c>
      <c r="I548" s="60">
        <v>62.83</v>
      </c>
      <c r="J548" s="60">
        <v>72.599999999999994</v>
      </c>
      <c r="K548" s="60">
        <v>0</v>
      </c>
      <c r="L548" s="60">
        <v>0</v>
      </c>
      <c r="M548" s="60">
        <v>0</v>
      </c>
      <c r="N548" s="60">
        <v>0</v>
      </c>
      <c r="O548" s="60">
        <v>0</v>
      </c>
      <c r="P548" s="60">
        <v>0</v>
      </c>
      <c r="Q548" s="60">
        <v>0</v>
      </c>
      <c r="R548" s="60">
        <v>0</v>
      </c>
      <c r="S548" s="60">
        <v>0</v>
      </c>
      <c r="T548" s="60">
        <v>0</v>
      </c>
      <c r="U548" s="60">
        <v>0</v>
      </c>
      <c r="V548" s="60">
        <v>0</v>
      </c>
      <c r="W548" s="60">
        <v>0</v>
      </c>
      <c r="X548" s="60">
        <v>0</v>
      </c>
      <c r="Y548" s="60">
        <v>0</v>
      </c>
      <c r="Z548" s="60">
        <v>0</v>
      </c>
      <c r="AA548" s="60">
        <v>0</v>
      </c>
      <c r="AB548" s="60">
        <v>0</v>
      </c>
      <c r="AC548" s="60">
        <v>0</v>
      </c>
      <c r="AD548" s="60">
        <v>0</v>
      </c>
      <c r="AE548" s="60">
        <v>0</v>
      </c>
      <c r="AF548" s="60">
        <v>0</v>
      </c>
      <c r="AG548" s="60">
        <v>0</v>
      </c>
      <c r="AH548" s="60">
        <v>0</v>
      </c>
      <c r="AI548" s="60">
        <v>61.27</v>
      </c>
      <c r="AJ548" s="60">
        <v>62.83</v>
      </c>
      <c r="AK548" s="60">
        <v>72.599999999999994</v>
      </c>
      <c r="AL548" s="60">
        <v>0</v>
      </c>
      <c r="AM548" s="60">
        <v>0</v>
      </c>
      <c r="AN548" s="60">
        <v>0</v>
      </c>
      <c r="AO548" s="60">
        <v>61.27</v>
      </c>
      <c r="AP548" s="60">
        <v>62.83</v>
      </c>
      <c r="AQ548" s="60">
        <v>72.599999999999994</v>
      </c>
      <c r="AR548" s="61">
        <v>72.599999999999994</v>
      </c>
    </row>
    <row r="549" spans="1:44" x14ac:dyDescent="0.35">
      <c r="A549" s="49" t="str">
        <f t="shared" ref="A549:A581" si="46">TEXT(41,"00")</f>
        <v>41</v>
      </c>
      <c r="B549" s="27">
        <v>10413</v>
      </c>
      <c r="C549" s="25" t="str">
        <f t="shared" si="43"/>
        <v>0000000</v>
      </c>
      <c r="D549" s="26" t="s">
        <v>3663</v>
      </c>
      <c r="E549" s="25" t="s">
        <v>2538</v>
      </c>
      <c r="F549" s="25" t="s">
        <v>2539</v>
      </c>
      <c r="G549" s="59" t="s">
        <v>2539</v>
      </c>
      <c r="H549" s="60">
        <v>0</v>
      </c>
      <c r="I549" s="60">
        <v>0</v>
      </c>
      <c r="J549" s="60">
        <v>0</v>
      </c>
      <c r="K549" s="60">
        <v>0</v>
      </c>
      <c r="L549" s="60">
        <v>0</v>
      </c>
      <c r="M549" s="60">
        <v>0</v>
      </c>
      <c r="N549" s="60">
        <v>0</v>
      </c>
      <c r="O549" s="60">
        <v>0</v>
      </c>
      <c r="P549" s="60">
        <v>0</v>
      </c>
      <c r="Q549" s="60">
        <v>0</v>
      </c>
      <c r="R549" s="60">
        <v>0</v>
      </c>
      <c r="S549" s="60">
        <v>0</v>
      </c>
      <c r="T549" s="60">
        <v>26.99</v>
      </c>
      <c r="U549" s="60">
        <v>20.86</v>
      </c>
      <c r="V549" s="60">
        <v>80.900000000000006</v>
      </c>
      <c r="W549" s="60">
        <v>67</v>
      </c>
      <c r="X549" s="60">
        <v>95.65</v>
      </c>
      <c r="Y549" s="60">
        <v>147.79</v>
      </c>
      <c r="Z549" s="60">
        <v>0</v>
      </c>
      <c r="AA549" s="60">
        <v>0</v>
      </c>
      <c r="AB549" s="60">
        <v>0</v>
      </c>
      <c r="AC549" s="60">
        <v>0</v>
      </c>
      <c r="AD549" s="60">
        <v>0</v>
      </c>
      <c r="AE549" s="60">
        <v>0</v>
      </c>
      <c r="AF549" s="60">
        <v>0</v>
      </c>
      <c r="AG549" s="60">
        <v>0</v>
      </c>
      <c r="AH549" s="60">
        <v>0</v>
      </c>
      <c r="AI549" s="60">
        <v>93.99</v>
      </c>
      <c r="AJ549" s="60">
        <v>116.51</v>
      </c>
      <c r="AK549" s="60">
        <v>228.69</v>
      </c>
      <c r="AL549" s="60">
        <v>0</v>
      </c>
      <c r="AM549" s="60">
        <v>0</v>
      </c>
      <c r="AN549" s="60">
        <v>0</v>
      </c>
      <c r="AO549" s="60">
        <v>93.99</v>
      </c>
      <c r="AP549" s="60">
        <v>116.51</v>
      </c>
      <c r="AQ549" s="60">
        <v>228.69</v>
      </c>
      <c r="AR549" s="61">
        <v>228.69</v>
      </c>
    </row>
    <row r="550" spans="1:44" x14ac:dyDescent="0.35">
      <c r="A550" s="49" t="str">
        <f t="shared" si="46"/>
        <v>41</v>
      </c>
      <c r="B550" s="27">
        <v>68858</v>
      </c>
      <c r="C550" s="25" t="str">
        <f t="shared" si="43"/>
        <v>0000000</v>
      </c>
      <c r="D550" s="26" t="s">
        <v>3663</v>
      </c>
      <c r="E550" s="25" t="s">
        <v>2542</v>
      </c>
      <c r="F550" s="25" t="s">
        <v>2539</v>
      </c>
      <c r="G550" s="59" t="s">
        <v>2543</v>
      </c>
      <c r="H550" s="60">
        <v>314.07</v>
      </c>
      <c r="I550" s="60">
        <v>337.85</v>
      </c>
      <c r="J550" s="60">
        <v>380.18</v>
      </c>
      <c r="K550" s="60">
        <v>0</v>
      </c>
      <c r="L550" s="60">
        <v>0</v>
      </c>
      <c r="M550" s="60">
        <v>0</v>
      </c>
      <c r="N550" s="60">
        <v>0</v>
      </c>
      <c r="O550" s="60">
        <v>0</v>
      </c>
      <c r="P550" s="60">
        <v>0</v>
      </c>
      <c r="Q550" s="60">
        <v>0</v>
      </c>
      <c r="R550" s="60">
        <v>0</v>
      </c>
      <c r="S550" s="60">
        <v>0</v>
      </c>
      <c r="T550" s="60">
        <v>0</v>
      </c>
      <c r="U550" s="60">
        <v>0</v>
      </c>
      <c r="V550" s="60">
        <v>0</v>
      </c>
      <c r="W550" s="60">
        <v>0</v>
      </c>
      <c r="X550" s="60">
        <v>0</v>
      </c>
      <c r="Y550" s="60">
        <v>0</v>
      </c>
      <c r="Z550" s="60">
        <v>0</v>
      </c>
      <c r="AA550" s="60">
        <v>0</v>
      </c>
      <c r="AB550" s="60">
        <v>0</v>
      </c>
      <c r="AC550" s="60">
        <v>0</v>
      </c>
      <c r="AD550" s="60">
        <v>0</v>
      </c>
      <c r="AE550" s="60">
        <v>0</v>
      </c>
      <c r="AF550" s="60">
        <v>0</v>
      </c>
      <c r="AG550" s="60">
        <v>0</v>
      </c>
      <c r="AH550" s="60">
        <v>0</v>
      </c>
      <c r="AI550" s="60">
        <v>314.07</v>
      </c>
      <c r="AJ550" s="60">
        <v>337.85</v>
      </c>
      <c r="AK550" s="60">
        <v>380.18</v>
      </c>
      <c r="AL550" s="60">
        <v>0</v>
      </c>
      <c r="AM550" s="60">
        <v>0</v>
      </c>
      <c r="AN550" s="60">
        <v>0</v>
      </c>
      <c r="AO550" s="60">
        <v>314.07</v>
      </c>
      <c r="AP550" s="60">
        <v>337.85</v>
      </c>
      <c r="AQ550" s="60">
        <v>380.18</v>
      </c>
      <c r="AR550" s="61">
        <v>380.18</v>
      </c>
    </row>
    <row r="551" spans="1:44" x14ac:dyDescent="0.35">
      <c r="A551" s="49" t="str">
        <f t="shared" si="46"/>
        <v>41</v>
      </c>
      <c r="B551" s="27">
        <v>68866</v>
      </c>
      <c r="C551" s="25" t="str">
        <f t="shared" si="43"/>
        <v>0000000</v>
      </c>
      <c r="D551" s="26" t="s">
        <v>3663</v>
      </c>
      <c r="E551" s="25" t="s">
        <v>2544</v>
      </c>
      <c r="F551" s="25" t="s">
        <v>2539</v>
      </c>
      <c r="G551" s="59" t="s">
        <v>2545</v>
      </c>
      <c r="H551" s="60">
        <v>3797.76</v>
      </c>
      <c r="I551" s="60">
        <v>3788.66</v>
      </c>
      <c r="J551" s="60">
        <v>4176.74</v>
      </c>
      <c r="K551" s="60">
        <v>0</v>
      </c>
      <c r="L551" s="60">
        <v>0</v>
      </c>
      <c r="M551" s="60">
        <v>0</v>
      </c>
      <c r="N551" s="60">
        <v>0</v>
      </c>
      <c r="O551" s="60">
        <v>0</v>
      </c>
      <c r="P551" s="60">
        <v>0</v>
      </c>
      <c r="Q551" s="60">
        <v>0</v>
      </c>
      <c r="R551" s="60">
        <v>0</v>
      </c>
      <c r="S551" s="60">
        <v>0</v>
      </c>
      <c r="T551" s="60">
        <v>0</v>
      </c>
      <c r="U551" s="60">
        <v>0</v>
      </c>
      <c r="V551" s="60">
        <v>0</v>
      </c>
      <c r="W551" s="60">
        <v>0</v>
      </c>
      <c r="X551" s="60">
        <v>0</v>
      </c>
      <c r="Y551" s="60">
        <v>0</v>
      </c>
      <c r="Z551" s="60">
        <v>0</v>
      </c>
      <c r="AA551" s="60">
        <v>0</v>
      </c>
      <c r="AB551" s="60">
        <v>0</v>
      </c>
      <c r="AC551" s="60">
        <v>0</v>
      </c>
      <c r="AD551" s="60">
        <v>0</v>
      </c>
      <c r="AE551" s="60">
        <v>0</v>
      </c>
      <c r="AF551" s="60">
        <v>0</v>
      </c>
      <c r="AG551" s="60">
        <v>0</v>
      </c>
      <c r="AH551" s="60">
        <v>0</v>
      </c>
      <c r="AI551" s="60">
        <v>3797.76</v>
      </c>
      <c r="AJ551" s="60">
        <v>3788.66</v>
      </c>
      <c r="AK551" s="60">
        <v>4176.74</v>
      </c>
      <c r="AL551" s="60">
        <v>0</v>
      </c>
      <c r="AM551" s="60">
        <v>0</v>
      </c>
      <c r="AN551" s="60">
        <v>0</v>
      </c>
      <c r="AO551" s="60">
        <v>3797.76</v>
      </c>
      <c r="AP551" s="60">
        <v>3788.66</v>
      </c>
      <c r="AQ551" s="60">
        <v>4176.74</v>
      </c>
      <c r="AR551" s="61">
        <v>4176.74</v>
      </c>
    </row>
    <row r="552" spans="1:44" x14ac:dyDescent="0.35">
      <c r="A552" s="49" t="str">
        <f t="shared" si="46"/>
        <v>41</v>
      </c>
      <c r="B552" s="27">
        <v>68874</v>
      </c>
      <c r="C552" s="25" t="str">
        <f t="shared" si="43"/>
        <v>0000000</v>
      </c>
      <c r="D552" s="26" t="s">
        <v>3663</v>
      </c>
      <c r="E552" s="25" t="s">
        <v>2546</v>
      </c>
      <c r="F552" s="25" t="s">
        <v>2539</v>
      </c>
      <c r="G552" s="59" t="s">
        <v>2547</v>
      </c>
      <c r="H552" s="60">
        <v>430.16</v>
      </c>
      <c r="I552" s="60">
        <v>415.65</v>
      </c>
      <c r="J552" s="60">
        <v>450.56</v>
      </c>
      <c r="K552" s="60">
        <v>0</v>
      </c>
      <c r="L552" s="60">
        <v>0</v>
      </c>
      <c r="M552" s="60">
        <v>0</v>
      </c>
      <c r="N552" s="60">
        <v>0</v>
      </c>
      <c r="O552" s="60">
        <v>0</v>
      </c>
      <c r="P552" s="60">
        <v>0</v>
      </c>
      <c r="Q552" s="60">
        <v>0</v>
      </c>
      <c r="R552" s="60">
        <v>0</v>
      </c>
      <c r="S552" s="60">
        <v>0</v>
      </c>
      <c r="T552" s="60">
        <v>0</v>
      </c>
      <c r="U552" s="60">
        <v>0</v>
      </c>
      <c r="V552" s="60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0</v>
      </c>
      <c r="AC552" s="60">
        <v>0</v>
      </c>
      <c r="AD552" s="60">
        <v>0</v>
      </c>
      <c r="AE552" s="60">
        <v>0</v>
      </c>
      <c r="AF552" s="60">
        <v>0</v>
      </c>
      <c r="AG552" s="60">
        <v>0</v>
      </c>
      <c r="AH552" s="60">
        <v>0</v>
      </c>
      <c r="AI552" s="60">
        <v>430.16</v>
      </c>
      <c r="AJ552" s="60">
        <v>415.65</v>
      </c>
      <c r="AK552" s="60">
        <v>450.56</v>
      </c>
      <c r="AL552" s="60">
        <v>0</v>
      </c>
      <c r="AM552" s="60">
        <v>0</v>
      </c>
      <c r="AN552" s="60">
        <v>0</v>
      </c>
      <c r="AO552" s="60">
        <v>430.16</v>
      </c>
      <c r="AP552" s="60">
        <v>415.65</v>
      </c>
      <c r="AQ552" s="60">
        <v>450.56</v>
      </c>
      <c r="AR552" s="61">
        <v>450.56</v>
      </c>
    </row>
    <row r="553" spans="1:44" x14ac:dyDescent="0.35">
      <c r="A553" s="49" t="str">
        <f t="shared" si="46"/>
        <v>41</v>
      </c>
      <c r="B553" s="27">
        <v>68882</v>
      </c>
      <c r="C553" s="25" t="str">
        <f t="shared" ref="C553:C572" si="47">TEXT(,"0000000")</f>
        <v>0000000</v>
      </c>
      <c r="D553" s="26" t="s">
        <v>3663</v>
      </c>
      <c r="E553" s="25" t="s">
        <v>2548</v>
      </c>
      <c r="F553" s="25" t="s">
        <v>2539</v>
      </c>
      <c r="G553" s="59" t="s">
        <v>2549</v>
      </c>
      <c r="H553" s="60">
        <v>3119.88</v>
      </c>
      <c r="I553" s="60">
        <v>3165.03</v>
      </c>
      <c r="J553" s="60">
        <v>3408.39</v>
      </c>
      <c r="K553" s="60">
        <v>0</v>
      </c>
      <c r="L553" s="60">
        <v>0</v>
      </c>
      <c r="M553" s="60">
        <v>0</v>
      </c>
      <c r="N553" s="60">
        <v>0</v>
      </c>
      <c r="O553" s="60">
        <v>0</v>
      </c>
      <c r="P553" s="60">
        <v>0</v>
      </c>
      <c r="Q553" s="60">
        <v>0</v>
      </c>
      <c r="R553" s="60">
        <v>0</v>
      </c>
      <c r="S553" s="60">
        <v>0</v>
      </c>
      <c r="T553" s="60">
        <v>0</v>
      </c>
      <c r="U553" s="60">
        <v>0</v>
      </c>
      <c r="V553" s="60">
        <v>0</v>
      </c>
      <c r="W553" s="60">
        <v>0</v>
      </c>
      <c r="X553" s="60">
        <v>0</v>
      </c>
      <c r="Y553" s="60">
        <v>0</v>
      </c>
      <c r="Z553" s="60">
        <v>0</v>
      </c>
      <c r="AA553" s="60">
        <v>0</v>
      </c>
      <c r="AB553" s="60">
        <v>0</v>
      </c>
      <c r="AC553" s="60">
        <v>0</v>
      </c>
      <c r="AD553" s="60">
        <v>0</v>
      </c>
      <c r="AE553" s="60">
        <v>0</v>
      </c>
      <c r="AF553" s="60">
        <v>0</v>
      </c>
      <c r="AG553" s="60">
        <v>0</v>
      </c>
      <c r="AH553" s="60">
        <v>0</v>
      </c>
      <c r="AI553" s="60">
        <v>3119.88</v>
      </c>
      <c r="AJ553" s="60">
        <v>3165.03</v>
      </c>
      <c r="AK553" s="60">
        <v>3408.39</v>
      </c>
      <c r="AL553" s="60">
        <v>0</v>
      </c>
      <c r="AM553" s="60">
        <v>0</v>
      </c>
      <c r="AN553" s="60">
        <v>0</v>
      </c>
      <c r="AO553" s="60">
        <v>3119.88</v>
      </c>
      <c r="AP553" s="60">
        <v>3165.03</v>
      </c>
      <c r="AQ553" s="60">
        <v>3408.39</v>
      </c>
      <c r="AR553" s="61">
        <v>3408.39</v>
      </c>
    </row>
    <row r="554" spans="1:44" x14ac:dyDescent="0.35">
      <c r="A554" s="49" t="str">
        <f t="shared" si="46"/>
        <v>41</v>
      </c>
      <c r="B554" s="27">
        <v>68908</v>
      </c>
      <c r="C554" s="25" t="str">
        <f t="shared" si="47"/>
        <v>0000000</v>
      </c>
      <c r="D554" s="26" t="s">
        <v>3663</v>
      </c>
      <c r="E554" s="25" t="s">
        <v>2552</v>
      </c>
      <c r="F554" s="25" t="s">
        <v>2539</v>
      </c>
      <c r="G554" s="59" t="s">
        <v>2553</v>
      </c>
      <c r="H554" s="60">
        <v>1235.03</v>
      </c>
      <c r="I554" s="60">
        <v>1212.3</v>
      </c>
      <c r="J554" s="60">
        <v>1243.78</v>
      </c>
      <c r="K554" s="60">
        <v>0</v>
      </c>
      <c r="L554" s="60">
        <v>0</v>
      </c>
      <c r="M554" s="60">
        <v>0</v>
      </c>
      <c r="N554" s="60">
        <v>0</v>
      </c>
      <c r="O554" s="60">
        <v>0</v>
      </c>
      <c r="P554" s="60">
        <v>0</v>
      </c>
      <c r="Q554" s="60">
        <v>0</v>
      </c>
      <c r="R554" s="60">
        <v>0</v>
      </c>
      <c r="S554" s="60">
        <v>0</v>
      </c>
      <c r="T554" s="60">
        <v>0</v>
      </c>
      <c r="U554" s="60">
        <v>0</v>
      </c>
      <c r="V554" s="60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0">
        <v>0</v>
      </c>
      <c r="AD554" s="60">
        <v>0</v>
      </c>
      <c r="AE554" s="60">
        <v>0</v>
      </c>
      <c r="AF554" s="60">
        <v>0</v>
      </c>
      <c r="AG554" s="60">
        <v>0</v>
      </c>
      <c r="AH554" s="60">
        <v>0</v>
      </c>
      <c r="AI554" s="60">
        <v>1235.03</v>
      </c>
      <c r="AJ554" s="60">
        <v>1212.3</v>
      </c>
      <c r="AK554" s="60">
        <v>1243.78</v>
      </c>
      <c r="AL554" s="60">
        <v>0</v>
      </c>
      <c r="AM554" s="60">
        <v>0</v>
      </c>
      <c r="AN554" s="60">
        <v>0</v>
      </c>
      <c r="AO554" s="60">
        <v>1235.03</v>
      </c>
      <c r="AP554" s="60">
        <v>1212.3</v>
      </c>
      <c r="AQ554" s="60">
        <v>1243.78</v>
      </c>
      <c r="AR554" s="61">
        <v>1243.78</v>
      </c>
    </row>
    <row r="555" spans="1:44" x14ac:dyDescent="0.35">
      <c r="A555" s="49" t="str">
        <f t="shared" si="46"/>
        <v>41</v>
      </c>
      <c r="B555" s="27">
        <v>68916</v>
      </c>
      <c r="C555" s="25" t="str">
        <f t="shared" si="47"/>
        <v>0000000</v>
      </c>
      <c r="D555" s="26" t="s">
        <v>3663</v>
      </c>
      <c r="E555" s="25" t="s">
        <v>2554</v>
      </c>
      <c r="F555" s="25" t="s">
        <v>2539</v>
      </c>
      <c r="G555" s="59" t="s">
        <v>1893</v>
      </c>
      <c r="H555" s="60">
        <v>4620.08</v>
      </c>
      <c r="I555" s="60">
        <v>4789.18</v>
      </c>
      <c r="J555" s="60">
        <v>5639.93</v>
      </c>
      <c r="K555" s="60">
        <v>0</v>
      </c>
      <c r="L555" s="60">
        <v>0</v>
      </c>
      <c r="M555" s="60">
        <v>0</v>
      </c>
      <c r="N555" s="60">
        <v>0</v>
      </c>
      <c r="O555" s="60">
        <v>0</v>
      </c>
      <c r="P555" s="60">
        <v>0</v>
      </c>
      <c r="Q555" s="60">
        <v>0</v>
      </c>
      <c r="R555" s="60">
        <v>0</v>
      </c>
      <c r="S555" s="60">
        <v>0</v>
      </c>
      <c r="T555" s="60">
        <v>0</v>
      </c>
      <c r="U555" s="60">
        <v>0</v>
      </c>
      <c r="V555" s="60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0">
        <v>0</v>
      </c>
      <c r="AE555" s="60">
        <v>0</v>
      </c>
      <c r="AF555" s="60">
        <v>0</v>
      </c>
      <c r="AG555" s="60">
        <v>0</v>
      </c>
      <c r="AH555" s="60">
        <v>0</v>
      </c>
      <c r="AI555" s="60">
        <v>4620.08</v>
      </c>
      <c r="AJ555" s="60">
        <v>4789.18</v>
      </c>
      <c r="AK555" s="60">
        <v>5639.93</v>
      </c>
      <c r="AL555" s="60">
        <v>0</v>
      </c>
      <c r="AM555" s="60">
        <v>0</v>
      </c>
      <c r="AN555" s="60">
        <v>0</v>
      </c>
      <c r="AO555" s="60">
        <v>4620.08</v>
      </c>
      <c r="AP555" s="60">
        <v>4789.18</v>
      </c>
      <c r="AQ555" s="60">
        <v>5639.93</v>
      </c>
      <c r="AR555" s="61">
        <v>5639.93</v>
      </c>
    </row>
    <row r="556" spans="1:44" x14ac:dyDescent="0.35">
      <c r="A556" s="49" t="str">
        <f t="shared" si="46"/>
        <v>41</v>
      </c>
      <c r="B556" s="27">
        <v>68932</v>
      </c>
      <c r="C556" s="25" t="str">
        <f t="shared" si="47"/>
        <v>0000000</v>
      </c>
      <c r="D556" s="26" t="s">
        <v>3663</v>
      </c>
      <c r="E556" s="25" t="s">
        <v>2562</v>
      </c>
      <c r="F556" s="25" t="s">
        <v>2539</v>
      </c>
      <c r="G556" s="59" t="s">
        <v>2563</v>
      </c>
      <c r="H556" s="60">
        <v>2564.9299999999998</v>
      </c>
      <c r="I556" s="60">
        <v>2614.8200000000002</v>
      </c>
      <c r="J556" s="60">
        <v>2982.79</v>
      </c>
      <c r="K556" s="60">
        <v>0</v>
      </c>
      <c r="L556" s="60">
        <v>0</v>
      </c>
      <c r="M556" s="60">
        <v>0</v>
      </c>
      <c r="N556" s="60">
        <v>0</v>
      </c>
      <c r="O556" s="60">
        <v>0</v>
      </c>
      <c r="P556" s="60">
        <v>0</v>
      </c>
      <c r="Q556" s="60">
        <v>0</v>
      </c>
      <c r="R556" s="60">
        <v>0</v>
      </c>
      <c r="S556" s="60">
        <v>0</v>
      </c>
      <c r="T556" s="60">
        <v>0</v>
      </c>
      <c r="U556" s="60">
        <v>0</v>
      </c>
      <c r="V556" s="60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60">
        <v>0</v>
      </c>
      <c r="AE556" s="60">
        <v>0</v>
      </c>
      <c r="AF556" s="60">
        <v>0</v>
      </c>
      <c r="AG556" s="60">
        <v>0</v>
      </c>
      <c r="AH556" s="60">
        <v>0</v>
      </c>
      <c r="AI556" s="60">
        <v>2564.9299999999998</v>
      </c>
      <c r="AJ556" s="60">
        <v>2614.8200000000002</v>
      </c>
      <c r="AK556" s="60">
        <v>2982.79</v>
      </c>
      <c r="AL556" s="60">
        <v>0</v>
      </c>
      <c r="AM556" s="60">
        <v>0</v>
      </c>
      <c r="AN556" s="60">
        <v>0</v>
      </c>
      <c r="AO556" s="60">
        <v>2564.9299999999998</v>
      </c>
      <c r="AP556" s="60">
        <v>2614.8200000000002</v>
      </c>
      <c r="AQ556" s="60">
        <v>2982.79</v>
      </c>
      <c r="AR556" s="61">
        <v>2982.79</v>
      </c>
    </row>
    <row r="557" spans="1:44" x14ac:dyDescent="0.35">
      <c r="A557" s="49" t="str">
        <f t="shared" si="46"/>
        <v>41</v>
      </c>
      <c r="B557" s="27">
        <v>68957</v>
      </c>
      <c r="C557" s="25" t="str">
        <f t="shared" si="47"/>
        <v>0000000</v>
      </c>
      <c r="D557" s="26" t="s">
        <v>3663</v>
      </c>
      <c r="E557" s="25" t="s">
        <v>2566</v>
      </c>
      <c r="F557" s="25" t="s">
        <v>2539</v>
      </c>
      <c r="G557" s="59" t="s">
        <v>2567</v>
      </c>
      <c r="H557" s="60">
        <v>1029.49</v>
      </c>
      <c r="I557" s="60">
        <v>964.24</v>
      </c>
      <c r="J557" s="60">
        <v>1094.4000000000001</v>
      </c>
      <c r="K557" s="60">
        <v>0</v>
      </c>
      <c r="L557" s="60">
        <v>0</v>
      </c>
      <c r="M557" s="60">
        <v>0</v>
      </c>
      <c r="N557" s="60">
        <v>76.36</v>
      </c>
      <c r="O557" s="60">
        <v>80.069999999999993</v>
      </c>
      <c r="P557" s="60">
        <v>81.459999999999994</v>
      </c>
      <c r="Q557" s="60">
        <v>0</v>
      </c>
      <c r="R557" s="60">
        <v>0</v>
      </c>
      <c r="S557" s="60">
        <v>0</v>
      </c>
      <c r="T557" s="60">
        <v>0</v>
      </c>
      <c r="U557" s="60">
        <v>0</v>
      </c>
      <c r="V557" s="60">
        <v>0</v>
      </c>
      <c r="W557" s="60">
        <v>0</v>
      </c>
      <c r="X557" s="60">
        <v>0</v>
      </c>
      <c r="Y557" s="60">
        <v>0</v>
      </c>
      <c r="Z557" s="60">
        <v>0</v>
      </c>
      <c r="AA557" s="60">
        <v>0</v>
      </c>
      <c r="AB557" s="60">
        <v>0</v>
      </c>
      <c r="AC557" s="60">
        <v>0</v>
      </c>
      <c r="AD557" s="60">
        <v>0</v>
      </c>
      <c r="AE557" s="60">
        <v>0</v>
      </c>
      <c r="AF557" s="60">
        <v>0</v>
      </c>
      <c r="AG557" s="60">
        <v>0</v>
      </c>
      <c r="AH557" s="60">
        <v>0</v>
      </c>
      <c r="AI557" s="60">
        <v>1105.8499999999999</v>
      </c>
      <c r="AJ557" s="60">
        <v>1044.31</v>
      </c>
      <c r="AK557" s="60">
        <v>1175.8599999999999</v>
      </c>
      <c r="AL557" s="60">
        <v>0</v>
      </c>
      <c r="AM557" s="60">
        <v>0</v>
      </c>
      <c r="AN557" s="60">
        <v>0</v>
      </c>
      <c r="AO557" s="60">
        <v>1105.8499999999999</v>
      </c>
      <c r="AP557" s="60">
        <v>1044.31</v>
      </c>
      <c r="AQ557" s="60">
        <v>1175.8599999999999</v>
      </c>
      <c r="AR557" s="61">
        <v>1175.8599999999999</v>
      </c>
    </row>
    <row r="558" spans="1:44" x14ac:dyDescent="0.35">
      <c r="A558" s="49" t="str">
        <f t="shared" si="46"/>
        <v>41</v>
      </c>
      <c r="B558" s="27">
        <v>68965</v>
      </c>
      <c r="C558" s="25" t="str">
        <f t="shared" si="47"/>
        <v>0000000</v>
      </c>
      <c r="D558" s="26" t="s">
        <v>3663</v>
      </c>
      <c r="E558" s="25" t="s">
        <v>2568</v>
      </c>
      <c r="F558" s="25" t="s">
        <v>2539</v>
      </c>
      <c r="G558" s="59" t="s">
        <v>2569</v>
      </c>
      <c r="H558" s="60">
        <v>2394.9</v>
      </c>
      <c r="I558" s="60">
        <v>2444.67</v>
      </c>
      <c r="J558" s="60">
        <v>2665.39</v>
      </c>
      <c r="K558" s="60">
        <v>0</v>
      </c>
      <c r="L558" s="60">
        <v>0</v>
      </c>
      <c r="M558" s="60">
        <v>0</v>
      </c>
      <c r="N558" s="60">
        <v>175.62</v>
      </c>
      <c r="O558" s="60">
        <v>173.22</v>
      </c>
      <c r="P558" s="60">
        <v>176</v>
      </c>
      <c r="Q558" s="60">
        <v>0</v>
      </c>
      <c r="R558" s="60">
        <v>0</v>
      </c>
      <c r="S558" s="60">
        <v>0</v>
      </c>
      <c r="T558" s="60">
        <v>0</v>
      </c>
      <c r="U558" s="60">
        <v>0</v>
      </c>
      <c r="V558" s="60">
        <v>0</v>
      </c>
      <c r="W558" s="60">
        <v>0</v>
      </c>
      <c r="X558" s="60">
        <v>0</v>
      </c>
      <c r="Y558" s="60">
        <v>0</v>
      </c>
      <c r="Z558" s="60">
        <v>0</v>
      </c>
      <c r="AA558" s="60">
        <v>0</v>
      </c>
      <c r="AB558" s="60">
        <v>0</v>
      </c>
      <c r="AC558" s="60">
        <v>0</v>
      </c>
      <c r="AD558" s="60">
        <v>0</v>
      </c>
      <c r="AE558" s="60">
        <v>0</v>
      </c>
      <c r="AF558" s="60">
        <v>0</v>
      </c>
      <c r="AG558" s="60">
        <v>0</v>
      </c>
      <c r="AH558" s="60">
        <v>0</v>
      </c>
      <c r="AI558" s="60">
        <v>2570.52</v>
      </c>
      <c r="AJ558" s="60">
        <v>2617.89</v>
      </c>
      <c r="AK558" s="60">
        <v>2841.39</v>
      </c>
      <c r="AL558" s="60">
        <v>0</v>
      </c>
      <c r="AM558" s="60">
        <v>0</v>
      </c>
      <c r="AN558" s="60">
        <v>0</v>
      </c>
      <c r="AO558" s="60">
        <v>2570.52</v>
      </c>
      <c r="AP558" s="60">
        <v>2617.89</v>
      </c>
      <c r="AQ558" s="60">
        <v>2841.39</v>
      </c>
      <c r="AR558" s="61">
        <v>2841.39</v>
      </c>
    </row>
    <row r="559" spans="1:44" x14ac:dyDescent="0.35">
      <c r="A559" s="49" t="str">
        <f t="shared" si="46"/>
        <v>41</v>
      </c>
      <c r="B559" s="27">
        <v>68973</v>
      </c>
      <c r="C559" s="25" t="str">
        <f t="shared" si="47"/>
        <v>0000000</v>
      </c>
      <c r="D559" s="26" t="s">
        <v>3663</v>
      </c>
      <c r="E559" s="25" t="s">
        <v>2570</v>
      </c>
      <c r="F559" s="25" t="s">
        <v>2539</v>
      </c>
      <c r="G559" s="59" t="s">
        <v>2571</v>
      </c>
      <c r="H559" s="60">
        <v>1977.22</v>
      </c>
      <c r="I559" s="60">
        <v>2028</v>
      </c>
      <c r="J559" s="60">
        <v>2263.5700000000002</v>
      </c>
      <c r="K559" s="60">
        <v>0</v>
      </c>
      <c r="L559" s="60">
        <v>0</v>
      </c>
      <c r="M559" s="60">
        <v>0</v>
      </c>
      <c r="N559" s="60">
        <v>0</v>
      </c>
      <c r="O559" s="60">
        <v>0</v>
      </c>
      <c r="P559" s="60">
        <v>0</v>
      </c>
      <c r="Q559" s="60">
        <v>0</v>
      </c>
      <c r="R559" s="60">
        <v>0</v>
      </c>
      <c r="S559" s="60">
        <v>0</v>
      </c>
      <c r="T559" s="60">
        <v>0</v>
      </c>
      <c r="U559" s="60">
        <v>0</v>
      </c>
      <c r="V559" s="60">
        <v>0</v>
      </c>
      <c r="W559" s="60">
        <v>0</v>
      </c>
      <c r="X559" s="60">
        <v>0</v>
      </c>
      <c r="Y559" s="60">
        <v>0</v>
      </c>
      <c r="Z559" s="60">
        <v>0</v>
      </c>
      <c r="AA559" s="60">
        <v>0</v>
      </c>
      <c r="AB559" s="60">
        <v>0</v>
      </c>
      <c r="AC559" s="60">
        <v>0</v>
      </c>
      <c r="AD559" s="60">
        <v>0</v>
      </c>
      <c r="AE559" s="60">
        <v>0</v>
      </c>
      <c r="AF559" s="60">
        <v>0</v>
      </c>
      <c r="AG559" s="60">
        <v>0</v>
      </c>
      <c r="AH559" s="60">
        <v>0</v>
      </c>
      <c r="AI559" s="60">
        <v>1977.22</v>
      </c>
      <c r="AJ559" s="60">
        <v>2028</v>
      </c>
      <c r="AK559" s="60">
        <v>2263.5700000000002</v>
      </c>
      <c r="AL559" s="60">
        <v>0</v>
      </c>
      <c r="AM559" s="60">
        <v>0</v>
      </c>
      <c r="AN559" s="60">
        <v>0</v>
      </c>
      <c r="AO559" s="60">
        <v>1977.22</v>
      </c>
      <c r="AP559" s="60">
        <v>2028</v>
      </c>
      <c r="AQ559" s="60">
        <v>2263.5700000000002</v>
      </c>
      <c r="AR559" s="61">
        <v>2263.5700000000002</v>
      </c>
    </row>
    <row r="560" spans="1:44" x14ac:dyDescent="0.35">
      <c r="A560" s="49" t="str">
        <f t="shared" si="46"/>
        <v>41</v>
      </c>
      <c r="B560" s="27">
        <v>68981</v>
      </c>
      <c r="C560" s="25" t="str">
        <f t="shared" si="47"/>
        <v>0000000</v>
      </c>
      <c r="D560" s="26" t="s">
        <v>3663</v>
      </c>
      <c r="E560" s="25" t="s">
        <v>2572</v>
      </c>
      <c r="F560" s="25" t="s">
        <v>2539</v>
      </c>
      <c r="G560" s="59" t="s">
        <v>2573</v>
      </c>
      <c r="H560" s="60">
        <v>429.36</v>
      </c>
      <c r="I560" s="60">
        <v>425.88</v>
      </c>
      <c r="J560" s="60">
        <v>486.64</v>
      </c>
      <c r="K560" s="60">
        <v>0</v>
      </c>
      <c r="L560" s="60">
        <v>0</v>
      </c>
      <c r="M560" s="60">
        <v>0</v>
      </c>
      <c r="N560" s="60">
        <v>39.22</v>
      </c>
      <c r="O560" s="60">
        <v>38.950000000000003</v>
      </c>
      <c r="P560" s="60">
        <v>45.22</v>
      </c>
      <c r="Q560" s="60">
        <v>0</v>
      </c>
      <c r="R560" s="60">
        <v>0</v>
      </c>
      <c r="S560" s="60">
        <v>0</v>
      </c>
      <c r="T560" s="60">
        <v>0</v>
      </c>
      <c r="U560" s="60">
        <v>0</v>
      </c>
      <c r="V560" s="60">
        <v>0</v>
      </c>
      <c r="W560" s="60">
        <v>0</v>
      </c>
      <c r="X560" s="60">
        <v>0</v>
      </c>
      <c r="Y560" s="60">
        <v>0</v>
      </c>
      <c r="Z560" s="60">
        <v>0</v>
      </c>
      <c r="AA560" s="60">
        <v>0</v>
      </c>
      <c r="AB560" s="60">
        <v>0</v>
      </c>
      <c r="AC560" s="60">
        <v>0</v>
      </c>
      <c r="AD560" s="60">
        <v>0</v>
      </c>
      <c r="AE560" s="60">
        <v>0</v>
      </c>
      <c r="AF560" s="60">
        <v>0</v>
      </c>
      <c r="AG560" s="60">
        <v>0</v>
      </c>
      <c r="AH560" s="60">
        <v>0</v>
      </c>
      <c r="AI560" s="60">
        <v>468.58</v>
      </c>
      <c r="AJ560" s="60">
        <v>464.83</v>
      </c>
      <c r="AK560" s="60">
        <v>531.86</v>
      </c>
      <c r="AL560" s="60">
        <v>0</v>
      </c>
      <c r="AM560" s="60">
        <v>0</v>
      </c>
      <c r="AN560" s="60">
        <v>0</v>
      </c>
      <c r="AO560" s="60">
        <v>468.58</v>
      </c>
      <c r="AP560" s="60">
        <v>464.83</v>
      </c>
      <c r="AQ560" s="60">
        <v>531.86</v>
      </c>
      <c r="AR560" s="61">
        <v>531.86</v>
      </c>
    </row>
    <row r="561" spans="1:44" x14ac:dyDescent="0.35">
      <c r="A561" s="49" t="str">
        <f t="shared" si="46"/>
        <v>41</v>
      </c>
      <c r="B561" s="27">
        <v>68999</v>
      </c>
      <c r="C561" s="25" t="str">
        <f t="shared" si="47"/>
        <v>0000000</v>
      </c>
      <c r="D561" s="26" t="s">
        <v>3663</v>
      </c>
      <c r="E561" s="25" t="s">
        <v>2574</v>
      </c>
      <c r="F561" s="25" t="s">
        <v>2539</v>
      </c>
      <c r="G561" s="59" t="s">
        <v>2575</v>
      </c>
      <c r="H561" s="60">
        <v>1291.93</v>
      </c>
      <c r="I561" s="60">
        <v>1321.73</v>
      </c>
      <c r="J561" s="60">
        <v>1916.16</v>
      </c>
      <c r="K561" s="60">
        <v>0</v>
      </c>
      <c r="L561" s="60">
        <v>0</v>
      </c>
      <c r="M561" s="60">
        <v>0</v>
      </c>
      <c r="N561" s="60">
        <v>0</v>
      </c>
      <c r="O561" s="60">
        <v>0</v>
      </c>
      <c r="P561" s="60">
        <v>0</v>
      </c>
      <c r="Q561" s="60">
        <v>0</v>
      </c>
      <c r="R561" s="60">
        <v>0</v>
      </c>
      <c r="S561" s="60">
        <v>0</v>
      </c>
      <c r="T561" s="60">
        <v>0</v>
      </c>
      <c r="U561" s="60">
        <v>0</v>
      </c>
      <c r="V561" s="60">
        <v>0</v>
      </c>
      <c r="W561" s="60">
        <v>0</v>
      </c>
      <c r="X561" s="60">
        <v>0</v>
      </c>
      <c r="Y561" s="60">
        <v>0</v>
      </c>
      <c r="Z561" s="60">
        <v>0</v>
      </c>
      <c r="AA561" s="60">
        <v>0</v>
      </c>
      <c r="AB561" s="60">
        <v>0</v>
      </c>
      <c r="AC561" s="60">
        <v>0</v>
      </c>
      <c r="AD561" s="60">
        <v>569.29</v>
      </c>
      <c r="AE561" s="60">
        <v>590.20000000000005</v>
      </c>
      <c r="AF561" s="60">
        <v>0</v>
      </c>
      <c r="AG561" s="60">
        <v>0</v>
      </c>
      <c r="AH561" s="60">
        <v>0</v>
      </c>
      <c r="AI561" s="60">
        <v>1291.93</v>
      </c>
      <c r="AJ561" s="60">
        <v>1891.02</v>
      </c>
      <c r="AK561" s="60">
        <v>2506.36</v>
      </c>
      <c r="AL561" s="60">
        <v>0</v>
      </c>
      <c r="AM561" s="60">
        <v>-569.29</v>
      </c>
      <c r="AN561" s="60">
        <v>-590.20000000000005</v>
      </c>
      <c r="AO561" s="60">
        <v>1291.93</v>
      </c>
      <c r="AP561" s="60">
        <v>1321.73</v>
      </c>
      <c r="AQ561" s="60">
        <v>1916.16</v>
      </c>
      <c r="AR561" s="61">
        <v>1916.16</v>
      </c>
    </row>
    <row r="562" spans="1:44" x14ac:dyDescent="0.35">
      <c r="A562" s="49" t="str">
        <f t="shared" si="46"/>
        <v>41</v>
      </c>
      <c r="B562" s="27">
        <v>69005</v>
      </c>
      <c r="C562" s="25" t="str">
        <f t="shared" si="47"/>
        <v>0000000</v>
      </c>
      <c r="D562" s="26" t="s">
        <v>3663</v>
      </c>
      <c r="E562" s="25" t="s">
        <v>2581</v>
      </c>
      <c r="F562" s="25" t="s">
        <v>2539</v>
      </c>
      <c r="G562" s="59" t="s">
        <v>2582</v>
      </c>
      <c r="H562" s="60">
        <v>5807.87</v>
      </c>
      <c r="I562" s="60">
        <v>5913.58</v>
      </c>
      <c r="J562" s="60">
        <v>6865.93</v>
      </c>
      <c r="K562" s="60">
        <v>0</v>
      </c>
      <c r="L562" s="60">
        <v>0</v>
      </c>
      <c r="M562" s="60">
        <v>0</v>
      </c>
      <c r="N562" s="60">
        <v>0</v>
      </c>
      <c r="O562" s="60">
        <v>0</v>
      </c>
      <c r="P562" s="60">
        <v>0</v>
      </c>
      <c r="Q562" s="60">
        <v>0</v>
      </c>
      <c r="R562" s="60">
        <v>0</v>
      </c>
      <c r="S562" s="60">
        <v>0</v>
      </c>
      <c r="T562" s="60">
        <v>0</v>
      </c>
      <c r="U562" s="60">
        <v>0</v>
      </c>
      <c r="V562" s="60">
        <v>0</v>
      </c>
      <c r="W562" s="60">
        <v>0</v>
      </c>
      <c r="X562" s="60">
        <v>0</v>
      </c>
      <c r="Y562" s="60">
        <v>0</v>
      </c>
      <c r="Z562" s="60">
        <v>0</v>
      </c>
      <c r="AA562" s="60">
        <v>0</v>
      </c>
      <c r="AB562" s="60">
        <v>0</v>
      </c>
      <c r="AC562" s="60">
        <v>0</v>
      </c>
      <c r="AD562" s="60">
        <v>0</v>
      </c>
      <c r="AE562" s="60">
        <v>0</v>
      </c>
      <c r="AF562" s="60">
        <v>0</v>
      </c>
      <c r="AG562" s="60">
        <v>0</v>
      </c>
      <c r="AH562" s="60">
        <v>0</v>
      </c>
      <c r="AI562" s="60">
        <v>5807.87</v>
      </c>
      <c r="AJ562" s="60">
        <v>5913.58</v>
      </c>
      <c r="AK562" s="60">
        <v>6865.93</v>
      </c>
      <c r="AL562" s="60">
        <v>0</v>
      </c>
      <c r="AM562" s="60">
        <v>0</v>
      </c>
      <c r="AN562" s="60">
        <v>0</v>
      </c>
      <c r="AO562" s="60">
        <v>5807.87</v>
      </c>
      <c r="AP562" s="60">
        <v>5913.58</v>
      </c>
      <c r="AQ562" s="60">
        <v>6865.93</v>
      </c>
      <c r="AR562" s="61">
        <v>6865.93</v>
      </c>
    </row>
    <row r="563" spans="1:44" x14ac:dyDescent="0.35">
      <c r="A563" s="49" t="str">
        <f t="shared" si="46"/>
        <v>41</v>
      </c>
      <c r="B563" s="27">
        <v>69013</v>
      </c>
      <c r="C563" s="25" t="str">
        <f t="shared" si="47"/>
        <v>0000000</v>
      </c>
      <c r="D563" s="26" t="s">
        <v>3663</v>
      </c>
      <c r="E563" s="25" t="s">
        <v>2589</v>
      </c>
      <c r="F563" s="25" t="s">
        <v>2539</v>
      </c>
      <c r="G563" s="59" t="s">
        <v>2590</v>
      </c>
      <c r="H563" s="60">
        <v>1813.97</v>
      </c>
      <c r="I563" s="60">
        <v>1974.75</v>
      </c>
      <c r="J563" s="60">
        <v>2328.5500000000002</v>
      </c>
      <c r="K563" s="60">
        <v>0</v>
      </c>
      <c r="L563" s="60">
        <v>0</v>
      </c>
      <c r="M563" s="60">
        <v>0</v>
      </c>
      <c r="N563" s="60">
        <v>0</v>
      </c>
      <c r="O563" s="60">
        <v>0</v>
      </c>
      <c r="P563" s="60">
        <v>0</v>
      </c>
      <c r="Q563" s="60">
        <v>0</v>
      </c>
      <c r="R563" s="60">
        <v>0</v>
      </c>
      <c r="S563" s="60">
        <v>0</v>
      </c>
      <c r="T563" s="60">
        <v>0</v>
      </c>
      <c r="U563" s="60">
        <v>0</v>
      </c>
      <c r="V563" s="60">
        <v>0</v>
      </c>
      <c r="W563" s="60">
        <v>0</v>
      </c>
      <c r="X563" s="60">
        <v>0</v>
      </c>
      <c r="Y563" s="60">
        <v>0</v>
      </c>
      <c r="Z563" s="60">
        <v>0</v>
      </c>
      <c r="AA563" s="60">
        <v>0</v>
      </c>
      <c r="AB563" s="60">
        <v>0</v>
      </c>
      <c r="AC563" s="60">
        <v>0</v>
      </c>
      <c r="AD563" s="60">
        <v>0</v>
      </c>
      <c r="AE563" s="60">
        <v>0</v>
      </c>
      <c r="AF563" s="60">
        <v>0</v>
      </c>
      <c r="AG563" s="60">
        <v>0</v>
      </c>
      <c r="AH563" s="60">
        <v>0</v>
      </c>
      <c r="AI563" s="60">
        <v>1813.97</v>
      </c>
      <c r="AJ563" s="60">
        <v>1974.75</v>
      </c>
      <c r="AK563" s="60">
        <v>2328.5500000000002</v>
      </c>
      <c r="AL563" s="60">
        <v>0</v>
      </c>
      <c r="AM563" s="60">
        <v>0</v>
      </c>
      <c r="AN563" s="60">
        <v>0</v>
      </c>
      <c r="AO563" s="60">
        <v>1813.97</v>
      </c>
      <c r="AP563" s="60">
        <v>1974.75</v>
      </c>
      <c r="AQ563" s="60">
        <v>2328.5500000000002</v>
      </c>
      <c r="AR563" s="61">
        <v>2328.5500000000002</v>
      </c>
    </row>
    <row r="564" spans="1:44" x14ac:dyDescent="0.35">
      <c r="A564" s="49" t="str">
        <f t="shared" si="46"/>
        <v>41</v>
      </c>
      <c r="B564" s="27">
        <v>69021</v>
      </c>
      <c r="C564" s="25" t="str">
        <f t="shared" si="47"/>
        <v>0000000</v>
      </c>
      <c r="D564" s="26" t="s">
        <v>3663</v>
      </c>
      <c r="E564" s="25" t="s">
        <v>2591</v>
      </c>
      <c r="F564" s="25" t="s">
        <v>2539</v>
      </c>
      <c r="G564" s="59" t="s">
        <v>2592</v>
      </c>
      <c r="H564" s="60">
        <v>2562.73</v>
      </c>
      <c r="I564" s="60">
        <v>2556.92</v>
      </c>
      <c r="J564" s="60">
        <v>2930.25</v>
      </c>
      <c r="K564" s="60">
        <v>0</v>
      </c>
      <c r="L564" s="60">
        <v>0</v>
      </c>
      <c r="M564" s="60">
        <v>0</v>
      </c>
      <c r="N564" s="60">
        <v>0</v>
      </c>
      <c r="O564" s="60">
        <v>0</v>
      </c>
      <c r="P564" s="60">
        <v>0</v>
      </c>
      <c r="Q564" s="60">
        <v>0</v>
      </c>
      <c r="R564" s="60">
        <v>0</v>
      </c>
      <c r="S564" s="60">
        <v>0</v>
      </c>
      <c r="T564" s="60">
        <v>0</v>
      </c>
      <c r="U564" s="60">
        <v>0</v>
      </c>
      <c r="V564" s="60">
        <v>0</v>
      </c>
      <c r="W564" s="60">
        <v>0</v>
      </c>
      <c r="X564" s="60">
        <v>0</v>
      </c>
      <c r="Y564" s="60">
        <v>0</v>
      </c>
      <c r="Z564" s="60">
        <v>0</v>
      </c>
      <c r="AA564" s="60">
        <v>0</v>
      </c>
      <c r="AB564" s="60">
        <v>0</v>
      </c>
      <c r="AC564" s="60">
        <v>0</v>
      </c>
      <c r="AD564" s="60">
        <v>0</v>
      </c>
      <c r="AE564" s="60">
        <v>0</v>
      </c>
      <c r="AF564" s="60">
        <v>0</v>
      </c>
      <c r="AG564" s="60">
        <v>0</v>
      </c>
      <c r="AH564" s="60">
        <v>0</v>
      </c>
      <c r="AI564" s="60">
        <v>2562.73</v>
      </c>
      <c r="AJ564" s="60">
        <v>2556.92</v>
      </c>
      <c r="AK564" s="60">
        <v>2930.25</v>
      </c>
      <c r="AL564" s="60">
        <v>0</v>
      </c>
      <c r="AM564" s="60">
        <v>0</v>
      </c>
      <c r="AN564" s="60">
        <v>0</v>
      </c>
      <c r="AO564" s="60">
        <v>2562.73</v>
      </c>
      <c r="AP564" s="60">
        <v>2556.92</v>
      </c>
      <c r="AQ564" s="60">
        <v>2930.25</v>
      </c>
      <c r="AR564" s="61">
        <v>2930.25</v>
      </c>
    </row>
    <row r="565" spans="1:44" x14ac:dyDescent="0.35">
      <c r="A565" s="49" t="str">
        <f t="shared" si="46"/>
        <v>41</v>
      </c>
      <c r="B565" s="27">
        <v>69039</v>
      </c>
      <c r="C565" s="25" t="str">
        <f t="shared" si="47"/>
        <v>0000000</v>
      </c>
      <c r="D565" s="26" t="s">
        <v>3663</v>
      </c>
      <c r="E565" s="25" t="s">
        <v>2596</v>
      </c>
      <c r="F565" s="25" t="s">
        <v>2539</v>
      </c>
      <c r="G565" s="59" t="s">
        <v>2597</v>
      </c>
      <c r="H565" s="60">
        <v>9387.2800000000007</v>
      </c>
      <c r="I565" s="60">
        <v>9635.52</v>
      </c>
      <c r="J565" s="60">
        <v>11153.88</v>
      </c>
      <c r="K565" s="60">
        <v>0</v>
      </c>
      <c r="L565" s="60">
        <v>0</v>
      </c>
      <c r="M565" s="60">
        <v>0</v>
      </c>
      <c r="N565" s="60">
        <v>0</v>
      </c>
      <c r="O565" s="60">
        <v>0</v>
      </c>
      <c r="P565" s="60">
        <v>0</v>
      </c>
      <c r="Q565" s="60">
        <v>0</v>
      </c>
      <c r="R565" s="60">
        <v>0</v>
      </c>
      <c r="S565" s="60">
        <v>0</v>
      </c>
      <c r="T565" s="60">
        <v>0</v>
      </c>
      <c r="U565" s="60">
        <v>0</v>
      </c>
      <c r="V565" s="60">
        <v>0</v>
      </c>
      <c r="W565" s="60">
        <v>0</v>
      </c>
      <c r="X565" s="60">
        <v>0</v>
      </c>
      <c r="Y565" s="60">
        <v>0</v>
      </c>
      <c r="Z565" s="60">
        <v>0</v>
      </c>
      <c r="AA565" s="60">
        <v>0</v>
      </c>
      <c r="AB565" s="60">
        <v>0</v>
      </c>
      <c r="AC565" s="60">
        <v>0</v>
      </c>
      <c r="AD565" s="60">
        <v>0</v>
      </c>
      <c r="AE565" s="60">
        <v>0</v>
      </c>
      <c r="AF565" s="60">
        <v>0</v>
      </c>
      <c r="AG565" s="60">
        <v>0</v>
      </c>
      <c r="AH565" s="60">
        <v>0</v>
      </c>
      <c r="AI565" s="60">
        <v>9387.2800000000007</v>
      </c>
      <c r="AJ565" s="60">
        <v>9635.52</v>
      </c>
      <c r="AK565" s="60">
        <v>11153.88</v>
      </c>
      <c r="AL565" s="60">
        <v>0</v>
      </c>
      <c r="AM565" s="60">
        <v>0</v>
      </c>
      <c r="AN565" s="60">
        <v>0</v>
      </c>
      <c r="AO565" s="60">
        <v>9387.2800000000007</v>
      </c>
      <c r="AP565" s="60">
        <v>9635.52</v>
      </c>
      <c r="AQ565" s="60">
        <v>11153.88</v>
      </c>
      <c r="AR565" s="61">
        <v>11153.88</v>
      </c>
    </row>
    <row r="566" spans="1:44" x14ac:dyDescent="0.35">
      <c r="A566" s="49" t="str">
        <f t="shared" si="46"/>
        <v>41</v>
      </c>
      <c r="B566" s="27">
        <v>69088</v>
      </c>
      <c r="C566" s="25" t="str">
        <f t="shared" si="47"/>
        <v>0000000</v>
      </c>
      <c r="D566" s="26" t="s">
        <v>3663</v>
      </c>
      <c r="E566" s="25" t="s">
        <v>2613</v>
      </c>
      <c r="F566" s="25" t="s">
        <v>2539</v>
      </c>
      <c r="G566" s="59" t="s">
        <v>2614</v>
      </c>
      <c r="H566" s="60">
        <v>299.06</v>
      </c>
      <c r="I566" s="60">
        <v>306.58999999999997</v>
      </c>
      <c r="J566" s="60">
        <v>323.72000000000003</v>
      </c>
      <c r="K566" s="60">
        <v>0</v>
      </c>
      <c r="L566" s="60">
        <v>0</v>
      </c>
      <c r="M566" s="60">
        <v>0</v>
      </c>
      <c r="N566" s="60">
        <v>36.18</v>
      </c>
      <c r="O566" s="60">
        <v>36.29</v>
      </c>
      <c r="P566" s="60">
        <v>35.28</v>
      </c>
      <c r="Q566" s="60">
        <v>0</v>
      </c>
      <c r="R566" s="60">
        <v>0</v>
      </c>
      <c r="S566" s="60">
        <v>0</v>
      </c>
      <c r="T566" s="60">
        <v>0</v>
      </c>
      <c r="U566" s="60">
        <v>0</v>
      </c>
      <c r="V566" s="60">
        <v>0</v>
      </c>
      <c r="W566" s="60">
        <v>0</v>
      </c>
      <c r="X566" s="60">
        <v>0</v>
      </c>
      <c r="Y566" s="60">
        <v>0</v>
      </c>
      <c r="Z566" s="60">
        <v>0</v>
      </c>
      <c r="AA566" s="60">
        <v>0</v>
      </c>
      <c r="AB566" s="60">
        <v>0</v>
      </c>
      <c r="AC566" s="60">
        <v>0</v>
      </c>
      <c r="AD566" s="60">
        <v>0</v>
      </c>
      <c r="AE566" s="60">
        <v>0</v>
      </c>
      <c r="AF566" s="60">
        <v>0</v>
      </c>
      <c r="AG566" s="60">
        <v>0</v>
      </c>
      <c r="AH566" s="60">
        <v>0</v>
      </c>
      <c r="AI566" s="60">
        <v>335.24</v>
      </c>
      <c r="AJ566" s="60">
        <v>342.88</v>
      </c>
      <c r="AK566" s="60">
        <v>359</v>
      </c>
      <c r="AL566" s="60">
        <v>0</v>
      </c>
      <c r="AM566" s="60">
        <v>0</v>
      </c>
      <c r="AN566" s="60">
        <v>0</v>
      </c>
      <c r="AO566" s="60">
        <v>335.24</v>
      </c>
      <c r="AP566" s="60">
        <v>342.88</v>
      </c>
      <c r="AQ566" s="60">
        <v>359</v>
      </c>
      <c r="AR566" s="61">
        <v>359</v>
      </c>
    </row>
    <row r="567" spans="1:44" x14ac:dyDescent="0.35">
      <c r="A567" s="49" t="str">
        <f t="shared" si="46"/>
        <v>41</v>
      </c>
      <c r="B567" s="27">
        <v>68924</v>
      </c>
      <c r="C567" s="25" t="str">
        <f t="shared" si="47"/>
        <v>0000000</v>
      </c>
      <c r="D567" s="26" t="s">
        <v>3663</v>
      </c>
      <c r="E567" s="25" t="s">
        <v>2558</v>
      </c>
      <c r="F567" s="25" t="s">
        <v>2539</v>
      </c>
      <c r="G567" s="59" t="s">
        <v>2559</v>
      </c>
      <c r="H567" s="60">
        <v>3580.6</v>
      </c>
      <c r="I567" s="60">
        <v>3629.95</v>
      </c>
      <c r="J567" s="60">
        <v>4104.76</v>
      </c>
      <c r="K567" s="60">
        <v>0</v>
      </c>
      <c r="L567" s="60">
        <v>0</v>
      </c>
      <c r="M567" s="60">
        <v>0</v>
      </c>
      <c r="N567" s="60">
        <v>0</v>
      </c>
      <c r="O567" s="60">
        <v>0</v>
      </c>
      <c r="P567" s="60">
        <v>0</v>
      </c>
      <c r="Q567" s="60">
        <v>0</v>
      </c>
      <c r="R567" s="60">
        <v>0</v>
      </c>
      <c r="S567" s="60">
        <v>0</v>
      </c>
      <c r="T567" s="60">
        <v>0</v>
      </c>
      <c r="U567" s="60">
        <v>0</v>
      </c>
      <c r="V567" s="60">
        <v>0</v>
      </c>
      <c r="W567" s="60">
        <v>0</v>
      </c>
      <c r="X567" s="60">
        <v>0</v>
      </c>
      <c r="Y567" s="60">
        <v>0</v>
      </c>
      <c r="Z567" s="60">
        <v>0</v>
      </c>
      <c r="AA567" s="60">
        <v>0</v>
      </c>
      <c r="AB567" s="60">
        <v>0</v>
      </c>
      <c r="AC567" s="60">
        <v>0</v>
      </c>
      <c r="AD567" s="60">
        <v>0</v>
      </c>
      <c r="AE567" s="60">
        <v>0</v>
      </c>
      <c r="AF567" s="60">
        <v>0</v>
      </c>
      <c r="AG567" s="60">
        <v>0</v>
      </c>
      <c r="AH567" s="60">
        <v>0</v>
      </c>
      <c r="AI567" s="60">
        <v>3580.6</v>
      </c>
      <c r="AJ567" s="60">
        <v>3629.95</v>
      </c>
      <c r="AK567" s="60">
        <v>4104.76</v>
      </c>
      <c r="AL567" s="60">
        <v>0</v>
      </c>
      <c r="AM567" s="60">
        <v>0</v>
      </c>
      <c r="AN567" s="60">
        <v>0</v>
      </c>
      <c r="AO567" s="60">
        <v>3580.6</v>
      </c>
      <c r="AP567" s="60">
        <v>3629.95</v>
      </c>
      <c r="AQ567" s="60">
        <v>4104.76</v>
      </c>
      <c r="AR567" s="61">
        <v>4104.76</v>
      </c>
    </row>
    <row r="568" spans="1:44" x14ac:dyDescent="0.35">
      <c r="A568" s="49" t="str">
        <f t="shared" si="46"/>
        <v>41</v>
      </c>
      <c r="B568" s="27">
        <v>69047</v>
      </c>
      <c r="C568" s="25" t="str">
        <f t="shared" si="47"/>
        <v>0000000</v>
      </c>
      <c r="D568" s="26" t="s">
        <v>3663</v>
      </c>
      <c r="E568" s="25" t="s">
        <v>2598</v>
      </c>
      <c r="F568" s="25" t="s">
        <v>2539</v>
      </c>
      <c r="G568" s="59" t="s">
        <v>2599</v>
      </c>
      <c r="H568" s="60">
        <v>8343.69</v>
      </c>
      <c r="I568" s="60">
        <v>8285.5499999999993</v>
      </c>
      <c r="J568" s="60">
        <v>8747.58</v>
      </c>
      <c r="K568" s="60">
        <v>0</v>
      </c>
      <c r="L568" s="60">
        <v>0</v>
      </c>
      <c r="M568" s="60">
        <v>0</v>
      </c>
      <c r="N568" s="60">
        <v>0</v>
      </c>
      <c r="O568" s="60">
        <v>0</v>
      </c>
      <c r="P568" s="60">
        <v>0</v>
      </c>
      <c r="Q568" s="60">
        <v>0</v>
      </c>
      <c r="R568" s="60">
        <v>0</v>
      </c>
      <c r="S568" s="60">
        <v>0</v>
      </c>
      <c r="T568" s="60">
        <v>0</v>
      </c>
      <c r="U568" s="60">
        <v>0</v>
      </c>
      <c r="V568" s="60">
        <v>0</v>
      </c>
      <c r="W568" s="60">
        <v>0</v>
      </c>
      <c r="X568" s="60">
        <v>0</v>
      </c>
      <c r="Y568" s="60">
        <v>0</v>
      </c>
      <c r="Z568" s="60">
        <v>0</v>
      </c>
      <c r="AA568" s="60">
        <v>0</v>
      </c>
      <c r="AB568" s="60">
        <v>0</v>
      </c>
      <c r="AC568" s="60">
        <v>0</v>
      </c>
      <c r="AD568" s="60">
        <v>524.14</v>
      </c>
      <c r="AE568" s="60">
        <v>539.57000000000005</v>
      </c>
      <c r="AF568" s="60">
        <v>0</v>
      </c>
      <c r="AG568" s="60">
        <v>0</v>
      </c>
      <c r="AH568" s="60">
        <v>0</v>
      </c>
      <c r="AI568" s="60">
        <v>8343.69</v>
      </c>
      <c r="AJ568" s="60">
        <v>8809.69</v>
      </c>
      <c r="AK568" s="60">
        <v>9287.15</v>
      </c>
      <c r="AL568" s="60">
        <v>0</v>
      </c>
      <c r="AM568" s="60">
        <v>-524.14</v>
      </c>
      <c r="AN568" s="60">
        <v>-539.57000000000005</v>
      </c>
      <c r="AO568" s="60">
        <v>8343.69</v>
      </c>
      <c r="AP568" s="60">
        <v>8285.5499999999993</v>
      </c>
      <c r="AQ568" s="60">
        <v>8747.58</v>
      </c>
      <c r="AR568" s="61">
        <v>8747.58</v>
      </c>
    </row>
    <row r="569" spans="1:44" x14ac:dyDescent="0.35">
      <c r="A569" s="49" t="str">
        <f t="shared" si="46"/>
        <v>41</v>
      </c>
      <c r="B569" s="27">
        <v>69062</v>
      </c>
      <c r="C569" s="25" t="str">
        <f t="shared" si="47"/>
        <v>0000000</v>
      </c>
      <c r="D569" s="26" t="s">
        <v>3663</v>
      </c>
      <c r="E569" s="25" t="s">
        <v>2602</v>
      </c>
      <c r="F569" s="25" t="s">
        <v>2539</v>
      </c>
      <c r="G569" s="59" t="s">
        <v>2603</v>
      </c>
      <c r="H569" s="60">
        <v>7831.8</v>
      </c>
      <c r="I569" s="60">
        <v>7955.91</v>
      </c>
      <c r="J569" s="60">
        <v>8386.73</v>
      </c>
      <c r="K569" s="60">
        <v>0</v>
      </c>
      <c r="L569" s="60">
        <v>0</v>
      </c>
      <c r="M569" s="60">
        <v>0</v>
      </c>
      <c r="N569" s="60">
        <v>0</v>
      </c>
      <c r="O569" s="60">
        <v>0</v>
      </c>
      <c r="P569" s="60">
        <v>0</v>
      </c>
      <c r="Q569" s="60">
        <v>0</v>
      </c>
      <c r="R569" s="60">
        <v>0</v>
      </c>
      <c r="S569" s="60">
        <v>0</v>
      </c>
      <c r="T569" s="60">
        <v>0</v>
      </c>
      <c r="U569" s="60">
        <v>0</v>
      </c>
      <c r="V569" s="60">
        <v>0</v>
      </c>
      <c r="W569" s="60">
        <v>0</v>
      </c>
      <c r="X569" s="60">
        <v>0</v>
      </c>
      <c r="Y569" s="60">
        <v>0</v>
      </c>
      <c r="Z569" s="60">
        <v>0</v>
      </c>
      <c r="AA569" s="60">
        <v>0</v>
      </c>
      <c r="AB569" s="60">
        <v>0</v>
      </c>
      <c r="AC569" s="60">
        <v>254.54</v>
      </c>
      <c r="AD569" s="60">
        <v>665.45</v>
      </c>
      <c r="AE569" s="60">
        <v>833.14</v>
      </c>
      <c r="AF569" s="60">
        <v>0</v>
      </c>
      <c r="AG569" s="60">
        <v>0</v>
      </c>
      <c r="AH569" s="60">
        <v>0</v>
      </c>
      <c r="AI569" s="60">
        <v>8086.34</v>
      </c>
      <c r="AJ569" s="60">
        <v>8621.36</v>
      </c>
      <c r="AK569" s="60">
        <v>9219.8700000000008</v>
      </c>
      <c r="AL569" s="60">
        <v>0</v>
      </c>
      <c r="AM569" s="60">
        <v>-380.66</v>
      </c>
      <c r="AN569" s="60">
        <v>-412.65</v>
      </c>
      <c r="AO569" s="60">
        <v>8086.34</v>
      </c>
      <c r="AP569" s="60">
        <v>8240.7000000000007</v>
      </c>
      <c r="AQ569" s="60">
        <v>8807.2199999999993</v>
      </c>
      <c r="AR569" s="61">
        <v>8807.2199999999993</v>
      </c>
    </row>
    <row r="570" spans="1:44" x14ac:dyDescent="0.35">
      <c r="A570" s="49" t="str">
        <f t="shared" si="46"/>
        <v>41</v>
      </c>
      <c r="B570" s="27">
        <v>68890</v>
      </c>
      <c r="C570" s="25" t="str">
        <f t="shared" si="47"/>
        <v>0000000</v>
      </c>
      <c r="D570" s="26" t="s">
        <v>3663</v>
      </c>
      <c r="E570" s="25" t="s">
        <v>2550</v>
      </c>
      <c r="F570" s="25" t="s">
        <v>2539</v>
      </c>
      <c r="G570" s="59" t="s">
        <v>2551</v>
      </c>
      <c r="H570" s="60">
        <v>2519.1799999999998</v>
      </c>
      <c r="I570" s="60">
        <v>2592.38</v>
      </c>
      <c r="J570" s="60">
        <v>2961.25</v>
      </c>
      <c r="K570" s="60">
        <v>0</v>
      </c>
      <c r="L570" s="60">
        <v>0</v>
      </c>
      <c r="M570" s="60">
        <v>0</v>
      </c>
      <c r="N570" s="60">
        <v>0</v>
      </c>
      <c r="O570" s="60">
        <v>0</v>
      </c>
      <c r="P570" s="60">
        <v>0</v>
      </c>
      <c r="Q570" s="60">
        <v>0</v>
      </c>
      <c r="R570" s="60">
        <v>0</v>
      </c>
      <c r="S570" s="60">
        <v>0</v>
      </c>
      <c r="T570" s="60">
        <v>0</v>
      </c>
      <c r="U570" s="60">
        <v>0</v>
      </c>
      <c r="V570" s="60">
        <v>0</v>
      </c>
      <c r="W570" s="60">
        <v>0</v>
      </c>
      <c r="X570" s="60">
        <v>0</v>
      </c>
      <c r="Y570" s="60">
        <v>0</v>
      </c>
      <c r="Z570" s="60">
        <v>0</v>
      </c>
      <c r="AA570" s="60">
        <v>0</v>
      </c>
      <c r="AB570" s="60">
        <v>0</v>
      </c>
      <c r="AC570" s="60">
        <v>0</v>
      </c>
      <c r="AD570" s="60">
        <v>0</v>
      </c>
      <c r="AE570" s="60">
        <v>0</v>
      </c>
      <c r="AF570" s="60">
        <v>0</v>
      </c>
      <c r="AG570" s="60">
        <v>0</v>
      </c>
      <c r="AH570" s="60">
        <v>0</v>
      </c>
      <c r="AI570" s="60">
        <v>2519.1799999999998</v>
      </c>
      <c r="AJ570" s="60">
        <v>2592.38</v>
      </c>
      <c r="AK570" s="60">
        <v>2961.25</v>
      </c>
      <c r="AL570" s="60">
        <v>0</v>
      </c>
      <c r="AM570" s="60">
        <v>0</v>
      </c>
      <c r="AN570" s="60">
        <v>0</v>
      </c>
      <c r="AO570" s="60">
        <v>2519.1799999999998</v>
      </c>
      <c r="AP570" s="60">
        <v>2592.38</v>
      </c>
      <c r="AQ570" s="60">
        <v>2961.25</v>
      </c>
      <c r="AR570" s="61">
        <v>2961.25</v>
      </c>
    </row>
    <row r="571" spans="1:44" x14ac:dyDescent="0.35">
      <c r="A571" s="49" t="str">
        <f t="shared" si="46"/>
        <v>41</v>
      </c>
      <c r="B571" s="27">
        <v>68940</v>
      </c>
      <c r="C571" s="25" t="str">
        <f t="shared" si="47"/>
        <v>0000000</v>
      </c>
      <c r="D571" s="26" t="s">
        <v>3663</v>
      </c>
      <c r="E571" s="25" t="s">
        <v>2564</v>
      </c>
      <c r="F571" s="25" t="s">
        <v>2539</v>
      </c>
      <c r="G571" s="59" t="s">
        <v>2565</v>
      </c>
      <c r="H571" s="60">
        <v>231.15</v>
      </c>
      <c r="I571" s="60">
        <v>242.75</v>
      </c>
      <c r="J571" s="60">
        <v>289.19</v>
      </c>
      <c r="K571" s="60">
        <v>0</v>
      </c>
      <c r="L571" s="60">
        <v>0</v>
      </c>
      <c r="M571" s="60">
        <v>0</v>
      </c>
      <c r="N571" s="60">
        <v>0</v>
      </c>
      <c r="O571" s="60">
        <v>0</v>
      </c>
      <c r="P571" s="60">
        <v>0</v>
      </c>
      <c r="Q571" s="60">
        <v>0</v>
      </c>
      <c r="R571" s="60">
        <v>0</v>
      </c>
      <c r="S571" s="60">
        <v>0</v>
      </c>
      <c r="T571" s="60">
        <v>0</v>
      </c>
      <c r="U571" s="60">
        <v>0</v>
      </c>
      <c r="V571" s="60">
        <v>0</v>
      </c>
      <c r="W571" s="60">
        <v>0</v>
      </c>
      <c r="X571" s="60">
        <v>0</v>
      </c>
      <c r="Y571" s="60">
        <v>0</v>
      </c>
      <c r="Z571" s="60">
        <v>0</v>
      </c>
      <c r="AA571" s="60">
        <v>0</v>
      </c>
      <c r="AB571" s="60">
        <v>0</v>
      </c>
      <c r="AC571" s="60">
        <v>0</v>
      </c>
      <c r="AD571" s="60">
        <v>0</v>
      </c>
      <c r="AE571" s="60">
        <v>0</v>
      </c>
      <c r="AF571" s="60">
        <v>0</v>
      </c>
      <c r="AG571" s="60">
        <v>0</v>
      </c>
      <c r="AH571" s="60">
        <v>0</v>
      </c>
      <c r="AI571" s="60">
        <v>231.15</v>
      </c>
      <c r="AJ571" s="60">
        <v>242.75</v>
      </c>
      <c r="AK571" s="60">
        <v>289.19</v>
      </c>
      <c r="AL571" s="60">
        <v>0</v>
      </c>
      <c r="AM571" s="60">
        <v>0</v>
      </c>
      <c r="AN571" s="60">
        <v>0</v>
      </c>
      <c r="AO571" s="60">
        <v>231.15</v>
      </c>
      <c r="AP571" s="60">
        <v>242.75</v>
      </c>
      <c r="AQ571" s="60">
        <v>289.19</v>
      </c>
      <c r="AR571" s="61">
        <v>289.19</v>
      </c>
    </row>
    <row r="572" spans="1:44" x14ac:dyDescent="0.35">
      <c r="A572" s="49" t="str">
        <f t="shared" si="46"/>
        <v>41</v>
      </c>
      <c r="B572" s="27">
        <v>69070</v>
      </c>
      <c r="C572" s="25" t="str">
        <f t="shared" si="47"/>
        <v>0000000</v>
      </c>
      <c r="D572" s="26" t="s">
        <v>3663</v>
      </c>
      <c r="E572" s="25" t="s">
        <v>2611</v>
      </c>
      <c r="F572" s="25" t="s">
        <v>2539</v>
      </c>
      <c r="G572" s="59" t="s">
        <v>2612</v>
      </c>
      <c r="H572" s="60">
        <v>7335.76</v>
      </c>
      <c r="I572" s="60">
        <v>7361.62</v>
      </c>
      <c r="J572" s="60">
        <v>7975.79</v>
      </c>
      <c r="K572" s="60">
        <v>0</v>
      </c>
      <c r="L572" s="60">
        <v>0</v>
      </c>
      <c r="M572" s="60">
        <v>0</v>
      </c>
      <c r="N572" s="60">
        <v>0</v>
      </c>
      <c r="O572" s="60">
        <v>0</v>
      </c>
      <c r="P572" s="60">
        <v>0</v>
      </c>
      <c r="Q572" s="60">
        <v>0</v>
      </c>
      <c r="R572" s="60">
        <v>0</v>
      </c>
      <c r="S572" s="60">
        <v>0</v>
      </c>
      <c r="T572" s="60">
        <v>0</v>
      </c>
      <c r="U572" s="60">
        <v>0</v>
      </c>
      <c r="V572" s="60">
        <v>0</v>
      </c>
      <c r="W572" s="60">
        <v>0</v>
      </c>
      <c r="X572" s="60">
        <v>0</v>
      </c>
      <c r="Y572" s="60">
        <v>0</v>
      </c>
      <c r="Z572" s="60">
        <v>0</v>
      </c>
      <c r="AA572" s="60">
        <v>0</v>
      </c>
      <c r="AB572" s="60">
        <v>0</v>
      </c>
      <c r="AC572" s="60">
        <v>0</v>
      </c>
      <c r="AD572" s="60">
        <v>0</v>
      </c>
      <c r="AE572" s="60">
        <v>0</v>
      </c>
      <c r="AF572" s="60">
        <v>0</v>
      </c>
      <c r="AG572" s="60">
        <v>0</v>
      </c>
      <c r="AH572" s="60">
        <v>0</v>
      </c>
      <c r="AI572" s="60">
        <v>7335.76</v>
      </c>
      <c r="AJ572" s="60">
        <v>7361.62</v>
      </c>
      <c r="AK572" s="60">
        <v>7975.79</v>
      </c>
      <c r="AL572" s="60">
        <v>0</v>
      </c>
      <c r="AM572" s="60">
        <v>0</v>
      </c>
      <c r="AN572" s="60">
        <v>0</v>
      </c>
      <c r="AO572" s="60">
        <v>7335.76</v>
      </c>
      <c r="AP572" s="60">
        <v>7361.62</v>
      </c>
      <c r="AQ572" s="60">
        <v>7975.79</v>
      </c>
      <c r="AR572" s="61">
        <v>7975.79</v>
      </c>
    </row>
    <row r="573" spans="1:44" x14ac:dyDescent="0.35">
      <c r="A573" s="49" t="str">
        <f t="shared" si="46"/>
        <v>41</v>
      </c>
      <c r="B573" s="27">
        <v>69062</v>
      </c>
      <c r="C573" s="25" t="str">
        <f>TEXT(119503,"0000000")</f>
        <v>0119503</v>
      </c>
      <c r="D573" s="27">
        <v>1070</v>
      </c>
      <c r="E573" s="25" t="s">
        <v>2607</v>
      </c>
      <c r="F573" s="25" t="s">
        <v>2539</v>
      </c>
      <c r="G573" s="59" t="s">
        <v>2608</v>
      </c>
      <c r="H573" s="60">
        <v>0</v>
      </c>
      <c r="I573" s="60">
        <v>0</v>
      </c>
      <c r="J573" s="60">
        <v>0</v>
      </c>
      <c r="K573" s="60">
        <v>0</v>
      </c>
      <c r="L573" s="60">
        <v>0</v>
      </c>
      <c r="M573" s="60">
        <v>0</v>
      </c>
      <c r="N573" s="60">
        <v>0</v>
      </c>
      <c r="O573" s="60">
        <v>0</v>
      </c>
      <c r="P573" s="60">
        <v>0</v>
      </c>
      <c r="Q573" s="60">
        <v>0</v>
      </c>
      <c r="R573" s="60">
        <v>0</v>
      </c>
      <c r="S573" s="60">
        <v>0</v>
      </c>
      <c r="T573" s="60">
        <v>0</v>
      </c>
      <c r="U573" s="60">
        <v>0</v>
      </c>
      <c r="V573" s="60">
        <v>0</v>
      </c>
      <c r="W573" s="60">
        <v>0</v>
      </c>
      <c r="X573" s="60">
        <v>0</v>
      </c>
      <c r="Y573" s="60">
        <v>0</v>
      </c>
      <c r="Z573" s="60">
        <v>0</v>
      </c>
      <c r="AA573" s="60">
        <v>0</v>
      </c>
      <c r="AB573" s="60">
        <v>0</v>
      </c>
      <c r="AC573" s="60">
        <v>255.62</v>
      </c>
      <c r="AD573" s="60">
        <v>279.47000000000003</v>
      </c>
      <c r="AE573" s="60">
        <v>360.09</v>
      </c>
      <c r="AF573" s="60">
        <v>0</v>
      </c>
      <c r="AG573" s="60">
        <v>0</v>
      </c>
      <c r="AH573" s="60">
        <v>0</v>
      </c>
      <c r="AI573" s="60">
        <v>255.62</v>
      </c>
      <c r="AJ573" s="60">
        <v>279.47000000000003</v>
      </c>
      <c r="AK573" s="60">
        <v>360.09</v>
      </c>
      <c r="AL573" s="60">
        <v>0</v>
      </c>
      <c r="AM573" s="60">
        <v>0</v>
      </c>
      <c r="AN573" s="60">
        <v>0</v>
      </c>
      <c r="AO573" s="60">
        <v>255.62</v>
      </c>
      <c r="AP573" s="60">
        <v>279.47000000000003</v>
      </c>
      <c r="AQ573" s="60">
        <v>360.09</v>
      </c>
      <c r="AR573" s="61">
        <v>360.09</v>
      </c>
    </row>
    <row r="574" spans="1:44" x14ac:dyDescent="0.35">
      <c r="A574" s="49" t="str">
        <f t="shared" si="46"/>
        <v>41</v>
      </c>
      <c r="B574" s="27">
        <v>69021</v>
      </c>
      <c r="C574" s="25" t="str">
        <f>TEXT(6112213,"0000000")</f>
        <v>6112213</v>
      </c>
      <c r="D574" s="26" t="s">
        <v>2595</v>
      </c>
      <c r="E574" s="25" t="s">
        <v>2593</v>
      </c>
      <c r="F574" s="25" t="s">
        <v>2539</v>
      </c>
      <c r="G574" s="59" t="s">
        <v>2594</v>
      </c>
      <c r="H574" s="60">
        <v>0</v>
      </c>
      <c r="I574" s="60">
        <v>0</v>
      </c>
      <c r="J574" s="60">
        <v>0</v>
      </c>
      <c r="K574" s="60">
        <v>0</v>
      </c>
      <c r="L574" s="60">
        <v>0</v>
      </c>
      <c r="M574" s="60">
        <v>0</v>
      </c>
      <c r="N574" s="60">
        <v>0</v>
      </c>
      <c r="O574" s="60">
        <v>0</v>
      </c>
      <c r="P574" s="60">
        <v>0</v>
      </c>
      <c r="Q574" s="60">
        <v>0</v>
      </c>
      <c r="R574" s="60">
        <v>0</v>
      </c>
      <c r="S574" s="60">
        <v>0</v>
      </c>
      <c r="T574" s="60">
        <v>0</v>
      </c>
      <c r="U574" s="60">
        <v>0</v>
      </c>
      <c r="V574" s="60">
        <v>0</v>
      </c>
      <c r="W574" s="60">
        <v>0</v>
      </c>
      <c r="X574" s="60">
        <v>0</v>
      </c>
      <c r="Y574" s="60">
        <v>0</v>
      </c>
      <c r="Z574" s="60">
        <v>0</v>
      </c>
      <c r="AA574" s="60">
        <v>0</v>
      </c>
      <c r="AB574" s="60">
        <v>0</v>
      </c>
      <c r="AC574" s="60">
        <v>336.06</v>
      </c>
      <c r="AD574" s="60">
        <v>351.95</v>
      </c>
      <c r="AE574" s="60">
        <v>369.34</v>
      </c>
      <c r="AF574" s="60">
        <v>0</v>
      </c>
      <c r="AG574" s="60">
        <v>0</v>
      </c>
      <c r="AH574" s="60">
        <v>0</v>
      </c>
      <c r="AI574" s="60">
        <v>336.06</v>
      </c>
      <c r="AJ574" s="60">
        <v>351.95</v>
      </c>
      <c r="AK574" s="60">
        <v>369.34</v>
      </c>
      <c r="AL574" s="60">
        <v>0</v>
      </c>
      <c r="AM574" s="60">
        <v>0</v>
      </c>
      <c r="AN574" s="60">
        <v>0</v>
      </c>
      <c r="AO574" s="60">
        <v>336.06</v>
      </c>
      <c r="AP574" s="60">
        <v>351.95</v>
      </c>
      <c r="AQ574" s="60">
        <v>369.34</v>
      </c>
      <c r="AR574" s="61">
        <v>369.34</v>
      </c>
    </row>
    <row r="575" spans="1:44" x14ac:dyDescent="0.35">
      <c r="A575" s="49" t="str">
        <f t="shared" si="46"/>
        <v>41</v>
      </c>
      <c r="B575" s="27">
        <v>69005</v>
      </c>
      <c r="C575" s="25" t="str">
        <f>TEXT(127282,"0000000")</f>
        <v>0127282</v>
      </c>
      <c r="D575" s="27">
        <v>1498</v>
      </c>
      <c r="E575" s="25" t="s">
        <v>2583</v>
      </c>
      <c r="F575" s="25" t="s">
        <v>2539</v>
      </c>
      <c r="G575" s="59" t="s">
        <v>2584</v>
      </c>
      <c r="H575" s="60">
        <v>0</v>
      </c>
      <c r="I575" s="60">
        <v>0</v>
      </c>
      <c r="J575" s="60">
        <v>0</v>
      </c>
      <c r="K575" s="60">
        <v>0</v>
      </c>
      <c r="L575" s="60">
        <v>0</v>
      </c>
      <c r="M575" s="60">
        <v>0</v>
      </c>
      <c r="N575" s="60">
        <v>0</v>
      </c>
      <c r="O575" s="60">
        <v>0</v>
      </c>
      <c r="P575" s="60">
        <v>0</v>
      </c>
      <c r="Q575" s="60">
        <v>0</v>
      </c>
      <c r="R575" s="60">
        <v>0</v>
      </c>
      <c r="S575" s="60">
        <v>0</v>
      </c>
      <c r="T575" s="60">
        <v>0</v>
      </c>
      <c r="U575" s="60">
        <v>0</v>
      </c>
      <c r="V575" s="60">
        <v>0</v>
      </c>
      <c r="W575" s="60">
        <v>0</v>
      </c>
      <c r="X575" s="60">
        <v>0</v>
      </c>
      <c r="Y575" s="60">
        <v>0</v>
      </c>
      <c r="Z575" s="60">
        <v>0</v>
      </c>
      <c r="AA575" s="60">
        <v>0</v>
      </c>
      <c r="AB575" s="60">
        <v>0</v>
      </c>
      <c r="AC575" s="60">
        <v>133.96</v>
      </c>
      <c r="AD575" s="60">
        <v>136.78</v>
      </c>
      <c r="AE575" s="60">
        <v>198.56</v>
      </c>
      <c r="AF575" s="60">
        <v>0</v>
      </c>
      <c r="AG575" s="60">
        <v>0</v>
      </c>
      <c r="AH575" s="60">
        <v>0</v>
      </c>
      <c r="AI575" s="60">
        <v>133.96</v>
      </c>
      <c r="AJ575" s="60">
        <v>136.78</v>
      </c>
      <c r="AK575" s="60">
        <v>198.56</v>
      </c>
      <c r="AL575" s="60">
        <v>0</v>
      </c>
      <c r="AM575" s="60">
        <v>0</v>
      </c>
      <c r="AN575" s="60">
        <v>0</v>
      </c>
      <c r="AO575" s="60">
        <v>133.96</v>
      </c>
      <c r="AP575" s="60">
        <v>136.78</v>
      </c>
      <c r="AQ575" s="60">
        <v>198.56</v>
      </c>
      <c r="AR575" s="61">
        <v>198.56</v>
      </c>
    </row>
    <row r="576" spans="1:44" x14ac:dyDescent="0.35">
      <c r="A576" s="49" t="str">
        <f t="shared" si="46"/>
        <v>41</v>
      </c>
      <c r="B576" s="27">
        <v>69062</v>
      </c>
      <c r="C576" s="25" t="str">
        <f>TEXT(139915,"0000000")</f>
        <v>0139915</v>
      </c>
      <c r="D576" s="27">
        <v>2085</v>
      </c>
      <c r="E576" s="25" t="s">
        <v>2609</v>
      </c>
      <c r="F576" s="25" t="s">
        <v>2539</v>
      </c>
      <c r="G576" s="59" t="s">
        <v>2610</v>
      </c>
      <c r="H576" s="60">
        <v>0</v>
      </c>
      <c r="I576" s="60">
        <v>0</v>
      </c>
      <c r="J576" s="60">
        <v>0</v>
      </c>
      <c r="K576" s="60">
        <v>0</v>
      </c>
      <c r="L576" s="60">
        <v>0</v>
      </c>
      <c r="M576" s="60">
        <v>0</v>
      </c>
      <c r="N576" s="60">
        <v>0</v>
      </c>
      <c r="O576" s="60">
        <v>0</v>
      </c>
      <c r="P576" s="60">
        <v>0</v>
      </c>
      <c r="Q576" s="60">
        <v>0</v>
      </c>
      <c r="R576" s="60">
        <v>0</v>
      </c>
      <c r="S576" s="60">
        <v>0</v>
      </c>
      <c r="T576" s="60">
        <v>0</v>
      </c>
      <c r="U576" s="60">
        <v>0</v>
      </c>
      <c r="V576" s="60">
        <v>0</v>
      </c>
      <c r="W576" s="60">
        <v>0</v>
      </c>
      <c r="X576" s="60">
        <v>0</v>
      </c>
      <c r="Y576" s="60">
        <v>0</v>
      </c>
      <c r="Z576" s="60">
        <v>0</v>
      </c>
      <c r="AA576" s="60">
        <v>0</v>
      </c>
      <c r="AB576" s="60">
        <v>0</v>
      </c>
      <c r="AC576" s="60">
        <v>204.3</v>
      </c>
      <c r="AD576" s="60">
        <v>170.38</v>
      </c>
      <c r="AE576" s="60">
        <v>0</v>
      </c>
      <c r="AF576" s="60">
        <v>0</v>
      </c>
      <c r="AG576" s="60">
        <v>0</v>
      </c>
      <c r="AH576" s="60">
        <v>0</v>
      </c>
      <c r="AI576" s="60">
        <v>204.3</v>
      </c>
      <c r="AJ576" s="60">
        <v>170.38</v>
      </c>
      <c r="AK576" s="60">
        <v>0</v>
      </c>
      <c r="AL576" s="60">
        <v>0</v>
      </c>
      <c r="AM576" s="60">
        <v>0</v>
      </c>
      <c r="AN576" s="60">
        <v>0</v>
      </c>
      <c r="AO576" s="60">
        <v>204.3</v>
      </c>
      <c r="AP576" s="60">
        <v>170.38</v>
      </c>
      <c r="AQ576" s="60">
        <v>0</v>
      </c>
      <c r="AR576" s="61">
        <v>204.3</v>
      </c>
    </row>
    <row r="577" spans="1:44" x14ac:dyDescent="0.35">
      <c r="A577" s="49" t="str">
        <f t="shared" si="46"/>
        <v>41</v>
      </c>
      <c r="B577" s="27">
        <v>10413</v>
      </c>
      <c r="C577" s="25" t="str">
        <f>TEXT(135269,"0000000")</f>
        <v>0135269</v>
      </c>
      <c r="D577" s="27">
        <v>1845</v>
      </c>
      <c r="E577" s="25" t="s">
        <v>2540</v>
      </c>
      <c r="F577" s="25" t="s">
        <v>2539</v>
      </c>
      <c r="G577" s="59" t="s">
        <v>2541</v>
      </c>
      <c r="H577" s="60">
        <v>0</v>
      </c>
      <c r="I577" s="60">
        <v>0</v>
      </c>
      <c r="J577" s="60">
        <v>0</v>
      </c>
      <c r="K577" s="60">
        <v>0</v>
      </c>
      <c r="L577" s="60">
        <v>0</v>
      </c>
      <c r="M577" s="60">
        <v>0</v>
      </c>
      <c r="N577" s="60">
        <v>0</v>
      </c>
      <c r="O577" s="60">
        <v>0</v>
      </c>
      <c r="P577" s="60">
        <v>0</v>
      </c>
      <c r="Q577" s="60">
        <v>0</v>
      </c>
      <c r="R577" s="60">
        <v>0</v>
      </c>
      <c r="S577" s="60">
        <v>0</v>
      </c>
      <c r="T577" s="60">
        <v>0</v>
      </c>
      <c r="U577" s="60">
        <v>0</v>
      </c>
      <c r="V577" s="60">
        <v>0</v>
      </c>
      <c r="W577" s="60">
        <v>0</v>
      </c>
      <c r="X577" s="60">
        <v>0</v>
      </c>
      <c r="Y577" s="60">
        <v>0</v>
      </c>
      <c r="Z577" s="60">
        <v>0</v>
      </c>
      <c r="AA577" s="60">
        <v>0</v>
      </c>
      <c r="AB577" s="60">
        <v>0</v>
      </c>
      <c r="AC577" s="60">
        <v>88.41</v>
      </c>
      <c r="AD577" s="60">
        <v>100.99</v>
      </c>
      <c r="AE577" s="60">
        <v>0</v>
      </c>
      <c r="AF577" s="60">
        <v>0</v>
      </c>
      <c r="AG577" s="60">
        <v>0</v>
      </c>
      <c r="AH577" s="60">
        <v>0</v>
      </c>
      <c r="AI577" s="60">
        <v>88.41</v>
      </c>
      <c r="AJ577" s="60">
        <v>100.99</v>
      </c>
      <c r="AK577" s="60">
        <v>0</v>
      </c>
      <c r="AL577" s="60">
        <v>0</v>
      </c>
      <c r="AM577" s="60">
        <v>0</v>
      </c>
      <c r="AN577" s="60">
        <v>0</v>
      </c>
      <c r="AO577" s="60">
        <v>88.41</v>
      </c>
      <c r="AP577" s="60">
        <v>100.99</v>
      </c>
      <c r="AQ577" s="60">
        <v>0</v>
      </c>
      <c r="AR577" s="61">
        <v>100.99</v>
      </c>
    </row>
    <row r="578" spans="1:44" x14ac:dyDescent="0.35">
      <c r="A578" s="49" t="str">
        <f t="shared" si="46"/>
        <v>41</v>
      </c>
      <c r="B578" s="27">
        <v>69005</v>
      </c>
      <c r="C578" s="25" t="str">
        <f>TEXT(132068,"0000000")</f>
        <v>0132068</v>
      </c>
      <c r="D578" s="27">
        <v>1735</v>
      </c>
      <c r="E578" s="25" t="s">
        <v>2585</v>
      </c>
      <c r="F578" s="25" t="s">
        <v>2539</v>
      </c>
      <c r="G578" s="59" t="s">
        <v>2586</v>
      </c>
      <c r="H578" s="60">
        <v>0</v>
      </c>
      <c r="I578" s="60">
        <v>0</v>
      </c>
      <c r="J578" s="60">
        <v>0</v>
      </c>
      <c r="K578" s="60">
        <v>0</v>
      </c>
      <c r="L578" s="60">
        <v>0</v>
      </c>
      <c r="M578" s="60">
        <v>0</v>
      </c>
      <c r="N578" s="60">
        <v>0</v>
      </c>
      <c r="O578" s="60">
        <v>0</v>
      </c>
      <c r="P578" s="60">
        <v>0</v>
      </c>
      <c r="Q578" s="60">
        <v>0</v>
      </c>
      <c r="R578" s="60">
        <v>0</v>
      </c>
      <c r="S578" s="60">
        <v>0</v>
      </c>
      <c r="T578" s="60">
        <v>0</v>
      </c>
      <c r="U578" s="60">
        <v>0</v>
      </c>
      <c r="V578" s="60">
        <v>0</v>
      </c>
      <c r="W578" s="60">
        <v>0</v>
      </c>
      <c r="X578" s="60">
        <v>0</v>
      </c>
      <c r="Y578" s="60">
        <v>0</v>
      </c>
      <c r="Z578" s="60">
        <v>0</v>
      </c>
      <c r="AA578" s="60">
        <v>0</v>
      </c>
      <c r="AB578" s="60">
        <v>0</v>
      </c>
      <c r="AC578" s="60">
        <v>644.04999999999995</v>
      </c>
      <c r="AD578" s="60">
        <v>688.06</v>
      </c>
      <c r="AE578" s="60">
        <v>0</v>
      </c>
      <c r="AF578" s="60">
        <v>0</v>
      </c>
      <c r="AG578" s="60">
        <v>0</v>
      </c>
      <c r="AH578" s="60">
        <v>0</v>
      </c>
      <c r="AI578" s="60">
        <v>644.04999999999995</v>
      </c>
      <c r="AJ578" s="60">
        <v>688.06</v>
      </c>
      <c r="AK578" s="60">
        <v>0</v>
      </c>
      <c r="AL578" s="60">
        <v>0</v>
      </c>
      <c r="AM578" s="60">
        <v>0</v>
      </c>
      <c r="AN578" s="60">
        <v>0</v>
      </c>
      <c r="AO578" s="60">
        <v>644.04999999999995</v>
      </c>
      <c r="AP578" s="60">
        <v>688.06</v>
      </c>
      <c r="AQ578" s="60">
        <v>0</v>
      </c>
      <c r="AR578" s="61">
        <v>688.06</v>
      </c>
    </row>
    <row r="579" spans="1:44" x14ac:dyDescent="0.35">
      <c r="A579" s="49" t="str">
        <f t="shared" si="46"/>
        <v>41</v>
      </c>
      <c r="B579" s="27">
        <v>68999</v>
      </c>
      <c r="C579" s="25" t="str">
        <f>TEXT(135608,"0000000")</f>
        <v>0135608</v>
      </c>
      <c r="D579" s="27">
        <v>1868</v>
      </c>
      <c r="E579" s="25" t="s">
        <v>2579</v>
      </c>
      <c r="F579" s="25" t="s">
        <v>2539</v>
      </c>
      <c r="G579" s="59" t="s">
        <v>2580</v>
      </c>
      <c r="H579" s="60">
        <v>0</v>
      </c>
      <c r="I579" s="60">
        <v>0</v>
      </c>
      <c r="J579" s="60">
        <v>0</v>
      </c>
      <c r="K579" s="60">
        <v>0</v>
      </c>
      <c r="L579" s="60">
        <v>0</v>
      </c>
      <c r="M579" s="60">
        <v>0</v>
      </c>
      <c r="N579" s="60">
        <v>0</v>
      </c>
      <c r="O579" s="60">
        <v>0</v>
      </c>
      <c r="P579" s="60">
        <v>0</v>
      </c>
      <c r="Q579" s="60">
        <v>0</v>
      </c>
      <c r="R579" s="60">
        <v>0</v>
      </c>
      <c r="S579" s="60">
        <v>0</v>
      </c>
      <c r="T579" s="60">
        <v>0</v>
      </c>
      <c r="U579" s="60">
        <v>0</v>
      </c>
      <c r="V579" s="60">
        <v>0</v>
      </c>
      <c r="W579" s="60">
        <v>0</v>
      </c>
      <c r="X579" s="60">
        <v>0</v>
      </c>
      <c r="Y579" s="60">
        <v>0</v>
      </c>
      <c r="Z579" s="60">
        <v>0</v>
      </c>
      <c r="AA579" s="60">
        <v>0</v>
      </c>
      <c r="AB579" s="60">
        <v>0</v>
      </c>
      <c r="AC579" s="60">
        <v>557.29999999999995</v>
      </c>
      <c r="AD579" s="60">
        <v>0</v>
      </c>
      <c r="AE579" s="60">
        <v>0</v>
      </c>
      <c r="AF579" s="60">
        <v>0</v>
      </c>
      <c r="AG579" s="60">
        <v>0</v>
      </c>
      <c r="AH579" s="60">
        <v>0</v>
      </c>
      <c r="AI579" s="60">
        <v>557.29999999999995</v>
      </c>
      <c r="AJ579" s="60">
        <v>0</v>
      </c>
      <c r="AK579" s="60">
        <v>0</v>
      </c>
      <c r="AL579" s="60">
        <v>0</v>
      </c>
      <c r="AM579" s="60">
        <v>569.29</v>
      </c>
      <c r="AN579" s="60">
        <v>590.20000000000005</v>
      </c>
      <c r="AO579" s="60">
        <v>557.29999999999995</v>
      </c>
      <c r="AP579" s="60">
        <v>569.29</v>
      </c>
      <c r="AQ579" s="60">
        <v>590.20000000000005</v>
      </c>
      <c r="AR579" s="61">
        <v>590.20000000000005</v>
      </c>
    </row>
    <row r="580" spans="1:44" x14ac:dyDescent="0.35">
      <c r="A580" s="49" t="str">
        <f t="shared" si="46"/>
        <v>41</v>
      </c>
      <c r="B580" s="27">
        <v>69047</v>
      </c>
      <c r="C580" s="25" t="str">
        <f>TEXT(129759,"0000000")</f>
        <v>0129759</v>
      </c>
      <c r="D580" s="27">
        <v>1647</v>
      </c>
      <c r="E580" s="25" t="s">
        <v>2600</v>
      </c>
      <c r="F580" s="25" t="s">
        <v>2539</v>
      </c>
      <c r="G580" s="59" t="s">
        <v>2601</v>
      </c>
      <c r="H580" s="60">
        <v>0</v>
      </c>
      <c r="I580" s="60">
        <v>0</v>
      </c>
      <c r="J580" s="60">
        <v>0</v>
      </c>
      <c r="K580" s="60">
        <v>0</v>
      </c>
      <c r="L580" s="60">
        <v>0</v>
      </c>
      <c r="M580" s="60">
        <v>0</v>
      </c>
      <c r="N580" s="60">
        <v>0</v>
      </c>
      <c r="O580" s="60">
        <v>0</v>
      </c>
      <c r="P580" s="60">
        <v>0</v>
      </c>
      <c r="Q580" s="60">
        <v>0</v>
      </c>
      <c r="R580" s="60">
        <v>0</v>
      </c>
      <c r="S580" s="60">
        <v>0</v>
      </c>
      <c r="T580" s="60">
        <v>0</v>
      </c>
      <c r="U580" s="60">
        <v>0</v>
      </c>
      <c r="V580" s="60">
        <v>0</v>
      </c>
      <c r="W580" s="60">
        <v>0</v>
      </c>
      <c r="X580" s="60">
        <v>0</v>
      </c>
      <c r="Y580" s="60">
        <v>0</v>
      </c>
      <c r="Z580" s="60">
        <v>0</v>
      </c>
      <c r="AA580" s="60">
        <v>0</v>
      </c>
      <c r="AB580" s="60">
        <v>0</v>
      </c>
      <c r="AC580" s="60">
        <v>509.05</v>
      </c>
      <c r="AD580" s="60">
        <v>0</v>
      </c>
      <c r="AE580" s="60">
        <v>0</v>
      </c>
      <c r="AF580" s="60">
        <v>0</v>
      </c>
      <c r="AG580" s="60">
        <v>0</v>
      </c>
      <c r="AH580" s="60">
        <v>0</v>
      </c>
      <c r="AI580" s="60">
        <v>509.05</v>
      </c>
      <c r="AJ580" s="60">
        <v>0</v>
      </c>
      <c r="AK580" s="60">
        <v>0</v>
      </c>
      <c r="AL580" s="60">
        <v>0</v>
      </c>
      <c r="AM580" s="60">
        <v>524.14</v>
      </c>
      <c r="AN580" s="60">
        <v>539.57000000000005</v>
      </c>
      <c r="AO580" s="60">
        <v>509.05</v>
      </c>
      <c r="AP580" s="60">
        <v>524.14</v>
      </c>
      <c r="AQ580" s="60">
        <v>539.57000000000005</v>
      </c>
      <c r="AR580" s="61">
        <v>539.57000000000005</v>
      </c>
    </row>
    <row r="581" spans="1:44" x14ac:dyDescent="0.35">
      <c r="A581" s="49" t="str">
        <f t="shared" si="46"/>
        <v>41</v>
      </c>
      <c r="B581" s="27">
        <v>69062</v>
      </c>
      <c r="C581" s="25" t="str">
        <f>TEXT(112722,"0000000")</f>
        <v>0112722</v>
      </c>
      <c r="D581" s="26" t="s">
        <v>2606</v>
      </c>
      <c r="E581" s="25" t="s">
        <v>2604</v>
      </c>
      <c r="F581" s="25" t="s">
        <v>2539</v>
      </c>
      <c r="G581" s="59" t="s">
        <v>2605</v>
      </c>
      <c r="H581" s="60">
        <v>0</v>
      </c>
      <c r="I581" s="60">
        <v>0</v>
      </c>
      <c r="J581" s="60">
        <v>0</v>
      </c>
      <c r="K581" s="60">
        <v>0</v>
      </c>
      <c r="L581" s="60">
        <v>0</v>
      </c>
      <c r="M581" s="60">
        <v>0</v>
      </c>
      <c r="N581" s="60">
        <v>0</v>
      </c>
      <c r="O581" s="60">
        <v>0</v>
      </c>
      <c r="P581" s="60">
        <v>0</v>
      </c>
      <c r="Q581" s="60">
        <v>0</v>
      </c>
      <c r="R581" s="60">
        <v>0</v>
      </c>
      <c r="S581" s="60">
        <v>0</v>
      </c>
      <c r="T581" s="60">
        <v>0</v>
      </c>
      <c r="U581" s="60">
        <v>0</v>
      </c>
      <c r="V581" s="60">
        <v>0</v>
      </c>
      <c r="W581" s="60">
        <v>0</v>
      </c>
      <c r="X581" s="60">
        <v>0</v>
      </c>
      <c r="Y581" s="60">
        <v>0</v>
      </c>
      <c r="Z581" s="60">
        <v>0</v>
      </c>
      <c r="AA581" s="60">
        <v>0</v>
      </c>
      <c r="AB581" s="60">
        <v>0</v>
      </c>
      <c r="AC581" s="60">
        <v>347.11</v>
      </c>
      <c r="AD581" s="60">
        <v>0</v>
      </c>
      <c r="AE581" s="60">
        <v>0</v>
      </c>
      <c r="AF581" s="60">
        <v>0</v>
      </c>
      <c r="AG581" s="60">
        <v>0</v>
      </c>
      <c r="AH581" s="60">
        <v>0</v>
      </c>
      <c r="AI581" s="60">
        <v>347.11</v>
      </c>
      <c r="AJ581" s="60">
        <v>0</v>
      </c>
      <c r="AK581" s="60">
        <v>0</v>
      </c>
      <c r="AL581" s="60">
        <v>0</v>
      </c>
      <c r="AM581" s="60">
        <v>380.66</v>
      </c>
      <c r="AN581" s="60">
        <v>412.65</v>
      </c>
      <c r="AO581" s="60">
        <v>347.11</v>
      </c>
      <c r="AP581" s="60">
        <v>380.66</v>
      </c>
      <c r="AQ581" s="60">
        <v>412.65</v>
      </c>
      <c r="AR581" s="61">
        <v>412.65</v>
      </c>
    </row>
    <row r="582" spans="1:44" x14ac:dyDescent="0.35">
      <c r="A582" s="49" t="str">
        <f>TEXT(26,"00")</f>
        <v>26</v>
      </c>
      <c r="B582" s="27">
        <v>10264</v>
      </c>
      <c r="C582" s="25" t="str">
        <f t="shared" ref="C582:C613" si="48">TEXT(,"0000000")</f>
        <v>0000000</v>
      </c>
      <c r="D582" s="26" t="s">
        <v>3663</v>
      </c>
      <c r="E582" s="25" t="s">
        <v>1373</v>
      </c>
      <c r="F582" s="25" t="s">
        <v>1374</v>
      </c>
      <c r="G582" s="59" t="s">
        <v>1374</v>
      </c>
      <c r="H582" s="60">
        <v>0</v>
      </c>
      <c r="I582" s="60">
        <v>0</v>
      </c>
      <c r="J582" s="60">
        <v>0</v>
      </c>
      <c r="K582" s="60">
        <v>0</v>
      </c>
      <c r="L582" s="60">
        <v>0</v>
      </c>
      <c r="M582" s="60">
        <v>0</v>
      </c>
      <c r="N582" s="60">
        <v>0</v>
      </c>
      <c r="O582" s="60">
        <v>0</v>
      </c>
      <c r="P582" s="60">
        <v>0</v>
      </c>
      <c r="Q582" s="60">
        <v>0</v>
      </c>
      <c r="R582" s="60">
        <v>0</v>
      </c>
      <c r="S582" s="60">
        <v>0</v>
      </c>
      <c r="T582" s="60">
        <v>0.59</v>
      </c>
      <c r="U582" s="60">
        <v>1.21</v>
      </c>
      <c r="V582" s="60">
        <v>2.04</v>
      </c>
      <c r="W582" s="60">
        <v>13.63</v>
      </c>
      <c r="X582" s="60">
        <v>10.029999999999999</v>
      </c>
      <c r="Y582" s="60">
        <v>9.06</v>
      </c>
      <c r="Z582" s="60">
        <v>156.94</v>
      </c>
      <c r="AA582" s="60">
        <v>137.61000000000001</v>
      </c>
      <c r="AB582" s="60">
        <v>237.87</v>
      </c>
      <c r="AC582" s="60">
        <v>0</v>
      </c>
      <c r="AD582" s="60">
        <v>0</v>
      </c>
      <c r="AE582" s="60">
        <v>0</v>
      </c>
      <c r="AF582" s="60">
        <v>0</v>
      </c>
      <c r="AG582" s="60">
        <v>0</v>
      </c>
      <c r="AH582" s="60">
        <v>0</v>
      </c>
      <c r="AI582" s="60">
        <v>171.16</v>
      </c>
      <c r="AJ582" s="60">
        <v>148.85</v>
      </c>
      <c r="AK582" s="60">
        <v>248.97</v>
      </c>
      <c r="AL582" s="60">
        <v>0</v>
      </c>
      <c r="AM582" s="60">
        <v>0</v>
      </c>
      <c r="AN582" s="60">
        <v>0</v>
      </c>
      <c r="AO582" s="60">
        <v>171.16</v>
      </c>
      <c r="AP582" s="60">
        <v>148.85</v>
      </c>
      <c r="AQ582" s="60">
        <v>248.97</v>
      </c>
      <c r="AR582" s="61">
        <v>248.97</v>
      </c>
    </row>
    <row r="583" spans="1:44" x14ac:dyDescent="0.35">
      <c r="A583" s="49" t="str">
        <f>TEXT(26,"00")</f>
        <v>26</v>
      </c>
      <c r="B583" s="27">
        <v>73668</v>
      </c>
      <c r="C583" s="25" t="str">
        <f t="shared" si="48"/>
        <v>0000000</v>
      </c>
      <c r="D583" s="26" t="s">
        <v>3663</v>
      </c>
      <c r="E583" s="25" t="s">
        <v>1375</v>
      </c>
      <c r="F583" s="25" t="s">
        <v>1374</v>
      </c>
      <c r="G583" s="59" t="s">
        <v>1376</v>
      </c>
      <c r="H583" s="60">
        <v>362.87</v>
      </c>
      <c r="I583" s="60">
        <v>358.27</v>
      </c>
      <c r="J583" s="60">
        <v>404.19</v>
      </c>
      <c r="K583" s="60">
        <v>0</v>
      </c>
      <c r="L583" s="60">
        <v>0</v>
      </c>
      <c r="M583" s="60">
        <v>0</v>
      </c>
      <c r="N583" s="60">
        <v>0</v>
      </c>
      <c r="O583" s="60">
        <v>0</v>
      </c>
      <c r="P583" s="60">
        <v>0</v>
      </c>
      <c r="Q583" s="60">
        <v>0</v>
      </c>
      <c r="R583" s="60">
        <v>0</v>
      </c>
      <c r="S583" s="60">
        <v>0</v>
      </c>
      <c r="T583" s="60">
        <v>0</v>
      </c>
      <c r="U583" s="60">
        <v>0</v>
      </c>
      <c r="V583" s="60">
        <v>0</v>
      </c>
      <c r="W583" s="60">
        <v>0</v>
      </c>
      <c r="X583" s="60">
        <v>0</v>
      </c>
      <c r="Y583" s="60">
        <v>0</v>
      </c>
      <c r="Z583" s="60">
        <v>0</v>
      </c>
      <c r="AA583" s="60">
        <v>0</v>
      </c>
      <c r="AB583" s="60">
        <v>0</v>
      </c>
      <c r="AC583" s="60">
        <v>0</v>
      </c>
      <c r="AD583" s="60">
        <v>0</v>
      </c>
      <c r="AE583" s="60">
        <v>0</v>
      </c>
      <c r="AF583" s="60">
        <v>0</v>
      </c>
      <c r="AG583" s="60">
        <v>0</v>
      </c>
      <c r="AH583" s="60">
        <v>0</v>
      </c>
      <c r="AI583" s="60">
        <v>362.87</v>
      </c>
      <c r="AJ583" s="60">
        <v>358.27</v>
      </c>
      <c r="AK583" s="60">
        <v>404.19</v>
      </c>
      <c r="AL583" s="60">
        <v>0</v>
      </c>
      <c r="AM583" s="60">
        <v>0</v>
      </c>
      <c r="AN583" s="60">
        <v>0</v>
      </c>
      <c r="AO583" s="60">
        <v>362.87</v>
      </c>
      <c r="AP583" s="60">
        <v>358.27</v>
      </c>
      <c r="AQ583" s="60">
        <v>404.19</v>
      </c>
      <c r="AR583" s="61">
        <v>404.19</v>
      </c>
    </row>
    <row r="584" spans="1:44" x14ac:dyDescent="0.35">
      <c r="A584" s="49" t="str">
        <f>TEXT(26,"00")</f>
        <v>26</v>
      </c>
      <c r="B584" s="27">
        <v>73692</v>
      </c>
      <c r="C584" s="25" t="str">
        <f t="shared" si="48"/>
        <v>0000000</v>
      </c>
      <c r="D584" s="26" t="s">
        <v>3663</v>
      </c>
      <c r="E584" s="25" t="s">
        <v>1377</v>
      </c>
      <c r="F584" s="25" t="s">
        <v>1374</v>
      </c>
      <c r="G584" s="59" t="s">
        <v>1378</v>
      </c>
      <c r="H584" s="60">
        <v>1034.92</v>
      </c>
      <c r="I584" s="60">
        <v>943.86</v>
      </c>
      <c r="J584" s="60">
        <v>1125.21</v>
      </c>
      <c r="K584" s="60">
        <v>0</v>
      </c>
      <c r="L584" s="60">
        <v>0</v>
      </c>
      <c r="M584" s="60">
        <v>0</v>
      </c>
      <c r="N584" s="60">
        <v>0</v>
      </c>
      <c r="O584" s="60">
        <v>0</v>
      </c>
      <c r="P584" s="60">
        <v>0</v>
      </c>
      <c r="Q584" s="60">
        <v>0</v>
      </c>
      <c r="R584" s="60">
        <v>0</v>
      </c>
      <c r="S584" s="60">
        <v>0</v>
      </c>
      <c r="T584" s="60">
        <v>0</v>
      </c>
      <c r="U584" s="60">
        <v>0</v>
      </c>
      <c r="V584" s="60">
        <v>0</v>
      </c>
      <c r="W584" s="60">
        <v>0</v>
      </c>
      <c r="X584" s="60">
        <v>0</v>
      </c>
      <c r="Y584" s="60">
        <v>0</v>
      </c>
      <c r="Z584" s="60">
        <v>0</v>
      </c>
      <c r="AA584" s="60">
        <v>0</v>
      </c>
      <c r="AB584" s="60">
        <v>0</v>
      </c>
      <c r="AC584" s="60">
        <v>0</v>
      </c>
      <c r="AD584" s="60">
        <v>0</v>
      </c>
      <c r="AE584" s="60">
        <v>0</v>
      </c>
      <c r="AF584" s="60">
        <v>0</v>
      </c>
      <c r="AG584" s="60">
        <v>0</v>
      </c>
      <c r="AH584" s="60">
        <v>0</v>
      </c>
      <c r="AI584" s="60">
        <v>1034.92</v>
      </c>
      <c r="AJ584" s="60">
        <v>943.86</v>
      </c>
      <c r="AK584" s="60">
        <v>1125.21</v>
      </c>
      <c r="AL584" s="60">
        <v>0</v>
      </c>
      <c r="AM584" s="60">
        <v>0</v>
      </c>
      <c r="AN584" s="60">
        <v>0</v>
      </c>
      <c r="AO584" s="60">
        <v>1034.92</v>
      </c>
      <c r="AP584" s="60">
        <v>943.86</v>
      </c>
      <c r="AQ584" s="60">
        <v>1125.21</v>
      </c>
      <c r="AR584" s="61">
        <v>1125.21</v>
      </c>
    </row>
    <row r="585" spans="1:44" x14ac:dyDescent="0.35">
      <c r="A585" s="49" t="str">
        <f t="shared" ref="A585:A591" si="49">TEXT(17,"00")</f>
        <v>17</v>
      </c>
      <c r="B585" s="27">
        <v>10173</v>
      </c>
      <c r="C585" s="25" t="str">
        <f t="shared" si="48"/>
        <v>0000000</v>
      </c>
      <c r="D585" s="26" t="s">
        <v>3663</v>
      </c>
      <c r="E585" s="25" t="s">
        <v>785</v>
      </c>
      <c r="F585" s="25" t="s">
        <v>786</v>
      </c>
      <c r="G585" s="59" t="s">
        <v>786</v>
      </c>
      <c r="H585" s="60">
        <v>0</v>
      </c>
      <c r="I585" s="60">
        <v>0</v>
      </c>
      <c r="J585" s="60">
        <v>0</v>
      </c>
      <c r="K585" s="60">
        <v>0</v>
      </c>
      <c r="L585" s="60">
        <v>0</v>
      </c>
      <c r="M585" s="60">
        <v>0</v>
      </c>
      <c r="N585" s="60">
        <v>0</v>
      </c>
      <c r="O585" s="60">
        <v>0</v>
      </c>
      <c r="P585" s="60">
        <v>0</v>
      </c>
      <c r="Q585" s="60">
        <v>0</v>
      </c>
      <c r="R585" s="60">
        <v>0</v>
      </c>
      <c r="S585" s="60">
        <v>0</v>
      </c>
      <c r="T585" s="60">
        <v>8.4700000000000006</v>
      </c>
      <c r="U585" s="60">
        <v>6.92</v>
      </c>
      <c r="V585" s="60">
        <v>5.81</v>
      </c>
      <c r="W585" s="60">
        <v>19.29</v>
      </c>
      <c r="X585" s="60">
        <v>20.329999999999998</v>
      </c>
      <c r="Y585" s="60">
        <v>25.71</v>
      </c>
      <c r="Z585" s="60">
        <v>0</v>
      </c>
      <c r="AA585" s="60">
        <v>0</v>
      </c>
      <c r="AB585" s="60">
        <v>0</v>
      </c>
      <c r="AC585" s="60">
        <v>0</v>
      </c>
      <c r="AD585" s="60">
        <v>0</v>
      </c>
      <c r="AE585" s="60">
        <v>0</v>
      </c>
      <c r="AF585" s="60">
        <v>0</v>
      </c>
      <c r="AG585" s="60">
        <v>0</v>
      </c>
      <c r="AH585" s="60">
        <v>0</v>
      </c>
      <c r="AI585" s="60">
        <v>27.76</v>
      </c>
      <c r="AJ585" s="60">
        <v>27.25</v>
      </c>
      <c r="AK585" s="60">
        <v>31.52</v>
      </c>
      <c r="AL585" s="60">
        <v>0</v>
      </c>
      <c r="AM585" s="60">
        <v>0</v>
      </c>
      <c r="AN585" s="60">
        <v>0</v>
      </c>
      <c r="AO585" s="60">
        <v>27.76</v>
      </c>
      <c r="AP585" s="60">
        <v>27.25</v>
      </c>
      <c r="AQ585" s="60">
        <v>31.52</v>
      </c>
      <c r="AR585" s="61">
        <v>31.52</v>
      </c>
    </row>
    <row r="586" spans="1:44" x14ac:dyDescent="0.35">
      <c r="A586" s="49" t="str">
        <f t="shared" si="49"/>
        <v>17</v>
      </c>
      <c r="B586" s="27">
        <v>64048</v>
      </c>
      <c r="C586" s="25" t="str">
        <f t="shared" si="48"/>
        <v>0000000</v>
      </c>
      <c r="D586" s="26" t="s">
        <v>3663</v>
      </c>
      <c r="E586" s="25" t="s">
        <v>793</v>
      </c>
      <c r="F586" s="25" t="s">
        <v>786</v>
      </c>
      <c r="G586" s="59" t="s">
        <v>794</v>
      </c>
      <c r="H586" s="60">
        <v>261.77</v>
      </c>
      <c r="I586" s="60">
        <v>248.49</v>
      </c>
      <c r="J586" s="60">
        <v>274.58</v>
      </c>
      <c r="K586" s="60">
        <v>0</v>
      </c>
      <c r="L586" s="60">
        <v>0</v>
      </c>
      <c r="M586" s="60">
        <v>0</v>
      </c>
      <c r="N586" s="60">
        <v>0</v>
      </c>
      <c r="O586" s="60">
        <v>0</v>
      </c>
      <c r="P586" s="60">
        <v>0</v>
      </c>
      <c r="Q586" s="60">
        <v>0</v>
      </c>
      <c r="R586" s="60">
        <v>0</v>
      </c>
      <c r="S586" s="60">
        <v>0</v>
      </c>
      <c r="T586" s="60">
        <v>0</v>
      </c>
      <c r="U586" s="60">
        <v>0</v>
      </c>
      <c r="V586" s="60">
        <v>0</v>
      </c>
      <c r="W586" s="60">
        <v>0</v>
      </c>
      <c r="X586" s="60">
        <v>0</v>
      </c>
      <c r="Y586" s="60">
        <v>0</v>
      </c>
      <c r="Z586" s="60">
        <v>0</v>
      </c>
      <c r="AA586" s="60">
        <v>0</v>
      </c>
      <c r="AB586" s="60">
        <v>0</v>
      </c>
      <c r="AC586" s="60">
        <v>0</v>
      </c>
      <c r="AD586" s="60">
        <v>0</v>
      </c>
      <c r="AE586" s="60">
        <v>0</v>
      </c>
      <c r="AF586" s="60">
        <v>0</v>
      </c>
      <c r="AG586" s="60">
        <v>0</v>
      </c>
      <c r="AH586" s="60">
        <v>0</v>
      </c>
      <c r="AI586" s="60">
        <v>261.77</v>
      </c>
      <c r="AJ586" s="60">
        <v>248.49</v>
      </c>
      <c r="AK586" s="60">
        <v>274.58</v>
      </c>
      <c r="AL586" s="60">
        <v>0</v>
      </c>
      <c r="AM586" s="60">
        <v>0</v>
      </c>
      <c r="AN586" s="60">
        <v>0</v>
      </c>
      <c r="AO586" s="60">
        <v>261.77</v>
      </c>
      <c r="AP586" s="60">
        <v>248.49</v>
      </c>
      <c r="AQ586" s="60">
        <v>274.58</v>
      </c>
      <c r="AR586" s="61">
        <v>274.58</v>
      </c>
    </row>
    <row r="587" spans="1:44" x14ac:dyDescent="0.35">
      <c r="A587" s="49" t="str">
        <f t="shared" si="49"/>
        <v>17</v>
      </c>
      <c r="B587" s="27">
        <v>64014</v>
      </c>
      <c r="C587" s="25" t="str">
        <f t="shared" si="48"/>
        <v>0000000</v>
      </c>
      <c r="D587" s="26" t="s">
        <v>3663</v>
      </c>
      <c r="E587" s="25" t="s">
        <v>787</v>
      </c>
      <c r="F587" s="25" t="s">
        <v>786</v>
      </c>
      <c r="G587" s="59" t="s">
        <v>788</v>
      </c>
      <c r="H587" s="60">
        <v>1678.68</v>
      </c>
      <c r="I587" s="60">
        <v>1666.47</v>
      </c>
      <c r="J587" s="60">
        <v>1657.7</v>
      </c>
      <c r="K587" s="60">
        <v>0</v>
      </c>
      <c r="L587" s="60">
        <v>0</v>
      </c>
      <c r="M587" s="60">
        <v>0</v>
      </c>
      <c r="N587" s="60">
        <v>0</v>
      </c>
      <c r="O587" s="60">
        <v>0</v>
      </c>
      <c r="P587" s="60">
        <v>0</v>
      </c>
      <c r="Q587" s="60">
        <v>0</v>
      </c>
      <c r="R587" s="60">
        <v>0</v>
      </c>
      <c r="S587" s="60">
        <v>0</v>
      </c>
      <c r="T587" s="60">
        <v>0</v>
      </c>
      <c r="U587" s="60">
        <v>0</v>
      </c>
      <c r="V587" s="60">
        <v>0</v>
      </c>
      <c r="W587" s="60">
        <v>0</v>
      </c>
      <c r="X587" s="60">
        <v>0</v>
      </c>
      <c r="Y587" s="60">
        <v>0</v>
      </c>
      <c r="Z587" s="60">
        <v>0</v>
      </c>
      <c r="AA587" s="60">
        <v>0</v>
      </c>
      <c r="AB587" s="60">
        <v>0</v>
      </c>
      <c r="AC587" s="60">
        <v>0</v>
      </c>
      <c r="AD587" s="60">
        <v>0</v>
      </c>
      <c r="AE587" s="60">
        <v>0</v>
      </c>
      <c r="AF587" s="60">
        <v>0</v>
      </c>
      <c r="AG587" s="60">
        <v>0</v>
      </c>
      <c r="AH587" s="60">
        <v>0</v>
      </c>
      <c r="AI587" s="60">
        <v>1678.68</v>
      </c>
      <c r="AJ587" s="60">
        <v>1666.47</v>
      </c>
      <c r="AK587" s="60">
        <v>1657.7</v>
      </c>
      <c r="AL587" s="60">
        <v>0</v>
      </c>
      <c r="AM587" s="60">
        <v>0</v>
      </c>
      <c r="AN587" s="60">
        <v>0</v>
      </c>
      <c r="AO587" s="60">
        <v>1678.68</v>
      </c>
      <c r="AP587" s="60">
        <v>1666.47</v>
      </c>
      <c r="AQ587" s="60">
        <v>1657.7</v>
      </c>
      <c r="AR587" s="61">
        <v>1678.68</v>
      </c>
    </row>
    <row r="588" spans="1:44" x14ac:dyDescent="0.35">
      <c r="A588" s="49" t="str">
        <f t="shared" si="49"/>
        <v>17</v>
      </c>
      <c r="B588" s="27">
        <v>64022</v>
      </c>
      <c r="C588" s="25" t="str">
        <f t="shared" si="48"/>
        <v>0000000</v>
      </c>
      <c r="D588" s="26" t="s">
        <v>3663</v>
      </c>
      <c r="E588" s="25" t="s">
        <v>789</v>
      </c>
      <c r="F588" s="25" t="s">
        <v>786</v>
      </c>
      <c r="G588" s="59" t="s">
        <v>790</v>
      </c>
      <c r="H588" s="60">
        <v>3272.89</v>
      </c>
      <c r="I588" s="60">
        <v>3097.77</v>
      </c>
      <c r="J588" s="60">
        <v>3359.56</v>
      </c>
      <c r="K588" s="60">
        <v>0</v>
      </c>
      <c r="L588" s="60">
        <v>0</v>
      </c>
      <c r="M588" s="60">
        <v>0</v>
      </c>
      <c r="N588" s="60">
        <v>0</v>
      </c>
      <c r="O588" s="60">
        <v>0</v>
      </c>
      <c r="P588" s="60">
        <v>0</v>
      </c>
      <c r="Q588" s="60">
        <v>0</v>
      </c>
      <c r="R588" s="60">
        <v>0</v>
      </c>
      <c r="S588" s="60">
        <v>0</v>
      </c>
      <c r="T588" s="60">
        <v>0</v>
      </c>
      <c r="U588" s="60">
        <v>0</v>
      </c>
      <c r="V588" s="60">
        <v>0</v>
      </c>
      <c r="W588" s="60">
        <v>0</v>
      </c>
      <c r="X588" s="60">
        <v>0</v>
      </c>
      <c r="Y588" s="60">
        <v>0</v>
      </c>
      <c r="Z588" s="60">
        <v>0</v>
      </c>
      <c r="AA588" s="60">
        <v>0</v>
      </c>
      <c r="AB588" s="60">
        <v>0</v>
      </c>
      <c r="AC588" s="60">
        <v>0</v>
      </c>
      <c r="AD588" s="60">
        <v>0</v>
      </c>
      <c r="AE588" s="60">
        <v>0</v>
      </c>
      <c r="AF588" s="60">
        <v>0</v>
      </c>
      <c r="AG588" s="60">
        <v>0</v>
      </c>
      <c r="AH588" s="60">
        <v>0</v>
      </c>
      <c r="AI588" s="60">
        <v>3272.89</v>
      </c>
      <c r="AJ588" s="60">
        <v>3097.77</v>
      </c>
      <c r="AK588" s="60">
        <v>3359.56</v>
      </c>
      <c r="AL588" s="60">
        <v>0</v>
      </c>
      <c r="AM588" s="60">
        <v>0</v>
      </c>
      <c r="AN588" s="60">
        <v>0</v>
      </c>
      <c r="AO588" s="60">
        <v>3272.89</v>
      </c>
      <c r="AP588" s="60">
        <v>3097.77</v>
      </c>
      <c r="AQ588" s="60">
        <v>3359.56</v>
      </c>
      <c r="AR588" s="61">
        <v>3359.56</v>
      </c>
    </row>
    <row r="589" spans="1:44" x14ac:dyDescent="0.35">
      <c r="A589" s="49" t="str">
        <f t="shared" si="49"/>
        <v>17</v>
      </c>
      <c r="B589" s="27">
        <v>64030</v>
      </c>
      <c r="C589" s="25" t="str">
        <f t="shared" si="48"/>
        <v>0000000</v>
      </c>
      <c r="D589" s="26" t="s">
        <v>3663</v>
      </c>
      <c r="E589" s="25" t="s">
        <v>791</v>
      </c>
      <c r="F589" s="25" t="s">
        <v>786</v>
      </c>
      <c r="G589" s="59" t="s">
        <v>792</v>
      </c>
      <c r="H589" s="60">
        <v>1204.32</v>
      </c>
      <c r="I589" s="60">
        <v>1214.28</v>
      </c>
      <c r="J589" s="60">
        <v>1340.49</v>
      </c>
      <c r="K589" s="60">
        <v>0</v>
      </c>
      <c r="L589" s="60">
        <v>0</v>
      </c>
      <c r="M589" s="60">
        <v>0</v>
      </c>
      <c r="N589" s="60">
        <v>0</v>
      </c>
      <c r="O589" s="60">
        <v>0</v>
      </c>
      <c r="P589" s="60">
        <v>0</v>
      </c>
      <c r="Q589" s="60">
        <v>0</v>
      </c>
      <c r="R589" s="60">
        <v>0</v>
      </c>
      <c r="S589" s="60">
        <v>0</v>
      </c>
      <c r="T589" s="60">
        <v>0</v>
      </c>
      <c r="U589" s="60">
        <v>0</v>
      </c>
      <c r="V589" s="60">
        <v>0</v>
      </c>
      <c r="W589" s="60">
        <v>0</v>
      </c>
      <c r="X589" s="60">
        <v>0</v>
      </c>
      <c r="Y589" s="60">
        <v>0</v>
      </c>
      <c r="Z589" s="60">
        <v>0</v>
      </c>
      <c r="AA589" s="60">
        <v>0</v>
      </c>
      <c r="AB589" s="60">
        <v>0</v>
      </c>
      <c r="AC589" s="60">
        <v>0</v>
      </c>
      <c r="AD589" s="60">
        <v>0</v>
      </c>
      <c r="AE589" s="60">
        <v>0</v>
      </c>
      <c r="AF589" s="60">
        <v>0</v>
      </c>
      <c r="AG589" s="60">
        <v>0</v>
      </c>
      <c r="AH589" s="60">
        <v>0</v>
      </c>
      <c r="AI589" s="60">
        <v>1204.32</v>
      </c>
      <c r="AJ589" s="60">
        <v>1214.28</v>
      </c>
      <c r="AK589" s="60">
        <v>1340.49</v>
      </c>
      <c r="AL589" s="60">
        <v>0</v>
      </c>
      <c r="AM589" s="60">
        <v>0</v>
      </c>
      <c r="AN589" s="60">
        <v>0</v>
      </c>
      <c r="AO589" s="60">
        <v>1204.32</v>
      </c>
      <c r="AP589" s="60">
        <v>1214.28</v>
      </c>
      <c r="AQ589" s="60">
        <v>1340.49</v>
      </c>
      <c r="AR589" s="61">
        <v>1340.49</v>
      </c>
    </row>
    <row r="590" spans="1:44" x14ac:dyDescent="0.35">
      <c r="A590" s="49" t="str">
        <f t="shared" si="49"/>
        <v>17</v>
      </c>
      <c r="B590" s="27">
        <v>64055</v>
      </c>
      <c r="C590" s="25" t="str">
        <f t="shared" si="48"/>
        <v>0000000</v>
      </c>
      <c r="D590" s="26" t="s">
        <v>3663</v>
      </c>
      <c r="E590" s="25" t="s">
        <v>795</v>
      </c>
      <c r="F590" s="25" t="s">
        <v>786</v>
      </c>
      <c r="G590" s="59" t="s">
        <v>796</v>
      </c>
      <c r="H590" s="60">
        <v>1298.07</v>
      </c>
      <c r="I590" s="60">
        <v>1283.8699999999999</v>
      </c>
      <c r="J590" s="60">
        <v>1421.71</v>
      </c>
      <c r="K590" s="60">
        <v>0</v>
      </c>
      <c r="L590" s="60">
        <v>0</v>
      </c>
      <c r="M590" s="60">
        <v>0</v>
      </c>
      <c r="N590" s="60">
        <v>0</v>
      </c>
      <c r="O590" s="60">
        <v>0</v>
      </c>
      <c r="P590" s="60">
        <v>0</v>
      </c>
      <c r="Q590" s="60">
        <v>0</v>
      </c>
      <c r="R590" s="60">
        <v>0</v>
      </c>
      <c r="S590" s="60">
        <v>0</v>
      </c>
      <c r="T590" s="60">
        <v>0</v>
      </c>
      <c r="U590" s="60">
        <v>0</v>
      </c>
      <c r="V590" s="60">
        <v>0</v>
      </c>
      <c r="W590" s="60">
        <v>0</v>
      </c>
      <c r="X590" s="60">
        <v>0</v>
      </c>
      <c r="Y590" s="60">
        <v>0</v>
      </c>
      <c r="Z590" s="60">
        <v>0</v>
      </c>
      <c r="AA590" s="60">
        <v>0</v>
      </c>
      <c r="AB590" s="60">
        <v>0</v>
      </c>
      <c r="AC590" s="60">
        <v>70.09</v>
      </c>
      <c r="AD590" s="60">
        <v>74.599999999999994</v>
      </c>
      <c r="AE590" s="60">
        <v>73.5</v>
      </c>
      <c r="AF590" s="60">
        <v>0</v>
      </c>
      <c r="AG590" s="60">
        <v>0</v>
      </c>
      <c r="AH590" s="60">
        <v>0</v>
      </c>
      <c r="AI590" s="60">
        <v>1368.16</v>
      </c>
      <c r="AJ590" s="60">
        <v>1358.47</v>
      </c>
      <c r="AK590" s="60">
        <v>1495.21</v>
      </c>
      <c r="AL590" s="60">
        <v>0</v>
      </c>
      <c r="AM590" s="60">
        <v>0</v>
      </c>
      <c r="AN590" s="60">
        <v>0</v>
      </c>
      <c r="AO590" s="60">
        <v>1368.16</v>
      </c>
      <c r="AP590" s="60">
        <v>1358.47</v>
      </c>
      <c r="AQ590" s="60">
        <v>1495.21</v>
      </c>
      <c r="AR590" s="61">
        <v>1495.21</v>
      </c>
    </row>
    <row r="591" spans="1:44" x14ac:dyDescent="0.35">
      <c r="A591" s="49" t="str">
        <f t="shared" si="49"/>
        <v>17</v>
      </c>
      <c r="B591" s="27">
        <v>76976</v>
      </c>
      <c r="C591" s="25" t="str">
        <f t="shared" si="48"/>
        <v>0000000</v>
      </c>
      <c r="D591" s="26" t="s">
        <v>3663</v>
      </c>
      <c r="E591" s="25" t="s">
        <v>799</v>
      </c>
      <c r="F591" s="25" t="s">
        <v>786</v>
      </c>
      <c r="G591" s="59" t="s">
        <v>800</v>
      </c>
      <c r="H591" s="60">
        <v>839.8</v>
      </c>
      <c r="I591" s="60">
        <v>761.23</v>
      </c>
      <c r="J591" s="60">
        <v>765.14</v>
      </c>
      <c r="K591" s="60">
        <v>0</v>
      </c>
      <c r="L591" s="60">
        <v>0</v>
      </c>
      <c r="M591" s="60">
        <v>0</v>
      </c>
      <c r="N591" s="60">
        <v>0</v>
      </c>
      <c r="O591" s="60">
        <v>0</v>
      </c>
      <c r="P591" s="60">
        <v>0</v>
      </c>
      <c r="Q591" s="60">
        <v>0</v>
      </c>
      <c r="R591" s="60">
        <v>0</v>
      </c>
      <c r="S591" s="60">
        <v>0</v>
      </c>
      <c r="T591" s="60">
        <v>0</v>
      </c>
      <c r="U591" s="60">
        <v>0</v>
      </c>
      <c r="V591" s="60">
        <v>0</v>
      </c>
      <c r="W591" s="60">
        <v>0</v>
      </c>
      <c r="X591" s="60">
        <v>0</v>
      </c>
      <c r="Y591" s="60">
        <v>0</v>
      </c>
      <c r="Z591" s="60">
        <v>0</v>
      </c>
      <c r="AA591" s="60">
        <v>0</v>
      </c>
      <c r="AB591" s="60">
        <v>0</v>
      </c>
      <c r="AC591" s="60">
        <v>0</v>
      </c>
      <c r="AD591" s="60">
        <v>0</v>
      </c>
      <c r="AE591" s="60">
        <v>0</v>
      </c>
      <c r="AF591" s="60">
        <v>0</v>
      </c>
      <c r="AG591" s="60">
        <v>0</v>
      </c>
      <c r="AH591" s="60">
        <v>0</v>
      </c>
      <c r="AI591" s="60">
        <v>839.8</v>
      </c>
      <c r="AJ591" s="60">
        <v>761.23</v>
      </c>
      <c r="AK591" s="60">
        <v>765.14</v>
      </c>
      <c r="AL591" s="60">
        <v>0</v>
      </c>
      <c r="AM591" s="60">
        <v>0</v>
      </c>
      <c r="AN591" s="60">
        <v>0</v>
      </c>
      <c r="AO591" s="60">
        <v>839.8</v>
      </c>
      <c r="AP591" s="60">
        <v>761.23</v>
      </c>
      <c r="AQ591" s="60">
        <v>765.14</v>
      </c>
      <c r="AR591" s="61">
        <v>839.8</v>
      </c>
    </row>
    <row r="592" spans="1:44" x14ac:dyDescent="0.35">
      <c r="A592" s="49" t="str">
        <f>TEXT(48,"00")</f>
        <v>48</v>
      </c>
      <c r="B592" s="27">
        <v>70581</v>
      </c>
      <c r="C592" s="25" t="str">
        <f t="shared" si="48"/>
        <v>0000000</v>
      </c>
      <c r="D592" s="26" t="s">
        <v>3663</v>
      </c>
      <c r="E592" s="25" t="s">
        <v>3037</v>
      </c>
      <c r="F592" s="25" t="s">
        <v>3038</v>
      </c>
      <c r="G592" s="59" t="s">
        <v>3038</v>
      </c>
      <c r="H592" s="60">
        <v>8512.57</v>
      </c>
      <c r="I592" s="60">
        <v>8512.68</v>
      </c>
      <c r="J592" s="60">
        <v>10266.790000000001</v>
      </c>
      <c r="K592" s="60">
        <v>0</v>
      </c>
      <c r="L592" s="60">
        <v>0</v>
      </c>
      <c r="M592" s="60">
        <v>0</v>
      </c>
      <c r="N592" s="60">
        <v>0</v>
      </c>
      <c r="O592" s="60">
        <v>0</v>
      </c>
      <c r="P592" s="60">
        <v>0</v>
      </c>
      <c r="Q592" s="60">
        <v>0</v>
      </c>
      <c r="R592" s="60">
        <v>0</v>
      </c>
      <c r="S592" s="60">
        <v>0</v>
      </c>
      <c r="T592" s="60">
        <v>0</v>
      </c>
      <c r="U592" s="60">
        <v>0</v>
      </c>
      <c r="V592" s="60">
        <v>0</v>
      </c>
      <c r="W592" s="60">
        <v>0</v>
      </c>
      <c r="X592" s="60">
        <v>0</v>
      </c>
      <c r="Y592" s="60">
        <v>0</v>
      </c>
      <c r="Z592" s="60">
        <v>0</v>
      </c>
      <c r="AA592" s="60">
        <v>0</v>
      </c>
      <c r="AB592" s="60">
        <v>0</v>
      </c>
      <c r="AC592" s="60">
        <v>371.69</v>
      </c>
      <c r="AD592" s="60">
        <v>334.14</v>
      </c>
      <c r="AE592" s="60">
        <v>402.37</v>
      </c>
      <c r="AF592" s="60">
        <v>0</v>
      </c>
      <c r="AG592" s="60">
        <v>0</v>
      </c>
      <c r="AH592" s="60">
        <v>0</v>
      </c>
      <c r="AI592" s="60">
        <v>8884.26</v>
      </c>
      <c r="AJ592" s="60">
        <v>8846.82</v>
      </c>
      <c r="AK592" s="60">
        <v>10669.16</v>
      </c>
      <c r="AL592" s="60">
        <v>0</v>
      </c>
      <c r="AM592" s="60">
        <v>0</v>
      </c>
      <c r="AN592" s="60">
        <v>0</v>
      </c>
      <c r="AO592" s="60">
        <v>8884.26</v>
      </c>
      <c r="AP592" s="60">
        <v>8846.82</v>
      </c>
      <c r="AQ592" s="60">
        <v>10669.16</v>
      </c>
      <c r="AR592" s="61">
        <v>10669.16</v>
      </c>
    </row>
    <row r="593" spans="1:44" x14ac:dyDescent="0.35">
      <c r="A593" s="49" t="str">
        <f t="shared" ref="A593:A606" si="50">TEXT(4,"00")</f>
        <v>04</v>
      </c>
      <c r="B593" s="27">
        <v>10041</v>
      </c>
      <c r="C593" s="25" t="str">
        <f t="shared" si="48"/>
        <v>0000000</v>
      </c>
      <c r="D593" s="26" t="s">
        <v>3663</v>
      </c>
      <c r="E593" s="25" t="s">
        <v>175</v>
      </c>
      <c r="F593" s="25" t="s">
        <v>176</v>
      </c>
      <c r="G593" s="59" t="s">
        <v>176</v>
      </c>
      <c r="H593" s="60">
        <v>0</v>
      </c>
      <c r="I593" s="60">
        <v>0</v>
      </c>
      <c r="J593" s="60">
        <v>0</v>
      </c>
      <c r="K593" s="60">
        <v>0</v>
      </c>
      <c r="L593" s="60">
        <v>0</v>
      </c>
      <c r="M593" s="60">
        <v>0</v>
      </c>
      <c r="N593" s="60">
        <v>0</v>
      </c>
      <c r="O593" s="60">
        <v>0</v>
      </c>
      <c r="P593" s="60">
        <v>0</v>
      </c>
      <c r="Q593" s="60">
        <v>0</v>
      </c>
      <c r="R593" s="60">
        <v>0</v>
      </c>
      <c r="S593" s="60">
        <v>0</v>
      </c>
      <c r="T593" s="60">
        <v>31.04</v>
      </c>
      <c r="U593" s="60">
        <v>18.010000000000002</v>
      </c>
      <c r="V593" s="60">
        <v>49.78</v>
      </c>
      <c r="W593" s="60">
        <v>236.56</v>
      </c>
      <c r="X593" s="60">
        <v>236.61</v>
      </c>
      <c r="Y593" s="60">
        <v>286.55</v>
      </c>
      <c r="Z593" s="60">
        <v>49.37</v>
      </c>
      <c r="AA593" s="60">
        <v>36.4</v>
      </c>
      <c r="AB593" s="60">
        <v>51.47</v>
      </c>
      <c r="AC593" s="60">
        <v>0</v>
      </c>
      <c r="AD593" s="60">
        <v>0</v>
      </c>
      <c r="AE593" s="60">
        <v>0</v>
      </c>
      <c r="AF593" s="60">
        <v>0</v>
      </c>
      <c r="AG593" s="60">
        <v>0</v>
      </c>
      <c r="AH593" s="60">
        <v>0</v>
      </c>
      <c r="AI593" s="60">
        <v>316.97000000000003</v>
      </c>
      <c r="AJ593" s="60">
        <v>291.02</v>
      </c>
      <c r="AK593" s="60">
        <v>387.8</v>
      </c>
      <c r="AL593" s="60">
        <v>0</v>
      </c>
      <c r="AM593" s="60">
        <v>0</v>
      </c>
      <c r="AN593" s="60">
        <v>0</v>
      </c>
      <c r="AO593" s="60">
        <v>316.97000000000003</v>
      </c>
      <c r="AP593" s="60">
        <v>291.02</v>
      </c>
      <c r="AQ593" s="60">
        <v>387.8</v>
      </c>
      <c r="AR593" s="61">
        <v>387.8</v>
      </c>
    </row>
    <row r="594" spans="1:44" x14ac:dyDescent="0.35">
      <c r="A594" s="49" t="str">
        <f t="shared" si="50"/>
        <v>04</v>
      </c>
      <c r="B594" s="27">
        <v>61382</v>
      </c>
      <c r="C594" s="25" t="str">
        <f t="shared" si="48"/>
        <v>0000000</v>
      </c>
      <c r="D594" s="26" t="s">
        <v>3663</v>
      </c>
      <c r="E594" s="25" t="s">
        <v>182</v>
      </c>
      <c r="F594" s="25" t="s">
        <v>176</v>
      </c>
      <c r="G594" s="59" t="s">
        <v>183</v>
      </c>
      <c r="H594" s="60">
        <v>64.62</v>
      </c>
      <c r="I594" s="60">
        <v>83.3</v>
      </c>
      <c r="J594" s="60">
        <v>98.17</v>
      </c>
      <c r="K594" s="60">
        <v>0</v>
      </c>
      <c r="L594" s="60">
        <v>0</v>
      </c>
      <c r="M594" s="60">
        <v>0</v>
      </c>
      <c r="N594" s="60">
        <v>0</v>
      </c>
      <c r="O594" s="60">
        <v>0</v>
      </c>
      <c r="P594" s="60">
        <v>0</v>
      </c>
      <c r="Q594" s="60">
        <v>0</v>
      </c>
      <c r="R594" s="60">
        <v>0</v>
      </c>
      <c r="S594" s="60">
        <v>0</v>
      </c>
      <c r="T594" s="60">
        <v>0</v>
      </c>
      <c r="U594" s="60">
        <v>0</v>
      </c>
      <c r="V594" s="60">
        <v>0</v>
      </c>
      <c r="W594" s="60">
        <v>0</v>
      </c>
      <c r="X594" s="60">
        <v>0</v>
      </c>
      <c r="Y594" s="60">
        <v>0</v>
      </c>
      <c r="Z594" s="60">
        <v>0</v>
      </c>
      <c r="AA594" s="60">
        <v>0</v>
      </c>
      <c r="AB594" s="60">
        <v>0</v>
      </c>
      <c r="AC594" s="60">
        <v>0</v>
      </c>
      <c r="AD594" s="60">
        <v>0</v>
      </c>
      <c r="AE594" s="60">
        <v>0</v>
      </c>
      <c r="AF594" s="60">
        <v>0</v>
      </c>
      <c r="AG594" s="60">
        <v>0</v>
      </c>
      <c r="AH594" s="60">
        <v>0</v>
      </c>
      <c r="AI594" s="60">
        <v>64.62</v>
      </c>
      <c r="AJ594" s="60">
        <v>83.3</v>
      </c>
      <c r="AK594" s="60">
        <v>98.17</v>
      </c>
      <c r="AL594" s="60">
        <v>0</v>
      </c>
      <c r="AM594" s="60">
        <v>0</v>
      </c>
      <c r="AN594" s="60">
        <v>0</v>
      </c>
      <c r="AO594" s="60">
        <v>64.62</v>
      </c>
      <c r="AP594" s="60">
        <v>83.3</v>
      </c>
      <c r="AQ594" s="60">
        <v>98.17</v>
      </c>
      <c r="AR594" s="61">
        <v>98.17</v>
      </c>
    </row>
    <row r="595" spans="1:44" x14ac:dyDescent="0.35">
      <c r="A595" s="49" t="str">
        <f t="shared" si="50"/>
        <v>04</v>
      </c>
      <c r="B595" s="27">
        <v>61457</v>
      </c>
      <c r="C595" s="25" t="str">
        <f t="shared" si="48"/>
        <v>0000000</v>
      </c>
      <c r="D595" s="26" t="s">
        <v>3663</v>
      </c>
      <c r="E595" s="25" t="s">
        <v>209</v>
      </c>
      <c r="F595" s="25" t="s">
        <v>176</v>
      </c>
      <c r="G595" s="59" t="s">
        <v>210</v>
      </c>
      <c r="H595" s="60">
        <v>58.42</v>
      </c>
      <c r="I595" s="60">
        <v>57.04</v>
      </c>
      <c r="J595" s="60">
        <v>43.23</v>
      </c>
      <c r="K595" s="60">
        <v>0</v>
      </c>
      <c r="L595" s="60">
        <v>0</v>
      </c>
      <c r="M595" s="60">
        <v>0</v>
      </c>
      <c r="N595" s="60">
        <v>0</v>
      </c>
      <c r="O595" s="60">
        <v>0</v>
      </c>
      <c r="P595" s="60">
        <v>0</v>
      </c>
      <c r="Q595" s="60">
        <v>0</v>
      </c>
      <c r="R595" s="60">
        <v>0</v>
      </c>
      <c r="S595" s="60">
        <v>0</v>
      </c>
      <c r="T595" s="60">
        <v>0</v>
      </c>
      <c r="U595" s="60">
        <v>0</v>
      </c>
      <c r="V595" s="60">
        <v>0</v>
      </c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0</v>
      </c>
      <c r="AC595" s="60">
        <v>0</v>
      </c>
      <c r="AD595" s="60">
        <v>0</v>
      </c>
      <c r="AE595" s="60">
        <v>0</v>
      </c>
      <c r="AF595" s="60">
        <v>0</v>
      </c>
      <c r="AG595" s="60">
        <v>0</v>
      </c>
      <c r="AH595" s="60">
        <v>0</v>
      </c>
      <c r="AI595" s="60">
        <v>58.42</v>
      </c>
      <c r="AJ595" s="60">
        <v>57.04</v>
      </c>
      <c r="AK595" s="60">
        <v>43.23</v>
      </c>
      <c r="AL595" s="60">
        <v>0</v>
      </c>
      <c r="AM595" s="60">
        <v>0</v>
      </c>
      <c r="AN595" s="60">
        <v>0</v>
      </c>
      <c r="AO595" s="60">
        <v>58.42</v>
      </c>
      <c r="AP595" s="60">
        <v>57.04</v>
      </c>
      <c r="AQ595" s="60">
        <v>43.23</v>
      </c>
      <c r="AR595" s="61">
        <v>58.42</v>
      </c>
    </row>
    <row r="596" spans="1:44" x14ac:dyDescent="0.35">
      <c r="A596" s="49" t="str">
        <f t="shared" si="50"/>
        <v>04</v>
      </c>
      <c r="B596" s="27">
        <v>61499</v>
      </c>
      <c r="C596" s="25" t="str">
        <f t="shared" si="48"/>
        <v>0000000</v>
      </c>
      <c r="D596" s="26" t="s">
        <v>3663</v>
      </c>
      <c r="E596" s="25" t="s">
        <v>211</v>
      </c>
      <c r="F596" s="25" t="s">
        <v>176</v>
      </c>
      <c r="G596" s="59" t="s">
        <v>212</v>
      </c>
      <c r="H596" s="60">
        <v>299.89999999999998</v>
      </c>
      <c r="I596" s="60">
        <v>271.44</v>
      </c>
      <c r="J596" s="60">
        <v>284.58</v>
      </c>
      <c r="K596" s="60">
        <v>0</v>
      </c>
      <c r="L596" s="60">
        <v>0</v>
      </c>
      <c r="M596" s="60">
        <v>0</v>
      </c>
      <c r="N596" s="60">
        <v>0</v>
      </c>
      <c r="O596" s="60">
        <v>0</v>
      </c>
      <c r="P596" s="60">
        <v>0</v>
      </c>
      <c r="Q596" s="60">
        <v>0</v>
      </c>
      <c r="R596" s="60">
        <v>0</v>
      </c>
      <c r="S596" s="60">
        <v>0</v>
      </c>
      <c r="T596" s="60">
        <v>0</v>
      </c>
      <c r="U596" s="60">
        <v>0</v>
      </c>
      <c r="V596" s="60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0</v>
      </c>
      <c r="AB596" s="60">
        <v>0</v>
      </c>
      <c r="AC596" s="60">
        <v>0</v>
      </c>
      <c r="AD596" s="60">
        <v>0</v>
      </c>
      <c r="AE596" s="60">
        <v>0</v>
      </c>
      <c r="AF596" s="60">
        <v>0</v>
      </c>
      <c r="AG596" s="60">
        <v>0</v>
      </c>
      <c r="AH596" s="60">
        <v>0</v>
      </c>
      <c r="AI596" s="60">
        <v>299.89999999999998</v>
      </c>
      <c r="AJ596" s="60">
        <v>271.44</v>
      </c>
      <c r="AK596" s="60">
        <v>284.58</v>
      </c>
      <c r="AL596" s="60">
        <v>0</v>
      </c>
      <c r="AM596" s="60">
        <v>0</v>
      </c>
      <c r="AN596" s="60">
        <v>0</v>
      </c>
      <c r="AO596" s="60">
        <v>299.89999999999998</v>
      </c>
      <c r="AP596" s="60">
        <v>271.44</v>
      </c>
      <c r="AQ596" s="60">
        <v>284.58</v>
      </c>
      <c r="AR596" s="61">
        <v>299.89999999999998</v>
      </c>
    </row>
    <row r="597" spans="1:44" x14ac:dyDescent="0.35">
      <c r="A597" s="49" t="str">
        <f t="shared" si="50"/>
        <v>04</v>
      </c>
      <c r="B597" s="27">
        <v>61507</v>
      </c>
      <c r="C597" s="25" t="str">
        <f t="shared" si="48"/>
        <v>0000000</v>
      </c>
      <c r="D597" s="26" t="s">
        <v>3663</v>
      </c>
      <c r="E597" s="25" t="s">
        <v>213</v>
      </c>
      <c r="F597" s="25" t="s">
        <v>176</v>
      </c>
      <c r="G597" s="59" t="s">
        <v>214</v>
      </c>
      <c r="H597" s="60">
        <v>1903.46</v>
      </c>
      <c r="I597" s="60">
        <v>1869.66</v>
      </c>
      <c r="J597" s="60">
        <v>2214.04</v>
      </c>
      <c r="K597" s="60">
        <v>0</v>
      </c>
      <c r="L597" s="60">
        <v>0</v>
      </c>
      <c r="M597" s="60">
        <v>0</v>
      </c>
      <c r="N597" s="60">
        <v>0</v>
      </c>
      <c r="O597" s="60">
        <v>0</v>
      </c>
      <c r="P597" s="60">
        <v>0</v>
      </c>
      <c r="Q597" s="60">
        <v>0</v>
      </c>
      <c r="R597" s="60">
        <v>0</v>
      </c>
      <c r="S597" s="60">
        <v>0</v>
      </c>
      <c r="T597" s="60">
        <v>0</v>
      </c>
      <c r="U597" s="60">
        <v>0</v>
      </c>
      <c r="V597" s="60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0">
        <v>55.72</v>
      </c>
      <c r="AD597" s="60">
        <v>80.209999999999994</v>
      </c>
      <c r="AE597" s="60">
        <v>76.900000000000006</v>
      </c>
      <c r="AF597" s="60">
        <v>0</v>
      </c>
      <c r="AG597" s="60">
        <v>0</v>
      </c>
      <c r="AH597" s="60">
        <v>0</v>
      </c>
      <c r="AI597" s="60">
        <v>1959.18</v>
      </c>
      <c r="AJ597" s="60">
        <v>1949.87</v>
      </c>
      <c r="AK597" s="60">
        <v>2290.94</v>
      </c>
      <c r="AL597" s="60">
        <v>0</v>
      </c>
      <c r="AM597" s="60">
        <v>0</v>
      </c>
      <c r="AN597" s="60">
        <v>0</v>
      </c>
      <c r="AO597" s="60">
        <v>1959.18</v>
      </c>
      <c r="AP597" s="60">
        <v>1949.87</v>
      </c>
      <c r="AQ597" s="60">
        <v>2290.94</v>
      </c>
      <c r="AR597" s="61">
        <v>2290.94</v>
      </c>
    </row>
    <row r="598" spans="1:44" x14ac:dyDescent="0.35">
      <c r="A598" s="49" t="str">
        <f t="shared" si="50"/>
        <v>04</v>
      </c>
      <c r="B598" s="27">
        <v>61523</v>
      </c>
      <c r="C598" s="25" t="str">
        <f t="shared" si="48"/>
        <v>0000000</v>
      </c>
      <c r="D598" s="26" t="s">
        <v>3663</v>
      </c>
      <c r="E598" s="25" t="s">
        <v>219</v>
      </c>
      <c r="F598" s="25" t="s">
        <v>176</v>
      </c>
      <c r="G598" s="59" t="s">
        <v>220</v>
      </c>
      <c r="H598" s="60">
        <v>1104.1300000000001</v>
      </c>
      <c r="I598" s="60">
        <v>1082.9000000000001</v>
      </c>
      <c r="J598" s="60">
        <v>1266.24</v>
      </c>
      <c r="K598" s="60">
        <v>0</v>
      </c>
      <c r="L598" s="60">
        <v>0</v>
      </c>
      <c r="M598" s="60">
        <v>0</v>
      </c>
      <c r="N598" s="60">
        <v>0</v>
      </c>
      <c r="O598" s="60">
        <v>0</v>
      </c>
      <c r="P598" s="60">
        <v>0</v>
      </c>
      <c r="Q598" s="60">
        <v>0</v>
      </c>
      <c r="R598" s="60">
        <v>0</v>
      </c>
      <c r="S598" s="60">
        <v>0</v>
      </c>
      <c r="T598" s="60">
        <v>0</v>
      </c>
      <c r="U598" s="60">
        <v>0</v>
      </c>
      <c r="V598" s="60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0</v>
      </c>
      <c r="AB598" s="60">
        <v>0</v>
      </c>
      <c r="AC598" s="60">
        <v>0</v>
      </c>
      <c r="AD598" s="60">
        <v>0</v>
      </c>
      <c r="AE598" s="60">
        <v>0</v>
      </c>
      <c r="AF598" s="60">
        <v>0</v>
      </c>
      <c r="AG598" s="60">
        <v>0</v>
      </c>
      <c r="AH598" s="60">
        <v>0</v>
      </c>
      <c r="AI598" s="60">
        <v>1104.1300000000001</v>
      </c>
      <c r="AJ598" s="60">
        <v>1082.9000000000001</v>
      </c>
      <c r="AK598" s="60">
        <v>1266.24</v>
      </c>
      <c r="AL598" s="60">
        <v>0</v>
      </c>
      <c r="AM598" s="60">
        <v>0</v>
      </c>
      <c r="AN598" s="60">
        <v>0</v>
      </c>
      <c r="AO598" s="60">
        <v>1104.1300000000001</v>
      </c>
      <c r="AP598" s="60">
        <v>1082.9000000000001</v>
      </c>
      <c r="AQ598" s="60">
        <v>1266.24</v>
      </c>
      <c r="AR598" s="61">
        <v>1266.24</v>
      </c>
    </row>
    <row r="599" spans="1:44" x14ac:dyDescent="0.35">
      <c r="A599" s="49" t="str">
        <f t="shared" si="50"/>
        <v>04</v>
      </c>
      <c r="B599" s="27">
        <v>61549</v>
      </c>
      <c r="C599" s="25" t="str">
        <f t="shared" si="48"/>
        <v>0000000</v>
      </c>
      <c r="D599" s="26" t="s">
        <v>3663</v>
      </c>
      <c r="E599" s="25" t="s">
        <v>226</v>
      </c>
      <c r="F599" s="25" t="s">
        <v>176</v>
      </c>
      <c r="G599" s="59" t="s">
        <v>227</v>
      </c>
      <c r="H599" s="60">
        <v>1435.92</v>
      </c>
      <c r="I599" s="60">
        <v>1336.02</v>
      </c>
      <c r="J599" s="60">
        <v>1462.8</v>
      </c>
      <c r="K599" s="60">
        <v>0</v>
      </c>
      <c r="L599" s="60">
        <v>0</v>
      </c>
      <c r="M599" s="60">
        <v>0</v>
      </c>
      <c r="N599" s="60">
        <v>0</v>
      </c>
      <c r="O599" s="60">
        <v>0</v>
      </c>
      <c r="P599" s="60">
        <v>0</v>
      </c>
      <c r="Q599" s="60">
        <v>0</v>
      </c>
      <c r="R599" s="60">
        <v>0</v>
      </c>
      <c r="S599" s="60">
        <v>0</v>
      </c>
      <c r="T599" s="60">
        <v>0</v>
      </c>
      <c r="U599" s="60">
        <v>0</v>
      </c>
      <c r="V599" s="60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60">
        <v>0</v>
      </c>
      <c r="AE599" s="60">
        <v>0</v>
      </c>
      <c r="AF599" s="60">
        <v>0</v>
      </c>
      <c r="AG599" s="60">
        <v>0</v>
      </c>
      <c r="AH599" s="60">
        <v>0</v>
      </c>
      <c r="AI599" s="60">
        <v>1435.92</v>
      </c>
      <c r="AJ599" s="60">
        <v>1336.02</v>
      </c>
      <c r="AK599" s="60">
        <v>1462.8</v>
      </c>
      <c r="AL599" s="60">
        <v>0</v>
      </c>
      <c r="AM599" s="60">
        <v>0</v>
      </c>
      <c r="AN599" s="60">
        <v>0</v>
      </c>
      <c r="AO599" s="60">
        <v>1435.92</v>
      </c>
      <c r="AP599" s="60">
        <v>1336.02</v>
      </c>
      <c r="AQ599" s="60">
        <v>1462.8</v>
      </c>
      <c r="AR599" s="61">
        <v>1462.8</v>
      </c>
    </row>
    <row r="600" spans="1:44" x14ac:dyDescent="0.35">
      <c r="A600" s="49" t="str">
        <f t="shared" si="50"/>
        <v>04</v>
      </c>
      <c r="B600" s="27">
        <v>61515</v>
      </c>
      <c r="C600" s="25" t="str">
        <f t="shared" si="48"/>
        <v>0000000</v>
      </c>
      <c r="D600" s="26" t="s">
        <v>3663</v>
      </c>
      <c r="E600" s="25" t="s">
        <v>217</v>
      </c>
      <c r="F600" s="25" t="s">
        <v>176</v>
      </c>
      <c r="G600" s="59" t="s">
        <v>218</v>
      </c>
      <c r="H600" s="60">
        <v>2031.55</v>
      </c>
      <c r="I600" s="60">
        <v>2021.01</v>
      </c>
      <c r="J600" s="60">
        <v>2158</v>
      </c>
      <c r="K600" s="60">
        <v>0</v>
      </c>
      <c r="L600" s="60">
        <v>0</v>
      </c>
      <c r="M600" s="60">
        <v>0</v>
      </c>
      <c r="N600" s="60">
        <v>0</v>
      </c>
      <c r="O600" s="60">
        <v>0</v>
      </c>
      <c r="P600" s="60">
        <v>0</v>
      </c>
      <c r="Q600" s="60">
        <v>0</v>
      </c>
      <c r="R600" s="60">
        <v>0</v>
      </c>
      <c r="S600" s="60">
        <v>0</v>
      </c>
      <c r="T600" s="60">
        <v>0</v>
      </c>
      <c r="U600" s="60">
        <v>0</v>
      </c>
      <c r="V600" s="60">
        <v>0</v>
      </c>
      <c r="W600" s="60">
        <v>0</v>
      </c>
      <c r="X600" s="60">
        <v>0</v>
      </c>
      <c r="Y600" s="60">
        <v>0</v>
      </c>
      <c r="Z600" s="60">
        <v>0</v>
      </c>
      <c r="AA600" s="60">
        <v>0</v>
      </c>
      <c r="AB600" s="60">
        <v>0</v>
      </c>
      <c r="AC600" s="60">
        <v>0</v>
      </c>
      <c r="AD600" s="60">
        <v>0</v>
      </c>
      <c r="AE600" s="60">
        <v>0</v>
      </c>
      <c r="AF600" s="60">
        <v>0</v>
      </c>
      <c r="AG600" s="60">
        <v>0</v>
      </c>
      <c r="AH600" s="60">
        <v>0</v>
      </c>
      <c r="AI600" s="60">
        <v>2031.55</v>
      </c>
      <c r="AJ600" s="60">
        <v>2021.01</v>
      </c>
      <c r="AK600" s="60">
        <v>2158</v>
      </c>
      <c r="AL600" s="60">
        <v>0</v>
      </c>
      <c r="AM600" s="60">
        <v>0</v>
      </c>
      <c r="AN600" s="60">
        <v>0</v>
      </c>
      <c r="AO600" s="60">
        <v>2031.55</v>
      </c>
      <c r="AP600" s="60">
        <v>2021.01</v>
      </c>
      <c r="AQ600" s="60">
        <v>2158</v>
      </c>
      <c r="AR600" s="61">
        <v>2158</v>
      </c>
    </row>
    <row r="601" spans="1:44" x14ac:dyDescent="0.35">
      <c r="A601" s="49" t="str">
        <f t="shared" si="50"/>
        <v>04</v>
      </c>
      <c r="B601" s="27">
        <v>61408</v>
      </c>
      <c r="C601" s="25" t="str">
        <f t="shared" si="48"/>
        <v>0000000</v>
      </c>
      <c r="D601" s="26" t="s">
        <v>3663</v>
      </c>
      <c r="E601" s="25" t="s">
        <v>184</v>
      </c>
      <c r="F601" s="25" t="s">
        <v>176</v>
      </c>
      <c r="G601" s="59" t="s">
        <v>185</v>
      </c>
      <c r="H601" s="60">
        <v>492.1</v>
      </c>
      <c r="I601" s="60">
        <v>494.41</v>
      </c>
      <c r="J601" s="60">
        <v>565.02</v>
      </c>
      <c r="K601" s="60">
        <v>0</v>
      </c>
      <c r="L601" s="60">
        <v>0</v>
      </c>
      <c r="M601" s="60">
        <v>0</v>
      </c>
      <c r="N601" s="60">
        <v>0</v>
      </c>
      <c r="O601" s="60">
        <v>0</v>
      </c>
      <c r="P601" s="60">
        <v>0</v>
      </c>
      <c r="Q601" s="60">
        <v>0</v>
      </c>
      <c r="R601" s="60">
        <v>0</v>
      </c>
      <c r="S601" s="60">
        <v>0</v>
      </c>
      <c r="T601" s="60">
        <v>0</v>
      </c>
      <c r="U601" s="60">
        <v>0</v>
      </c>
      <c r="V601" s="60">
        <v>0</v>
      </c>
      <c r="W601" s="60">
        <v>0</v>
      </c>
      <c r="X601" s="60">
        <v>0</v>
      </c>
      <c r="Y601" s="60">
        <v>0</v>
      </c>
      <c r="Z601" s="60">
        <v>0</v>
      </c>
      <c r="AA601" s="60">
        <v>0</v>
      </c>
      <c r="AB601" s="60">
        <v>0</v>
      </c>
      <c r="AC601" s="60">
        <v>0</v>
      </c>
      <c r="AD601" s="60">
        <v>0</v>
      </c>
      <c r="AE601" s="60">
        <v>0</v>
      </c>
      <c r="AF601" s="60">
        <v>0</v>
      </c>
      <c r="AG601" s="60">
        <v>0</v>
      </c>
      <c r="AH601" s="60">
        <v>0</v>
      </c>
      <c r="AI601" s="60">
        <v>492.1</v>
      </c>
      <c r="AJ601" s="60">
        <v>494.41</v>
      </c>
      <c r="AK601" s="60">
        <v>565.02</v>
      </c>
      <c r="AL601" s="60">
        <v>0</v>
      </c>
      <c r="AM601" s="60">
        <v>0</v>
      </c>
      <c r="AN601" s="60">
        <v>0</v>
      </c>
      <c r="AO601" s="60">
        <v>492.1</v>
      </c>
      <c r="AP601" s="60">
        <v>494.41</v>
      </c>
      <c r="AQ601" s="60">
        <v>565.02</v>
      </c>
      <c r="AR601" s="61">
        <v>565.02</v>
      </c>
    </row>
    <row r="602" spans="1:44" x14ac:dyDescent="0.35">
      <c r="A602" s="49" t="str">
        <f t="shared" si="50"/>
        <v>04</v>
      </c>
      <c r="B602" s="27">
        <v>61424</v>
      </c>
      <c r="C602" s="25" t="str">
        <f t="shared" si="48"/>
        <v>0000000</v>
      </c>
      <c r="D602" s="26" t="s">
        <v>3663</v>
      </c>
      <c r="E602" s="25" t="s">
        <v>186</v>
      </c>
      <c r="F602" s="25" t="s">
        <v>176</v>
      </c>
      <c r="G602" s="59" t="s">
        <v>187</v>
      </c>
      <c r="H602" s="60">
        <v>11364.5</v>
      </c>
      <c r="I602" s="60">
        <v>11082.12</v>
      </c>
      <c r="J602" s="60">
        <v>11830.15</v>
      </c>
      <c r="K602" s="60">
        <v>0</v>
      </c>
      <c r="L602" s="60">
        <v>0</v>
      </c>
      <c r="M602" s="60">
        <v>0</v>
      </c>
      <c r="N602" s="60">
        <v>0</v>
      </c>
      <c r="O602" s="60">
        <v>0</v>
      </c>
      <c r="P602" s="60">
        <v>0</v>
      </c>
      <c r="Q602" s="60">
        <v>0</v>
      </c>
      <c r="R602" s="60">
        <v>0</v>
      </c>
      <c r="S602" s="60">
        <v>0</v>
      </c>
      <c r="T602" s="60">
        <v>0</v>
      </c>
      <c r="U602" s="60">
        <v>0</v>
      </c>
      <c r="V602" s="60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0</v>
      </c>
      <c r="AC602" s="60">
        <v>96.29</v>
      </c>
      <c r="AD602" s="60">
        <v>99.34</v>
      </c>
      <c r="AE602" s="60">
        <v>287.77999999999997</v>
      </c>
      <c r="AF602" s="60">
        <v>0</v>
      </c>
      <c r="AG602" s="60">
        <v>0</v>
      </c>
      <c r="AH602" s="60">
        <v>0</v>
      </c>
      <c r="AI602" s="60">
        <v>11460.79</v>
      </c>
      <c r="AJ602" s="60">
        <v>11181.46</v>
      </c>
      <c r="AK602" s="60">
        <v>12117.93</v>
      </c>
      <c r="AL602" s="60">
        <v>0</v>
      </c>
      <c r="AM602" s="60">
        <v>0</v>
      </c>
      <c r="AN602" s="60">
        <v>0</v>
      </c>
      <c r="AO602" s="60">
        <v>11460.79</v>
      </c>
      <c r="AP602" s="60">
        <v>11181.46</v>
      </c>
      <c r="AQ602" s="60">
        <v>12117.93</v>
      </c>
      <c r="AR602" s="61">
        <v>12117.93</v>
      </c>
    </row>
    <row r="603" spans="1:44" x14ac:dyDescent="0.35">
      <c r="A603" s="49" t="str">
        <f t="shared" si="50"/>
        <v>04</v>
      </c>
      <c r="B603" s="27">
        <v>61432</v>
      </c>
      <c r="C603" s="25" t="str">
        <f t="shared" si="48"/>
        <v>0000000</v>
      </c>
      <c r="D603" s="26" t="s">
        <v>3663</v>
      </c>
      <c r="E603" s="25" t="s">
        <v>207</v>
      </c>
      <c r="F603" s="25" t="s">
        <v>176</v>
      </c>
      <c r="G603" s="59" t="s">
        <v>208</v>
      </c>
      <c r="H603" s="60">
        <v>930.97</v>
      </c>
      <c r="I603" s="60">
        <v>912.3</v>
      </c>
      <c r="J603" s="60">
        <v>1002.73</v>
      </c>
      <c r="K603" s="60">
        <v>0</v>
      </c>
      <c r="L603" s="60">
        <v>0</v>
      </c>
      <c r="M603" s="60">
        <v>0</v>
      </c>
      <c r="N603" s="60">
        <v>0</v>
      </c>
      <c r="O603" s="60">
        <v>0</v>
      </c>
      <c r="P603" s="60">
        <v>0</v>
      </c>
      <c r="Q603" s="60">
        <v>0</v>
      </c>
      <c r="R603" s="60">
        <v>0</v>
      </c>
      <c r="S603" s="60">
        <v>0</v>
      </c>
      <c r="T603" s="60">
        <v>0</v>
      </c>
      <c r="U603" s="60">
        <v>0</v>
      </c>
      <c r="V603" s="60">
        <v>0</v>
      </c>
      <c r="W603" s="60">
        <v>0</v>
      </c>
      <c r="X603" s="60">
        <v>0</v>
      </c>
      <c r="Y603" s="60">
        <v>0</v>
      </c>
      <c r="Z603" s="60">
        <v>0</v>
      </c>
      <c r="AA603" s="60">
        <v>0</v>
      </c>
      <c r="AB603" s="60">
        <v>0</v>
      </c>
      <c r="AC603" s="60">
        <v>0</v>
      </c>
      <c r="AD603" s="60">
        <v>0</v>
      </c>
      <c r="AE603" s="60">
        <v>0</v>
      </c>
      <c r="AF603" s="60">
        <v>0</v>
      </c>
      <c r="AG603" s="60">
        <v>0</v>
      </c>
      <c r="AH603" s="60">
        <v>0</v>
      </c>
      <c r="AI603" s="60">
        <v>930.97</v>
      </c>
      <c r="AJ603" s="60">
        <v>912.3</v>
      </c>
      <c r="AK603" s="60">
        <v>1002.73</v>
      </c>
      <c r="AL603" s="60">
        <v>0</v>
      </c>
      <c r="AM603" s="60">
        <v>0</v>
      </c>
      <c r="AN603" s="60">
        <v>0</v>
      </c>
      <c r="AO603" s="60">
        <v>930.97</v>
      </c>
      <c r="AP603" s="60">
        <v>912.3</v>
      </c>
      <c r="AQ603" s="60">
        <v>1002.73</v>
      </c>
      <c r="AR603" s="61">
        <v>1002.73</v>
      </c>
    </row>
    <row r="604" spans="1:44" x14ac:dyDescent="0.35">
      <c r="A604" s="49" t="str">
        <f t="shared" si="50"/>
        <v>04</v>
      </c>
      <c r="B604" s="27">
        <v>61531</v>
      </c>
      <c r="C604" s="25" t="str">
        <f t="shared" si="48"/>
        <v>0000000</v>
      </c>
      <c r="D604" s="26" t="s">
        <v>3663</v>
      </c>
      <c r="E604" s="25" t="s">
        <v>221</v>
      </c>
      <c r="F604" s="25" t="s">
        <v>176</v>
      </c>
      <c r="G604" s="59" t="s">
        <v>222</v>
      </c>
      <c r="H604" s="60">
        <v>1403.58</v>
      </c>
      <c r="I604" s="60">
        <v>1212.95</v>
      </c>
      <c r="J604" s="60">
        <v>1601.33</v>
      </c>
      <c r="K604" s="60">
        <v>0</v>
      </c>
      <c r="L604" s="60">
        <v>0</v>
      </c>
      <c r="M604" s="60">
        <v>0</v>
      </c>
      <c r="N604" s="60">
        <v>0</v>
      </c>
      <c r="O604" s="60">
        <v>0</v>
      </c>
      <c r="P604" s="60">
        <v>0</v>
      </c>
      <c r="Q604" s="60">
        <v>0</v>
      </c>
      <c r="R604" s="60">
        <v>0</v>
      </c>
      <c r="S604" s="60">
        <v>0</v>
      </c>
      <c r="T604" s="60">
        <v>0</v>
      </c>
      <c r="U604" s="60">
        <v>0</v>
      </c>
      <c r="V604" s="60">
        <v>0</v>
      </c>
      <c r="W604" s="60">
        <v>0</v>
      </c>
      <c r="X604" s="60">
        <v>0</v>
      </c>
      <c r="Y604" s="60">
        <v>0</v>
      </c>
      <c r="Z604" s="60">
        <v>0</v>
      </c>
      <c r="AA604" s="60">
        <v>0</v>
      </c>
      <c r="AB604" s="60">
        <v>0</v>
      </c>
      <c r="AC604" s="60">
        <v>389.52</v>
      </c>
      <c r="AD604" s="60">
        <v>336.27</v>
      </c>
      <c r="AE604" s="60">
        <v>261.98</v>
      </c>
      <c r="AF604" s="60">
        <v>0</v>
      </c>
      <c r="AG604" s="60">
        <v>0</v>
      </c>
      <c r="AH604" s="60">
        <v>0</v>
      </c>
      <c r="AI604" s="60">
        <v>1793.1</v>
      </c>
      <c r="AJ604" s="60">
        <v>1549.22</v>
      </c>
      <c r="AK604" s="60">
        <v>1863.31</v>
      </c>
      <c r="AL604" s="60">
        <v>0</v>
      </c>
      <c r="AM604" s="60">
        <v>0</v>
      </c>
      <c r="AN604" s="60">
        <v>0</v>
      </c>
      <c r="AO604" s="60">
        <v>1793.1</v>
      </c>
      <c r="AP604" s="60">
        <v>1549.22</v>
      </c>
      <c r="AQ604" s="60">
        <v>1863.31</v>
      </c>
      <c r="AR604" s="61">
        <v>1863.31</v>
      </c>
    </row>
    <row r="605" spans="1:44" x14ac:dyDescent="0.35">
      <c r="A605" s="49" t="str">
        <f t="shared" si="50"/>
        <v>04</v>
      </c>
      <c r="B605" s="27">
        <v>73379</v>
      </c>
      <c r="C605" s="25" t="str">
        <f t="shared" si="48"/>
        <v>0000000</v>
      </c>
      <c r="D605" s="26" t="s">
        <v>3663</v>
      </c>
      <c r="E605" s="25" t="s">
        <v>228</v>
      </c>
      <c r="F605" s="25" t="s">
        <v>176</v>
      </c>
      <c r="G605" s="59" t="s">
        <v>229</v>
      </c>
      <c r="H605" s="60">
        <v>26.54</v>
      </c>
      <c r="I605" s="60">
        <v>22.86</v>
      </c>
      <c r="J605" s="60">
        <v>47.49</v>
      </c>
      <c r="K605" s="60">
        <v>0</v>
      </c>
      <c r="L605" s="60">
        <v>0</v>
      </c>
      <c r="M605" s="60">
        <v>0</v>
      </c>
      <c r="N605" s="60">
        <v>0</v>
      </c>
      <c r="O605" s="60">
        <v>0</v>
      </c>
      <c r="P605" s="60">
        <v>0</v>
      </c>
      <c r="Q605" s="60">
        <v>0</v>
      </c>
      <c r="R605" s="60">
        <v>0</v>
      </c>
      <c r="S605" s="60">
        <v>0</v>
      </c>
      <c r="T605" s="60">
        <v>0</v>
      </c>
      <c r="U605" s="60">
        <v>0</v>
      </c>
      <c r="V605" s="60">
        <v>0</v>
      </c>
      <c r="W605" s="60">
        <v>0</v>
      </c>
      <c r="X605" s="60">
        <v>0</v>
      </c>
      <c r="Y605" s="60">
        <v>0</v>
      </c>
      <c r="Z605" s="60">
        <v>0</v>
      </c>
      <c r="AA605" s="60">
        <v>0</v>
      </c>
      <c r="AB605" s="60">
        <v>0</v>
      </c>
      <c r="AC605" s="60">
        <v>0</v>
      </c>
      <c r="AD605" s="60">
        <v>0</v>
      </c>
      <c r="AE605" s="60">
        <v>0</v>
      </c>
      <c r="AF605" s="60">
        <v>0</v>
      </c>
      <c r="AG605" s="60">
        <v>0</v>
      </c>
      <c r="AH605" s="60">
        <v>0</v>
      </c>
      <c r="AI605" s="60">
        <v>26.54</v>
      </c>
      <c r="AJ605" s="60">
        <v>22.86</v>
      </c>
      <c r="AK605" s="60">
        <v>47.49</v>
      </c>
      <c r="AL605" s="60">
        <v>0</v>
      </c>
      <c r="AM605" s="60">
        <v>0</v>
      </c>
      <c r="AN605" s="60">
        <v>0</v>
      </c>
      <c r="AO605" s="60">
        <v>26.54</v>
      </c>
      <c r="AP605" s="60">
        <v>22.86</v>
      </c>
      <c r="AQ605" s="60">
        <v>47.49</v>
      </c>
      <c r="AR605" s="61">
        <v>47.49</v>
      </c>
    </row>
    <row r="606" spans="1:44" x14ac:dyDescent="0.35">
      <c r="A606" s="49" t="str">
        <f t="shared" si="50"/>
        <v>04</v>
      </c>
      <c r="B606" s="27">
        <v>75507</v>
      </c>
      <c r="C606" s="25" t="str">
        <f t="shared" si="48"/>
        <v>0000000</v>
      </c>
      <c r="D606" s="26" t="s">
        <v>3663</v>
      </c>
      <c r="E606" s="25" t="s">
        <v>230</v>
      </c>
      <c r="F606" s="25" t="s">
        <v>176</v>
      </c>
      <c r="G606" s="59" t="s">
        <v>231</v>
      </c>
      <c r="H606" s="60">
        <v>1877.59</v>
      </c>
      <c r="I606" s="60">
        <v>1846.04</v>
      </c>
      <c r="J606" s="60">
        <v>1983.49</v>
      </c>
      <c r="K606" s="60">
        <v>0</v>
      </c>
      <c r="L606" s="60">
        <v>0</v>
      </c>
      <c r="M606" s="60">
        <v>0</v>
      </c>
      <c r="N606" s="60">
        <v>0</v>
      </c>
      <c r="O606" s="60">
        <v>0</v>
      </c>
      <c r="P606" s="60">
        <v>0</v>
      </c>
      <c r="Q606" s="60">
        <v>0</v>
      </c>
      <c r="R606" s="60">
        <v>0</v>
      </c>
      <c r="S606" s="60">
        <v>0</v>
      </c>
      <c r="T606" s="60">
        <v>0</v>
      </c>
      <c r="U606" s="60">
        <v>0</v>
      </c>
      <c r="V606" s="60">
        <v>0</v>
      </c>
      <c r="W606" s="60">
        <v>0</v>
      </c>
      <c r="X606" s="60">
        <v>0</v>
      </c>
      <c r="Y606" s="60">
        <v>0</v>
      </c>
      <c r="Z606" s="60">
        <v>0</v>
      </c>
      <c r="AA606" s="60">
        <v>0</v>
      </c>
      <c r="AB606" s="60">
        <v>0</v>
      </c>
      <c r="AC606" s="60">
        <v>0</v>
      </c>
      <c r="AD606" s="60">
        <v>0</v>
      </c>
      <c r="AE606" s="60">
        <v>0</v>
      </c>
      <c r="AF606" s="60">
        <v>0</v>
      </c>
      <c r="AG606" s="60">
        <v>0</v>
      </c>
      <c r="AH606" s="60">
        <v>0</v>
      </c>
      <c r="AI606" s="60">
        <v>1877.59</v>
      </c>
      <c r="AJ606" s="60">
        <v>1846.04</v>
      </c>
      <c r="AK606" s="60">
        <v>1983.49</v>
      </c>
      <c r="AL606" s="60">
        <v>0</v>
      </c>
      <c r="AM606" s="60">
        <v>0</v>
      </c>
      <c r="AN606" s="60">
        <v>0</v>
      </c>
      <c r="AO606" s="60">
        <v>1877.59</v>
      </c>
      <c r="AP606" s="60">
        <v>1846.04</v>
      </c>
      <c r="AQ606" s="60">
        <v>1983.49</v>
      </c>
      <c r="AR606" s="61">
        <v>1983.49</v>
      </c>
    </row>
    <row r="607" spans="1:44" x14ac:dyDescent="0.35">
      <c r="A607" s="49" t="str">
        <f t="shared" ref="A607:A612" si="51">TEXT(28,"00")</f>
        <v>28</v>
      </c>
      <c r="B607" s="27">
        <v>10280</v>
      </c>
      <c r="C607" s="25" t="str">
        <f t="shared" si="48"/>
        <v>0000000</v>
      </c>
      <c r="D607" s="26" t="s">
        <v>3663</v>
      </c>
      <c r="E607" s="25" t="s">
        <v>1445</v>
      </c>
      <c r="F607" s="25" t="s">
        <v>1446</v>
      </c>
      <c r="G607" s="59" t="s">
        <v>1446</v>
      </c>
      <c r="H607" s="60">
        <v>0</v>
      </c>
      <c r="I607" s="60">
        <v>0</v>
      </c>
      <c r="J607" s="60">
        <v>0</v>
      </c>
      <c r="K607" s="60">
        <v>0</v>
      </c>
      <c r="L607" s="60">
        <v>0</v>
      </c>
      <c r="M607" s="60">
        <v>0</v>
      </c>
      <c r="N607" s="60">
        <v>0</v>
      </c>
      <c r="O607" s="60">
        <v>0</v>
      </c>
      <c r="P607" s="60">
        <v>0</v>
      </c>
      <c r="Q607" s="60">
        <v>0</v>
      </c>
      <c r="R607" s="60">
        <v>0</v>
      </c>
      <c r="S607" s="60">
        <v>0</v>
      </c>
      <c r="T607" s="60">
        <v>78.37</v>
      </c>
      <c r="U607" s="60">
        <v>85.89</v>
      </c>
      <c r="V607" s="60">
        <v>111.11</v>
      </c>
      <c r="W607" s="60">
        <v>0</v>
      </c>
      <c r="X607" s="60">
        <v>0</v>
      </c>
      <c r="Y607" s="60">
        <v>0</v>
      </c>
      <c r="Z607" s="60">
        <v>0</v>
      </c>
      <c r="AA607" s="60">
        <v>0</v>
      </c>
      <c r="AB607" s="60">
        <v>0</v>
      </c>
      <c r="AC607" s="60">
        <v>0</v>
      </c>
      <c r="AD607" s="60">
        <v>0</v>
      </c>
      <c r="AE607" s="60">
        <v>0</v>
      </c>
      <c r="AF607" s="60">
        <v>0</v>
      </c>
      <c r="AG607" s="60">
        <v>0</v>
      </c>
      <c r="AH607" s="60">
        <v>0</v>
      </c>
      <c r="AI607" s="60">
        <v>78.37</v>
      </c>
      <c r="AJ607" s="60">
        <v>85.89</v>
      </c>
      <c r="AK607" s="60">
        <v>111.11</v>
      </c>
      <c r="AL607" s="60">
        <v>0</v>
      </c>
      <c r="AM607" s="60">
        <v>0</v>
      </c>
      <c r="AN607" s="60">
        <v>0</v>
      </c>
      <c r="AO607" s="60">
        <v>78.37</v>
      </c>
      <c r="AP607" s="60">
        <v>85.89</v>
      </c>
      <c r="AQ607" s="60">
        <v>111.11</v>
      </c>
      <c r="AR607" s="61">
        <v>111.11</v>
      </c>
    </row>
    <row r="608" spans="1:44" x14ac:dyDescent="0.35">
      <c r="A608" s="49" t="str">
        <f t="shared" si="51"/>
        <v>28</v>
      </c>
      <c r="B608" s="27">
        <v>66266</v>
      </c>
      <c r="C608" s="25" t="str">
        <f t="shared" si="48"/>
        <v>0000000</v>
      </c>
      <c r="D608" s="26" t="s">
        <v>3663</v>
      </c>
      <c r="E608" s="25" t="s">
        <v>1451</v>
      </c>
      <c r="F608" s="25" t="s">
        <v>1446</v>
      </c>
      <c r="G608" s="59" t="s">
        <v>1452</v>
      </c>
      <c r="H608" s="60">
        <v>14808.22</v>
      </c>
      <c r="I608" s="60">
        <v>15016.31</v>
      </c>
      <c r="J608" s="60">
        <v>16638.48</v>
      </c>
      <c r="K608" s="60">
        <v>0</v>
      </c>
      <c r="L608" s="60">
        <v>0</v>
      </c>
      <c r="M608" s="60">
        <v>0</v>
      </c>
      <c r="N608" s="60">
        <v>0</v>
      </c>
      <c r="O608" s="60">
        <v>0</v>
      </c>
      <c r="P608" s="60">
        <v>0</v>
      </c>
      <c r="Q608" s="60">
        <v>0</v>
      </c>
      <c r="R608" s="60">
        <v>0</v>
      </c>
      <c r="S608" s="60">
        <v>0</v>
      </c>
      <c r="T608" s="60">
        <v>0</v>
      </c>
      <c r="U608" s="60">
        <v>0</v>
      </c>
      <c r="V608" s="60">
        <v>0</v>
      </c>
      <c r="W608" s="60">
        <v>0</v>
      </c>
      <c r="X608" s="60">
        <v>0</v>
      </c>
      <c r="Y608" s="60">
        <v>0</v>
      </c>
      <c r="Z608" s="60">
        <v>0</v>
      </c>
      <c r="AA608" s="60">
        <v>0</v>
      </c>
      <c r="AB608" s="60">
        <v>0</v>
      </c>
      <c r="AC608" s="60">
        <v>245.09</v>
      </c>
      <c r="AD608" s="60">
        <v>250.99</v>
      </c>
      <c r="AE608" s="60">
        <v>260.64</v>
      </c>
      <c r="AF608" s="60">
        <v>0</v>
      </c>
      <c r="AG608" s="60">
        <v>0</v>
      </c>
      <c r="AH608" s="60">
        <v>0</v>
      </c>
      <c r="AI608" s="60">
        <v>15053.31</v>
      </c>
      <c r="AJ608" s="60">
        <v>15267.3</v>
      </c>
      <c r="AK608" s="60">
        <v>16899.12</v>
      </c>
      <c r="AL608" s="60">
        <v>0</v>
      </c>
      <c r="AM608" s="60">
        <v>0</v>
      </c>
      <c r="AN608" s="60">
        <v>0</v>
      </c>
      <c r="AO608" s="60">
        <v>15053.31</v>
      </c>
      <c r="AP608" s="60">
        <v>15267.3</v>
      </c>
      <c r="AQ608" s="60">
        <v>16899.12</v>
      </c>
      <c r="AR608" s="61">
        <v>16899.12</v>
      </c>
    </row>
    <row r="609" spans="1:44" x14ac:dyDescent="0.35">
      <c r="A609" s="49" t="str">
        <f t="shared" si="51"/>
        <v>28</v>
      </c>
      <c r="B609" s="27">
        <v>66241</v>
      </c>
      <c r="C609" s="25" t="str">
        <f t="shared" si="48"/>
        <v>0000000</v>
      </c>
      <c r="D609" s="26" t="s">
        <v>3663</v>
      </c>
      <c r="E609" s="25" t="s">
        <v>1447</v>
      </c>
      <c r="F609" s="25" t="s">
        <v>1446</v>
      </c>
      <c r="G609" s="59" t="s">
        <v>1448</v>
      </c>
      <c r="H609" s="60">
        <v>753.31</v>
      </c>
      <c r="I609" s="60">
        <v>771.92</v>
      </c>
      <c r="J609" s="60">
        <v>832.66</v>
      </c>
      <c r="K609" s="60">
        <v>0</v>
      </c>
      <c r="L609" s="60">
        <v>0</v>
      </c>
      <c r="M609" s="60">
        <v>0</v>
      </c>
      <c r="N609" s="60">
        <v>0</v>
      </c>
      <c r="O609" s="60">
        <v>0</v>
      </c>
      <c r="P609" s="60">
        <v>0</v>
      </c>
      <c r="Q609" s="60">
        <v>0</v>
      </c>
      <c r="R609" s="60">
        <v>0</v>
      </c>
      <c r="S609" s="60">
        <v>0</v>
      </c>
      <c r="T609" s="60">
        <v>0</v>
      </c>
      <c r="U609" s="60">
        <v>0</v>
      </c>
      <c r="V609" s="60">
        <v>0</v>
      </c>
      <c r="W609" s="60">
        <v>0</v>
      </c>
      <c r="X609" s="60">
        <v>0</v>
      </c>
      <c r="Y609" s="60">
        <v>0</v>
      </c>
      <c r="Z609" s="60">
        <v>0</v>
      </c>
      <c r="AA609" s="60">
        <v>0</v>
      </c>
      <c r="AB609" s="60">
        <v>0</v>
      </c>
      <c r="AC609" s="60">
        <v>0</v>
      </c>
      <c r="AD609" s="60">
        <v>0</v>
      </c>
      <c r="AE609" s="60">
        <v>0</v>
      </c>
      <c r="AF609" s="60">
        <v>0</v>
      </c>
      <c r="AG609" s="60">
        <v>0</v>
      </c>
      <c r="AH609" s="60">
        <v>0</v>
      </c>
      <c r="AI609" s="60">
        <v>753.31</v>
      </c>
      <c r="AJ609" s="60">
        <v>771.92</v>
      </c>
      <c r="AK609" s="60">
        <v>832.66</v>
      </c>
      <c r="AL609" s="60">
        <v>0</v>
      </c>
      <c r="AM609" s="60">
        <v>0</v>
      </c>
      <c r="AN609" s="60">
        <v>0</v>
      </c>
      <c r="AO609" s="60">
        <v>753.31</v>
      </c>
      <c r="AP609" s="60">
        <v>771.92</v>
      </c>
      <c r="AQ609" s="60">
        <v>832.66</v>
      </c>
      <c r="AR609" s="61">
        <v>832.66</v>
      </c>
    </row>
    <row r="610" spans="1:44" x14ac:dyDescent="0.35">
      <c r="A610" s="49" t="str">
        <f t="shared" si="51"/>
        <v>28</v>
      </c>
      <c r="B610" s="27">
        <v>66258</v>
      </c>
      <c r="C610" s="25" t="str">
        <f t="shared" si="48"/>
        <v>0000000</v>
      </c>
      <c r="D610" s="26" t="s">
        <v>3663</v>
      </c>
      <c r="E610" s="25" t="s">
        <v>1449</v>
      </c>
      <c r="F610" s="25" t="s">
        <v>1446</v>
      </c>
      <c r="G610" s="59" t="s">
        <v>1450</v>
      </c>
      <c r="H610" s="60">
        <v>95.44</v>
      </c>
      <c r="I610" s="60">
        <v>89.27</v>
      </c>
      <c r="J610" s="60">
        <v>94.5</v>
      </c>
      <c r="K610" s="60">
        <v>0</v>
      </c>
      <c r="L610" s="60">
        <v>0</v>
      </c>
      <c r="M610" s="60">
        <v>0</v>
      </c>
      <c r="N610" s="60">
        <v>0</v>
      </c>
      <c r="O610" s="60">
        <v>0</v>
      </c>
      <c r="P610" s="60">
        <v>0</v>
      </c>
      <c r="Q610" s="60">
        <v>0</v>
      </c>
      <c r="R610" s="60">
        <v>0</v>
      </c>
      <c r="S610" s="60">
        <v>0</v>
      </c>
      <c r="T610" s="60">
        <v>0</v>
      </c>
      <c r="U610" s="60">
        <v>0</v>
      </c>
      <c r="V610" s="60">
        <v>0</v>
      </c>
      <c r="W610" s="60">
        <v>0</v>
      </c>
      <c r="X610" s="60">
        <v>0</v>
      </c>
      <c r="Y610" s="60">
        <v>0</v>
      </c>
      <c r="Z610" s="60">
        <v>0</v>
      </c>
      <c r="AA610" s="60">
        <v>0</v>
      </c>
      <c r="AB610" s="60">
        <v>0</v>
      </c>
      <c r="AC610" s="60">
        <v>0</v>
      </c>
      <c r="AD610" s="60">
        <v>0</v>
      </c>
      <c r="AE610" s="60">
        <v>0</v>
      </c>
      <c r="AF610" s="60">
        <v>0</v>
      </c>
      <c r="AG610" s="60">
        <v>0</v>
      </c>
      <c r="AH610" s="60">
        <v>0</v>
      </c>
      <c r="AI610" s="60">
        <v>95.44</v>
      </c>
      <c r="AJ610" s="60">
        <v>89.27</v>
      </c>
      <c r="AK610" s="60">
        <v>94.5</v>
      </c>
      <c r="AL610" s="60">
        <v>0</v>
      </c>
      <c r="AM610" s="60">
        <v>0</v>
      </c>
      <c r="AN610" s="60">
        <v>0</v>
      </c>
      <c r="AO610" s="60">
        <v>95.44</v>
      </c>
      <c r="AP610" s="60">
        <v>89.27</v>
      </c>
      <c r="AQ610" s="60">
        <v>94.5</v>
      </c>
      <c r="AR610" s="61">
        <v>95.44</v>
      </c>
    </row>
    <row r="611" spans="1:44" x14ac:dyDescent="0.35">
      <c r="A611" s="49" t="str">
        <f t="shared" si="51"/>
        <v>28</v>
      </c>
      <c r="B611" s="27">
        <v>66282</v>
      </c>
      <c r="C611" s="25" t="str">
        <f t="shared" si="48"/>
        <v>0000000</v>
      </c>
      <c r="D611" s="26" t="s">
        <v>3663</v>
      </c>
      <c r="E611" s="25" t="s">
        <v>1453</v>
      </c>
      <c r="F611" s="25" t="s">
        <v>1446</v>
      </c>
      <c r="G611" s="59" t="s">
        <v>1454</v>
      </c>
      <c r="H611" s="60">
        <v>47.9</v>
      </c>
      <c r="I611" s="60">
        <v>51.04</v>
      </c>
      <c r="J611" s="60">
        <v>44.03</v>
      </c>
      <c r="K611" s="60">
        <v>0</v>
      </c>
      <c r="L611" s="60">
        <v>0</v>
      </c>
      <c r="M611" s="60">
        <v>0</v>
      </c>
      <c r="N611" s="60">
        <v>0</v>
      </c>
      <c r="O611" s="60">
        <v>0</v>
      </c>
      <c r="P611" s="60">
        <v>0</v>
      </c>
      <c r="Q611" s="60">
        <v>0</v>
      </c>
      <c r="R611" s="60">
        <v>0</v>
      </c>
      <c r="S611" s="60">
        <v>0</v>
      </c>
      <c r="T611" s="60">
        <v>0</v>
      </c>
      <c r="U611" s="60">
        <v>0</v>
      </c>
      <c r="V611" s="60">
        <v>0</v>
      </c>
      <c r="W611" s="60">
        <v>0</v>
      </c>
      <c r="X611" s="60">
        <v>0</v>
      </c>
      <c r="Y611" s="60">
        <v>0</v>
      </c>
      <c r="Z611" s="60">
        <v>0</v>
      </c>
      <c r="AA611" s="60">
        <v>0</v>
      </c>
      <c r="AB611" s="60">
        <v>0</v>
      </c>
      <c r="AC611" s="60">
        <v>0</v>
      </c>
      <c r="AD611" s="60">
        <v>0</v>
      </c>
      <c r="AE611" s="60">
        <v>0</v>
      </c>
      <c r="AF611" s="60">
        <v>0</v>
      </c>
      <c r="AG611" s="60">
        <v>0</v>
      </c>
      <c r="AH611" s="60">
        <v>0</v>
      </c>
      <c r="AI611" s="60">
        <v>47.9</v>
      </c>
      <c r="AJ611" s="60">
        <v>51.04</v>
      </c>
      <c r="AK611" s="60">
        <v>44.03</v>
      </c>
      <c r="AL611" s="60">
        <v>0</v>
      </c>
      <c r="AM611" s="60">
        <v>0</v>
      </c>
      <c r="AN611" s="60">
        <v>0</v>
      </c>
      <c r="AO611" s="60">
        <v>47.9</v>
      </c>
      <c r="AP611" s="60">
        <v>51.04</v>
      </c>
      <c r="AQ611" s="60">
        <v>44.03</v>
      </c>
      <c r="AR611" s="61">
        <v>51.04</v>
      </c>
    </row>
    <row r="612" spans="1:44" x14ac:dyDescent="0.35">
      <c r="A612" s="49" t="str">
        <f t="shared" si="51"/>
        <v>28</v>
      </c>
      <c r="B612" s="27">
        <v>66290</v>
      </c>
      <c r="C612" s="25" t="str">
        <f t="shared" si="48"/>
        <v>0000000</v>
      </c>
      <c r="D612" s="26" t="s">
        <v>3663</v>
      </c>
      <c r="E612" s="25" t="s">
        <v>1455</v>
      </c>
      <c r="F612" s="25" t="s">
        <v>1446</v>
      </c>
      <c r="G612" s="59" t="s">
        <v>1456</v>
      </c>
      <c r="H612" s="60">
        <v>1056.07</v>
      </c>
      <c r="I612" s="60">
        <v>1087.99</v>
      </c>
      <c r="J612" s="60">
        <v>1177.19</v>
      </c>
      <c r="K612" s="60">
        <v>0</v>
      </c>
      <c r="L612" s="60">
        <v>0</v>
      </c>
      <c r="M612" s="60">
        <v>0</v>
      </c>
      <c r="N612" s="60">
        <v>69.099999999999994</v>
      </c>
      <c r="O612" s="60">
        <v>62.36</v>
      </c>
      <c r="P612" s="60">
        <v>52.88</v>
      </c>
      <c r="Q612" s="60">
        <v>0</v>
      </c>
      <c r="R612" s="60">
        <v>0</v>
      </c>
      <c r="S612" s="60">
        <v>0</v>
      </c>
      <c r="T612" s="60">
        <v>0</v>
      </c>
      <c r="U612" s="60">
        <v>0</v>
      </c>
      <c r="V612" s="60">
        <v>0</v>
      </c>
      <c r="W612" s="60">
        <v>0</v>
      </c>
      <c r="X612" s="60">
        <v>0</v>
      </c>
      <c r="Y612" s="60">
        <v>0</v>
      </c>
      <c r="Z612" s="60">
        <v>0</v>
      </c>
      <c r="AA612" s="60">
        <v>0</v>
      </c>
      <c r="AB612" s="60">
        <v>0</v>
      </c>
      <c r="AC612" s="60">
        <v>0</v>
      </c>
      <c r="AD612" s="60">
        <v>0</v>
      </c>
      <c r="AE612" s="60">
        <v>0</v>
      </c>
      <c r="AF612" s="60">
        <v>0</v>
      </c>
      <c r="AG612" s="60">
        <v>0</v>
      </c>
      <c r="AH612" s="60">
        <v>0</v>
      </c>
      <c r="AI612" s="60">
        <v>1125.17</v>
      </c>
      <c r="AJ612" s="60">
        <v>1150.3499999999999</v>
      </c>
      <c r="AK612" s="60">
        <v>1230.07</v>
      </c>
      <c r="AL612" s="60">
        <v>0</v>
      </c>
      <c r="AM612" s="60">
        <v>0</v>
      </c>
      <c r="AN612" s="60">
        <v>0</v>
      </c>
      <c r="AO612" s="60">
        <v>1125.17</v>
      </c>
      <c r="AP612" s="60">
        <v>1150.3499999999999</v>
      </c>
      <c r="AQ612" s="60">
        <v>1230.07</v>
      </c>
      <c r="AR612" s="61">
        <v>1230.07</v>
      </c>
    </row>
    <row r="613" spans="1:44" x14ac:dyDescent="0.35">
      <c r="A613" s="49" t="str">
        <f t="shared" ref="A613:A659" si="52">TEXT(54,"00")</f>
        <v>54</v>
      </c>
      <c r="B613" s="27">
        <v>10546</v>
      </c>
      <c r="C613" s="25" t="str">
        <f t="shared" si="48"/>
        <v>0000000</v>
      </c>
      <c r="D613" s="26" t="s">
        <v>3663</v>
      </c>
      <c r="E613" s="25" t="s">
        <v>3310</v>
      </c>
      <c r="F613" s="25" t="s">
        <v>3311</v>
      </c>
      <c r="G613" s="59" t="s">
        <v>3311</v>
      </c>
      <c r="H613" s="60">
        <v>0</v>
      </c>
      <c r="I613" s="60">
        <v>0</v>
      </c>
      <c r="J613" s="60">
        <v>0</v>
      </c>
      <c r="K613" s="60">
        <v>0</v>
      </c>
      <c r="L613" s="60">
        <v>0</v>
      </c>
      <c r="M613" s="60">
        <v>0</v>
      </c>
      <c r="N613" s="60">
        <v>0</v>
      </c>
      <c r="O613" s="60">
        <v>0</v>
      </c>
      <c r="P613" s="60">
        <v>0</v>
      </c>
      <c r="Q613" s="60">
        <v>0</v>
      </c>
      <c r="R613" s="60">
        <v>0</v>
      </c>
      <c r="S613" s="60">
        <v>0</v>
      </c>
      <c r="T613" s="60">
        <v>89.28</v>
      </c>
      <c r="U613" s="60">
        <v>68.06</v>
      </c>
      <c r="V613" s="60">
        <v>117.14</v>
      </c>
      <c r="W613" s="60">
        <v>852.82</v>
      </c>
      <c r="X613" s="60">
        <v>825.32</v>
      </c>
      <c r="Y613" s="60">
        <v>915.33</v>
      </c>
      <c r="Z613" s="60">
        <v>449.8</v>
      </c>
      <c r="AA613" s="60">
        <v>445.64</v>
      </c>
      <c r="AB613" s="60">
        <v>457.88</v>
      </c>
      <c r="AC613" s="60">
        <v>0</v>
      </c>
      <c r="AD613" s="60">
        <v>0</v>
      </c>
      <c r="AE613" s="60">
        <v>0</v>
      </c>
      <c r="AF613" s="60">
        <v>0</v>
      </c>
      <c r="AG613" s="60">
        <v>0</v>
      </c>
      <c r="AH613" s="60">
        <v>0</v>
      </c>
      <c r="AI613" s="60">
        <v>1391.9</v>
      </c>
      <c r="AJ613" s="60">
        <v>1339.02</v>
      </c>
      <c r="AK613" s="60">
        <v>1490.35</v>
      </c>
      <c r="AL613" s="60">
        <v>0</v>
      </c>
      <c r="AM613" s="60">
        <v>0</v>
      </c>
      <c r="AN613" s="60">
        <v>0</v>
      </c>
      <c r="AO613" s="60">
        <v>1391.9</v>
      </c>
      <c r="AP613" s="60">
        <v>1339.02</v>
      </c>
      <c r="AQ613" s="60">
        <v>1490.35</v>
      </c>
      <c r="AR613" s="61">
        <v>1490.35</v>
      </c>
    </row>
    <row r="614" spans="1:44" x14ac:dyDescent="0.35">
      <c r="A614" s="49" t="str">
        <f t="shared" si="52"/>
        <v>54</v>
      </c>
      <c r="B614" s="27">
        <v>72249</v>
      </c>
      <c r="C614" s="25" t="str">
        <f t="shared" ref="C614:C645" si="53">TEXT(,"0000000")</f>
        <v>0000000</v>
      </c>
      <c r="D614" s="26" t="s">
        <v>3663</v>
      </c>
      <c r="E614" s="25" t="s">
        <v>3394</v>
      </c>
      <c r="F614" s="25" t="s">
        <v>3311</v>
      </c>
      <c r="G614" s="59" t="s">
        <v>3395</v>
      </c>
      <c r="H614" s="60">
        <v>5061.8900000000003</v>
      </c>
      <c r="I614" s="60">
        <v>5052.91</v>
      </c>
      <c r="J614" s="60">
        <v>5243.23</v>
      </c>
      <c r="K614" s="60">
        <v>0</v>
      </c>
      <c r="L614" s="60">
        <v>0</v>
      </c>
      <c r="M614" s="60">
        <v>0</v>
      </c>
      <c r="N614" s="60">
        <v>0</v>
      </c>
      <c r="O614" s="60">
        <v>0</v>
      </c>
      <c r="P614" s="60">
        <v>0</v>
      </c>
      <c r="Q614" s="60">
        <v>0</v>
      </c>
      <c r="R614" s="60">
        <v>0</v>
      </c>
      <c r="S614" s="60">
        <v>0</v>
      </c>
      <c r="T614" s="60">
        <v>0</v>
      </c>
      <c r="U614" s="60">
        <v>0</v>
      </c>
      <c r="V614" s="60">
        <v>0</v>
      </c>
      <c r="W614" s="60">
        <v>0</v>
      </c>
      <c r="X614" s="60">
        <v>0</v>
      </c>
      <c r="Y614" s="60">
        <v>0</v>
      </c>
      <c r="Z614" s="60">
        <v>0</v>
      </c>
      <c r="AA614" s="60">
        <v>0</v>
      </c>
      <c r="AB614" s="60">
        <v>0</v>
      </c>
      <c r="AC614" s="60">
        <v>343.63</v>
      </c>
      <c r="AD614" s="60">
        <v>341.73</v>
      </c>
      <c r="AE614" s="60">
        <v>215.69</v>
      </c>
      <c r="AF614" s="60">
        <v>0</v>
      </c>
      <c r="AG614" s="60">
        <v>0</v>
      </c>
      <c r="AH614" s="60">
        <v>0</v>
      </c>
      <c r="AI614" s="60">
        <v>5405.52</v>
      </c>
      <c r="AJ614" s="60">
        <v>5394.64</v>
      </c>
      <c r="AK614" s="60">
        <v>5458.92</v>
      </c>
      <c r="AL614" s="60">
        <v>0</v>
      </c>
      <c r="AM614" s="60">
        <v>0</v>
      </c>
      <c r="AN614" s="60">
        <v>0</v>
      </c>
      <c r="AO614" s="60">
        <v>5405.52</v>
      </c>
      <c r="AP614" s="60">
        <v>5394.64</v>
      </c>
      <c r="AQ614" s="60">
        <v>5458.92</v>
      </c>
      <c r="AR614" s="61">
        <v>5458.92</v>
      </c>
    </row>
    <row r="615" spans="1:44" x14ac:dyDescent="0.35">
      <c r="A615" s="49" t="str">
        <f t="shared" si="52"/>
        <v>54</v>
      </c>
      <c r="B615" s="27">
        <v>71860</v>
      </c>
      <c r="C615" s="25" t="str">
        <f t="shared" si="53"/>
        <v>0000000</v>
      </c>
      <c r="D615" s="26" t="s">
        <v>3663</v>
      </c>
      <c r="E615" s="25" t="s">
        <v>3338</v>
      </c>
      <c r="F615" s="25" t="s">
        <v>3311</v>
      </c>
      <c r="G615" s="59" t="s">
        <v>3339</v>
      </c>
      <c r="H615" s="60">
        <v>3641.63</v>
      </c>
      <c r="I615" s="60">
        <v>3563.02</v>
      </c>
      <c r="J615" s="60">
        <v>3891.54</v>
      </c>
      <c r="K615" s="60">
        <v>0</v>
      </c>
      <c r="L615" s="60">
        <v>0</v>
      </c>
      <c r="M615" s="60">
        <v>0</v>
      </c>
      <c r="N615" s="60">
        <v>0</v>
      </c>
      <c r="O615" s="60">
        <v>0</v>
      </c>
      <c r="P615" s="60">
        <v>0</v>
      </c>
      <c r="Q615" s="60">
        <v>0</v>
      </c>
      <c r="R615" s="60">
        <v>0</v>
      </c>
      <c r="S615" s="60">
        <v>0</v>
      </c>
      <c r="T615" s="60">
        <v>0</v>
      </c>
      <c r="U615" s="60">
        <v>0</v>
      </c>
      <c r="V615" s="60">
        <v>0</v>
      </c>
      <c r="W615" s="60">
        <v>0</v>
      </c>
      <c r="X615" s="60">
        <v>0</v>
      </c>
      <c r="Y615" s="60">
        <v>0</v>
      </c>
      <c r="Z615" s="60">
        <v>0</v>
      </c>
      <c r="AA615" s="60">
        <v>0</v>
      </c>
      <c r="AB615" s="60">
        <v>0</v>
      </c>
      <c r="AC615" s="60">
        <v>0</v>
      </c>
      <c r="AD615" s="60">
        <v>0</v>
      </c>
      <c r="AE615" s="60">
        <v>0</v>
      </c>
      <c r="AF615" s="60">
        <v>0</v>
      </c>
      <c r="AG615" s="60">
        <v>0</v>
      </c>
      <c r="AH615" s="60">
        <v>0</v>
      </c>
      <c r="AI615" s="60">
        <v>3641.63</v>
      </c>
      <c r="AJ615" s="60">
        <v>3563.02</v>
      </c>
      <c r="AK615" s="60">
        <v>3891.54</v>
      </c>
      <c r="AL615" s="60">
        <v>0</v>
      </c>
      <c r="AM615" s="60">
        <v>0</v>
      </c>
      <c r="AN615" s="60">
        <v>0</v>
      </c>
      <c r="AO615" s="60">
        <v>3641.63</v>
      </c>
      <c r="AP615" s="60">
        <v>3563.02</v>
      </c>
      <c r="AQ615" s="60">
        <v>3891.54</v>
      </c>
      <c r="AR615" s="61">
        <v>3891.54</v>
      </c>
    </row>
    <row r="616" spans="1:44" x14ac:dyDescent="0.35">
      <c r="A616" s="49" t="str">
        <f t="shared" si="52"/>
        <v>54</v>
      </c>
      <c r="B616" s="27">
        <v>72256</v>
      </c>
      <c r="C616" s="25" t="str">
        <f t="shared" si="53"/>
        <v>0000000</v>
      </c>
      <c r="D616" s="26" t="s">
        <v>3663</v>
      </c>
      <c r="E616" s="25" t="s">
        <v>3396</v>
      </c>
      <c r="F616" s="25" t="s">
        <v>3311</v>
      </c>
      <c r="G616" s="59" t="s">
        <v>3397</v>
      </c>
      <c r="H616" s="60">
        <v>25394.560000000001</v>
      </c>
      <c r="I616" s="60">
        <v>24620.29</v>
      </c>
      <c r="J616" s="60">
        <v>26782.06</v>
      </c>
      <c r="K616" s="60">
        <v>0</v>
      </c>
      <c r="L616" s="60">
        <v>0</v>
      </c>
      <c r="M616" s="60">
        <v>0</v>
      </c>
      <c r="N616" s="60">
        <v>0</v>
      </c>
      <c r="O616" s="60">
        <v>0</v>
      </c>
      <c r="P616" s="60">
        <v>0</v>
      </c>
      <c r="Q616" s="60">
        <v>0</v>
      </c>
      <c r="R616" s="60">
        <v>0</v>
      </c>
      <c r="S616" s="60">
        <v>0</v>
      </c>
      <c r="T616" s="60">
        <v>0</v>
      </c>
      <c r="U616" s="60">
        <v>0</v>
      </c>
      <c r="V616" s="60">
        <v>0</v>
      </c>
      <c r="W616" s="60">
        <v>0</v>
      </c>
      <c r="X616" s="60">
        <v>0</v>
      </c>
      <c r="Y616" s="60">
        <v>0</v>
      </c>
      <c r="Z616" s="60">
        <v>0</v>
      </c>
      <c r="AA616" s="60">
        <v>0</v>
      </c>
      <c r="AB616" s="60">
        <v>0</v>
      </c>
      <c r="AC616" s="60">
        <v>1333.7</v>
      </c>
      <c r="AD616" s="60">
        <v>1258.58</v>
      </c>
      <c r="AE616" s="60">
        <v>1219.29</v>
      </c>
      <c r="AF616" s="60">
        <v>0</v>
      </c>
      <c r="AG616" s="60">
        <v>0</v>
      </c>
      <c r="AH616" s="60">
        <v>0</v>
      </c>
      <c r="AI616" s="60">
        <v>26728.26</v>
      </c>
      <c r="AJ616" s="60">
        <v>25878.87</v>
      </c>
      <c r="AK616" s="60">
        <v>28001.35</v>
      </c>
      <c r="AL616" s="60">
        <v>0</v>
      </c>
      <c r="AM616" s="60">
        <v>0</v>
      </c>
      <c r="AN616" s="60">
        <v>0</v>
      </c>
      <c r="AO616" s="60">
        <v>26728.26</v>
      </c>
      <c r="AP616" s="60">
        <v>25878.87</v>
      </c>
      <c r="AQ616" s="60">
        <v>28001.35</v>
      </c>
      <c r="AR616" s="61">
        <v>28001.35</v>
      </c>
    </row>
    <row r="617" spans="1:44" x14ac:dyDescent="0.35">
      <c r="A617" s="49" t="str">
        <f t="shared" si="52"/>
        <v>54</v>
      </c>
      <c r="B617" s="27">
        <v>71902</v>
      </c>
      <c r="C617" s="25" t="str">
        <f t="shared" si="53"/>
        <v>0000000</v>
      </c>
      <c r="D617" s="26" t="s">
        <v>3663</v>
      </c>
      <c r="E617" s="25" t="s">
        <v>3342</v>
      </c>
      <c r="F617" s="25" t="s">
        <v>3311</v>
      </c>
      <c r="G617" s="59" t="s">
        <v>3343</v>
      </c>
      <c r="H617" s="60">
        <v>1292.03</v>
      </c>
      <c r="I617" s="60">
        <v>1322.03</v>
      </c>
      <c r="J617" s="60">
        <v>1542.9</v>
      </c>
      <c r="K617" s="60">
        <v>0</v>
      </c>
      <c r="L617" s="60">
        <v>0</v>
      </c>
      <c r="M617" s="60">
        <v>0</v>
      </c>
      <c r="N617" s="60">
        <v>0</v>
      </c>
      <c r="O617" s="60">
        <v>0</v>
      </c>
      <c r="P617" s="60">
        <v>0</v>
      </c>
      <c r="Q617" s="60">
        <v>0</v>
      </c>
      <c r="R617" s="60">
        <v>0</v>
      </c>
      <c r="S617" s="60">
        <v>0</v>
      </c>
      <c r="T617" s="60">
        <v>0</v>
      </c>
      <c r="U617" s="60">
        <v>0</v>
      </c>
      <c r="V617" s="60">
        <v>0</v>
      </c>
      <c r="W617" s="60">
        <v>0</v>
      </c>
      <c r="X617" s="60">
        <v>0</v>
      </c>
      <c r="Y617" s="60">
        <v>0</v>
      </c>
      <c r="Z617" s="60">
        <v>0</v>
      </c>
      <c r="AA617" s="60">
        <v>0</v>
      </c>
      <c r="AB617" s="60">
        <v>0</v>
      </c>
      <c r="AC617" s="60">
        <v>0</v>
      </c>
      <c r="AD617" s="60">
        <v>0</v>
      </c>
      <c r="AE617" s="60">
        <v>0</v>
      </c>
      <c r="AF617" s="60">
        <v>0</v>
      </c>
      <c r="AG617" s="60">
        <v>0</v>
      </c>
      <c r="AH617" s="60">
        <v>0</v>
      </c>
      <c r="AI617" s="60">
        <v>1292.03</v>
      </c>
      <c r="AJ617" s="60">
        <v>1322.03</v>
      </c>
      <c r="AK617" s="60">
        <v>1542.9</v>
      </c>
      <c r="AL617" s="60">
        <v>0</v>
      </c>
      <c r="AM617" s="60">
        <v>0</v>
      </c>
      <c r="AN617" s="60">
        <v>0</v>
      </c>
      <c r="AO617" s="60">
        <v>1292.03</v>
      </c>
      <c r="AP617" s="60">
        <v>1322.03</v>
      </c>
      <c r="AQ617" s="60">
        <v>1542.9</v>
      </c>
      <c r="AR617" s="61">
        <v>1542.9</v>
      </c>
    </row>
    <row r="618" spans="1:44" x14ac:dyDescent="0.35">
      <c r="A618" s="49" t="str">
        <f t="shared" si="52"/>
        <v>54</v>
      </c>
      <c r="B618" s="27">
        <v>72231</v>
      </c>
      <c r="C618" s="25" t="str">
        <f t="shared" si="53"/>
        <v>0000000</v>
      </c>
      <c r="D618" s="26" t="s">
        <v>3663</v>
      </c>
      <c r="E618" s="25" t="s">
        <v>3392</v>
      </c>
      <c r="F618" s="25" t="s">
        <v>3311</v>
      </c>
      <c r="G618" s="59" t="s">
        <v>3393</v>
      </c>
      <c r="H618" s="60">
        <v>8572.1</v>
      </c>
      <c r="I618" s="60">
        <v>8365.35</v>
      </c>
      <c r="J618" s="60">
        <v>9237.93</v>
      </c>
      <c r="K618" s="60">
        <v>0</v>
      </c>
      <c r="L618" s="60">
        <v>0</v>
      </c>
      <c r="M618" s="60">
        <v>0</v>
      </c>
      <c r="N618" s="60">
        <v>0</v>
      </c>
      <c r="O618" s="60">
        <v>0</v>
      </c>
      <c r="P618" s="60">
        <v>0</v>
      </c>
      <c r="Q618" s="60">
        <v>0</v>
      </c>
      <c r="R618" s="60">
        <v>0</v>
      </c>
      <c r="S618" s="60">
        <v>0</v>
      </c>
      <c r="T618" s="60">
        <v>0</v>
      </c>
      <c r="U618" s="60">
        <v>0</v>
      </c>
      <c r="V618" s="60">
        <v>0</v>
      </c>
      <c r="W618" s="60">
        <v>0</v>
      </c>
      <c r="X618" s="60">
        <v>0</v>
      </c>
      <c r="Y618" s="60">
        <v>0</v>
      </c>
      <c r="Z618" s="60">
        <v>0</v>
      </c>
      <c r="AA618" s="60">
        <v>0</v>
      </c>
      <c r="AB618" s="60">
        <v>0</v>
      </c>
      <c r="AC618" s="60">
        <v>0</v>
      </c>
      <c r="AD618" s="60">
        <v>0</v>
      </c>
      <c r="AE618" s="60">
        <v>0</v>
      </c>
      <c r="AF618" s="60">
        <v>0</v>
      </c>
      <c r="AG618" s="60">
        <v>0</v>
      </c>
      <c r="AH618" s="60">
        <v>0</v>
      </c>
      <c r="AI618" s="60">
        <v>8572.1</v>
      </c>
      <c r="AJ618" s="60">
        <v>8365.35</v>
      </c>
      <c r="AK618" s="60">
        <v>9237.93</v>
      </c>
      <c r="AL618" s="60">
        <v>0</v>
      </c>
      <c r="AM618" s="60">
        <v>0</v>
      </c>
      <c r="AN618" s="60">
        <v>0</v>
      </c>
      <c r="AO618" s="60">
        <v>8572.1</v>
      </c>
      <c r="AP618" s="60">
        <v>8365.35</v>
      </c>
      <c r="AQ618" s="60">
        <v>9237.93</v>
      </c>
      <c r="AR618" s="61">
        <v>9237.93</v>
      </c>
    </row>
    <row r="619" spans="1:44" x14ac:dyDescent="0.35">
      <c r="A619" s="49" t="str">
        <f t="shared" si="52"/>
        <v>54</v>
      </c>
      <c r="B619" s="27">
        <v>71993</v>
      </c>
      <c r="C619" s="25" t="str">
        <f t="shared" si="53"/>
        <v>0000000</v>
      </c>
      <c r="D619" s="26" t="s">
        <v>3663</v>
      </c>
      <c r="E619" s="25" t="s">
        <v>3350</v>
      </c>
      <c r="F619" s="25" t="s">
        <v>3311</v>
      </c>
      <c r="G619" s="59" t="s">
        <v>3351</v>
      </c>
      <c r="H619" s="60">
        <v>3674</v>
      </c>
      <c r="I619" s="60">
        <v>3573.3</v>
      </c>
      <c r="J619" s="60">
        <v>3897.99</v>
      </c>
      <c r="K619" s="60">
        <v>0</v>
      </c>
      <c r="L619" s="60">
        <v>0</v>
      </c>
      <c r="M619" s="60">
        <v>0</v>
      </c>
      <c r="N619" s="60">
        <v>0</v>
      </c>
      <c r="O619" s="60">
        <v>0</v>
      </c>
      <c r="P619" s="60">
        <v>0</v>
      </c>
      <c r="Q619" s="60">
        <v>0</v>
      </c>
      <c r="R619" s="60">
        <v>0</v>
      </c>
      <c r="S619" s="60">
        <v>0</v>
      </c>
      <c r="T619" s="60">
        <v>0</v>
      </c>
      <c r="U619" s="60">
        <v>0</v>
      </c>
      <c r="V619" s="60">
        <v>0</v>
      </c>
      <c r="W619" s="60">
        <v>0</v>
      </c>
      <c r="X619" s="60">
        <v>0</v>
      </c>
      <c r="Y619" s="60">
        <v>0</v>
      </c>
      <c r="Z619" s="60">
        <v>0</v>
      </c>
      <c r="AA619" s="60">
        <v>0</v>
      </c>
      <c r="AB619" s="60">
        <v>0</v>
      </c>
      <c r="AC619" s="60">
        <v>33.21</v>
      </c>
      <c r="AD619" s="60">
        <v>32.659999999999997</v>
      </c>
      <c r="AE619" s="60">
        <v>34.81</v>
      </c>
      <c r="AF619" s="60">
        <v>0</v>
      </c>
      <c r="AG619" s="60">
        <v>0</v>
      </c>
      <c r="AH619" s="60">
        <v>0</v>
      </c>
      <c r="AI619" s="60">
        <v>3707.21</v>
      </c>
      <c r="AJ619" s="60">
        <v>3605.96</v>
      </c>
      <c r="AK619" s="60">
        <v>3932.8</v>
      </c>
      <c r="AL619" s="60">
        <v>0</v>
      </c>
      <c r="AM619" s="60">
        <v>0</v>
      </c>
      <c r="AN619" s="60">
        <v>0</v>
      </c>
      <c r="AO619" s="60">
        <v>3707.21</v>
      </c>
      <c r="AP619" s="60">
        <v>3605.96</v>
      </c>
      <c r="AQ619" s="60">
        <v>3932.8</v>
      </c>
      <c r="AR619" s="61">
        <v>3932.8</v>
      </c>
    </row>
    <row r="620" spans="1:44" x14ac:dyDescent="0.35">
      <c r="A620" s="49" t="str">
        <f t="shared" si="52"/>
        <v>54</v>
      </c>
      <c r="B620" s="27">
        <v>72173</v>
      </c>
      <c r="C620" s="25" t="str">
        <f t="shared" si="53"/>
        <v>0000000</v>
      </c>
      <c r="D620" s="26" t="s">
        <v>3663</v>
      </c>
      <c r="E620" s="25" t="s">
        <v>3380</v>
      </c>
      <c r="F620" s="25" t="s">
        <v>3311</v>
      </c>
      <c r="G620" s="59" t="s">
        <v>3381</v>
      </c>
      <c r="H620" s="60">
        <v>788.23</v>
      </c>
      <c r="I620" s="60">
        <v>760.83</v>
      </c>
      <c r="J620" s="60">
        <v>794.76</v>
      </c>
      <c r="K620" s="60">
        <v>0</v>
      </c>
      <c r="L620" s="60">
        <v>0</v>
      </c>
      <c r="M620" s="60">
        <v>0</v>
      </c>
      <c r="N620" s="60">
        <v>0</v>
      </c>
      <c r="O620" s="60">
        <v>0</v>
      </c>
      <c r="P620" s="60">
        <v>0</v>
      </c>
      <c r="Q620" s="60">
        <v>0</v>
      </c>
      <c r="R620" s="60">
        <v>0</v>
      </c>
      <c r="S620" s="60">
        <v>0</v>
      </c>
      <c r="T620" s="60">
        <v>0</v>
      </c>
      <c r="U620" s="60">
        <v>0</v>
      </c>
      <c r="V620" s="60">
        <v>0</v>
      </c>
      <c r="W620" s="60">
        <v>0</v>
      </c>
      <c r="X620" s="60">
        <v>0</v>
      </c>
      <c r="Y620" s="60">
        <v>0</v>
      </c>
      <c r="Z620" s="60">
        <v>0</v>
      </c>
      <c r="AA620" s="60">
        <v>0</v>
      </c>
      <c r="AB620" s="60">
        <v>0</v>
      </c>
      <c r="AC620" s="60">
        <v>0</v>
      </c>
      <c r="AD620" s="60">
        <v>0</v>
      </c>
      <c r="AE620" s="60">
        <v>0</v>
      </c>
      <c r="AF620" s="60">
        <v>0</v>
      </c>
      <c r="AG620" s="60">
        <v>0</v>
      </c>
      <c r="AH620" s="60">
        <v>0</v>
      </c>
      <c r="AI620" s="60">
        <v>788.23</v>
      </c>
      <c r="AJ620" s="60">
        <v>760.83</v>
      </c>
      <c r="AK620" s="60">
        <v>794.76</v>
      </c>
      <c r="AL620" s="60">
        <v>0</v>
      </c>
      <c r="AM620" s="60">
        <v>0</v>
      </c>
      <c r="AN620" s="60">
        <v>0</v>
      </c>
      <c r="AO620" s="60">
        <v>788.23</v>
      </c>
      <c r="AP620" s="60">
        <v>760.83</v>
      </c>
      <c r="AQ620" s="60">
        <v>794.76</v>
      </c>
      <c r="AR620" s="61">
        <v>794.76</v>
      </c>
    </row>
    <row r="621" spans="1:44" x14ac:dyDescent="0.35">
      <c r="A621" s="49" t="str">
        <f t="shared" si="52"/>
        <v>54</v>
      </c>
      <c r="B621" s="27">
        <v>71837</v>
      </c>
      <c r="C621" s="25" t="str">
        <f t="shared" si="53"/>
        <v>0000000</v>
      </c>
      <c r="D621" s="26" t="s">
        <v>3663</v>
      </c>
      <c r="E621" s="25" t="s">
        <v>3334</v>
      </c>
      <c r="F621" s="25" t="s">
        <v>3311</v>
      </c>
      <c r="G621" s="59" t="s">
        <v>3335</v>
      </c>
      <c r="H621" s="60">
        <v>2267.0700000000002</v>
      </c>
      <c r="I621" s="60">
        <v>2285.6999999999998</v>
      </c>
      <c r="J621" s="60">
        <v>2553.48</v>
      </c>
      <c r="K621" s="60">
        <v>0</v>
      </c>
      <c r="L621" s="60">
        <v>0</v>
      </c>
      <c r="M621" s="60">
        <v>0</v>
      </c>
      <c r="N621" s="60">
        <v>0</v>
      </c>
      <c r="O621" s="60">
        <v>0</v>
      </c>
      <c r="P621" s="60">
        <v>0</v>
      </c>
      <c r="Q621" s="60">
        <v>0</v>
      </c>
      <c r="R621" s="60">
        <v>0</v>
      </c>
      <c r="S621" s="60">
        <v>0</v>
      </c>
      <c r="T621" s="60">
        <v>0</v>
      </c>
      <c r="U621" s="60">
        <v>0</v>
      </c>
      <c r="V621" s="60">
        <v>0</v>
      </c>
      <c r="W621" s="60">
        <v>0</v>
      </c>
      <c r="X621" s="60">
        <v>0</v>
      </c>
      <c r="Y621" s="60">
        <v>0</v>
      </c>
      <c r="Z621" s="60">
        <v>0</v>
      </c>
      <c r="AA621" s="60">
        <v>0</v>
      </c>
      <c r="AB621" s="60">
        <v>0</v>
      </c>
      <c r="AC621" s="60">
        <v>2239.29</v>
      </c>
      <c r="AD621" s="60">
        <v>2135.5</v>
      </c>
      <c r="AE621" s="60">
        <v>2176.86</v>
      </c>
      <c r="AF621" s="60">
        <v>0</v>
      </c>
      <c r="AG621" s="60">
        <v>0</v>
      </c>
      <c r="AH621" s="60">
        <v>0</v>
      </c>
      <c r="AI621" s="60">
        <v>4506.3599999999997</v>
      </c>
      <c r="AJ621" s="60">
        <v>4421.2</v>
      </c>
      <c r="AK621" s="60">
        <v>4730.34</v>
      </c>
      <c r="AL621" s="60">
        <v>0</v>
      </c>
      <c r="AM621" s="60">
        <v>0</v>
      </c>
      <c r="AN621" s="60">
        <v>0</v>
      </c>
      <c r="AO621" s="60">
        <v>4506.3599999999997</v>
      </c>
      <c r="AP621" s="60">
        <v>4421.2</v>
      </c>
      <c r="AQ621" s="60">
        <v>4730.34</v>
      </c>
      <c r="AR621" s="61">
        <v>4730.34</v>
      </c>
    </row>
    <row r="622" spans="1:44" x14ac:dyDescent="0.35">
      <c r="A622" s="49" t="str">
        <f t="shared" si="52"/>
        <v>54</v>
      </c>
      <c r="B622" s="27">
        <v>72298</v>
      </c>
      <c r="C622" s="25" t="str">
        <f t="shared" si="53"/>
        <v>0000000</v>
      </c>
      <c r="D622" s="26" t="s">
        <v>3663</v>
      </c>
      <c r="E622" s="25" t="s">
        <v>3400</v>
      </c>
      <c r="F622" s="25" t="s">
        <v>3311</v>
      </c>
      <c r="G622" s="59" t="s">
        <v>3401</v>
      </c>
      <c r="H622" s="60">
        <v>390.35</v>
      </c>
      <c r="I622" s="60">
        <v>379.12</v>
      </c>
      <c r="J622" s="60">
        <v>410.58</v>
      </c>
      <c r="K622" s="60">
        <v>0</v>
      </c>
      <c r="L622" s="60">
        <v>0</v>
      </c>
      <c r="M622" s="60">
        <v>0</v>
      </c>
      <c r="N622" s="60">
        <v>0</v>
      </c>
      <c r="O622" s="60">
        <v>0</v>
      </c>
      <c r="P622" s="60">
        <v>0</v>
      </c>
      <c r="Q622" s="60">
        <v>0</v>
      </c>
      <c r="R622" s="60">
        <v>0</v>
      </c>
      <c r="S622" s="60">
        <v>0</v>
      </c>
      <c r="T622" s="60">
        <v>0</v>
      </c>
      <c r="U622" s="60">
        <v>0</v>
      </c>
      <c r="V622" s="60">
        <v>0</v>
      </c>
      <c r="W622" s="60">
        <v>0</v>
      </c>
      <c r="X622" s="60">
        <v>0</v>
      </c>
      <c r="Y622" s="60">
        <v>0</v>
      </c>
      <c r="Z622" s="60">
        <v>0</v>
      </c>
      <c r="AA622" s="60">
        <v>0</v>
      </c>
      <c r="AB622" s="60">
        <v>0</v>
      </c>
      <c r="AC622" s="60">
        <v>0</v>
      </c>
      <c r="AD622" s="60">
        <v>0</v>
      </c>
      <c r="AE622" s="60">
        <v>0</v>
      </c>
      <c r="AF622" s="60">
        <v>0</v>
      </c>
      <c r="AG622" s="60">
        <v>0</v>
      </c>
      <c r="AH622" s="60">
        <v>0</v>
      </c>
      <c r="AI622" s="60">
        <v>390.35</v>
      </c>
      <c r="AJ622" s="60">
        <v>379.12</v>
      </c>
      <c r="AK622" s="60">
        <v>410.58</v>
      </c>
      <c r="AL622" s="60">
        <v>0</v>
      </c>
      <c r="AM622" s="60">
        <v>0</v>
      </c>
      <c r="AN622" s="60">
        <v>0</v>
      </c>
      <c r="AO622" s="60">
        <v>390.35</v>
      </c>
      <c r="AP622" s="60">
        <v>379.12</v>
      </c>
      <c r="AQ622" s="60">
        <v>410.58</v>
      </c>
      <c r="AR622" s="61">
        <v>410.58</v>
      </c>
    </row>
    <row r="623" spans="1:44" x14ac:dyDescent="0.35">
      <c r="A623" s="49" t="str">
        <f t="shared" si="52"/>
        <v>54</v>
      </c>
      <c r="B623" s="27">
        <v>72041</v>
      </c>
      <c r="C623" s="25" t="str">
        <f t="shared" si="53"/>
        <v>0000000</v>
      </c>
      <c r="D623" s="26" t="s">
        <v>3663</v>
      </c>
      <c r="E623" s="25" t="s">
        <v>3360</v>
      </c>
      <c r="F623" s="25" t="s">
        <v>3311</v>
      </c>
      <c r="G623" s="59" t="s">
        <v>3361</v>
      </c>
      <c r="H623" s="60">
        <v>826.75</v>
      </c>
      <c r="I623" s="60">
        <v>810.75</v>
      </c>
      <c r="J623" s="60">
        <v>926.36</v>
      </c>
      <c r="K623" s="60">
        <v>0</v>
      </c>
      <c r="L623" s="60">
        <v>0</v>
      </c>
      <c r="M623" s="60">
        <v>0</v>
      </c>
      <c r="N623" s="60">
        <v>0</v>
      </c>
      <c r="O623" s="60">
        <v>0</v>
      </c>
      <c r="P623" s="60">
        <v>0</v>
      </c>
      <c r="Q623" s="60">
        <v>0</v>
      </c>
      <c r="R623" s="60">
        <v>0</v>
      </c>
      <c r="S623" s="60">
        <v>0</v>
      </c>
      <c r="T623" s="60">
        <v>0</v>
      </c>
      <c r="U623" s="60">
        <v>0</v>
      </c>
      <c r="V623" s="60">
        <v>0</v>
      </c>
      <c r="W623" s="60">
        <v>0</v>
      </c>
      <c r="X623" s="60">
        <v>0</v>
      </c>
      <c r="Y623" s="60">
        <v>0</v>
      </c>
      <c r="Z623" s="60">
        <v>0</v>
      </c>
      <c r="AA623" s="60">
        <v>0</v>
      </c>
      <c r="AB623" s="60">
        <v>0</v>
      </c>
      <c r="AC623" s="60">
        <v>0</v>
      </c>
      <c r="AD623" s="60">
        <v>0</v>
      </c>
      <c r="AE623" s="60">
        <v>0</v>
      </c>
      <c r="AF623" s="60">
        <v>0</v>
      </c>
      <c r="AG623" s="60">
        <v>0</v>
      </c>
      <c r="AH623" s="60">
        <v>0</v>
      </c>
      <c r="AI623" s="60">
        <v>826.75</v>
      </c>
      <c r="AJ623" s="60">
        <v>810.75</v>
      </c>
      <c r="AK623" s="60">
        <v>926.36</v>
      </c>
      <c r="AL623" s="60">
        <v>0</v>
      </c>
      <c r="AM623" s="60">
        <v>0</v>
      </c>
      <c r="AN623" s="60">
        <v>0</v>
      </c>
      <c r="AO623" s="60">
        <v>826.75</v>
      </c>
      <c r="AP623" s="60">
        <v>810.75</v>
      </c>
      <c r="AQ623" s="60">
        <v>926.36</v>
      </c>
      <c r="AR623" s="61">
        <v>926.36</v>
      </c>
    </row>
    <row r="624" spans="1:44" x14ac:dyDescent="0.35">
      <c r="A624" s="49" t="str">
        <f t="shared" si="52"/>
        <v>54</v>
      </c>
      <c r="B624" s="27">
        <v>71969</v>
      </c>
      <c r="C624" s="25" t="str">
        <f t="shared" si="53"/>
        <v>0000000</v>
      </c>
      <c r="D624" s="26" t="s">
        <v>3663</v>
      </c>
      <c r="E624" s="25" t="s">
        <v>3347</v>
      </c>
      <c r="F624" s="25" t="s">
        <v>3311</v>
      </c>
      <c r="G624" s="59" t="s">
        <v>3348</v>
      </c>
      <c r="H624" s="60">
        <v>378.83</v>
      </c>
      <c r="I624" s="60">
        <v>354.28</v>
      </c>
      <c r="J624" s="60">
        <v>413.22</v>
      </c>
      <c r="K624" s="60">
        <v>0</v>
      </c>
      <c r="L624" s="60">
        <v>0</v>
      </c>
      <c r="M624" s="60">
        <v>0</v>
      </c>
      <c r="N624" s="60">
        <v>0</v>
      </c>
      <c r="O624" s="60">
        <v>0</v>
      </c>
      <c r="P624" s="60">
        <v>0</v>
      </c>
      <c r="Q624" s="60">
        <v>0</v>
      </c>
      <c r="R624" s="60">
        <v>0</v>
      </c>
      <c r="S624" s="60">
        <v>0</v>
      </c>
      <c r="T624" s="60">
        <v>0</v>
      </c>
      <c r="U624" s="60">
        <v>0</v>
      </c>
      <c r="V624" s="60">
        <v>0</v>
      </c>
      <c r="W624" s="60">
        <v>0</v>
      </c>
      <c r="X624" s="60">
        <v>0</v>
      </c>
      <c r="Y624" s="60">
        <v>0</v>
      </c>
      <c r="Z624" s="60">
        <v>0</v>
      </c>
      <c r="AA624" s="60">
        <v>0</v>
      </c>
      <c r="AB624" s="60">
        <v>0</v>
      </c>
      <c r="AC624" s="60">
        <v>0</v>
      </c>
      <c r="AD624" s="60">
        <v>0</v>
      </c>
      <c r="AE624" s="60">
        <v>0</v>
      </c>
      <c r="AF624" s="60">
        <v>0</v>
      </c>
      <c r="AG624" s="60">
        <v>0</v>
      </c>
      <c r="AH624" s="60">
        <v>0</v>
      </c>
      <c r="AI624" s="60">
        <v>378.83</v>
      </c>
      <c r="AJ624" s="60">
        <v>354.28</v>
      </c>
      <c r="AK624" s="60">
        <v>413.22</v>
      </c>
      <c r="AL624" s="60">
        <v>0</v>
      </c>
      <c r="AM624" s="60">
        <v>0</v>
      </c>
      <c r="AN624" s="60">
        <v>0</v>
      </c>
      <c r="AO624" s="60">
        <v>378.83</v>
      </c>
      <c r="AP624" s="60">
        <v>354.28</v>
      </c>
      <c r="AQ624" s="60">
        <v>413.22</v>
      </c>
      <c r="AR624" s="61">
        <v>413.22</v>
      </c>
    </row>
    <row r="625" spans="1:44" x14ac:dyDescent="0.35">
      <c r="A625" s="49" t="str">
        <f t="shared" si="52"/>
        <v>54</v>
      </c>
      <c r="B625" s="27">
        <v>71803</v>
      </c>
      <c r="C625" s="25" t="str">
        <f t="shared" si="53"/>
        <v>0000000</v>
      </c>
      <c r="D625" s="26" t="s">
        <v>3663</v>
      </c>
      <c r="E625" s="25" t="s">
        <v>3323</v>
      </c>
      <c r="F625" s="25" t="s">
        <v>3311</v>
      </c>
      <c r="G625" s="59" t="s">
        <v>3324</v>
      </c>
      <c r="H625" s="60">
        <v>336.85</v>
      </c>
      <c r="I625" s="60">
        <v>290.51</v>
      </c>
      <c r="J625" s="60">
        <v>310.99</v>
      </c>
      <c r="K625" s="60">
        <v>0</v>
      </c>
      <c r="L625" s="60">
        <v>0</v>
      </c>
      <c r="M625" s="60">
        <v>0</v>
      </c>
      <c r="N625" s="60">
        <v>0</v>
      </c>
      <c r="O625" s="60">
        <v>0</v>
      </c>
      <c r="P625" s="60">
        <v>0</v>
      </c>
      <c r="Q625" s="60">
        <v>0</v>
      </c>
      <c r="R625" s="60">
        <v>0</v>
      </c>
      <c r="S625" s="60">
        <v>0</v>
      </c>
      <c r="T625" s="60">
        <v>0</v>
      </c>
      <c r="U625" s="60">
        <v>0</v>
      </c>
      <c r="V625" s="60">
        <v>0</v>
      </c>
      <c r="W625" s="60">
        <v>0</v>
      </c>
      <c r="X625" s="60">
        <v>0</v>
      </c>
      <c r="Y625" s="60">
        <v>0</v>
      </c>
      <c r="Z625" s="60">
        <v>0</v>
      </c>
      <c r="AA625" s="60">
        <v>0</v>
      </c>
      <c r="AB625" s="60">
        <v>0</v>
      </c>
      <c r="AC625" s="60">
        <v>0</v>
      </c>
      <c r="AD625" s="60">
        <v>0</v>
      </c>
      <c r="AE625" s="60">
        <v>0</v>
      </c>
      <c r="AF625" s="60">
        <v>0</v>
      </c>
      <c r="AG625" s="60">
        <v>0</v>
      </c>
      <c r="AH625" s="60">
        <v>0</v>
      </c>
      <c r="AI625" s="60">
        <v>336.85</v>
      </c>
      <c r="AJ625" s="60">
        <v>290.51</v>
      </c>
      <c r="AK625" s="60">
        <v>310.99</v>
      </c>
      <c r="AL625" s="60">
        <v>0</v>
      </c>
      <c r="AM625" s="60">
        <v>0</v>
      </c>
      <c r="AN625" s="60">
        <v>0</v>
      </c>
      <c r="AO625" s="60">
        <v>336.85</v>
      </c>
      <c r="AP625" s="60">
        <v>290.51</v>
      </c>
      <c r="AQ625" s="60">
        <v>310.99</v>
      </c>
      <c r="AR625" s="61">
        <v>336.85</v>
      </c>
    </row>
    <row r="626" spans="1:44" x14ac:dyDescent="0.35">
      <c r="A626" s="49" t="str">
        <f t="shared" si="52"/>
        <v>54</v>
      </c>
      <c r="B626" s="27">
        <v>72033</v>
      </c>
      <c r="C626" s="25" t="str">
        <f t="shared" si="53"/>
        <v>0000000</v>
      </c>
      <c r="D626" s="26" t="s">
        <v>3663</v>
      </c>
      <c r="E626" s="25" t="s">
        <v>3358</v>
      </c>
      <c r="F626" s="25" t="s">
        <v>3311</v>
      </c>
      <c r="G626" s="59" t="s">
        <v>3359</v>
      </c>
      <c r="H626" s="60">
        <v>468.51</v>
      </c>
      <c r="I626" s="60">
        <v>437.15</v>
      </c>
      <c r="J626" s="60">
        <v>551.33000000000004</v>
      </c>
      <c r="K626" s="60">
        <v>0</v>
      </c>
      <c r="L626" s="60">
        <v>0</v>
      </c>
      <c r="M626" s="60">
        <v>0</v>
      </c>
      <c r="N626" s="60">
        <v>0</v>
      </c>
      <c r="O626" s="60">
        <v>0</v>
      </c>
      <c r="P626" s="60">
        <v>0</v>
      </c>
      <c r="Q626" s="60">
        <v>0</v>
      </c>
      <c r="R626" s="60">
        <v>0</v>
      </c>
      <c r="S626" s="60">
        <v>0</v>
      </c>
      <c r="T626" s="60">
        <v>0</v>
      </c>
      <c r="U626" s="60">
        <v>0</v>
      </c>
      <c r="V626" s="60">
        <v>0</v>
      </c>
      <c r="W626" s="60">
        <v>0</v>
      </c>
      <c r="X626" s="60">
        <v>0</v>
      </c>
      <c r="Y626" s="60">
        <v>0</v>
      </c>
      <c r="Z626" s="60">
        <v>0</v>
      </c>
      <c r="AA626" s="60">
        <v>0</v>
      </c>
      <c r="AB626" s="60">
        <v>0</v>
      </c>
      <c r="AC626" s="60">
        <v>0</v>
      </c>
      <c r="AD626" s="60">
        <v>0</v>
      </c>
      <c r="AE626" s="60">
        <v>0</v>
      </c>
      <c r="AF626" s="60">
        <v>0</v>
      </c>
      <c r="AG626" s="60">
        <v>0</v>
      </c>
      <c r="AH626" s="60">
        <v>0</v>
      </c>
      <c r="AI626" s="60">
        <v>468.51</v>
      </c>
      <c r="AJ626" s="60">
        <v>437.15</v>
      </c>
      <c r="AK626" s="60">
        <v>551.33000000000004</v>
      </c>
      <c r="AL626" s="60">
        <v>0</v>
      </c>
      <c r="AM626" s="60">
        <v>0</v>
      </c>
      <c r="AN626" s="60">
        <v>0</v>
      </c>
      <c r="AO626" s="60">
        <v>468.51</v>
      </c>
      <c r="AP626" s="60">
        <v>437.15</v>
      </c>
      <c r="AQ626" s="60">
        <v>551.33000000000004</v>
      </c>
      <c r="AR626" s="61">
        <v>551.33000000000004</v>
      </c>
    </row>
    <row r="627" spans="1:44" x14ac:dyDescent="0.35">
      <c r="A627" s="49" t="str">
        <f t="shared" si="52"/>
        <v>54</v>
      </c>
      <c r="B627" s="27">
        <v>72199</v>
      </c>
      <c r="C627" s="25" t="str">
        <f t="shared" si="53"/>
        <v>0000000</v>
      </c>
      <c r="D627" s="26" t="s">
        <v>3663</v>
      </c>
      <c r="E627" s="25" t="s">
        <v>3384</v>
      </c>
      <c r="F627" s="25" t="s">
        <v>3311</v>
      </c>
      <c r="G627" s="59" t="s">
        <v>3385</v>
      </c>
      <c r="H627" s="60">
        <v>692.7</v>
      </c>
      <c r="I627" s="60">
        <v>750.04</v>
      </c>
      <c r="J627" s="60">
        <v>814</v>
      </c>
      <c r="K627" s="60">
        <v>0</v>
      </c>
      <c r="L627" s="60">
        <v>0</v>
      </c>
      <c r="M627" s="60">
        <v>0</v>
      </c>
      <c r="N627" s="60">
        <v>0</v>
      </c>
      <c r="O627" s="60">
        <v>0</v>
      </c>
      <c r="P627" s="60">
        <v>0</v>
      </c>
      <c r="Q627" s="60">
        <v>0</v>
      </c>
      <c r="R627" s="60">
        <v>0</v>
      </c>
      <c r="S627" s="60">
        <v>0</v>
      </c>
      <c r="T627" s="60">
        <v>0</v>
      </c>
      <c r="U627" s="60">
        <v>0</v>
      </c>
      <c r="V627" s="60">
        <v>0</v>
      </c>
      <c r="W627" s="60">
        <v>0</v>
      </c>
      <c r="X627" s="60">
        <v>0</v>
      </c>
      <c r="Y627" s="60">
        <v>0</v>
      </c>
      <c r="Z627" s="60">
        <v>0</v>
      </c>
      <c r="AA627" s="60">
        <v>0</v>
      </c>
      <c r="AB627" s="60">
        <v>0</v>
      </c>
      <c r="AC627" s="60">
        <v>0</v>
      </c>
      <c r="AD627" s="60">
        <v>0</v>
      </c>
      <c r="AE627" s="60">
        <v>0</v>
      </c>
      <c r="AF627" s="60">
        <v>0</v>
      </c>
      <c r="AG627" s="60">
        <v>0</v>
      </c>
      <c r="AH627" s="60">
        <v>0</v>
      </c>
      <c r="AI627" s="60">
        <v>692.7</v>
      </c>
      <c r="AJ627" s="60">
        <v>750.04</v>
      </c>
      <c r="AK627" s="60">
        <v>814</v>
      </c>
      <c r="AL627" s="60">
        <v>0</v>
      </c>
      <c r="AM627" s="60">
        <v>0</v>
      </c>
      <c r="AN627" s="60">
        <v>0</v>
      </c>
      <c r="AO627" s="60">
        <v>692.7</v>
      </c>
      <c r="AP627" s="60">
        <v>750.04</v>
      </c>
      <c r="AQ627" s="60">
        <v>814</v>
      </c>
      <c r="AR627" s="61">
        <v>814</v>
      </c>
    </row>
    <row r="628" spans="1:44" x14ac:dyDescent="0.35">
      <c r="A628" s="49" t="str">
        <f t="shared" si="52"/>
        <v>54</v>
      </c>
      <c r="B628" s="27">
        <v>75325</v>
      </c>
      <c r="C628" s="25" t="str">
        <f t="shared" si="53"/>
        <v>0000000</v>
      </c>
      <c r="D628" s="26" t="s">
        <v>3663</v>
      </c>
      <c r="E628" s="25" t="s">
        <v>3402</v>
      </c>
      <c r="F628" s="25" t="s">
        <v>3311</v>
      </c>
      <c r="G628" s="59" t="s">
        <v>3403</v>
      </c>
      <c r="H628" s="60">
        <v>2274.5500000000002</v>
      </c>
      <c r="I628" s="60">
        <v>2242.83</v>
      </c>
      <c r="J628" s="60">
        <v>2398.2399999999998</v>
      </c>
      <c r="K628" s="60">
        <v>0</v>
      </c>
      <c r="L628" s="60">
        <v>0</v>
      </c>
      <c r="M628" s="60">
        <v>0</v>
      </c>
      <c r="N628" s="60">
        <v>0</v>
      </c>
      <c r="O628" s="60">
        <v>0</v>
      </c>
      <c r="P628" s="60">
        <v>0</v>
      </c>
      <c r="Q628" s="60">
        <v>0</v>
      </c>
      <c r="R628" s="60">
        <v>0</v>
      </c>
      <c r="S628" s="60">
        <v>0</v>
      </c>
      <c r="T628" s="60">
        <v>0</v>
      </c>
      <c r="U628" s="60">
        <v>0</v>
      </c>
      <c r="V628" s="60">
        <v>0</v>
      </c>
      <c r="W628" s="60">
        <v>0</v>
      </c>
      <c r="X628" s="60">
        <v>0</v>
      </c>
      <c r="Y628" s="60">
        <v>0</v>
      </c>
      <c r="Z628" s="60">
        <v>0</v>
      </c>
      <c r="AA628" s="60">
        <v>0</v>
      </c>
      <c r="AB628" s="60">
        <v>0</v>
      </c>
      <c r="AC628" s="60">
        <v>0</v>
      </c>
      <c r="AD628" s="60">
        <v>0</v>
      </c>
      <c r="AE628" s="60">
        <v>0</v>
      </c>
      <c r="AF628" s="60">
        <v>0</v>
      </c>
      <c r="AG628" s="60">
        <v>0</v>
      </c>
      <c r="AH628" s="60">
        <v>0</v>
      </c>
      <c r="AI628" s="60">
        <v>2274.5500000000002</v>
      </c>
      <c r="AJ628" s="60">
        <v>2242.83</v>
      </c>
      <c r="AK628" s="60">
        <v>2398.2399999999998</v>
      </c>
      <c r="AL628" s="60">
        <v>0</v>
      </c>
      <c r="AM628" s="60">
        <v>0</v>
      </c>
      <c r="AN628" s="60">
        <v>0</v>
      </c>
      <c r="AO628" s="60">
        <v>2274.5500000000002</v>
      </c>
      <c r="AP628" s="60">
        <v>2242.83</v>
      </c>
      <c r="AQ628" s="60">
        <v>2398.2399999999998</v>
      </c>
      <c r="AR628" s="61">
        <v>2398.2399999999998</v>
      </c>
    </row>
    <row r="629" spans="1:44" x14ac:dyDescent="0.35">
      <c r="A629" s="49" t="str">
        <f t="shared" si="52"/>
        <v>54</v>
      </c>
      <c r="B629" s="27">
        <v>75531</v>
      </c>
      <c r="C629" s="25" t="str">
        <f t="shared" si="53"/>
        <v>0000000</v>
      </c>
      <c r="D629" s="26" t="s">
        <v>3663</v>
      </c>
      <c r="E629" s="25" t="s">
        <v>3406</v>
      </c>
      <c r="F629" s="25" t="s">
        <v>3311</v>
      </c>
      <c r="G629" s="59" t="s">
        <v>3407</v>
      </c>
      <c r="H629" s="60">
        <v>5838.4</v>
      </c>
      <c r="I629" s="60">
        <v>5936.48</v>
      </c>
      <c r="J629" s="60">
        <v>6329.11</v>
      </c>
      <c r="K629" s="60">
        <v>0</v>
      </c>
      <c r="L629" s="60">
        <v>0</v>
      </c>
      <c r="M629" s="60">
        <v>0</v>
      </c>
      <c r="N629" s="60">
        <v>0</v>
      </c>
      <c r="O629" s="60">
        <v>0</v>
      </c>
      <c r="P629" s="60">
        <v>0</v>
      </c>
      <c r="Q629" s="60">
        <v>0</v>
      </c>
      <c r="R629" s="60">
        <v>0</v>
      </c>
      <c r="S629" s="60">
        <v>0</v>
      </c>
      <c r="T629" s="60">
        <v>0</v>
      </c>
      <c r="U629" s="60">
        <v>0</v>
      </c>
      <c r="V629" s="60">
        <v>0</v>
      </c>
      <c r="W629" s="60">
        <v>0</v>
      </c>
      <c r="X629" s="60">
        <v>0</v>
      </c>
      <c r="Y629" s="60">
        <v>0</v>
      </c>
      <c r="Z629" s="60">
        <v>0</v>
      </c>
      <c r="AA629" s="60">
        <v>0</v>
      </c>
      <c r="AB629" s="60">
        <v>0</v>
      </c>
      <c r="AC629" s="60">
        <v>0</v>
      </c>
      <c r="AD629" s="60">
        <v>0</v>
      </c>
      <c r="AE629" s="60">
        <v>0</v>
      </c>
      <c r="AF629" s="60">
        <v>0</v>
      </c>
      <c r="AG629" s="60">
        <v>0</v>
      </c>
      <c r="AH629" s="60">
        <v>0</v>
      </c>
      <c r="AI629" s="60">
        <v>5838.4</v>
      </c>
      <c r="AJ629" s="60">
        <v>5936.48</v>
      </c>
      <c r="AK629" s="60">
        <v>6329.11</v>
      </c>
      <c r="AL629" s="60">
        <v>0</v>
      </c>
      <c r="AM629" s="60">
        <v>0</v>
      </c>
      <c r="AN629" s="60">
        <v>0</v>
      </c>
      <c r="AO629" s="60">
        <v>5838.4</v>
      </c>
      <c r="AP629" s="60">
        <v>5936.48</v>
      </c>
      <c r="AQ629" s="60">
        <v>6329.11</v>
      </c>
      <c r="AR629" s="61">
        <v>6329.11</v>
      </c>
    </row>
    <row r="630" spans="1:44" x14ac:dyDescent="0.35">
      <c r="A630" s="49" t="str">
        <f t="shared" si="52"/>
        <v>54</v>
      </c>
      <c r="B630" s="27">
        <v>75523</v>
      </c>
      <c r="C630" s="25" t="str">
        <f t="shared" si="53"/>
        <v>0000000</v>
      </c>
      <c r="D630" s="26" t="s">
        <v>3663</v>
      </c>
      <c r="E630" s="25" t="s">
        <v>3404</v>
      </c>
      <c r="F630" s="25" t="s">
        <v>3311</v>
      </c>
      <c r="G630" s="59" t="s">
        <v>3405</v>
      </c>
      <c r="H630" s="60">
        <v>12076.97</v>
      </c>
      <c r="I630" s="60">
        <v>11983.04</v>
      </c>
      <c r="J630" s="60">
        <v>12759.54</v>
      </c>
      <c r="K630" s="60">
        <v>0</v>
      </c>
      <c r="L630" s="60">
        <v>0</v>
      </c>
      <c r="M630" s="60">
        <v>0</v>
      </c>
      <c r="N630" s="60">
        <v>0</v>
      </c>
      <c r="O630" s="60">
        <v>0</v>
      </c>
      <c r="P630" s="60">
        <v>0</v>
      </c>
      <c r="Q630" s="60">
        <v>0</v>
      </c>
      <c r="R630" s="60">
        <v>0</v>
      </c>
      <c r="S630" s="60">
        <v>0</v>
      </c>
      <c r="T630" s="60">
        <v>0</v>
      </c>
      <c r="U630" s="60">
        <v>0</v>
      </c>
      <c r="V630" s="60">
        <v>0</v>
      </c>
      <c r="W630" s="60">
        <v>0</v>
      </c>
      <c r="X630" s="60">
        <v>0</v>
      </c>
      <c r="Y630" s="60">
        <v>0</v>
      </c>
      <c r="Z630" s="60">
        <v>0</v>
      </c>
      <c r="AA630" s="60">
        <v>0</v>
      </c>
      <c r="AB630" s="60">
        <v>0</v>
      </c>
      <c r="AC630" s="60">
        <v>1089.03</v>
      </c>
      <c r="AD630" s="60">
        <v>848.36</v>
      </c>
      <c r="AE630" s="60">
        <v>922.36</v>
      </c>
      <c r="AF630" s="60">
        <v>0</v>
      </c>
      <c r="AG630" s="60">
        <v>0</v>
      </c>
      <c r="AH630" s="60">
        <v>0</v>
      </c>
      <c r="AI630" s="60">
        <v>13166</v>
      </c>
      <c r="AJ630" s="60">
        <v>12831.4</v>
      </c>
      <c r="AK630" s="60">
        <v>13681.9</v>
      </c>
      <c r="AL630" s="60">
        <v>0</v>
      </c>
      <c r="AM630" s="60">
        <v>0</v>
      </c>
      <c r="AN630" s="60">
        <v>0</v>
      </c>
      <c r="AO630" s="60">
        <v>13166</v>
      </c>
      <c r="AP630" s="60">
        <v>12831.4</v>
      </c>
      <c r="AQ630" s="60">
        <v>13681.9</v>
      </c>
      <c r="AR630" s="61">
        <v>13681.9</v>
      </c>
    </row>
    <row r="631" spans="1:44" x14ac:dyDescent="0.35">
      <c r="A631" s="49" t="str">
        <f t="shared" si="52"/>
        <v>54</v>
      </c>
      <c r="B631" s="27">
        <v>71795</v>
      </c>
      <c r="C631" s="25" t="str">
        <f t="shared" si="53"/>
        <v>0000000</v>
      </c>
      <c r="D631" s="26" t="s">
        <v>3663</v>
      </c>
      <c r="E631" s="25" t="s">
        <v>3321</v>
      </c>
      <c r="F631" s="25" t="s">
        <v>3311</v>
      </c>
      <c r="G631" s="59" t="s">
        <v>3322</v>
      </c>
      <c r="H631" s="60">
        <v>78.88</v>
      </c>
      <c r="I631" s="60">
        <v>71.099999999999994</v>
      </c>
      <c r="J631" s="60">
        <v>78.900000000000006</v>
      </c>
      <c r="K631" s="60">
        <v>0</v>
      </c>
      <c r="L631" s="60">
        <v>0</v>
      </c>
      <c r="M631" s="60">
        <v>0</v>
      </c>
      <c r="N631" s="60">
        <v>0</v>
      </c>
      <c r="O631" s="60">
        <v>0</v>
      </c>
      <c r="P631" s="60">
        <v>0</v>
      </c>
      <c r="Q631" s="60">
        <v>0</v>
      </c>
      <c r="R631" s="60">
        <v>0</v>
      </c>
      <c r="S631" s="60">
        <v>0</v>
      </c>
      <c r="T631" s="60">
        <v>0</v>
      </c>
      <c r="U631" s="60">
        <v>0</v>
      </c>
      <c r="V631" s="60">
        <v>0</v>
      </c>
      <c r="W631" s="60">
        <v>0</v>
      </c>
      <c r="X631" s="60">
        <v>0</v>
      </c>
      <c r="Y631" s="60">
        <v>0</v>
      </c>
      <c r="Z631" s="60">
        <v>0</v>
      </c>
      <c r="AA631" s="60">
        <v>0</v>
      </c>
      <c r="AB631" s="60">
        <v>0</v>
      </c>
      <c r="AC631" s="60">
        <v>0</v>
      </c>
      <c r="AD631" s="60">
        <v>0</v>
      </c>
      <c r="AE631" s="60">
        <v>0</v>
      </c>
      <c r="AF631" s="60">
        <v>0</v>
      </c>
      <c r="AG631" s="60">
        <v>0</v>
      </c>
      <c r="AH631" s="60">
        <v>0</v>
      </c>
      <c r="AI631" s="60">
        <v>78.88</v>
      </c>
      <c r="AJ631" s="60">
        <v>71.099999999999994</v>
      </c>
      <c r="AK631" s="60">
        <v>78.900000000000006</v>
      </c>
      <c r="AL631" s="60">
        <v>0</v>
      </c>
      <c r="AM631" s="60">
        <v>0</v>
      </c>
      <c r="AN631" s="60">
        <v>0</v>
      </c>
      <c r="AO631" s="60">
        <v>78.88</v>
      </c>
      <c r="AP631" s="60">
        <v>71.099999999999994</v>
      </c>
      <c r="AQ631" s="60">
        <v>78.900000000000006</v>
      </c>
      <c r="AR631" s="61">
        <v>78.900000000000006</v>
      </c>
    </row>
    <row r="632" spans="1:44" x14ac:dyDescent="0.35">
      <c r="A632" s="49" t="str">
        <f t="shared" si="52"/>
        <v>54</v>
      </c>
      <c r="B632" s="27">
        <v>71811</v>
      </c>
      <c r="C632" s="25" t="str">
        <f t="shared" si="53"/>
        <v>0000000</v>
      </c>
      <c r="D632" s="26" t="s">
        <v>3663</v>
      </c>
      <c r="E632" s="25" t="s">
        <v>3328</v>
      </c>
      <c r="F632" s="25" t="s">
        <v>3311</v>
      </c>
      <c r="G632" s="59" t="s">
        <v>3329</v>
      </c>
      <c r="H632" s="60">
        <v>464.11</v>
      </c>
      <c r="I632" s="60">
        <v>433.53</v>
      </c>
      <c r="J632" s="60">
        <v>503.34</v>
      </c>
      <c r="K632" s="60">
        <v>0</v>
      </c>
      <c r="L632" s="60">
        <v>0</v>
      </c>
      <c r="M632" s="60">
        <v>0</v>
      </c>
      <c r="N632" s="60">
        <v>0</v>
      </c>
      <c r="O632" s="60">
        <v>0</v>
      </c>
      <c r="P632" s="60">
        <v>0</v>
      </c>
      <c r="Q632" s="60">
        <v>0</v>
      </c>
      <c r="R632" s="60">
        <v>0</v>
      </c>
      <c r="S632" s="60">
        <v>0</v>
      </c>
      <c r="T632" s="60">
        <v>0</v>
      </c>
      <c r="U632" s="60">
        <v>0</v>
      </c>
      <c r="V632" s="60">
        <v>0</v>
      </c>
      <c r="W632" s="60">
        <v>0</v>
      </c>
      <c r="X632" s="60">
        <v>0</v>
      </c>
      <c r="Y632" s="60">
        <v>0</v>
      </c>
      <c r="Z632" s="60">
        <v>0</v>
      </c>
      <c r="AA632" s="60">
        <v>0</v>
      </c>
      <c r="AB632" s="60">
        <v>0</v>
      </c>
      <c r="AC632" s="60">
        <v>0</v>
      </c>
      <c r="AD632" s="60">
        <v>0</v>
      </c>
      <c r="AE632" s="60">
        <v>0</v>
      </c>
      <c r="AF632" s="60">
        <v>0</v>
      </c>
      <c r="AG632" s="60">
        <v>0</v>
      </c>
      <c r="AH632" s="60">
        <v>0</v>
      </c>
      <c r="AI632" s="60">
        <v>464.11</v>
      </c>
      <c r="AJ632" s="60">
        <v>433.53</v>
      </c>
      <c r="AK632" s="60">
        <v>503.34</v>
      </c>
      <c r="AL632" s="60">
        <v>0</v>
      </c>
      <c r="AM632" s="60">
        <v>0</v>
      </c>
      <c r="AN632" s="60">
        <v>0</v>
      </c>
      <c r="AO632" s="60">
        <v>464.11</v>
      </c>
      <c r="AP632" s="60">
        <v>433.53</v>
      </c>
      <c r="AQ632" s="60">
        <v>503.34</v>
      </c>
      <c r="AR632" s="61">
        <v>503.34</v>
      </c>
    </row>
    <row r="633" spans="1:44" x14ac:dyDescent="0.35">
      <c r="A633" s="49" t="str">
        <f t="shared" si="52"/>
        <v>54</v>
      </c>
      <c r="B633" s="27">
        <v>71829</v>
      </c>
      <c r="C633" s="25" t="str">
        <f t="shared" si="53"/>
        <v>0000000</v>
      </c>
      <c r="D633" s="26" t="s">
        <v>3663</v>
      </c>
      <c r="E633" s="25" t="s">
        <v>3332</v>
      </c>
      <c r="F633" s="25" t="s">
        <v>3311</v>
      </c>
      <c r="G633" s="59" t="s">
        <v>3333</v>
      </c>
      <c r="H633" s="60">
        <v>179.62</v>
      </c>
      <c r="I633" s="60">
        <v>176.42</v>
      </c>
      <c r="J633" s="60">
        <v>196.88</v>
      </c>
      <c r="K633" s="60">
        <v>0</v>
      </c>
      <c r="L633" s="60">
        <v>0</v>
      </c>
      <c r="M633" s="60">
        <v>0</v>
      </c>
      <c r="N633" s="60">
        <v>0</v>
      </c>
      <c r="O633" s="60">
        <v>0</v>
      </c>
      <c r="P633" s="60">
        <v>0</v>
      </c>
      <c r="Q633" s="60">
        <v>0</v>
      </c>
      <c r="R633" s="60">
        <v>0</v>
      </c>
      <c r="S633" s="60">
        <v>0</v>
      </c>
      <c r="T633" s="60">
        <v>0</v>
      </c>
      <c r="U633" s="60">
        <v>0</v>
      </c>
      <c r="V633" s="60">
        <v>0</v>
      </c>
      <c r="W633" s="60">
        <v>0</v>
      </c>
      <c r="X633" s="60">
        <v>0</v>
      </c>
      <c r="Y633" s="60">
        <v>0</v>
      </c>
      <c r="Z633" s="60">
        <v>0</v>
      </c>
      <c r="AA633" s="60">
        <v>0</v>
      </c>
      <c r="AB633" s="60">
        <v>0</v>
      </c>
      <c r="AC633" s="60">
        <v>0</v>
      </c>
      <c r="AD633" s="60">
        <v>0</v>
      </c>
      <c r="AE633" s="60">
        <v>0</v>
      </c>
      <c r="AF633" s="60">
        <v>0</v>
      </c>
      <c r="AG633" s="60">
        <v>0</v>
      </c>
      <c r="AH633" s="60">
        <v>0</v>
      </c>
      <c r="AI633" s="60">
        <v>179.62</v>
      </c>
      <c r="AJ633" s="60">
        <v>176.42</v>
      </c>
      <c r="AK633" s="60">
        <v>196.88</v>
      </c>
      <c r="AL633" s="60">
        <v>0</v>
      </c>
      <c r="AM633" s="60">
        <v>0</v>
      </c>
      <c r="AN633" s="60">
        <v>0</v>
      </c>
      <c r="AO633" s="60">
        <v>179.62</v>
      </c>
      <c r="AP633" s="60">
        <v>176.42</v>
      </c>
      <c r="AQ633" s="60">
        <v>196.88</v>
      </c>
      <c r="AR633" s="61">
        <v>196.88</v>
      </c>
    </row>
    <row r="634" spans="1:44" x14ac:dyDescent="0.35">
      <c r="A634" s="49" t="str">
        <f t="shared" si="52"/>
        <v>54</v>
      </c>
      <c r="B634" s="27">
        <v>71852</v>
      </c>
      <c r="C634" s="25" t="str">
        <f t="shared" si="53"/>
        <v>0000000</v>
      </c>
      <c r="D634" s="26" t="s">
        <v>3663</v>
      </c>
      <c r="E634" s="25" t="s">
        <v>3336</v>
      </c>
      <c r="F634" s="25" t="s">
        <v>3311</v>
      </c>
      <c r="G634" s="59" t="s">
        <v>3337</v>
      </c>
      <c r="H634" s="60">
        <v>177.95</v>
      </c>
      <c r="I634" s="60">
        <v>174.95</v>
      </c>
      <c r="J634" s="60">
        <v>187</v>
      </c>
      <c r="K634" s="60">
        <v>0</v>
      </c>
      <c r="L634" s="60">
        <v>0</v>
      </c>
      <c r="M634" s="60">
        <v>0</v>
      </c>
      <c r="N634" s="60">
        <v>0</v>
      </c>
      <c r="O634" s="60">
        <v>0</v>
      </c>
      <c r="P634" s="60">
        <v>0</v>
      </c>
      <c r="Q634" s="60">
        <v>0</v>
      </c>
      <c r="R634" s="60">
        <v>0</v>
      </c>
      <c r="S634" s="60">
        <v>0</v>
      </c>
      <c r="T634" s="60">
        <v>0</v>
      </c>
      <c r="U634" s="60">
        <v>0</v>
      </c>
      <c r="V634" s="60">
        <v>0</v>
      </c>
      <c r="W634" s="60">
        <v>0</v>
      </c>
      <c r="X634" s="60">
        <v>0</v>
      </c>
      <c r="Y634" s="60">
        <v>0</v>
      </c>
      <c r="Z634" s="60">
        <v>0</v>
      </c>
      <c r="AA634" s="60">
        <v>0</v>
      </c>
      <c r="AB634" s="60">
        <v>0</v>
      </c>
      <c r="AC634" s="60">
        <v>0</v>
      </c>
      <c r="AD634" s="60">
        <v>0</v>
      </c>
      <c r="AE634" s="60">
        <v>0</v>
      </c>
      <c r="AF634" s="60">
        <v>0</v>
      </c>
      <c r="AG634" s="60">
        <v>0</v>
      </c>
      <c r="AH634" s="60">
        <v>0</v>
      </c>
      <c r="AI634" s="60">
        <v>177.95</v>
      </c>
      <c r="AJ634" s="60">
        <v>174.95</v>
      </c>
      <c r="AK634" s="60">
        <v>187</v>
      </c>
      <c r="AL634" s="60">
        <v>0</v>
      </c>
      <c r="AM634" s="60">
        <v>0</v>
      </c>
      <c r="AN634" s="60">
        <v>0</v>
      </c>
      <c r="AO634" s="60">
        <v>177.95</v>
      </c>
      <c r="AP634" s="60">
        <v>174.95</v>
      </c>
      <c r="AQ634" s="60">
        <v>187</v>
      </c>
      <c r="AR634" s="61">
        <v>187</v>
      </c>
    </row>
    <row r="635" spans="1:44" x14ac:dyDescent="0.35">
      <c r="A635" s="49" t="str">
        <f t="shared" si="52"/>
        <v>54</v>
      </c>
      <c r="B635" s="27">
        <v>71894</v>
      </c>
      <c r="C635" s="25" t="str">
        <f t="shared" si="53"/>
        <v>0000000</v>
      </c>
      <c r="D635" s="26" t="s">
        <v>3663</v>
      </c>
      <c r="E635" s="25" t="s">
        <v>3340</v>
      </c>
      <c r="F635" s="25" t="s">
        <v>3311</v>
      </c>
      <c r="G635" s="59" t="s">
        <v>3341</v>
      </c>
      <c r="H635" s="60">
        <v>122.05</v>
      </c>
      <c r="I635" s="60">
        <v>113.26</v>
      </c>
      <c r="J635" s="60">
        <v>145.87</v>
      </c>
      <c r="K635" s="60">
        <v>0</v>
      </c>
      <c r="L635" s="60">
        <v>0</v>
      </c>
      <c r="M635" s="60">
        <v>0</v>
      </c>
      <c r="N635" s="60">
        <v>0</v>
      </c>
      <c r="O635" s="60">
        <v>0</v>
      </c>
      <c r="P635" s="60">
        <v>0</v>
      </c>
      <c r="Q635" s="60">
        <v>0</v>
      </c>
      <c r="R635" s="60">
        <v>0</v>
      </c>
      <c r="S635" s="60">
        <v>0</v>
      </c>
      <c r="T635" s="60">
        <v>0</v>
      </c>
      <c r="U635" s="60">
        <v>0</v>
      </c>
      <c r="V635" s="60">
        <v>0</v>
      </c>
      <c r="W635" s="60">
        <v>0</v>
      </c>
      <c r="X635" s="60">
        <v>0</v>
      </c>
      <c r="Y635" s="60">
        <v>0</v>
      </c>
      <c r="Z635" s="60">
        <v>0</v>
      </c>
      <c r="AA635" s="60">
        <v>0</v>
      </c>
      <c r="AB635" s="60">
        <v>0</v>
      </c>
      <c r="AC635" s="60">
        <v>0</v>
      </c>
      <c r="AD635" s="60">
        <v>0</v>
      </c>
      <c r="AE635" s="60">
        <v>0</v>
      </c>
      <c r="AF635" s="60">
        <v>0</v>
      </c>
      <c r="AG635" s="60">
        <v>0</v>
      </c>
      <c r="AH635" s="60">
        <v>0</v>
      </c>
      <c r="AI635" s="60">
        <v>122.05</v>
      </c>
      <c r="AJ635" s="60">
        <v>113.26</v>
      </c>
      <c r="AK635" s="60">
        <v>145.87</v>
      </c>
      <c r="AL635" s="60">
        <v>0</v>
      </c>
      <c r="AM635" s="60">
        <v>0</v>
      </c>
      <c r="AN635" s="60">
        <v>0</v>
      </c>
      <c r="AO635" s="60">
        <v>122.05</v>
      </c>
      <c r="AP635" s="60">
        <v>113.26</v>
      </c>
      <c r="AQ635" s="60">
        <v>145.87</v>
      </c>
      <c r="AR635" s="61">
        <v>145.87</v>
      </c>
    </row>
    <row r="636" spans="1:44" x14ac:dyDescent="0.35">
      <c r="A636" s="49" t="str">
        <f t="shared" si="52"/>
        <v>54</v>
      </c>
      <c r="B636" s="27">
        <v>71944</v>
      </c>
      <c r="C636" s="25" t="str">
        <f t="shared" si="53"/>
        <v>0000000</v>
      </c>
      <c r="D636" s="26" t="s">
        <v>3663</v>
      </c>
      <c r="E636" s="25" t="s">
        <v>3344</v>
      </c>
      <c r="F636" s="25" t="s">
        <v>3311</v>
      </c>
      <c r="G636" s="59" t="s">
        <v>2645</v>
      </c>
      <c r="H636" s="60">
        <v>217.06</v>
      </c>
      <c r="I636" s="60">
        <v>216.67</v>
      </c>
      <c r="J636" s="60">
        <v>224.16</v>
      </c>
      <c r="K636" s="60">
        <v>0</v>
      </c>
      <c r="L636" s="60">
        <v>0</v>
      </c>
      <c r="M636" s="60">
        <v>0</v>
      </c>
      <c r="N636" s="60">
        <v>0</v>
      </c>
      <c r="O636" s="60">
        <v>0</v>
      </c>
      <c r="P636" s="60">
        <v>0</v>
      </c>
      <c r="Q636" s="60">
        <v>0</v>
      </c>
      <c r="R636" s="60">
        <v>0</v>
      </c>
      <c r="S636" s="60">
        <v>0</v>
      </c>
      <c r="T636" s="60">
        <v>0</v>
      </c>
      <c r="U636" s="60">
        <v>0</v>
      </c>
      <c r="V636" s="60">
        <v>0</v>
      </c>
      <c r="W636" s="60">
        <v>0</v>
      </c>
      <c r="X636" s="60">
        <v>0</v>
      </c>
      <c r="Y636" s="60">
        <v>0</v>
      </c>
      <c r="Z636" s="60">
        <v>0</v>
      </c>
      <c r="AA636" s="60">
        <v>0</v>
      </c>
      <c r="AB636" s="60">
        <v>0</v>
      </c>
      <c r="AC636" s="60">
        <v>0</v>
      </c>
      <c r="AD636" s="60">
        <v>0</v>
      </c>
      <c r="AE636" s="60">
        <v>0</v>
      </c>
      <c r="AF636" s="60">
        <v>0</v>
      </c>
      <c r="AG636" s="60">
        <v>0</v>
      </c>
      <c r="AH636" s="60">
        <v>0</v>
      </c>
      <c r="AI636" s="60">
        <v>217.06</v>
      </c>
      <c r="AJ636" s="60">
        <v>216.67</v>
      </c>
      <c r="AK636" s="60">
        <v>224.16</v>
      </c>
      <c r="AL636" s="60">
        <v>0</v>
      </c>
      <c r="AM636" s="60">
        <v>0</v>
      </c>
      <c r="AN636" s="60">
        <v>0</v>
      </c>
      <c r="AO636" s="60">
        <v>217.06</v>
      </c>
      <c r="AP636" s="60">
        <v>216.67</v>
      </c>
      <c r="AQ636" s="60">
        <v>224.16</v>
      </c>
      <c r="AR636" s="61">
        <v>224.16</v>
      </c>
    </row>
    <row r="637" spans="1:44" x14ac:dyDescent="0.35">
      <c r="A637" s="49" t="str">
        <f t="shared" si="52"/>
        <v>54</v>
      </c>
      <c r="B637" s="27">
        <v>71951</v>
      </c>
      <c r="C637" s="25" t="str">
        <f t="shared" si="53"/>
        <v>0000000</v>
      </c>
      <c r="D637" s="26" t="s">
        <v>3663</v>
      </c>
      <c r="E637" s="25" t="s">
        <v>3345</v>
      </c>
      <c r="F637" s="25" t="s">
        <v>3311</v>
      </c>
      <c r="G637" s="59" t="s">
        <v>3346</v>
      </c>
      <c r="H637" s="60">
        <v>9.99</v>
      </c>
      <c r="I637" s="60">
        <v>7.24</v>
      </c>
      <c r="J637" s="60">
        <v>20.79</v>
      </c>
      <c r="K637" s="60">
        <v>0</v>
      </c>
      <c r="L637" s="60">
        <v>0</v>
      </c>
      <c r="M637" s="60">
        <v>0</v>
      </c>
      <c r="N637" s="60">
        <v>0</v>
      </c>
      <c r="O637" s="60">
        <v>0</v>
      </c>
      <c r="P637" s="60">
        <v>0</v>
      </c>
      <c r="Q637" s="60">
        <v>0</v>
      </c>
      <c r="R637" s="60">
        <v>0</v>
      </c>
      <c r="S637" s="60">
        <v>0</v>
      </c>
      <c r="T637" s="60">
        <v>0</v>
      </c>
      <c r="U637" s="60">
        <v>0</v>
      </c>
      <c r="V637" s="60">
        <v>0</v>
      </c>
      <c r="W637" s="60">
        <v>0</v>
      </c>
      <c r="X637" s="60">
        <v>0</v>
      </c>
      <c r="Y637" s="60">
        <v>0</v>
      </c>
      <c r="Z637" s="60">
        <v>0</v>
      </c>
      <c r="AA637" s="60">
        <v>0</v>
      </c>
      <c r="AB637" s="60">
        <v>0</v>
      </c>
      <c r="AC637" s="60">
        <v>0</v>
      </c>
      <c r="AD637" s="60">
        <v>0</v>
      </c>
      <c r="AE637" s="60">
        <v>0</v>
      </c>
      <c r="AF637" s="60">
        <v>0</v>
      </c>
      <c r="AG637" s="60">
        <v>0</v>
      </c>
      <c r="AH637" s="60">
        <v>0</v>
      </c>
      <c r="AI637" s="60">
        <v>9.99</v>
      </c>
      <c r="AJ637" s="60">
        <v>7.24</v>
      </c>
      <c r="AK637" s="60">
        <v>20.79</v>
      </c>
      <c r="AL637" s="60">
        <v>0</v>
      </c>
      <c r="AM637" s="60">
        <v>0</v>
      </c>
      <c r="AN637" s="60">
        <v>0</v>
      </c>
      <c r="AO637" s="60">
        <v>9.99</v>
      </c>
      <c r="AP637" s="60">
        <v>7.24</v>
      </c>
      <c r="AQ637" s="60">
        <v>20.79</v>
      </c>
      <c r="AR637" s="61">
        <v>20.79</v>
      </c>
    </row>
    <row r="638" spans="1:44" x14ac:dyDescent="0.35">
      <c r="A638" s="49" t="str">
        <f t="shared" si="52"/>
        <v>54</v>
      </c>
      <c r="B638" s="27">
        <v>71985</v>
      </c>
      <c r="C638" s="25" t="str">
        <f t="shared" si="53"/>
        <v>0000000</v>
      </c>
      <c r="D638" s="26" t="s">
        <v>3663</v>
      </c>
      <c r="E638" s="25" t="s">
        <v>3349</v>
      </c>
      <c r="F638" s="25" t="s">
        <v>3311</v>
      </c>
      <c r="G638" s="59" t="s">
        <v>3089</v>
      </c>
      <c r="H638" s="60">
        <v>751.5</v>
      </c>
      <c r="I638" s="60">
        <v>709.61</v>
      </c>
      <c r="J638" s="60">
        <v>647.39</v>
      </c>
      <c r="K638" s="60">
        <v>0</v>
      </c>
      <c r="L638" s="60">
        <v>0</v>
      </c>
      <c r="M638" s="60">
        <v>0</v>
      </c>
      <c r="N638" s="60">
        <v>0</v>
      </c>
      <c r="O638" s="60">
        <v>0</v>
      </c>
      <c r="P638" s="60">
        <v>0</v>
      </c>
      <c r="Q638" s="60">
        <v>0</v>
      </c>
      <c r="R638" s="60">
        <v>0</v>
      </c>
      <c r="S638" s="60">
        <v>0</v>
      </c>
      <c r="T638" s="60">
        <v>0</v>
      </c>
      <c r="U638" s="60">
        <v>0</v>
      </c>
      <c r="V638" s="60">
        <v>0</v>
      </c>
      <c r="W638" s="60">
        <v>0</v>
      </c>
      <c r="X638" s="60">
        <v>0</v>
      </c>
      <c r="Y638" s="60">
        <v>0</v>
      </c>
      <c r="Z638" s="60">
        <v>0</v>
      </c>
      <c r="AA638" s="60">
        <v>0</v>
      </c>
      <c r="AB638" s="60">
        <v>0</v>
      </c>
      <c r="AC638" s="60">
        <v>0</v>
      </c>
      <c r="AD638" s="60">
        <v>0</v>
      </c>
      <c r="AE638" s="60">
        <v>0</v>
      </c>
      <c r="AF638" s="60">
        <v>0</v>
      </c>
      <c r="AG638" s="60">
        <v>0</v>
      </c>
      <c r="AH638" s="60">
        <v>0</v>
      </c>
      <c r="AI638" s="60">
        <v>751.5</v>
      </c>
      <c r="AJ638" s="60">
        <v>709.61</v>
      </c>
      <c r="AK638" s="60">
        <v>647.39</v>
      </c>
      <c r="AL638" s="60">
        <v>0</v>
      </c>
      <c r="AM638" s="60">
        <v>0</v>
      </c>
      <c r="AN638" s="60">
        <v>0</v>
      </c>
      <c r="AO638" s="60">
        <v>751.5</v>
      </c>
      <c r="AP638" s="60">
        <v>709.61</v>
      </c>
      <c r="AQ638" s="60">
        <v>647.39</v>
      </c>
      <c r="AR638" s="61">
        <v>751.5</v>
      </c>
    </row>
    <row r="639" spans="1:44" x14ac:dyDescent="0.35">
      <c r="A639" s="49" t="str">
        <f t="shared" si="52"/>
        <v>54</v>
      </c>
      <c r="B639" s="27">
        <v>72009</v>
      </c>
      <c r="C639" s="25" t="str">
        <f t="shared" si="53"/>
        <v>0000000</v>
      </c>
      <c r="D639" s="26" t="s">
        <v>3663</v>
      </c>
      <c r="E639" s="25" t="s">
        <v>3352</v>
      </c>
      <c r="F639" s="25" t="s">
        <v>3311</v>
      </c>
      <c r="G639" s="59" t="s">
        <v>3353</v>
      </c>
      <c r="H639" s="60">
        <v>410.23</v>
      </c>
      <c r="I639" s="60">
        <v>406</v>
      </c>
      <c r="J639" s="60">
        <v>442.48</v>
      </c>
      <c r="K639" s="60">
        <v>0</v>
      </c>
      <c r="L639" s="60">
        <v>0</v>
      </c>
      <c r="M639" s="60">
        <v>0</v>
      </c>
      <c r="N639" s="60">
        <v>0</v>
      </c>
      <c r="O639" s="60">
        <v>0</v>
      </c>
      <c r="P639" s="60">
        <v>0</v>
      </c>
      <c r="Q639" s="60">
        <v>0</v>
      </c>
      <c r="R639" s="60">
        <v>0</v>
      </c>
      <c r="S639" s="60">
        <v>0</v>
      </c>
      <c r="T639" s="60">
        <v>0</v>
      </c>
      <c r="U639" s="60">
        <v>0</v>
      </c>
      <c r="V639" s="60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60">
        <v>0</v>
      </c>
      <c r="AE639" s="60">
        <v>0</v>
      </c>
      <c r="AF639" s="60">
        <v>0</v>
      </c>
      <c r="AG639" s="60">
        <v>0</v>
      </c>
      <c r="AH639" s="60">
        <v>0</v>
      </c>
      <c r="AI639" s="60">
        <v>410.23</v>
      </c>
      <c r="AJ639" s="60">
        <v>406</v>
      </c>
      <c r="AK639" s="60">
        <v>442.48</v>
      </c>
      <c r="AL639" s="60">
        <v>0</v>
      </c>
      <c r="AM639" s="60">
        <v>0</v>
      </c>
      <c r="AN639" s="60">
        <v>0</v>
      </c>
      <c r="AO639" s="60">
        <v>410.23</v>
      </c>
      <c r="AP639" s="60">
        <v>406</v>
      </c>
      <c r="AQ639" s="60">
        <v>442.48</v>
      </c>
      <c r="AR639" s="61">
        <v>442.48</v>
      </c>
    </row>
    <row r="640" spans="1:44" x14ac:dyDescent="0.35">
      <c r="A640" s="49" t="str">
        <f t="shared" si="52"/>
        <v>54</v>
      </c>
      <c r="B640" s="27">
        <v>72017</v>
      </c>
      <c r="C640" s="25" t="str">
        <f t="shared" si="53"/>
        <v>0000000</v>
      </c>
      <c r="D640" s="26" t="s">
        <v>3663</v>
      </c>
      <c r="E640" s="25" t="s">
        <v>3354</v>
      </c>
      <c r="F640" s="25" t="s">
        <v>3311</v>
      </c>
      <c r="G640" s="59" t="s">
        <v>3355</v>
      </c>
      <c r="H640" s="60">
        <v>535.85</v>
      </c>
      <c r="I640" s="60">
        <v>530.05999999999995</v>
      </c>
      <c r="J640" s="60">
        <v>561.95000000000005</v>
      </c>
      <c r="K640" s="60">
        <v>0</v>
      </c>
      <c r="L640" s="60">
        <v>0</v>
      </c>
      <c r="M640" s="60">
        <v>0</v>
      </c>
      <c r="N640" s="60">
        <v>0</v>
      </c>
      <c r="O640" s="60">
        <v>0</v>
      </c>
      <c r="P640" s="60">
        <v>0</v>
      </c>
      <c r="Q640" s="60">
        <v>0</v>
      </c>
      <c r="R640" s="60">
        <v>0</v>
      </c>
      <c r="S640" s="60">
        <v>0</v>
      </c>
      <c r="T640" s="60">
        <v>0</v>
      </c>
      <c r="U640" s="60">
        <v>0</v>
      </c>
      <c r="V640" s="60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0">
        <v>0</v>
      </c>
      <c r="AE640" s="60">
        <v>0</v>
      </c>
      <c r="AF640" s="60">
        <v>0</v>
      </c>
      <c r="AG640" s="60">
        <v>0</v>
      </c>
      <c r="AH640" s="60">
        <v>0</v>
      </c>
      <c r="AI640" s="60">
        <v>535.85</v>
      </c>
      <c r="AJ640" s="60">
        <v>530.05999999999995</v>
      </c>
      <c r="AK640" s="60">
        <v>561.95000000000005</v>
      </c>
      <c r="AL640" s="60">
        <v>0</v>
      </c>
      <c r="AM640" s="60">
        <v>0</v>
      </c>
      <c r="AN640" s="60">
        <v>0</v>
      </c>
      <c r="AO640" s="60">
        <v>535.85</v>
      </c>
      <c r="AP640" s="60">
        <v>530.05999999999995</v>
      </c>
      <c r="AQ640" s="60">
        <v>561.95000000000005</v>
      </c>
      <c r="AR640" s="61">
        <v>561.95000000000005</v>
      </c>
    </row>
    <row r="641" spans="1:44" x14ac:dyDescent="0.35">
      <c r="A641" s="49" t="str">
        <f t="shared" si="52"/>
        <v>54</v>
      </c>
      <c r="B641" s="27">
        <v>72025</v>
      </c>
      <c r="C641" s="25" t="str">
        <f t="shared" si="53"/>
        <v>0000000</v>
      </c>
      <c r="D641" s="26" t="s">
        <v>3663</v>
      </c>
      <c r="E641" s="25" t="s">
        <v>3356</v>
      </c>
      <c r="F641" s="25" t="s">
        <v>3311</v>
      </c>
      <c r="G641" s="59" t="s">
        <v>3357</v>
      </c>
      <c r="H641" s="60">
        <v>120.85</v>
      </c>
      <c r="I641" s="60">
        <v>116.8</v>
      </c>
      <c r="J641" s="60">
        <v>97.23</v>
      </c>
      <c r="K641" s="60">
        <v>0</v>
      </c>
      <c r="L641" s="60">
        <v>0</v>
      </c>
      <c r="M641" s="60">
        <v>0</v>
      </c>
      <c r="N641" s="60">
        <v>0</v>
      </c>
      <c r="O641" s="60">
        <v>0</v>
      </c>
      <c r="P641" s="60">
        <v>0</v>
      </c>
      <c r="Q641" s="60">
        <v>0</v>
      </c>
      <c r="R641" s="60">
        <v>0</v>
      </c>
      <c r="S641" s="60">
        <v>0</v>
      </c>
      <c r="T641" s="60">
        <v>0</v>
      </c>
      <c r="U641" s="60">
        <v>0</v>
      </c>
      <c r="V641" s="60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0">
        <v>0</v>
      </c>
      <c r="AE641" s="60">
        <v>0</v>
      </c>
      <c r="AF641" s="60">
        <v>0</v>
      </c>
      <c r="AG641" s="60">
        <v>0</v>
      </c>
      <c r="AH641" s="60">
        <v>0</v>
      </c>
      <c r="AI641" s="60">
        <v>120.85</v>
      </c>
      <c r="AJ641" s="60">
        <v>116.8</v>
      </c>
      <c r="AK641" s="60">
        <v>97.23</v>
      </c>
      <c r="AL641" s="60">
        <v>0</v>
      </c>
      <c r="AM641" s="60">
        <v>0</v>
      </c>
      <c r="AN641" s="60">
        <v>0</v>
      </c>
      <c r="AO641" s="60">
        <v>120.85</v>
      </c>
      <c r="AP641" s="60">
        <v>116.8</v>
      </c>
      <c r="AQ641" s="60">
        <v>97.23</v>
      </c>
      <c r="AR641" s="61">
        <v>120.85</v>
      </c>
    </row>
    <row r="642" spans="1:44" x14ac:dyDescent="0.35">
      <c r="A642" s="49" t="str">
        <f t="shared" si="52"/>
        <v>54</v>
      </c>
      <c r="B642" s="27">
        <v>72058</v>
      </c>
      <c r="C642" s="25" t="str">
        <f t="shared" si="53"/>
        <v>0000000</v>
      </c>
      <c r="D642" s="26" t="s">
        <v>3663</v>
      </c>
      <c r="E642" s="25" t="s">
        <v>3362</v>
      </c>
      <c r="F642" s="25" t="s">
        <v>3311</v>
      </c>
      <c r="G642" s="59" t="s">
        <v>3363</v>
      </c>
      <c r="H642" s="60">
        <v>395.62</v>
      </c>
      <c r="I642" s="60">
        <v>413.15</v>
      </c>
      <c r="J642" s="60">
        <v>457.27</v>
      </c>
      <c r="K642" s="60">
        <v>0</v>
      </c>
      <c r="L642" s="60">
        <v>0</v>
      </c>
      <c r="M642" s="60">
        <v>0</v>
      </c>
      <c r="N642" s="60">
        <v>0</v>
      </c>
      <c r="O642" s="60">
        <v>0</v>
      </c>
      <c r="P642" s="60">
        <v>0</v>
      </c>
      <c r="Q642" s="60">
        <v>0</v>
      </c>
      <c r="R642" s="60">
        <v>0</v>
      </c>
      <c r="S642" s="60">
        <v>0</v>
      </c>
      <c r="T642" s="60">
        <v>0</v>
      </c>
      <c r="U642" s="60">
        <v>0</v>
      </c>
      <c r="V642" s="60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60">
        <v>0</v>
      </c>
      <c r="AE642" s="60">
        <v>0</v>
      </c>
      <c r="AF642" s="60">
        <v>0</v>
      </c>
      <c r="AG642" s="60">
        <v>0</v>
      </c>
      <c r="AH642" s="60">
        <v>0</v>
      </c>
      <c r="AI642" s="60">
        <v>395.62</v>
      </c>
      <c r="AJ642" s="60">
        <v>413.15</v>
      </c>
      <c r="AK642" s="60">
        <v>457.27</v>
      </c>
      <c r="AL642" s="60">
        <v>0</v>
      </c>
      <c r="AM642" s="60">
        <v>0</v>
      </c>
      <c r="AN642" s="60">
        <v>0</v>
      </c>
      <c r="AO642" s="60">
        <v>395.62</v>
      </c>
      <c r="AP642" s="60">
        <v>413.15</v>
      </c>
      <c r="AQ642" s="60">
        <v>457.27</v>
      </c>
      <c r="AR642" s="61">
        <v>457.27</v>
      </c>
    </row>
    <row r="643" spans="1:44" x14ac:dyDescent="0.35">
      <c r="A643" s="49" t="str">
        <f t="shared" si="52"/>
        <v>54</v>
      </c>
      <c r="B643" s="27">
        <v>72082</v>
      </c>
      <c r="C643" s="25" t="str">
        <f t="shared" si="53"/>
        <v>0000000</v>
      </c>
      <c r="D643" s="26" t="s">
        <v>3663</v>
      </c>
      <c r="E643" s="25" t="s">
        <v>3364</v>
      </c>
      <c r="F643" s="25" t="s">
        <v>3311</v>
      </c>
      <c r="G643" s="59" t="s">
        <v>3365</v>
      </c>
      <c r="H643" s="60">
        <v>476.75</v>
      </c>
      <c r="I643" s="60">
        <v>428.23</v>
      </c>
      <c r="J643" s="60">
        <v>558.75</v>
      </c>
      <c r="K643" s="60">
        <v>0</v>
      </c>
      <c r="L643" s="60">
        <v>0</v>
      </c>
      <c r="M643" s="60">
        <v>0</v>
      </c>
      <c r="N643" s="60">
        <v>0</v>
      </c>
      <c r="O643" s="60">
        <v>0</v>
      </c>
      <c r="P643" s="60">
        <v>0</v>
      </c>
      <c r="Q643" s="60">
        <v>0</v>
      </c>
      <c r="R643" s="60">
        <v>0</v>
      </c>
      <c r="S643" s="60">
        <v>0</v>
      </c>
      <c r="T643" s="60">
        <v>0</v>
      </c>
      <c r="U643" s="60">
        <v>0</v>
      </c>
      <c r="V643" s="60">
        <v>0</v>
      </c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0</v>
      </c>
      <c r="AD643" s="60">
        <v>0</v>
      </c>
      <c r="AE643" s="60">
        <v>0</v>
      </c>
      <c r="AF643" s="60">
        <v>0</v>
      </c>
      <c r="AG643" s="60">
        <v>0</v>
      </c>
      <c r="AH643" s="60">
        <v>0</v>
      </c>
      <c r="AI643" s="60">
        <v>476.75</v>
      </c>
      <c r="AJ643" s="60">
        <v>428.23</v>
      </c>
      <c r="AK643" s="60">
        <v>558.75</v>
      </c>
      <c r="AL643" s="60">
        <v>0</v>
      </c>
      <c r="AM643" s="60">
        <v>0</v>
      </c>
      <c r="AN643" s="60">
        <v>0</v>
      </c>
      <c r="AO643" s="60">
        <v>476.75</v>
      </c>
      <c r="AP643" s="60">
        <v>428.23</v>
      </c>
      <c r="AQ643" s="60">
        <v>558.75</v>
      </c>
      <c r="AR643" s="61">
        <v>558.75</v>
      </c>
    </row>
    <row r="644" spans="1:44" x14ac:dyDescent="0.35">
      <c r="A644" s="49" t="str">
        <f t="shared" si="52"/>
        <v>54</v>
      </c>
      <c r="B644" s="27">
        <v>72090</v>
      </c>
      <c r="C644" s="25" t="str">
        <f t="shared" si="53"/>
        <v>0000000</v>
      </c>
      <c r="D644" s="26" t="s">
        <v>3663</v>
      </c>
      <c r="E644" s="25" t="s">
        <v>3366</v>
      </c>
      <c r="F644" s="25" t="s">
        <v>3311</v>
      </c>
      <c r="G644" s="59" t="s">
        <v>3367</v>
      </c>
      <c r="H644" s="60">
        <v>296.27999999999997</v>
      </c>
      <c r="I644" s="60">
        <v>306.72000000000003</v>
      </c>
      <c r="J644" s="60">
        <v>328.99</v>
      </c>
      <c r="K644" s="60">
        <v>0</v>
      </c>
      <c r="L644" s="60">
        <v>0</v>
      </c>
      <c r="M644" s="60">
        <v>0</v>
      </c>
      <c r="N644" s="60">
        <v>0</v>
      </c>
      <c r="O644" s="60">
        <v>0</v>
      </c>
      <c r="P644" s="60">
        <v>0</v>
      </c>
      <c r="Q644" s="60">
        <v>0</v>
      </c>
      <c r="R644" s="60">
        <v>0</v>
      </c>
      <c r="S644" s="60">
        <v>0</v>
      </c>
      <c r="T644" s="60">
        <v>0</v>
      </c>
      <c r="U644" s="60">
        <v>0</v>
      </c>
      <c r="V644" s="60">
        <v>0</v>
      </c>
      <c r="W644" s="60">
        <v>0</v>
      </c>
      <c r="X644" s="60">
        <v>0</v>
      </c>
      <c r="Y644" s="60">
        <v>0</v>
      </c>
      <c r="Z644" s="60">
        <v>0</v>
      </c>
      <c r="AA644" s="60">
        <v>0</v>
      </c>
      <c r="AB644" s="60">
        <v>0</v>
      </c>
      <c r="AC644" s="60">
        <v>0</v>
      </c>
      <c r="AD644" s="60">
        <v>0</v>
      </c>
      <c r="AE644" s="60">
        <v>0</v>
      </c>
      <c r="AF644" s="60">
        <v>0</v>
      </c>
      <c r="AG644" s="60">
        <v>0</v>
      </c>
      <c r="AH644" s="60">
        <v>0</v>
      </c>
      <c r="AI644" s="60">
        <v>296.27999999999997</v>
      </c>
      <c r="AJ644" s="60">
        <v>306.72000000000003</v>
      </c>
      <c r="AK644" s="60">
        <v>328.99</v>
      </c>
      <c r="AL644" s="60">
        <v>0</v>
      </c>
      <c r="AM644" s="60">
        <v>0</v>
      </c>
      <c r="AN644" s="60">
        <v>0</v>
      </c>
      <c r="AO644" s="60">
        <v>296.27999999999997</v>
      </c>
      <c r="AP644" s="60">
        <v>306.72000000000003</v>
      </c>
      <c r="AQ644" s="60">
        <v>328.99</v>
      </c>
      <c r="AR644" s="61">
        <v>328.99</v>
      </c>
    </row>
    <row r="645" spans="1:44" x14ac:dyDescent="0.35">
      <c r="A645" s="49" t="str">
        <f t="shared" si="52"/>
        <v>54</v>
      </c>
      <c r="B645" s="27">
        <v>72108</v>
      </c>
      <c r="C645" s="25" t="str">
        <f t="shared" si="53"/>
        <v>0000000</v>
      </c>
      <c r="D645" s="26" t="s">
        <v>3663</v>
      </c>
      <c r="E645" s="25" t="s">
        <v>3368</v>
      </c>
      <c r="F645" s="25" t="s">
        <v>3311</v>
      </c>
      <c r="G645" s="59" t="s">
        <v>3369</v>
      </c>
      <c r="H645" s="60">
        <v>63.08</v>
      </c>
      <c r="I645" s="60">
        <v>73.41</v>
      </c>
      <c r="J645" s="60">
        <v>70.77</v>
      </c>
      <c r="K645" s="60">
        <v>0</v>
      </c>
      <c r="L645" s="60">
        <v>0</v>
      </c>
      <c r="M645" s="60">
        <v>0</v>
      </c>
      <c r="N645" s="60">
        <v>0</v>
      </c>
      <c r="O645" s="60">
        <v>0</v>
      </c>
      <c r="P645" s="60">
        <v>0</v>
      </c>
      <c r="Q645" s="60">
        <v>0</v>
      </c>
      <c r="R645" s="60">
        <v>0</v>
      </c>
      <c r="S645" s="60">
        <v>0</v>
      </c>
      <c r="T645" s="60">
        <v>0</v>
      </c>
      <c r="U645" s="60">
        <v>0</v>
      </c>
      <c r="V645" s="60">
        <v>0</v>
      </c>
      <c r="W645" s="60">
        <v>0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v>0</v>
      </c>
      <c r="AD645" s="60">
        <v>0</v>
      </c>
      <c r="AE645" s="60">
        <v>0</v>
      </c>
      <c r="AF645" s="60">
        <v>0</v>
      </c>
      <c r="AG645" s="60">
        <v>0</v>
      </c>
      <c r="AH645" s="60">
        <v>0</v>
      </c>
      <c r="AI645" s="60">
        <v>63.08</v>
      </c>
      <c r="AJ645" s="60">
        <v>73.41</v>
      </c>
      <c r="AK645" s="60">
        <v>70.77</v>
      </c>
      <c r="AL645" s="60">
        <v>0</v>
      </c>
      <c r="AM645" s="60">
        <v>0</v>
      </c>
      <c r="AN645" s="60">
        <v>0</v>
      </c>
      <c r="AO645" s="60">
        <v>63.08</v>
      </c>
      <c r="AP645" s="60">
        <v>73.41</v>
      </c>
      <c r="AQ645" s="60">
        <v>70.77</v>
      </c>
      <c r="AR645" s="61">
        <v>73.41</v>
      </c>
    </row>
    <row r="646" spans="1:44" x14ac:dyDescent="0.35">
      <c r="A646" s="49" t="str">
        <f t="shared" si="52"/>
        <v>54</v>
      </c>
      <c r="B646" s="27">
        <v>72116</v>
      </c>
      <c r="C646" s="25" t="str">
        <f t="shared" ref="C646:C656" si="54">TEXT(,"0000000")</f>
        <v>0000000</v>
      </c>
      <c r="D646" s="26" t="s">
        <v>3663</v>
      </c>
      <c r="E646" s="25" t="s">
        <v>3370</v>
      </c>
      <c r="F646" s="25" t="s">
        <v>3311</v>
      </c>
      <c r="G646" s="59" t="s">
        <v>3371</v>
      </c>
      <c r="H646" s="60">
        <v>41</v>
      </c>
      <c r="I646" s="60">
        <v>32</v>
      </c>
      <c r="J646" s="60">
        <v>32.68</v>
      </c>
      <c r="K646" s="60">
        <v>0</v>
      </c>
      <c r="L646" s="60">
        <v>0</v>
      </c>
      <c r="M646" s="60">
        <v>0</v>
      </c>
      <c r="N646" s="60">
        <v>0</v>
      </c>
      <c r="O646" s="60">
        <v>0</v>
      </c>
      <c r="P646" s="60">
        <v>0</v>
      </c>
      <c r="Q646" s="60">
        <v>0</v>
      </c>
      <c r="R646" s="60">
        <v>0</v>
      </c>
      <c r="S646" s="60">
        <v>0</v>
      </c>
      <c r="T646" s="60">
        <v>0</v>
      </c>
      <c r="U646" s="60">
        <v>0</v>
      </c>
      <c r="V646" s="60">
        <v>0</v>
      </c>
      <c r="W646" s="60">
        <v>0</v>
      </c>
      <c r="X646" s="60">
        <v>0</v>
      </c>
      <c r="Y646" s="60">
        <v>0</v>
      </c>
      <c r="Z646" s="60">
        <v>0</v>
      </c>
      <c r="AA646" s="60">
        <v>0</v>
      </c>
      <c r="AB646" s="60">
        <v>0</v>
      </c>
      <c r="AC646" s="60">
        <v>318.27</v>
      </c>
      <c r="AD646" s="60">
        <v>312.10000000000002</v>
      </c>
      <c r="AE646" s="60">
        <v>311.77999999999997</v>
      </c>
      <c r="AF646" s="60">
        <v>0</v>
      </c>
      <c r="AG646" s="60">
        <v>0</v>
      </c>
      <c r="AH646" s="60">
        <v>0</v>
      </c>
      <c r="AI646" s="60">
        <v>359.27</v>
      </c>
      <c r="AJ646" s="60">
        <v>344.1</v>
      </c>
      <c r="AK646" s="60">
        <v>344.46</v>
      </c>
      <c r="AL646" s="60">
        <v>0</v>
      </c>
      <c r="AM646" s="60">
        <v>0</v>
      </c>
      <c r="AN646" s="60">
        <v>0</v>
      </c>
      <c r="AO646" s="60">
        <v>359.27</v>
      </c>
      <c r="AP646" s="60">
        <v>344.1</v>
      </c>
      <c r="AQ646" s="60">
        <v>344.46</v>
      </c>
      <c r="AR646" s="61">
        <v>359.27</v>
      </c>
    </row>
    <row r="647" spans="1:44" x14ac:dyDescent="0.35">
      <c r="A647" s="49" t="str">
        <f t="shared" si="52"/>
        <v>54</v>
      </c>
      <c r="B647" s="27">
        <v>72132</v>
      </c>
      <c r="C647" s="25" t="str">
        <f t="shared" si="54"/>
        <v>0000000</v>
      </c>
      <c r="D647" s="26" t="s">
        <v>3663</v>
      </c>
      <c r="E647" s="25" t="s">
        <v>3372</v>
      </c>
      <c r="F647" s="25" t="s">
        <v>3311</v>
      </c>
      <c r="G647" s="59" t="s">
        <v>3373</v>
      </c>
      <c r="H647" s="60">
        <v>306.57</v>
      </c>
      <c r="I647" s="60">
        <v>290.49</v>
      </c>
      <c r="J647" s="60">
        <v>281.7</v>
      </c>
      <c r="K647" s="60">
        <v>0</v>
      </c>
      <c r="L647" s="60">
        <v>0</v>
      </c>
      <c r="M647" s="60">
        <v>0</v>
      </c>
      <c r="N647" s="60">
        <v>0</v>
      </c>
      <c r="O647" s="60">
        <v>0</v>
      </c>
      <c r="P647" s="60">
        <v>0</v>
      </c>
      <c r="Q647" s="60">
        <v>0</v>
      </c>
      <c r="R647" s="60">
        <v>0</v>
      </c>
      <c r="S647" s="60">
        <v>0</v>
      </c>
      <c r="T647" s="60">
        <v>0</v>
      </c>
      <c r="U647" s="60">
        <v>0</v>
      </c>
      <c r="V647" s="60">
        <v>0</v>
      </c>
      <c r="W647" s="60">
        <v>0</v>
      </c>
      <c r="X647" s="60">
        <v>0</v>
      </c>
      <c r="Y647" s="60">
        <v>0</v>
      </c>
      <c r="Z647" s="60">
        <v>0</v>
      </c>
      <c r="AA647" s="60">
        <v>0</v>
      </c>
      <c r="AB647" s="60">
        <v>0</v>
      </c>
      <c r="AC647" s="60">
        <v>0</v>
      </c>
      <c r="AD647" s="60">
        <v>0</v>
      </c>
      <c r="AE647" s="60">
        <v>0</v>
      </c>
      <c r="AF647" s="60">
        <v>0</v>
      </c>
      <c r="AG647" s="60">
        <v>0</v>
      </c>
      <c r="AH647" s="60">
        <v>0</v>
      </c>
      <c r="AI647" s="60">
        <v>306.57</v>
      </c>
      <c r="AJ647" s="60">
        <v>290.49</v>
      </c>
      <c r="AK647" s="60">
        <v>281.7</v>
      </c>
      <c r="AL647" s="60">
        <v>0</v>
      </c>
      <c r="AM647" s="60">
        <v>0</v>
      </c>
      <c r="AN647" s="60">
        <v>0</v>
      </c>
      <c r="AO647" s="60">
        <v>306.57</v>
      </c>
      <c r="AP647" s="60">
        <v>290.49</v>
      </c>
      <c r="AQ647" s="60">
        <v>281.7</v>
      </c>
      <c r="AR647" s="61">
        <v>306.57</v>
      </c>
    </row>
    <row r="648" spans="1:44" x14ac:dyDescent="0.35">
      <c r="A648" s="49" t="str">
        <f t="shared" si="52"/>
        <v>54</v>
      </c>
      <c r="B648" s="27">
        <v>72140</v>
      </c>
      <c r="C648" s="25" t="str">
        <f t="shared" si="54"/>
        <v>0000000</v>
      </c>
      <c r="D648" s="26" t="s">
        <v>3663</v>
      </c>
      <c r="E648" s="25" t="s">
        <v>3374</v>
      </c>
      <c r="F648" s="25" t="s">
        <v>3311</v>
      </c>
      <c r="G648" s="59" t="s">
        <v>3375</v>
      </c>
      <c r="H648" s="60">
        <v>104.25</v>
      </c>
      <c r="I648" s="60">
        <v>115.36</v>
      </c>
      <c r="J648" s="60">
        <v>127.45</v>
      </c>
      <c r="K648" s="60">
        <v>0</v>
      </c>
      <c r="L648" s="60">
        <v>0</v>
      </c>
      <c r="M648" s="60">
        <v>0</v>
      </c>
      <c r="N648" s="60">
        <v>0</v>
      </c>
      <c r="O648" s="60">
        <v>0</v>
      </c>
      <c r="P648" s="60">
        <v>0</v>
      </c>
      <c r="Q648" s="60">
        <v>0</v>
      </c>
      <c r="R648" s="60">
        <v>0</v>
      </c>
      <c r="S648" s="60">
        <v>0</v>
      </c>
      <c r="T648" s="60">
        <v>0</v>
      </c>
      <c r="U648" s="60">
        <v>0</v>
      </c>
      <c r="V648" s="60">
        <v>0</v>
      </c>
      <c r="W648" s="60">
        <v>0</v>
      </c>
      <c r="X648" s="60">
        <v>0</v>
      </c>
      <c r="Y648" s="60">
        <v>0</v>
      </c>
      <c r="Z648" s="60">
        <v>0</v>
      </c>
      <c r="AA648" s="60">
        <v>0</v>
      </c>
      <c r="AB648" s="60">
        <v>0</v>
      </c>
      <c r="AC648" s="60">
        <v>0</v>
      </c>
      <c r="AD648" s="60">
        <v>0</v>
      </c>
      <c r="AE648" s="60">
        <v>0</v>
      </c>
      <c r="AF648" s="60">
        <v>0</v>
      </c>
      <c r="AG648" s="60">
        <v>0</v>
      </c>
      <c r="AH648" s="60">
        <v>0</v>
      </c>
      <c r="AI648" s="60">
        <v>104.25</v>
      </c>
      <c r="AJ648" s="60">
        <v>115.36</v>
      </c>
      <c r="AK648" s="60">
        <v>127.45</v>
      </c>
      <c r="AL648" s="60">
        <v>0</v>
      </c>
      <c r="AM648" s="60">
        <v>0</v>
      </c>
      <c r="AN648" s="60">
        <v>0</v>
      </c>
      <c r="AO648" s="60">
        <v>104.25</v>
      </c>
      <c r="AP648" s="60">
        <v>115.36</v>
      </c>
      <c r="AQ648" s="60">
        <v>127.45</v>
      </c>
      <c r="AR648" s="61">
        <v>127.45</v>
      </c>
    </row>
    <row r="649" spans="1:44" x14ac:dyDescent="0.35">
      <c r="A649" s="49" t="str">
        <f t="shared" si="52"/>
        <v>54</v>
      </c>
      <c r="B649" s="27">
        <v>72157</v>
      </c>
      <c r="C649" s="25" t="str">
        <f t="shared" si="54"/>
        <v>0000000</v>
      </c>
      <c r="D649" s="26" t="s">
        <v>3663</v>
      </c>
      <c r="E649" s="25" t="s">
        <v>3378</v>
      </c>
      <c r="F649" s="25" t="s">
        <v>3311</v>
      </c>
      <c r="G649" s="59" t="s">
        <v>3379</v>
      </c>
      <c r="H649" s="60">
        <v>647.59</v>
      </c>
      <c r="I649" s="60">
        <v>595.64</v>
      </c>
      <c r="J649" s="60">
        <v>707.97</v>
      </c>
      <c r="K649" s="60">
        <v>0</v>
      </c>
      <c r="L649" s="60">
        <v>0</v>
      </c>
      <c r="M649" s="60">
        <v>0</v>
      </c>
      <c r="N649" s="60">
        <v>0</v>
      </c>
      <c r="O649" s="60">
        <v>0</v>
      </c>
      <c r="P649" s="60">
        <v>0</v>
      </c>
      <c r="Q649" s="60">
        <v>0</v>
      </c>
      <c r="R649" s="60">
        <v>0</v>
      </c>
      <c r="S649" s="60">
        <v>0</v>
      </c>
      <c r="T649" s="60">
        <v>0</v>
      </c>
      <c r="U649" s="60">
        <v>0</v>
      </c>
      <c r="V649" s="60">
        <v>0</v>
      </c>
      <c r="W649" s="60">
        <v>0</v>
      </c>
      <c r="X649" s="60">
        <v>0</v>
      </c>
      <c r="Y649" s="60">
        <v>0</v>
      </c>
      <c r="Z649" s="60">
        <v>0</v>
      </c>
      <c r="AA649" s="60">
        <v>0</v>
      </c>
      <c r="AB649" s="60">
        <v>0</v>
      </c>
      <c r="AC649" s="60">
        <v>0</v>
      </c>
      <c r="AD649" s="60">
        <v>0</v>
      </c>
      <c r="AE649" s="60">
        <v>0</v>
      </c>
      <c r="AF649" s="60">
        <v>0</v>
      </c>
      <c r="AG649" s="60">
        <v>0</v>
      </c>
      <c r="AH649" s="60">
        <v>0</v>
      </c>
      <c r="AI649" s="60">
        <v>647.59</v>
      </c>
      <c r="AJ649" s="60">
        <v>595.64</v>
      </c>
      <c r="AK649" s="60">
        <v>707.97</v>
      </c>
      <c r="AL649" s="60">
        <v>0</v>
      </c>
      <c r="AM649" s="60">
        <v>0</v>
      </c>
      <c r="AN649" s="60">
        <v>0</v>
      </c>
      <c r="AO649" s="60">
        <v>647.59</v>
      </c>
      <c r="AP649" s="60">
        <v>595.64</v>
      </c>
      <c r="AQ649" s="60">
        <v>707.97</v>
      </c>
      <c r="AR649" s="61">
        <v>707.97</v>
      </c>
    </row>
    <row r="650" spans="1:44" x14ac:dyDescent="0.35">
      <c r="A650" s="49" t="str">
        <f t="shared" si="52"/>
        <v>54</v>
      </c>
      <c r="B650" s="27">
        <v>72181</v>
      </c>
      <c r="C650" s="25" t="str">
        <f t="shared" si="54"/>
        <v>0000000</v>
      </c>
      <c r="D650" s="26" t="s">
        <v>3663</v>
      </c>
      <c r="E650" s="25" t="s">
        <v>3382</v>
      </c>
      <c r="F650" s="25" t="s">
        <v>3311</v>
      </c>
      <c r="G650" s="59" t="s">
        <v>3383</v>
      </c>
      <c r="H650" s="60">
        <v>297.75</v>
      </c>
      <c r="I650" s="60">
        <v>303.86</v>
      </c>
      <c r="J650" s="60">
        <v>347.21</v>
      </c>
      <c r="K650" s="60">
        <v>0</v>
      </c>
      <c r="L650" s="60">
        <v>0</v>
      </c>
      <c r="M650" s="60">
        <v>0</v>
      </c>
      <c r="N650" s="60">
        <v>0</v>
      </c>
      <c r="O650" s="60">
        <v>0</v>
      </c>
      <c r="P650" s="60">
        <v>0</v>
      </c>
      <c r="Q650" s="60">
        <v>0</v>
      </c>
      <c r="R650" s="60">
        <v>0</v>
      </c>
      <c r="S650" s="60">
        <v>0</v>
      </c>
      <c r="T650" s="60">
        <v>0</v>
      </c>
      <c r="U650" s="60">
        <v>0</v>
      </c>
      <c r="V650" s="60">
        <v>0</v>
      </c>
      <c r="W650" s="60">
        <v>0</v>
      </c>
      <c r="X650" s="60">
        <v>0</v>
      </c>
      <c r="Y650" s="60">
        <v>0</v>
      </c>
      <c r="Z650" s="60">
        <v>0</v>
      </c>
      <c r="AA650" s="60">
        <v>0</v>
      </c>
      <c r="AB650" s="60">
        <v>0</v>
      </c>
      <c r="AC650" s="60">
        <v>0</v>
      </c>
      <c r="AD650" s="60">
        <v>0</v>
      </c>
      <c r="AE650" s="60">
        <v>0</v>
      </c>
      <c r="AF650" s="60">
        <v>0</v>
      </c>
      <c r="AG650" s="60">
        <v>0</v>
      </c>
      <c r="AH650" s="60">
        <v>0</v>
      </c>
      <c r="AI650" s="60">
        <v>297.75</v>
      </c>
      <c r="AJ650" s="60">
        <v>303.86</v>
      </c>
      <c r="AK650" s="60">
        <v>347.21</v>
      </c>
      <c r="AL650" s="60">
        <v>0</v>
      </c>
      <c r="AM650" s="60">
        <v>0</v>
      </c>
      <c r="AN650" s="60">
        <v>0</v>
      </c>
      <c r="AO650" s="60">
        <v>297.75</v>
      </c>
      <c r="AP650" s="60">
        <v>303.86</v>
      </c>
      <c r="AQ650" s="60">
        <v>347.21</v>
      </c>
      <c r="AR650" s="61">
        <v>347.21</v>
      </c>
    </row>
    <row r="651" spans="1:44" x14ac:dyDescent="0.35">
      <c r="A651" s="49" t="str">
        <f t="shared" si="52"/>
        <v>54</v>
      </c>
      <c r="B651" s="27">
        <v>72207</v>
      </c>
      <c r="C651" s="25" t="str">
        <f t="shared" si="54"/>
        <v>0000000</v>
      </c>
      <c r="D651" s="26" t="s">
        <v>3663</v>
      </c>
      <c r="E651" s="25" t="s">
        <v>3386</v>
      </c>
      <c r="F651" s="25" t="s">
        <v>3311</v>
      </c>
      <c r="G651" s="59" t="s">
        <v>3387</v>
      </c>
      <c r="H651" s="60">
        <v>87.89</v>
      </c>
      <c r="I651" s="60">
        <v>94.42</v>
      </c>
      <c r="J651" s="60">
        <v>128.51</v>
      </c>
      <c r="K651" s="60">
        <v>0</v>
      </c>
      <c r="L651" s="60">
        <v>0</v>
      </c>
      <c r="M651" s="60">
        <v>0</v>
      </c>
      <c r="N651" s="60">
        <v>0</v>
      </c>
      <c r="O651" s="60">
        <v>0</v>
      </c>
      <c r="P651" s="60">
        <v>0</v>
      </c>
      <c r="Q651" s="60">
        <v>0</v>
      </c>
      <c r="R651" s="60">
        <v>0</v>
      </c>
      <c r="S651" s="60">
        <v>0</v>
      </c>
      <c r="T651" s="60">
        <v>0</v>
      </c>
      <c r="U651" s="60">
        <v>0</v>
      </c>
      <c r="V651" s="60">
        <v>0</v>
      </c>
      <c r="W651" s="60">
        <v>0</v>
      </c>
      <c r="X651" s="60">
        <v>0</v>
      </c>
      <c r="Y651" s="60">
        <v>0</v>
      </c>
      <c r="Z651" s="60">
        <v>0</v>
      </c>
      <c r="AA651" s="60">
        <v>0</v>
      </c>
      <c r="AB651" s="60">
        <v>0</v>
      </c>
      <c r="AC651" s="60">
        <v>0</v>
      </c>
      <c r="AD651" s="60">
        <v>0</v>
      </c>
      <c r="AE651" s="60">
        <v>0</v>
      </c>
      <c r="AF651" s="60">
        <v>0</v>
      </c>
      <c r="AG651" s="60">
        <v>0</v>
      </c>
      <c r="AH651" s="60">
        <v>0</v>
      </c>
      <c r="AI651" s="60">
        <v>87.89</v>
      </c>
      <c r="AJ651" s="60">
        <v>94.42</v>
      </c>
      <c r="AK651" s="60">
        <v>128.51</v>
      </c>
      <c r="AL651" s="60">
        <v>0</v>
      </c>
      <c r="AM651" s="60">
        <v>0</v>
      </c>
      <c r="AN651" s="60">
        <v>0</v>
      </c>
      <c r="AO651" s="60">
        <v>87.89</v>
      </c>
      <c r="AP651" s="60">
        <v>94.42</v>
      </c>
      <c r="AQ651" s="60">
        <v>128.51</v>
      </c>
      <c r="AR651" s="61">
        <v>128.51</v>
      </c>
    </row>
    <row r="652" spans="1:44" x14ac:dyDescent="0.35">
      <c r="A652" s="49" t="str">
        <f t="shared" si="52"/>
        <v>54</v>
      </c>
      <c r="B652" s="27">
        <v>72215</v>
      </c>
      <c r="C652" s="25" t="str">
        <f t="shared" si="54"/>
        <v>0000000</v>
      </c>
      <c r="D652" s="26" t="s">
        <v>3663</v>
      </c>
      <c r="E652" s="25" t="s">
        <v>3388</v>
      </c>
      <c r="F652" s="25" t="s">
        <v>3311</v>
      </c>
      <c r="G652" s="59" t="s">
        <v>3389</v>
      </c>
      <c r="H652" s="60">
        <v>485.38</v>
      </c>
      <c r="I652" s="60">
        <v>492.62</v>
      </c>
      <c r="J652" s="60">
        <v>521.39</v>
      </c>
      <c r="K652" s="60">
        <v>0</v>
      </c>
      <c r="L652" s="60">
        <v>0</v>
      </c>
      <c r="M652" s="60">
        <v>0</v>
      </c>
      <c r="N652" s="60">
        <v>0</v>
      </c>
      <c r="O652" s="60">
        <v>0</v>
      </c>
      <c r="P652" s="60">
        <v>0</v>
      </c>
      <c r="Q652" s="60">
        <v>0</v>
      </c>
      <c r="R652" s="60">
        <v>0</v>
      </c>
      <c r="S652" s="60">
        <v>0</v>
      </c>
      <c r="T652" s="60">
        <v>0</v>
      </c>
      <c r="U652" s="60">
        <v>0</v>
      </c>
      <c r="V652" s="60">
        <v>0</v>
      </c>
      <c r="W652" s="60">
        <v>0</v>
      </c>
      <c r="X652" s="60">
        <v>0</v>
      </c>
      <c r="Y652" s="60">
        <v>0</v>
      </c>
      <c r="Z652" s="60">
        <v>0</v>
      </c>
      <c r="AA652" s="60">
        <v>0</v>
      </c>
      <c r="AB652" s="60">
        <v>0</v>
      </c>
      <c r="AC652" s="60">
        <v>0</v>
      </c>
      <c r="AD652" s="60">
        <v>0</v>
      </c>
      <c r="AE652" s="60">
        <v>0</v>
      </c>
      <c r="AF652" s="60">
        <v>0</v>
      </c>
      <c r="AG652" s="60">
        <v>0</v>
      </c>
      <c r="AH652" s="60">
        <v>0</v>
      </c>
      <c r="AI652" s="60">
        <v>485.38</v>
      </c>
      <c r="AJ652" s="60">
        <v>492.62</v>
      </c>
      <c r="AK652" s="60">
        <v>521.39</v>
      </c>
      <c r="AL652" s="60">
        <v>0</v>
      </c>
      <c r="AM652" s="60">
        <v>0</v>
      </c>
      <c r="AN652" s="60">
        <v>0</v>
      </c>
      <c r="AO652" s="60">
        <v>485.38</v>
      </c>
      <c r="AP652" s="60">
        <v>492.62</v>
      </c>
      <c r="AQ652" s="60">
        <v>521.39</v>
      </c>
      <c r="AR652" s="61">
        <v>521.39</v>
      </c>
    </row>
    <row r="653" spans="1:44" x14ac:dyDescent="0.35">
      <c r="A653" s="49" t="str">
        <f t="shared" si="52"/>
        <v>54</v>
      </c>
      <c r="B653" s="27">
        <v>72223</v>
      </c>
      <c r="C653" s="25" t="str">
        <f t="shared" si="54"/>
        <v>0000000</v>
      </c>
      <c r="D653" s="26" t="s">
        <v>3663</v>
      </c>
      <c r="E653" s="25" t="s">
        <v>3390</v>
      </c>
      <c r="F653" s="25" t="s">
        <v>3311</v>
      </c>
      <c r="G653" s="59" t="s">
        <v>3391</v>
      </c>
      <c r="H653" s="60">
        <v>208.22</v>
      </c>
      <c r="I653" s="60">
        <v>194.54</v>
      </c>
      <c r="J653" s="60">
        <v>224.92</v>
      </c>
      <c r="K653" s="60">
        <v>0</v>
      </c>
      <c r="L653" s="60">
        <v>0</v>
      </c>
      <c r="M653" s="60">
        <v>0</v>
      </c>
      <c r="N653" s="60">
        <v>0</v>
      </c>
      <c r="O653" s="60">
        <v>0</v>
      </c>
      <c r="P653" s="60">
        <v>0</v>
      </c>
      <c r="Q653" s="60">
        <v>0</v>
      </c>
      <c r="R653" s="60">
        <v>0</v>
      </c>
      <c r="S653" s="60">
        <v>0</v>
      </c>
      <c r="T653" s="60">
        <v>0</v>
      </c>
      <c r="U653" s="60">
        <v>0</v>
      </c>
      <c r="V653" s="60">
        <v>0</v>
      </c>
      <c r="W653" s="60">
        <v>0</v>
      </c>
      <c r="X653" s="60">
        <v>0</v>
      </c>
      <c r="Y653" s="60">
        <v>0</v>
      </c>
      <c r="Z653" s="60">
        <v>0</v>
      </c>
      <c r="AA653" s="60">
        <v>0</v>
      </c>
      <c r="AB653" s="60">
        <v>0</v>
      </c>
      <c r="AC653" s="60">
        <v>0</v>
      </c>
      <c r="AD653" s="60">
        <v>0</v>
      </c>
      <c r="AE653" s="60">
        <v>0</v>
      </c>
      <c r="AF653" s="60">
        <v>0</v>
      </c>
      <c r="AG653" s="60">
        <v>0</v>
      </c>
      <c r="AH653" s="60">
        <v>0</v>
      </c>
      <c r="AI653" s="60">
        <v>208.22</v>
      </c>
      <c r="AJ653" s="60">
        <v>194.54</v>
      </c>
      <c r="AK653" s="60">
        <v>224.92</v>
      </c>
      <c r="AL653" s="60">
        <v>0</v>
      </c>
      <c r="AM653" s="60">
        <v>0</v>
      </c>
      <c r="AN653" s="60">
        <v>0</v>
      </c>
      <c r="AO653" s="60">
        <v>208.22</v>
      </c>
      <c r="AP653" s="60">
        <v>194.54</v>
      </c>
      <c r="AQ653" s="60">
        <v>224.92</v>
      </c>
      <c r="AR653" s="61">
        <v>224.92</v>
      </c>
    </row>
    <row r="654" spans="1:44" x14ac:dyDescent="0.35">
      <c r="A654" s="49" t="str">
        <f t="shared" si="52"/>
        <v>54</v>
      </c>
      <c r="B654" s="27">
        <v>72264</v>
      </c>
      <c r="C654" s="25" t="str">
        <f t="shared" si="54"/>
        <v>0000000</v>
      </c>
      <c r="D654" s="26" t="s">
        <v>3663</v>
      </c>
      <c r="E654" s="25" t="s">
        <v>3398</v>
      </c>
      <c r="F654" s="25" t="s">
        <v>3311</v>
      </c>
      <c r="G654" s="59" t="s">
        <v>3399</v>
      </c>
      <c r="H654" s="60">
        <v>205.78</v>
      </c>
      <c r="I654" s="60">
        <v>199.12</v>
      </c>
      <c r="J654" s="60">
        <v>206.8</v>
      </c>
      <c r="K654" s="60">
        <v>0</v>
      </c>
      <c r="L654" s="60">
        <v>0</v>
      </c>
      <c r="M654" s="60">
        <v>0</v>
      </c>
      <c r="N654" s="60">
        <v>0</v>
      </c>
      <c r="O654" s="60">
        <v>0</v>
      </c>
      <c r="P654" s="60">
        <v>0</v>
      </c>
      <c r="Q654" s="60">
        <v>0</v>
      </c>
      <c r="R654" s="60">
        <v>0</v>
      </c>
      <c r="S654" s="60">
        <v>0</v>
      </c>
      <c r="T654" s="60">
        <v>0</v>
      </c>
      <c r="U654" s="60">
        <v>0</v>
      </c>
      <c r="V654" s="60">
        <v>0</v>
      </c>
      <c r="W654" s="60">
        <v>0</v>
      </c>
      <c r="X654" s="60">
        <v>0</v>
      </c>
      <c r="Y654" s="60">
        <v>0</v>
      </c>
      <c r="Z654" s="60">
        <v>0</v>
      </c>
      <c r="AA654" s="60">
        <v>0</v>
      </c>
      <c r="AB654" s="60">
        <v>0</v>
      </c>
      <c r="AC654" s="60">
        <v>0</v>
      </c>
      <c r="AD654" s="60">
        <v>0</v>
      </c>
      <c r="AE654" s="60">
        <v>0</v>
      </c>
      <c r="AF654" s="60">
        <v>0</v>
      </c>
      <c r="AG654" s="60">
        <v>0</v>
      </c>
      <c r="AH654" s="60">
        <v>0</v>
      </c>
      <c r="AI654" s="60">
        <v>205.78</v>
      </c>
      <c r="AJ654" s="60">
        <v>199.12</v>
      </c>
      <c r="AK654" s="60">
        <v>206.8</v>
      </c>
      <c r="AL654" s="60">
        <v>0</v>
      </c>
      <c r="AM654" s="60">
        <v>0</v>
      </c>
      <c r="AN654" s="60">
        <v>0</v>
      </c>
      <c r="AO654" s="60">
        <v>205.78</v>
      </c>
      <c r="AP654" s="60">
        <v>199.12</v>
      </c>
      <c r="AQ654" s="60">
        <v>206.8</v>
      </c>
      <c r="AR654" s="61">
        <v>206.8</v>
      </c>
    </row>
    <row r="655" spans="1:44" x14ac:dyDescent="0.35">
      <c r="A655" s="49" t="str">
        <f t="shared" si="52"/>
        <v>54</v>
      </c>
      <c r="B655" s="27">
        <v>76794</v>
      </c>
      <c r="C655" s="25" t="str">
        <f t="shared" si="54"/>
        <v>0000000</v>
      </c>
      <c r="D655" s="26" t="s">
        <v>3663</v>
      </c>
      <c r="E655" s="25" t="s">
        <v>3408</v>
      </c>
      <c r="F655" s="25" t="s">
        <v>3311</v>
      </c>
      <c r="G655" s="59" t="s">
        <v>3409</v>
      </c>
      <c r="H655" s="60">
        <v>1959.34</v>
      </c>
      <c r="I655" s="60">
        <v>1920.6</v>
      </c>
      <c r="J655" s="60">
        <v>2023.86</v>
      </c>
      <c r="K655" s="60">
        <v>0</v>
      </c>
      <c r="L655" s="60">
        <v>0</v>
      </c>
      <c r="M655" s="60">
        <v>0</v>
      </c>
      <c r="N655" s="60">
        <v>0</v>
      </c>
      <c r="O655" s="60">
        <v>0</v>
      </c>
      <c r="P655" s="60">
        <v>0</v>
      </c>
      <c r="Q655" s="60">
        <v>0</v>
      </c>
      <c r="R655" s="60">
        <v>0</v>
      </c>
      <c r="S655" s="60">
        <v>0</v>
      </c>
      <c r="T655" s="60">
        <v>0</v>
      </c>
      <c r="U655" s="60">
        <v>0</v>
      </c>
      <c r="V655" s="60">
        <v>0</v>
      </c>
      <c r="W655" s="60">
        <v>0</v>
      </c>
      <c r="X655" s="60">
        <v>0</v>
      </c>
      <c r="Y655" s="60">
        <v>0</v>
      </c>
      <c r="Z655" s="60">
        <v>0</v>
      </c>
      <c r="AA655" s="60">
        <v>0</v>
      </c>
      <c r="AB655" s="60">
        <v>0</v>
      </c>
      <c r="AC655" s="60">
        <v>0</v>
      </c>
      <c r="AD655" s="60">
        <v>0</v>
      </c>
      <c r="AE655" s="60">
        <v>0</v>
      </c>
      <c r="AF655" s="60">
        <v>0</v>
      </c>
      <c r="AG655" s="60">
        <v>0</v>
      </c>
      <c r="AH655" s="60">
        <v>0</v>
      </c>
      <c r="AI655" s="60">
        <v>1959.34</v>
      </c>
      <c r="AJ655" s="60">
        <v>1920.6</v>
      </c>
      <c r="AK655" s="60">
        <v>2023.86</v>
      </c>
      <c r="AL655" s="60">
        <v>0</v>
      </c>
      <c r="AM655" s="60">
        <v>0</v>
      </c>
      <c r="AN655" s="60">
        <v>0</v>
      </c>
      <c r="AO655" s="60">
        <v>1959.34</v>
      </c>
      <c r="AP655" s="60">
        <v>1920.6</v>
      </c>
      <c r="AQ655" s="60">
        <v>2023.86</v>
      </c>
      <c r="AR655" s="61">
        <v>2023.86</v>
      </c>
    </row>
    <row r="656" spans="1:44" x14ac:dyDescent="0.35">
      <c r="A656" s="49" t="str">
        <f t="shared" si="52"/>
        <v>54</v>
      </c>
      <c r="B656" s="27">
        <v>76836</v>
      </c>
      <c r="C656" s="25" t="str">
        <f t="shared" si="54"/>
        <v>0000000</v>
      </c>
      <c r="D656" s="26" t="s">
        <v>3663</v>
      </c>
      <c r="E656" s="25" t="s">
        <v>3410</v>
      </c>
      <c r="F656" s="25" t="s">
        <v>3311</v>
      </c>
      <c r="G656" s="59" t="s">
        <v>3411</v>
      </c>
      <c r="H656" s="60">
        <v>2473.4699999999998</v>
      </c>
      <c r="I656" s="60">
        <v>2406.34</v>
      </c>
      <c r="J656" s="60">
        <v>2613.1999999999998</v>
      </c>
      <c r="K656" s="60">
        <v>0</v>
      </c>
      <c r="L656" s="60">
        <v>0</v>
      </c>
      <c r="M656" s="60">
        <v>0</v>
      </c>
      <c r="N656" s="60">
        <v>0</v>
      </c>
      <c r="O656" s="60">
        <v>0</v>
      </c>
      <c r="P656" s="60">
        <v>0</v>
      </c>
      <c r="Q656" s="60">
        <v>0</v>
      </c>
      <c r="R656" s="60">
        <v>0</v>
      </c>
      <c r="S656" s="60">
        <v>0</v>
      </c>
      <c r="T656" s="60">
        <v>0</v>
      </c>
      <c r="U656" s="60">
        <v>0</v>
      </c>
      <c r="V656" s="60">
        <v>0</v>
      </c>
      <c r="W656" s="60">
        <v>0</v>
      </c>
      <c r="X656" s="60">
        <v>0</v>
      </c>
      <c r="Y656" s="60">
        <v>0</v>
      </c>
      <c r="Z656" s="60">
        <v>0</v>
      </c>
      <c r="AA656" s="60">
        <v>0</v>
      </c>
      <c r="AB656" s="60">
        <v>0</v>
      </c>
      <c r="AC656" s="60">
        <v>0</v>
      </c>
      <c r="AD656" s="60">
        <v>0</v>
      </c>
      <c r="AE656" s="60">
        <v>0</v>
      </c>
      <c r="AF656" s="60">
        <v>0</v>
      </c>
      <c r="AG656" s="60">
        <v>0</v>
      </c>
      <c r="AH656" s="60">
        <v>0</v>
      </c>
      <c r="AI656" s="60">
        <v>2473.4699999999998</v>
      </c>
      <c r="AJ656" s="60">
        <v>2406.34</v>
      </c>
      <c r="AK656" s="60">
        <v>2613.1999999999998</v>
      </c>
      <c r="AL656" s="60">
        <v>0</v>
      </c>
      <c r="AM656" s="60">
        <v>0</v>
      </c>
      <c r="AN656" s="60">
        <v>0</v>
      </c>
      <c r="AO656" s="60">
        <v>2473.4699999999998</v>
      </c>
      <c r="AP656" s="60">
        <v>2406.34</v>
      </c>
      <c r="AQ656" s="60">
        <v>2613.1999999999998</v>
      </c>
      <c r="AR656" s="61">
        <v>2613.1999999999998</v>
      </c>
    </row>
    <row r="657" spans="1:44" x14ac:dyDescent="0.35">
      <c r="A657" s="49" t="str">
        <f t="shared" si="52"/>
        <v>54</v>
      </c>
      <c r="B657" s="27">
        <v>10546</v>
      </c>
      <c r="C657" s="25" t="str">
        <f>TEXT(135459,"0000000")</f>
        <v>0135459</v>
      </c>
      <c r="D657" s="27">
        <v>1860</v>
      </c>
      <c r="E657" s="25" t="s">
        <v>3316</v>
      </c>
      <c r="F657" s="25" t="s">
        <v>3311</v>
      </c>
      <c r="G657" s="59" t="s">
        <v>3317</v>
      </c>
      <c r="H657" s="60">
        <v>0</v>
      </c>
      <c r="I657" s="60">
        <v>0</v>
      </c>
      <c r="J657" s="60">
        <v>0</v>
      </c>
      <c r="K657" s="60">
        <v>0</v>
      </c>
      <c r="L657" s="60">
        <v>0</v>
      </c>
      <c r="M657" s="60">
        <v>0</v>
      </c>
      <c r="N657" s="60">
        <v>0</v>
      </c>
      <c r="O657" s="60">
        <v>0</v>
      </c>
      <c r="P657" s="60">
        <v>0</v>
      </c>
      <c r="Q657" s="60">
        <v>0</v>
      </c>
      <c r="R657" s="60">
        <v>0</v>
      </c>
      <c r="S657" s="60">
        <v>0</v>
      </c>
      <c r="T657" s="60">
        <v>0</v>
      </c>
      <c r="U657" s="60">
        <v>0</v>
      </c>
      <c r="V657" s="60">
        <v>0</v>
      </c>
      <c r="W657" s="60">
        <v>0</v>
      </c>
      <c r="X657" s="60">
        <v>0</v>
      </c>
      <c r="Y657" s="60">
        <v>0</v>
      </c>
      <c r="Z657" s="60">
        <v>0</v>
      </c>
      <c r="AA657" s="60">
        <v>0</v>
      </c>
      <c r="AB657" s="60">
        <v>0</v>
      </c>
      <c r="AC657" s="60">
        <v>319.92</v>
      </c>
      <c r="AD657" s="60">
        <v>278.33999999999997</v>
      </c>
      <c r="AE657" s="60">
        <v>264.60000000000002</v>
      </c>
      <c r="AF657" s="60">
        <v>0</v>
      </c>
      <c r="AG657" s="60">
        <v>0</v>
      </c>
      <c r="AH657" s="60">
        <v>0</v>
      </c>
      <c r="AI657" s="60">
        <v>319.92</v>
      </c>
      <c r="AJ657" s="60">
        <v>278.33999999999997</v>
      </c>
      <c r="AK657" s="60">
        <v>264.60000000000002</v>
      </c>
      <c r="AL657" s="60">
        <v>0</v>
      </c>
      <c r="AM657" s="60">
        <v>0</v>
      </c>
      <c r="AN657" s="60">
        <v>0</v>
      </c>
      <c r="AO657" s="60">
        <v>319.92</v>
      </c>
      <c r="AP657" s="60">
        <v>278.33999999999997</v>
      </c>
      <c r="AQ657" s="60">
        <v>264.60000000000002</v>
      </c>
      <c r="AR657" s="61">
        <v>319.92</v>
      </c>
    </row>
    <row r="658" spans="1:44" x14ac:dyDescent="0.35">
      <c r="A658" s="49" t="str">
        <f t="shared" si="52"/>
        <v>54</v>
      </c>
      <c r="B658" s="27">
        <v>10546</v>
      </c>
      <c r="C658" s="25" t="str">
        <f>TEXT(125542,"0000000")</f>
        <v>0125542</v>
      </c>
      <c r="D658" s="27">
        <v>1382</v>
      </c>
      <c r="E658" s="25" t="s">
        <v>3314</v>
      </c>
      <c r="F658" s="25" t="s">
        <v>3311</v>
      </c>
      <c r="G658" s="59" t="s">
        <v>3315</v>
      </c>
      <c r="H658" s="60">
        <v>0</v>
      </c>
      <c r="I658" s="60">
        <v>0</v>
      </c>
      <c r="J658" s="60">
        <v>0</v>
      </c>
      <c r="K658" s="60">
        <v>0</v>
      </c>
      <c r="L658" s="60">
        <v>0</v>
      </c>
      <c r="M658" s="60">
        <v>0</v>
      </c>
      <c r="N658" s="60">
        <v>0</v>
      </c>
      <c r="O658" s="60">
        <v>0</v>
      </c>
      <c r="P658" s="60">
        <v>0</v>
      </c>
      <c r="Q658" s="60">
        <v>0</v>
      </c>
      <c r="R658" s="60">
        <v>0</v>
      </c>
      <c r="S658" s="60">
        <v>0</v>
      </c>
      <c r="T658" s="60">
        <v>0</v>
      </c>
      <c r="U658" s="60">
        <v>0</v>
      </c>
      <c r="V658" s="60">
        <v>0</v>
      </c>
      <c r="W658" s="60">
        <v>0</v>
      </c>
      <c r="X658" s="60">
        <v>0</v>
      </c>
      <c r="Y658" s="60">
        <v>0</v>
      </c>
      <c r="Z658" s="60">
        <v>0</v>
      </c>
      <c r="AA658" s="60">
        <v>0</v>
      </c>
      <c r="AB658" s="60">
        <v>0</v>
      </c>
      <c r="AC658" s="60">
        <v>354.9</v>
      </c>
      <c r="AD658" s="60">
        <v>356.41</v>
      </c>
      <c r="AE658" s="60">
        <v>367.7</v>
      </c>
      <c r="AF658" s="60">
        <v>0</v>
      </c>
      <c r="AG658" s="60">
        <v>0</v>
      </c>
      <c r="AH658" s="60">
        <v>0</v>
      </c>
      <c r="AI658" s="60">
        <v>354.9</v>
      </c>
      <c r="AJ658" s="60">
        <v>356.41</v>
      </c>
      <c r="AK658" s="60">
        <v>367.7</v>
      </c>
      <c r="AL658" s="60">
        <v>0</v>
      </c>
      <c r="AM658" s="60">
        <v>0</v>
      </c>
      <c r="AN658" s="60">
        <v>0</v>
      </c>
      <c r="AO658" s="60">
        <v>354.9</v>
      </c>
      <c r="AP658" s="60">
        <v>356.41</v>
      </c>
      <c r="AQ658" s="60">
        <v>367.7</v>
      </c>
      <c r="AR658" s="61">
        <v>367.7</v>
      </c>
    </row>
    <row r="659" spans="1:44" x14ac:dyDescent="0.35">
      <c r="A659" s="49" t="str">
        <f t="shared" si="52"/>
        <v>54</v>
      </c>
      <c r="B659" s="27">
        <v>10546</v>
      </c>
      <c r="C659" s="25" t="str">
        <f>TEXT(124057,"0000000")</f>
        <v>0124057</v>
      </c>
      <c r="D659" s="27">
        <v>1293</v>
      </c>
      <c r="E659" s="25" t="s">
        <v>3312</v>
      </c>
      <c r="F659" s="25" t="s">
        <v>3311</v>
      </c>
      <c r="G659" s="59" t="s">
        <v>3313</v>
      </c>
      <c r="H659" s="60">
        <v>0</v>
      </c>
      <c r="I659" s="60">
        <v>0</v>
      </c>
      <c r="J659" s="60">
        <v>0</v>
      </c>
      <c r="K659" s="60">
        <v>0</v>
      </c>
      <c r="L659" s="60">
        <v>0</v>
      </c>
      <c r="M659" s="60">
        <v>0</v>
      </c>
      <c r="N659" s="60">
        <v>0</v>
      </c>
      <c r="O659" s="60">
        <v>0</v>
      </c>
      <c r="P659" s="60">
        <v>0</v>
      </c>
      <c r="Q659" s="60">
        <v>0</v>
      </c>
      <c r="R659" s="60">
        <v>0</v>
      </c>
      <c r="S659" s="60">
        <v>0</v>
      </c>
      <c r="T659" s="60">
        <v>0</v>
      </c>
      <c r="U659" s="60">
        <v>0</v>
      </c>
      <c r="V659" s="60">
        <v>0</v>
      </c>
      <c r="W659" s="60">
        <v>0</v>
      </c>
      <c r="X659" s="60">
        <v>0</v>
      </c>
      <c r="Y659" s="60">
        <v>0</v>
      </c>
      <c r="Z659" s="60">
        <v>0</v>
      </c>
      <c r="AA659" s="60">
        <v>0</v>
      </c>
      <c r="AB659" s="60">
        <v>0</v>
      </c>
      <c r="AC659" s="60">
        <v>626.91999999999996</v>
      </c>
      <c r="AD659" s="60">
        <v>611.26</v>
      </c>
      <c r="AE659" s="60">
        <v>674.1</v>
      </c>
      <c r="AF659" s="60">
        <v>0</v>
      </c>
      <c r="AG659" s="60">
        <v>0</v>
      </c>
      <c r="AH659" s="60">
        <v>0</v>
      </c>
      <c r="AI659" s="60">
        <v>626.91999999999996</v>
      </c>
      <c r="AJ659" s="60">
        <v>611.26</v>
      </c>
      <c r="AK659" s="60">
        <v>674.1</v>
      </c>
      <c r="AL659" s="60">
        <v>0</v>
      </c>
      <c r="AM659" s="60">
        <v>0</v>
      </c>
      <c r="AN659" s="60">
        <v>0</v>
      </c>
      <c r="AO659" s="60">
        <v>626.91999999999996</v>
      </c>
      <c r="AP659" s="60">
        <v>611.26</v>
      </c>
      <c r="AQ659" s="60">
        <v>674.1</v>
      </c>
      <c r="AR659" s="61">
        <v>674.1</v>
      </c>
    </row>
    <row r="660" spans="1:44" x14ac:dyDescent="0.35">
      <c r="A660" s="49" t="str">
        <f>TEXT(33,"00")</f>
        <v>33</v>
      </c>
      <c r="B660" s="27">
        <v>67215</v>
      </c>
      <c r="C660" s="25" t="str">
        <f t="shared" ref="C660:C669" si="55">TEXT(,"0000000")</f>
        <v>0000000</v>
      </c>
      <c r="D660" s="26" t="s">
        <v>3663</v>
      </c>
      <c r="E660" s="25" t="s">
        <v>1759</v>
      </c>
      <c r="F660" s="25" t="s">
        <v>1760</v>
      </c>
      <c r="G660" s="59" t="s">
        <v>1760</v>
      </c>
      <c r="H660" s="60">
        <v>36391.79</v>
      </c>
      <c r="I660" s="60">
        <v>36439.839999999997</v>
      </c>
      <c r="J660" s="60">
        <v>39067.25</v>
      </c>
      <c r="K660" s="60">
        <v>0</v>
      </c>
      <c r="L660" s="60">
        <v>0</v>
      </c>
      <c r="M660" s="60">
        <v>0</v>
      </c>
      <c r="N660" s="60">
        <v>0</v>
      </c>
      <c r="O660" s="60">
        <v>0</v>
      </c>
      <c r="P660" s="60">
        <v>0</v>
      </c>
      <c r="Q660" s="60">
        <v>0</v>
      </c>
      <c r="R660" s="60">
        <v>0</v>
      </c>
      <c r="S660" s="60">
        <v>0</v>
      </c>
      <c r="T660" s="60">
        <v>0</v>
      </c>
      <c r="U660" s="60">
        <v>0</v>
      </c>
      <c r="V660" s="60">
        <v>0</v>
      </c>
      <c r="W660" s="60">
        <v>0</v>
      </c>
      <c r="X660" s="60">
        <v>0</v>
      </c>
      <c r="Y660" s="60">
        <v>0</v>
      </c>
      <c r="Z660" s="60">
        <v>0</v>
      </c>
      <c r="AA660" s="60">
        <v>0</v>
      </c>
      <c r="AB660" s="60">
        <v>0</v>
      </c>
      <c r="AC660" s="60">
        <v>0</v>
      </c>
      <c r="AD660" s="60">
        <v>0</v>
      </c>
      <c r="AE660" s="60">
        <v>0</v>
      </c>
      <c r="AF660" s="60">
        <v>0</v>
      </c>
      <c r="AG660" s="60">
        <v>0</v>
      </c>
      <c r="AH660" s="60">
        <v>0</v>
      </c>
      <c r="AI660" s="60">
        <v>36391.79</v>
      </c>
      <c r="AJ660" s="60">
        <v>36439.839999999997</v>
      </c>
      <c r="AK660" s="60">
        <v>39067.25</v>
      </c>
      <c r="AL660" s="60">
        <v>0</v>
      </c>
      <c r="AM660" s="60">
        <v>0</v>
      </c>
      <c r="AN660" s="60">
        <v>0</v>
      </c>
      <c r="AO660" s="60">
        <v>36391.79</v>
      </c>
      <c r="AP660" s="60">
        <v>36439.839999999997</v>
      </c>
      <c r="AQ660" s="60">
        <v>39067.25</v>
      </c>
      <c r="AR660" s="61">
        <v>39067.25</v>
      </c>
    </row>
    <row r="661" spans="1:44" x14ac:dyDescent="0.35">
      <c r="A661" s="49" t="str">
        <f t="shared" ref="A661:A670" si="56">TEXT(11,"00")</f>
        <v>11</v>
      </c>
      <c r="B661" s="27">
        <v>10116</v>
      </c>
      <c r="C661" s="25" t="str">
        <f t="shared" si="55"/>
        <v>0000000</v>
      </c>
      <c r="D661" s="26" t="s">
        <v>3663</v>
      </c>
      <c r="E661" s="25" t="s">
        <v>496</v>
      </c>
      <c r="F661" s="25" t="s">
        <v>497</v>
      </c>
      <c r="G661" s="59" t="s">
        <v>497</v>
      </c>
      <c r="H661" s="60">
        <v>0</v>
      </c>
      <c r="I661" s="60">
        <v>0</v>
      </c>
      <c r="J661" s="60">
        <v>0</v>
      </c>
      <c r="K661" s="60">
        <v>0</v>
      </c>
      <c r="L661" s="60">
        <v>0</v>
      </c>
      <c r="M661" s="60">
        <v>0</v>
      </c>
      <c r="N661" s="60">
        <v>0</v>
      </c>
      <c r="O661" s="60">
        <v>0</v>
      </c>
      <c r="P661" s="60">
        <v>0</v>
      </c>
      <c r="Q661" s="60">
        <v>0</v>
      </c>
      <c r="R661" s="60">
        <v>0</v>
      </c>
      <c r="S661" s="60">
        <v>0</v>
      </c>
      <c r="T661" s="60">
        <v>0.88</v>
      </c>
      <c r="U661" s="60">
        <v>4.57</v>
      </c>
      <c r="V661" s="60">
        <v>8.43</v>
      </c>
      <c r="W661" s="60">
        <v>214.7</v>
      </c>
      <c r="X661" s="60">
        <v>219.49</v>
      </c>
      <c r="Y661" s="60">
        <v>190.38</v>
      </c>
      <c r="Z661" s="60">
        <v>68</v>
      </c>
      <c r="AA661" s="60">
        <v>55.19</v>
      </c>
      <c r="AB661" s="60">
        <v>54.68</v>
      </c>
      <c r="AC661" s="60">
        <v>0</v>
      </c>
      <c r="AD661" s="60">
        <v>0</v>
      </c>
      <c r="AE661" s="60">
        <v>0</v>
      </c>
      <c r="AF661" s="60">
        <v>0</v>
      </c>
      <c r="AG661" s="60">
        <v>0</v>
      </c>
      <c r="AH661" s="60">
        <v>0</v>
      </c>
      <c r="AI661" s="60">
        <v>283.58</v>
      </c>
      <c r="AJ661" s="60">
        <v>279.25</v>
      </c>
      <c r="AK661" s="60">
        <v>253.49</v>
      </c>
      <c r="AL661" s="60">
        <v>0</v>
      </c>
      <c r="AM661" s="60">
        <v>0</v>
      </c>
      <c r="AN661" s="60">
        <v>0</v>
      </c>
      <c r="AO661" s="60">
        <v>283.58</v>
      </c>
      <c r="AP661" s="60">
        <v>279.25</v>
      </c>
      <c r="AQ661" s="60">
        <v>253.49</v>
      </c>
      <c r="AR661" s="61">
        <v>283.58</v>
      </c>
    </row>
    <row r="662" spans="1:44" x14ac:dyDescent="0.35">
      <c r="A662" s="49" t="str">
        <f t="shared" si="56"/>
        <v>11</v>
      </c>
      <c r="B662" s="27">
        <v>62661</v>
      </c>
      <c r="C662" s="25" t="str">
        <f t="shared" si="55"/>
        <v>0000000</v>
      </c>
      <c r="D662" s="26" t="s">
        <v>3663</v>
      </c>
      <c r="E662" s="25" t="s">
        <v>514</v>
      </c>
      <c r="F662" s="25" t="s">
        <v>497</v>
      </c>
      <c r="G662" s="59" t="s">
        <v>515</v>
      </c>
      <c r="H662" s="60">
        <v>1295.2</v>
      </c>
      <c r="I662" s="60">
        <v>1280.31</v>
      </c>
      <c r="J662" s="60">
        <v>1369.9</v>
      </c>
      <c r="K662" s="60">
        <v>0</v>
      </c>
      <c r="L662" s="60">
        <v>0</v>
      </c>
      <c r="M662" s="60">
        <v>0</v>
      </c>
      <c r="N662" s="60">
        <v>0</v>
      </c>
      <c r="O662" s="60">
        <v>0</v>
      </c>
      <c r="P662" s="60">
        <v>0</v>
      </c>
      <c r="Q662" s="60">
        <v>0</v>
      </c>
      <c r="R662" s="60">
        <v>0</v>
      </c>
      <c r="S662" s="60">
        <v>0</v>
      </c>
      <c r="T662" s="60">
        <v>0</v>
      </c>
      <c r="U662" s="60">
        <v>0</v>
      </c>
      <c r="V662" s="60">
        <v>0</v>
      </c>
      <c r="W662" s="60">
        <v>0</v>
      </c>
      <c r="X662" s="60">
        <v>0</v>
      </c>
      <c r="Y662" s="60">
        <v>0</v>
      </c>
      <c r="Z662" s="60">
        <v>0</v>
      </c>
      <c r="AA662" s="60">
        <v>0</v>
      </c>
      <c r="AB662" s="60">
        <v>0</v>
      </c>
      <c r="AC662" s="60">
        <v>0</v>
      </c>
      <c r="AD662" s="60">
        <v>162.59</v>
      </c>
      <c r="AE662" s="60">
        <v>186.18</v>
      </c>
      <c r="AF662" s="60">
        <v>0</v>
      </c>
      <c r="AG662" s="60">
        <v>0</v>
      </c>
      <c r="AH662" s="60">
        <v>0</v>
      </c>
      <c r="AI662" s="60">
        <v>1295.2</v>
      </c>
      <c r="AJ662" s="60">
        <v>1442.9</v>
      </c>
      <c r="AK662" s="60">
        <v>1556.08</v>
      </c>
      <c r="AL662" s="60">
        <v>0</v>
      </c>
      <c r="AM662" s="60">
        <v>-162.59</v>
      </c>
      <c r="AN662" s="60">
        <v>-186.18</v>
      </c>
      <c r="AO662" s="60">
        <v>1295.2</v>
      </c>
      <c r="AP662" s="60">
        <v>1280.31</v>
      </c>
      <c r="AQ662" s="60">
        <v>1369.9</v>
      </c>
      <c r="AR662" s="61">
        <v>1369.9</v>
      </c>
    </row>
    <row r="663" spans="1:44" x14ac:dyDescent="0.35">
      <c r="A663" s="49" t="str">
        <f t="shared" si="56"/>
        <v>11</v>
      </c>
      <c r="B663" s="27">
        <v>75481</v>
      </c>
      <c r="C663" s="25" t="str">
        <f t="shared" si="55"/>
        <v>0000000</v>
      </c>
      <c r="D663" s="26" t="s">
        <v>3663</v>
      </c>
      <c r="E663" s="25" t="s">
        <v>516</v>
      </c>
      <c r="F663" s="25" t="s">
        <v>497</v>
      </c>
      <c r="G663" s="59" t="s">
        <v>517</v>
      </c>
      <c r="H663" s="60">
        <v>2095.87</v>
      </c>
      <c r="I663" s="60">
        <v>2046.57</v>
      </c>
      <c r="J663" s="60">
        <v>2145.54</v>
      </c>
      <c r="K663" s="60">
        <v>0</v>
      </c>
      <c r="L663" s="60">
        <v>0</v>
      </c>
      <c r="M663" s="60">
        <v>0</v>
      </c>
      <c r="N663" s="60">
        <v>0</v>
      </c>
      <c r="O663" s="60">
        <v>0</v>
      </c>
      <c r="P663" s="60">
        <v>0</v>
      </c>
      <c r="Q663" s="60">
        <v>0</v>
      </c>
      <c r="R663" s="60">
        <v>0</v>
      </c>
      <c r="S663" s="60">
        <v>0</v>
      </c>
      <c r="T663" s="60">
        <v>0</v>
      </c>
      <c r="U663" s="60">
        <v>0</v>
      </c>
      <c r="V663" s="60">
        <v>0</v>
      </c>
      <c r="W663" s="60">
        <v>0</v>
      </c>
      <c r="X663" s="60">
        <v>0</v>
      </c>
      <c r="Y663" s="60">
        <v>0</v>
      </c>
      <c r="Z663" s="60">
        <v>0</v>
      </c>
      <c r="AA663" s="60">
        <v>0</v>
      </c>
      <c r="AB663" s="60">
        <v>0</v>
      </c>
      <c r="AC663" s="60">
        <v>0</v>
      </c>
      <c r="AD663" s="60">
        <v>0</v>
      </c>
      <c r="AE663" s="60">
        <v>0</v>
      </c>
      <c r="AF663" s="60">
        <v>0</v>
      </c>
      <c r="AG663" s="60">
        <v>0</v>
      </c>
      <c r="AH663" s="60">
        <v>0</v>
      </c>
      <c r="AI663" s="60">
        <v>2095.87</v>
      </c>
      <c r="AJ663" s="60">
        <v>2046.57</v>
      </c>
      <c r="AK663" s="60">
        <v>2145.54</v>
      </c>
      <c r="AL663" s="60">
        <v>0</v>
      </c>
      <c r="AM663" s="60">
        <v>0</v>
      </c>
      <c r="AN663" s="60">
        <v>0</v>
      </c>
      <c r="AO663" s="60">
        <v>2095.87</v>
      </c>
      <c r="AP663" s="60">
        <v>2046.57</v>
      </c>
      <c r="AQ663" s="60">
        <v>2145.54</v>
      </c>
      <c r="AR663" s="61">
        <v>2145.54</v>
      </c>
    </row>
    <row r="664" spans="1:44" x14ac:dyDescent="0.35">
      <c r="A664" s="49" t="str">
        <f t="shared" si="56"/>
        <v>11</v>
      </c>
      <c r="B664" s="27">
        <v>62554</v>
      </c>
      <c r="C664" s="25" t="str">
        <f t="shared" si="55"/>
        <v>0000000</v>
      </c>
      <c r="D664" s="26" t="s">
        <v>3663</v>
      </c>
      <c r="E664" s="25" t="s">
        <v>500</v>
      </c>
      <c r="F664" s="25" t="s">
        <v>497</v>
      </c>
      <c r="G664" s="59" t="s">
        <v>501</v>
      </c>
      <c r="H664" s="60">
        <v>179.33</v>
      </c>
      <c r="I664" s="60">
        <v>186.47</v>
      </c>
      <c r="J664" s="60">
        <v>182.19</v>
      </c>
      <c r="K664" s="60">
        <v>0</v>
      </c>
      <c r="L664" s="60">
        <v>0</v>
      </c>
      <c r="M664" s="60">
        <v>0</v>
      </c>
      <c r="N664" s="60">
        <v>0</v>
      </c>
      <c r="O664" s="60">
        <v>0</v>
      </c>
      <c r="P664" s="60">
        <v>0</v>
      </c>
      <c r="Q664" s="60">
        <v>0</v>
      </c>
      <c r="R664" s="60">
        <v>0</v>
      </c>
      <c r="S664" s="60">
        <v>0</v>
      </c>
      <c r="T664" s="60">
        <v>0</v>
      </c>
      <c r="U664" s="60">
        <v>0</v>
      </c>
      <c r="V664" s="60">
        <v>0</v>
      </c>
      <c r="W664" s="60">
        <v>0</v>
      </c>
      <c r="X664" s="60">
        <v>0</v>
      </c>
      <c r="Y664" s="60">
        <v>0</v>
      </c>
      <c r="Z664" s="60">
        <v>0</v>
      </c>
      <c r="AA664" s="60">
        <v>0</v>
      </c>
      <c r="AB664" s="60">
        <v>0</v>
      </c>
      <c r="AC664" s="60">
        <v>0</v>
      </c>
      <c r="AD664" s="60">
        <v>0</v>
      </c>
      <c r="AE664" s="60">
        <v>0</v>
      </c>
      <c r="AF664" s="60">
        <v>0</v>
      </c>
      <c r="AG664" s="60">
        <v>0</v>
      </c>
      <c r="AH664" s="60">
        <v>0</v>
      </c>
      <c r="AI664" s="60">
        <v>179.33</v>
      </c>
      <c r="AJ664" s="60">
        <v>186.47</v>
      </c>
      <c r="AK664" s="60">
        <v>182.19</v>
      </c>
      <c r="AL664" s="60">
        <v>0</v>
      </c>
      <c r="AM664" s="60">
        <v>0</v>
      </c>
      <c r="AN664" s="60">
        <v>0</v>
      </c>
      <c r="AO664" s="60">
        <v>179.33</v>
      </c>
      <c r="AP664" s="60">
        <v>186.47</v>
      </c>
      <c r="AQ664" s="60">
        <v>182.19</v>
      </c>
      <c r="AR664" s="61">
        <v>186.47</v>
      </c>
    </row>
    <row r="665" spans="1:44" x14ac:dyDescent="0.35">
      <c r="A665" s="49" t="str">
        <f t="shared" si="56"/>
        <v>11</v>
      </c>
      <c r="B665" s="27">
        <v>62596</v>
      </c>
      <c r="C665" s="25" t="str">
        <f t="shared" si="55"/>
        <v>0000000</v>
      </c>
      <c r="D665" s="26" t="s">
        <v>3663</v>
      </c>
      <c r="E665" s="25" t="s">
        <v>502</v>
      </c>
      <c r="F665" s="25" t="s">
        <v>497</v>
      </c>
      <c r="G665" s="59" t="s">
        <v>503</v>
      </c>
      <c r="H665" s="60">
        <v>177.25</v>
      </c>
      <c r="I665" s="60">
        <v>176.07</v>
      </c>
      <c r="J665" s="60">
        <v>178.35</v>
      </c>
      <c r="K665" s="60">
        <v>0</v>
      </c>
      <c r="L665" s="60">
        <v>0</v>
      </c>
      <c r="M665" s="60">
        <v>0</v>
      </c>
      <c r="N665" s="60">
        <v>0</v>
      </c>
      <c r="O665" s="60">
        <v>0</v>
      </c>
      <c r="P665" s="60">
        <v>0</v>
      </c>
      <c r="Q665" s="60">
        <v>0</v>
      </c>
      <c r="R665" s="60">
        <v>0</v>
      </c>
      <c r="S665" s="60">
        <v>0</v>
      </c>
      <c r="T665" s="60">
        <v>0</v>
      </c>
      <c r="U665" s="60">
        <v>0</v>
      </c>
      <c r="V665" s="60">
        <v>0</v>
      </c>
      <c r="W665" s="60">
        <v>0</v>
      </c>
      <c r="X665" s="60">
        <v>0</v>
      </c>
      <c r="Y665" s="60">
        <v>0</v>
      </c>
      <c r="Z665" s="60">
        <v>0</v>
      </c>
      <c r="AA665" s="60">
        <v>0</v>
      </c>
      <c r="AB665" s="60">
        <v>0</v>
      </c>
      <c r="AC665" s="60">
        <v>0</v>
      </c>
      <c r="AD665" s="60">
        <v>0</v>
      </c>
      <c r="AE665" s="60">
        <v>0</v>
      </c>
      <c r="AF665" s="60">
        <v>0</v>
      </c>
      <c r="AG665" s="60">
        <v>0</v>
      </c>
      <c r="AH665" s="60">
        <v>0</v>
      </c>
      <c r="AI665" s="60">
        <v>177.25</v>
      </c>
      <c r="AJ665" s="60">
        <v>176.07</v>
      </c>
      <c r="AK665" s="60">
        <v>178.35</v>
      </c>
      <c r="AL665" s="60">
        <v>0</v>
      </c>
      <c r="AM665" s="60">
        <v>0</v>
      </c>
      <c r="AN665" s="60">
        <v>0</v>
      </c>
      <c r="AO665" s="60">
        <v>177.25</v>
      </c>
      <c r="AP665" s="60">
        <v>176.07</v>
      </c>
      <c r="AQ665" s="60">
        <v>178.35</v>
      </c>
      <c r="AR665" s="61">
        <v>178.35</v>
      </c>
    </row>
    <row r="666" spans="1:44" x14ac:dyDescent="0.35">
      <c r="A666" s="49" t="str">
        <f t="shared" si="56"/>
        <v>11</v>
      </c>
      <c r="B666" s="27">
        <v>62638</v>
      </c>
      <c r="C666" s="25" t="str">
        <f t="shared" si="55"/>
        <v>0000000</v>
      </c>
      <c r="D666" s="26" t="s">
        <v>3663</v>
      </c>
      <c r="E666" s="25" t="s">
        <v>508</v>
      </c>
      <c r="F666" s="25" t="s">
        <v>497</v>
      </c>
      <c r="G666" s="59" t="s">
        <v>509</v>
      </c>
      <c r="H666" s="60">
        <v>193.12</v>
      </c>
      <c r="I666" s="60">
        <v>185</v>
      </c>
      <c r="J666" s="60">
        <v>197.76</v>
      </c>
      <c r="K666" s="60">
        <v>0</v>
      </c>
      <c r="L666" s="60">
        <v>0</v>
      </c>
      <c r="M666" s="60">
        <v>0</v>
      </c>
      <c r="N666" s="60">
        <v>0</v>
      </c>
      <c r="O666" s="60">
        <v>0</v>
      </c>
      <c r="P666" s="60">
        <v>0</v>
      </c>
      <c r="Q666" s="60">
        <v>0</v>
      </c>
      <c r="R666" s="60">
        <v>0</v>
      </c>
      <c r="S666" s="60">
        <v>0</v>
      </c>
      <c r="T666" s="60">
        <v>0</v>
      </c>
      <c r="U666" s="60">
        <v>0</v>
      </c>
      <c r="V666" s="60">
        <v>0</v>
      </c>
      <c r="W666" s="60">
        <v>0</v>
      </c>
      <c r="X666" s="60">
        <v>0</v>
      </c>
      <c r="Y666" s="60">
        <v>0</v>
      </c>
      <c r="Z666" s="60">
        <v>0</v>
      </c>
      <c r="AA666" s="60">
        <v>0</v>
      </c>
      <c r="AB666" s="60">
        <v>0</v>
      </c>
      <c r="AC666" s="60">
        <v>0</v>
      </c>
      <c r="AD666" s="60">
        <v>0</v>
      </c>
      <c r="AE666" s="60">
        <v>0</v>
      </c>
      <c r="AF666" s="60">
        <v>0</v>
      </c>
      <c r="AG666" s="60">
        <v>0</v>
      </c>
      <c r="AH666" s="60">
        <v>0</v>
      </c>
      <c r="AI666" s="60">
        <v>193.12</v>
      </c>
      <c r="AJ666" s="60">
        <v>185</v>
      </c>
      <c r="AK666" s="60">
        <v>197.76</v>
      </c>
      <c r="AL666" s="60">
        <v>0</v>
      </c>
      <c r="AM666" s="60">
        <v>0</v>
      </c>
      <c r="AN666" s="60">
        <v>0</v>
      </c>
      <c r="AO666" s="60">
        <v>193.12</v>
      </c>
      <c r="AP666" s="60">
        <v>185</v>
      </c>
      <c r="AQ666" s="60">
        <v>197.76</v>
      </c>
      <c r="AR666" s="61">
        <v>197.76</v>
      </c>
    </row>
    <row r="667" spans="1:44" x14ac:dyDescent="0.35">
      <c r="A667" s="49" t="str">
        <f t="shared" si="56"/>
        <v>11</v>
      </c>
      <c r="B667" s="27">
        <v>62646</v>
      </c>
      <c r="C667" s="25" t="str">
        <f t="shared" si="55"/>
        <v>0000000</v>
      </c>
      <c r="D667" s="26" t="s">
        <v>3663</v>
      </c>
      <c r="E667" s="25" t="s">
        <v>510</v>
      </c>
      <c r="F667" s="25" t="s">
        <v>497</v>
      </c>
      <c r="G667" s="59" t="s">
        <v>511</v>
      </c>
      <c r="H667" s="60">
        <v>125.27</v>
      </c>
      <c r="I667" s="60">
        <v>140.26</v>
      </c>
      <c r="J667" s="60">
        <v>136.27000000000001</v>
      </c>
      <c r="K667" s="60">
        <v>0</v>
      </c>
      <c r="L667" s="60">
        <v>0</v>
      </c>
      <c r="M667" s="60">
        <v>0</v>
      </c>
      <c r="N667" s="60">
        <v>0</v>
      </c>
      <c r="O667" s="60">
        <v>0</v>
      </c>
      <c r="P667" s="60">
        <v>0</v>
      </c>
      <c r="Q667" s="60">
        <v>0</v>
      </c>
      <c r="R667" s="60">
        <v>0</v>
      </c>
      <c r="S667" s="60">
        <v>0</v>
      </c>
      <c r="T667" s="60">
        <v>0</v>
      </c>
      <c r="U667" s="60">
        <v>0</v>
      </c>
      <c r="V667" s="60">
        <v>0</v>
      </c>
      <c r="W667" s="60">
        <v>0</v>
      </c>
      <c r="X667" s="60">
        <v>0</v>
      </c>
      <c r="Y667" s="60">
        <v>0</v>
      </c>
      <c r="Z667" s="60">
        <v>0</v>
      </c>
      <c r="AA667" s="60">
        <v>0</v>
      </c>
      <c r="AB667" s="60">
        <v>0</v>
      </c>
      <c r="AC667" s="60">
        <v>0</v>
      </c>
      <c r="AD667" s="60">
        <v>0</v>
      </c>
      <c r="AE667" s="60">
        <v>0</v>
      </c>
      <c r="AF667" s="60">
        <v>0</v>
      </c>
      <c r="AG667" s="60">
        <v>0</v>
      </c>
      <c r="AH667" s="60">
        <v>0</v>
      </c>
      <c r="AI667" s="60">
        <v>125.27</v>
      </c>
      <c r="AJ667" s="60">
        <v>140.26</v>
      </c>
      <c r="AK667" s="60">
        <v>136.27000000000001</v>
      </c>
      <c r="AL667" s="60">
        <v>0</v>
      </c>
      <c r="AM667" s="60">
        <v>0</v>
      </c>
      <c r="AN667" s="60">
        <v>0</v>
      </c>
      <c r="AO667" s="60">
        <v>125.27</v>
      </c>
      <c r="AP667" s="60">
        <v>140.26</v>
      </c>
      <c r="AQ667" s="60">
        <v>136.27000000000001</v>
      </c>
      <c r="AR667" s="61">
        <v>140.26</v>
      </c>
    </row>
    <row r="668" spans="1:44" x14ac:dyDescent="0.35">
      <c r="A668" s="49" t="str">
        <f t="shared" si="56"/>
        <v>11</v>
      </c>
      <c r="B668" s="27">
        <v>62653</v>
      </c>
      <c r="C668" s="25" t="str">
        <f t="shared" si="55"/>
        <v>0000000</v>
      </c>
      <c r="D668" s="26" t="s">
        <v>3663</v>
      </c>
      <c r="E668" s="25" t="s">
        <v>512</v>
      </c>
      <c r="F668" s="25" t="s">
        <v>497</v>
      </c>
      <c r="G668" s="59" t="s">
        <v>513</v>
      </c>
      <c r="H668" s="60">
        <v>77.239999999999995</v>
      </c>
      <c r="I668" s="60">
        <v>77.260000000000005</v>
      </c>
      <c r="J668" s="60">
        <v>65.849999999999994</v>
      </c>
      <c r="K668" s="60">
        <v>0</v>
      </c>
      <c r="L668" s="60">
        <v>0</v>
      </c>
      <c r="M668" s="60">
        <v>0</v>
      </c>
      <c r="N668" s="60">
        <v>0</v>
      </c>
      <c r="O668" s="60">
        <v>0</v>
      </c>
      <c r="P668" s="60">
        <v>0</v>
      </c>
      <c r="Q668" s="60">
        <v>0</v>
      </c>
      <c r="R668" s="60">
        <v>0</v>
      </c>
      <c r="S668" s="60">
        <v>0</v>
      </c>
      <c r="T668" s="60">
        <v>0</v>
      </c>
      <c r="U668" s="60">
        <v>0</v>
      </c>
      <c r="V668" s="60">
        <v>0</v>
      </c>
      <c r="W668" s="60">
        <v>0</v>
      </c>
      <c r="X668" s="60">
        <v>0</v>
      </c>
      <c r="Y668" s="60">
        <v>0</v>
      </c>
      <c r="Z668" s="60">
        <v>0</v>
      </c>
      <c r="AA668" s="60">
        <v>0</v>
      </c>
      <c r="AB668" s="60">
        <v>0</v>
      </c>
      <c r="AC668" s="60">
        <v>0</v>
      </c>
      <c r="AD668" s="60">
        <v>0</v>
      </c>
      <c r="AE668" s="60">
        <v>0</v>
      </c>
      <c r="AF668" s="60">
        <v>0</v>
      </c>
      <c r="AG668" s="60">
        <v>0</v>
      </c>
      <c r="AH668" s="60">
        <v>0</v>
      </c>
      <c r="AI668" s="60">
        <v>77.239999999999995</v>
      </c>
      <c r="AJ668" s="60">
        <v>77.260000000000005</v>
      </c>
      <c r="AK668" s="60">
        <v>65.849999999999994</v>
      </c>
      <c r="AL668" s="60">
        <v>0</v>
      </c>
      <c r="AM668" s="60">
        <v>0</v>
      </c>
      <c r="AN668" s="60">
        <v>0</v>
      </c>
      <c r="AO668" s="60">
        <v>77.239999999999995</v>
      </c>
      <c r="AP668" s="60">
        <v>77.260000000000005</v>
      </c>
      <c r="AQ668" s="60">
        <v>65.849999999999994</v>
      </c>
      <c r="AR668" s="61">
        <v>77.260000000000005</v>
      </c>
    </row>
    <row r="669" spans="1:44" x14ac:dyDescent="0.35">
      <c r="A669" s="49" t="str">
        <f t="shared" si="56"/>
        <v>11</v>
      </c>
      <c r="B669" s="27">
        <v>76562</v>
      </c>
      <c r="C669" s="25" t="str">
        <f t="shared" si="55"/>
        <v>0000000</v>
      </c>
      <c r="D669" s="26" t="s">
        <v>3663</v>
      </c>
      <c r="E669" s="25" t="s">
        <v>518</v>
      </c>
      <c r="F669" s="25" t="s">
        <v>497</v>
      </c>
      <c r="G669" s="59" t="s">
        <v>519</v>
      </c>
      <c r="H669" s="60">
        <v>678.57</v>
      </c>
      <c r="I669" s="60">
        <v>659.72</v>
      </c>
      <c r="J669" s="60">
        <v>672.7</v>
      </c>
      <c r="K669" s="60">
        <v>0</v>
      </c>
      <c r="L669" s="60">
        <v>0</v>
      </c>
      <c r="M669" s="60">
        <v>0</v>
      </c>
      <c r="N669" s="60">
        <v>0</v>
      </c>
      <c r="O669" s="60">
        <v>0</v>
      </c>
      <c r="P669" s="60">
        <v>0</v>
      </c>
      <c r="Q669" s="60">
        <v>0</v>
      </c>
      <c r="R669" s="60">
        <v>0</v>
      </c>
      <c r="S669" s="60">
        <v>0</v>
      </c>
      <c r="T669" s="60">
        <v>0</v>
      </c>
      <c r="U669" s="60">
        <v>0</v>
      </c>
      <c r="V669" s="60">
        <v>0</v>
      </c>
      <c r="W669" s="60">
        <v>0</v>
      </c>
      <c r="X669" s="60">
        <v>0</v>
      </c>
      <c r="Y669" s="60">
        <v>0</v>
      </c>
      <c r="Z669" s="60">
        <v>0</v>
      </c>
      <c r="AA669" s="60">
        <v>0</v>
      </c>
      <c r="AB669" s="60">
        <v>0</v>
      </c>
      <c r="AC669" s="60">
        <v>0</v>
      </c>
      <c r="AD669" s="60">
        <v>0</v>
      </c>
      <c r="AE669" s="60">
        <v>0</v>
      </c>
      <c r="AF669" s="60">
        <v>0</v>
      </c>
      <c r="AG669" s="60">
        <v>0</v>
      </c>
      <c r="AH669" s="60">
        <v>0</v>
      </c>
      <c r="AI669" s="60">
        <v>678.57</v>
      </c>
      <c r="AJ669" s="60">
        <v>659.72</v>
      </c>
      <c r="AK669" s="60">
        <v>672.7</v>
      </c>
      <c r="AL669" s="60">
        <v>0</v>
      </c>
      <c r="AM669" s="60">
        <v>0</v>
      </c>
      <c r="AN669" s="60">
        <v>0</v>
      </c>
      <c r="AO669" s="60">
        <v>678.57</v>
      </c>
      <c r="AP669" s="60">
        <v>659.72</v>
      </c>
      <c r="AQ669" s="60">
        <v>672.7</v>
      </c>
      <c r="AR669" s="61">
        <v>678.57</v>
      </c>
    </row>
    <row r="670" spans="1:44" x14ac:dyDescent="0.35">
      <c r="A670" s="49" t="str">
        <f t="shared" si="56"/>
        <v>11</v>
      </c>
      <c r="B670" s="27">
        <v>10116</v>
      </c>
      <c r="C670" s="25" t="str">
        <f>TEXT(124909,"0000000")</f>
        <v>0124909</v>
      </c>
      <c r="D670" s="27">
        <v>1350</v>
      </c>
      <c r="E670" s="25" t="s">
        <v>498</v>
      </c>
      <c r="F670" s="25" t="s">
        <v>497</v>
      </c>
      <c r="G670" s="59" t="s">
        <v>499</v>
      </c>
      <c r="H670" s="60">
        <v>0</v>
      </c>
      <c r="I670" s="60">
        <v>0</v>
      </c>
      <c r="J670" s="60">
        <v>0</v>
      </c>
      <c r="K670" s="60">
        <v>0</v>
      </c>
      <c r="L670" s="60">
        <v>0</v>
      </c>
      <c r="M670" s="60">
        <v>0</v>
      </c>
      <c r="N670" s="60">
        <v>0</v>
      </c>
      <c r="O670" s="60">
        <v>0</v>
      </c>
      <c r="P670" s="60">
        <v>0</v>
      </c>
      <c r="Q670" s="60">
        <v>0</v>
      </c>
      <c r="R670" s="60">
        <v>0</v>
      </c>
      <c r="S670" s="60">
        <v>0</v>
      </c>
      <c r="T670" s="60">
        <v>0</v>
      </c>
      <c r="U670" s="60">
        <v>0</v>
      </c>
      <c r="V670" s="60">
        <v>0</v>
      </c>
      <c r="W670" s="60">
        <v>0</v>
      </c>
      <c r="X670" s="60">
        <v>0</v>
      </c>
      <c r="Y670" s="60">
        <v>0</v>
      </c>
      <c r="Z670" s="60">
        <v>0</v>
      </c>
      <c r="AA670" s="60">
        <v>0</v>
      </c>
      <c r="AB670" s="60">
        <v>0</v>
      </c>
      <c r="AC670" s="60">
        <v>175.88</v>
      </c>
      <c r="AD670" s="60">
        <v>0</v>
      </c>
      <c r="AE670" s="60">
        <v>0</v>
      </c>
      <c r="AF670" s="60">
        <v>0</v>
      </c>
      <c r="AG670" s="60">
        <v>0</v>
      </c>
      <c r="AH670" s="60">
        <v>0</v>
      </c>
      <c r="AI670" s="60">
        <v>175.88</v>
      </c>
      <c r="AJ670" s="60">
        <v>0</v>
      </c>
      <c r="AK670" s="60">
        <v>0</v>
      </c>
      <c r="AL670" s="60">
        <v>0</v>
      </c>
      <c r="AM670" s="60">
        <v>162.59</v>
      </c>
      <c r="AN670" s="60">
        <v>186.18</v>
      </c>
      <c r="AO670" s="60">
        <v>175.88</v>
      </c>
      <c r="AP670" s="60">
        <v>162.59</v>
      </c>
      <c r="AQ670" s="60">
        <v>186.18</v>
      </c>
      <c r="AR670" s="61">
        <v>186.18</v>
      </c>
    </row>
    <row r="671" spans="1:44" x14ac:dyDescent="0.35">
      <c r="A671" s="49" t="str">
        <f>TEXT(19,"00")</f>
        <v>19</v>
      </c>
      <c r="B671" s="27">
        <v>64733</v>
      </c>
      <c r="C671" s="25" t="str">
        <f t="shared" ref="C671:C706" si="57">TEXT(,"0000000")</f>
        <v>0000000</v>
      </c>
      <c r="D671" s="26" t="s">
        <v>3663</v>
      </c>
      <c r="E671" s="25" t="s">
        <v>1028</v>
      </c>
      <c r="F671" s="25" t="s">
        <v>1029</v>
      </c>
      <c r="G671" s="59" t="s">
        <v>1029</v>
      </c>
      <c r="H671" s="60">
        <v>347990.94</v>
      </c>
      <c r="I671" s="60">
        <v>344367.25</v>
      </c>
      <c r="J671" s="60">
        <v>414033.06</v>
      </c>
      <c r="K671" s="60">
        <v>0</v>
      </c>
      <c r="L671" s="60">
        <v>0</v>
      </c>
      <c r="M671" s="60">
        <v>0</v>
      </c>
      <c r="N671" s="60">
        <v>0</v>
      </c>
      <c r="O671" s="60">
        <v>0</v>
      </c>
      <c r="P671" s="60">
        <v>0</v>
      </c>
      <c r="Q671" s="60">
        <v>0</v>
      </c>
      <c r="R671" s="60">
        <v>0</v>
      </c>
      <c r="S671" s="60">
        <v>0</v>
      </c>
      <c r="T671" s="60">
        <v>214.84</v>
      </c>
      <c r="U671" s="60">
        <v>191.27</v>
      </c>
      <c r="V671" s="60">
        <v>566.35</v>
      </c>
      <c r="W671" s="60">
        <v>393.54</v>
      </c>
      <c r="X671" s="60">
        <v>372.8</v>
      </c>
      <c r="Y671" s="60">
        <v>385.6</v>
      </c>
      <c r="Z671" s="60">
        <v>0</v>
      </c>
      <c r="AA671" s="60">
        <v>0</v>
      </c>
      <c r="AB671" s="60">
        <v>0</v>
      </c>
      <c r="AC671" s="60">
        <v>130760.19</v>
      </c>
      <c r="AD671" s="60">
        <v>131045.29</v>
      </c>
      <c r="AE671" s="60">
        <v>145261.46</v>
      </c>
      <c r="AF671" s="60">
        <v>0</v>
      </c>
      <c r="AG671" s="60">
        <v>0</v>
      </c>
      <c r="AH671" s="60">
        <v>0</v>
      </c>
      <c r="AI671" s="60">
        <v>479359.51</v>
      </c>
      <c r="AJ671" s="60">
        <v>475976.61</v>
      </c>
      <c r="AK671" s="60">
        <v>560246.47</v>
      </c>
      <c r="AL671" s="60">
        <v>0</v>
      </c>
      <c r="AM671" s="60">
        <v>-72.849999999999994</v>
      </c>
      <c r="AN671" s="60">
        <v>-21.9</v>
      </c>
      <c r="AO671" s="60">
        <v>479359.51</v>
      </c>
      <c r="AP671" s="60">
        <v>475903.76</v>
      </c>
      <c r="AQ671" s="60">
        <v>560224.56999999995</v>
      </c>
      <c r="AR671" s="61">
        <v>560224.56999999995</v>
      </c>
    </row>
    <row r="672" spans="1:44" x14ac:dyDescent="0.35">
      <c r="A672" s="49" t="str">
        <f>TEXT(19,"00")</f>
        <v>19</v>
      </c>
      <c r="B672" s="27">
        <v>73452</v>
      </c>
      <c r="C672" s="25" t="str">
        <f t="shared" si="57"/>
        <v>0000000</v>
      </c>
      <c r="D672" s="26" t="s">
        <v>3663</v>
      </c>
      <c r="E672" s="25" t="s">
        <v>1160</v>
      </c>
      <c r="F672" s="25" t="s">
        <v>1161</v>
      </c>
      <c r="G672" s="59" t="s">
        <v>1161</v>
      </c>
      <c r="H672" s="60">
        <v>11083.43</v>
      </c>
      <c r="I672" s="60">
        <v>10707.25</v>
      </c>
      <c r="J672" s="60">
        <v>12595.26</v>
      </c>
      <c r="K672" s="60">
        <v>0</v>
      </c>
      <c r="L672" s="60">
        <v>0</v>
      </c>
      <c r="M672" s="60">
        <v>0</v>
      </c>
      <c r="N672" s="60">
        <v>0</v>
      </c>
      <c r="O672" s="60">
        <v>0</v>
      </c>
      <c r="P672" s="60">
        <v>0</v>
      </c>
      <c r="Q672" s="60">
        <v>0</v>
      </c>
      <c r="R672" s="60">
        <v>0</v>
      </c>
      <c r="S672" s="60">
        <v>0</v>
      </c>
      <c r="T672" s="60">
        <v>5.55</v>
      </c>
      <c r="U672" s="60">
        <v>4.3099999999999996</v>
      </c>
      <c r="V672" s="60">
        <v>12.78</v>
      </c>
      <c r="W672" s="60">
        <v>59.56</v>
      </c>
      <c r="X672" s="60">
        <v>55.07</v>
      </c>
      <c r="Y672" s="60">
        <v>55.01</v>
      </c>
      <c r="Z672" s="60">
        <v>0</v>
      </c>
      <c r="AA672" s="60">
        <v>0</v>
      </c>
      <c r="AB672" s="60">
        <v>0</v>
      </c>
      <c r="AC672" s="60">
        <v>0</v>
      </c>
      <c r="AD672" s="60">
        <v>0</v>
      </c>
      <c r="AE672" s="60">
        <v>0</v>
      </c>
      <c r="AF672" s="60">
        <v>0</v>
      </c>
      <c r="AG672" s="60">
        <v>0</v>
      </c>
      <c r="AH672" s="60">
        <v>0</v>
      </c>
      <c r="AI672" s="60">
        <v>11148.54</v>
      </c>
      <c r="AJ672" s="60">
        <v>10766.63</v>
      </c>
      <c r="AK672" s="60">
        <v>12663.05</v>
      </c>
      <c r="AL672" s="60">
        <v>0</v>
      </c>
      <c r="AM672" s="60">
        <v>0</v>
      </c>
      <c r="AN672" s="60">
        <v>0</v>
      </c>
      <c r="AO672" s="60">
        <v>11148.54</v>
      </c>
      <c r="AP672" s="60">
        <v>10766.63</v>
      </c>
      <c r="AQ672" s="60">
        <v>12663.05</v>
      </c>
      <c r="AR672" s="61">
        <v>12663.05</v>
      </c>
    </row>
    <row r="673" spans="1:44" x14ac:dyDescent="0.35">
      <c r="A673" s="49" t="str">
        <f>TEXT(1,"00")</f>
        <v>01</v>
      </c>
      <c r="B673" s="27">
        <v>61259</v>
      </c>
      <c r="C673" s="25" t="str">
        <f t="shared" si="57"/>
        <v>0000000</v>
      </c>
      <c r="D673" s="26" t="s">
        <v>3663</v>
      </c>
      <c r="E673" s="25" t="s">
        <v>74</v>
      </c>
      <c r="F673" s="25" t="s">
        <v>75</v>
      </c>
      <c r="G673" s="59" t="s">
        <v>75</v>
      </c>
      <c r="H673" s="60">
        <v>29882.87</v>
      </c>
      <c r="I673" s="60">
        <v>29367.33</v>
      </c>
      <c r="J673" s="60">
        <v>33910.89</v>
      </c>
      <c r="K673" s="60">
        <v>0</v>
      </c>
      <c r="L673" s="60">
        <v>0</v>
      </c>
      <c r="M673" s="60">
        <v>0</v>
      </c>
      <c r="N673" s="60">
        <v>0</v>
      </c>
      <c r="O673" s="60">
        <v>0</v>
      </c>
      <c r="P673" s="60">
        <v>0</v>
      </c>
      <c r="Q673" s="60">
        <v>0</v>
      </c>
      <c r="R673" s="60">
        <v>0</v>
      </c>
      <c r="S673" s="60">
        <v>0</v>
      </c>
      <c r="T673" s="60">
        <v>0</v>
      </c>
      <c r="U673" s="60">
        <v>0</v>
      </c>
      <c r="V673" s="60">
        <v>0</v>
      </c>
      <c r="W673" s="60">
        <v>0</v>
      </c>
      <c r="X673" s="60">
        <v>0</v>
      </c>
      <c r="Y673" s="60">
        <v>0</v>
      </c>
      <c r="Z673" s="60">
        <v>0</v>
      </c>
      <c r="AA673" s="60">
        <v>0</v>
      </c>
      <c r="AB673" s="60">
        <v>0</v>
      </c>
      <c r="AC673" s="60">
        <v>107.8</v>
      </c>
      <c r="AD673" s="60">
        <v>1272.02</v>
      </c>
      <c r="AE673" s="60">
        <v>1399.59</v>
      </c>
      <c r="AF673" s="60">
        <v>0</v>
      </c>
      <c r="AG673" s="60">
        <v>0</v>
      </c>
      <c r="AH673" s="60">
        <v>0</v>
      </c>
      <c r="AI673" s="60">
        <v>29990.67</v>
      </c>
      <c r="AJ673" s="60">
        <v>30639.35</v>
      </c>
      <c r="AK673" s="60">
        <v>35310.480000000003</v>
      </c>
      <c r="AL673" s="60">
        <v>0</v>
      </c>
      <c r="AM673" s="60">
        <v>-1272.02</v>
      </c>
      <c r="AN673" s="60">
        <v>-1276.99</v>
      </c>
      <c r="AO673" s="60">
        <v>29990.67</v>
      </c>
      <c r="AP673" s="60">
        <v>29367.33</v>
      </c>
      <c r="AQ673" s="60">
        <v>34033.49</v>
      </c>
      <c r="AR673" s="61">
        <v>34033.49</v>
      </c>
    </row>
    <row r="674" spans="1:44" x14ac:dyDescent="0.35">
      <c r="A674" s="49" t="str">
        <f>TEXT(25,"00")</f>
        <v>25</v>
      </c>
      <c r="B674" s="27">
        <v>10256</v>
      </c>
      <c r="C674" s="25" t="str">
        <f t="shared" si="57"/>
        <v>0000000</v>
      </c>
      <c r="D674" s="26" t="s">
        <v>3663</v>
      </c>
      <c r="E674" s="25" t="s">
        <v>1365</v>
      </c>
      <c r="F674" s="25" t="s">
        <v>1366</v>
      </c>
      <c r="G674" s="59" t="s">
        <v>1366</v>
      </c>
      <c r="H674" s="60">
        <v>0</v>
      </c>
      <c r="I674" s="60">
        <v>0</v>
      </c>
      <c r="J674" s="60">
        <v>0</v>
      </c>
      <c r="K674" s="60">
        <v>0</v>
      </c>
      <c r="L674" s="60">
        <v>0</v>
      </c>
      <c r="M674" s="60">
        <v>0</v>
      </c>
      <c r="N674" s="60">
        <v>0</v>
      </c>
      <c r="O674" s="60">
        <v>0</v>
      </c>
      <c r="P674" s="60">
        <v>0</v>
      </c>
      <c r="Q674" s="60">
        <v>0</v>
      </c>
      <c r="R674" s="60">
        <v>0</v>
      </c>
      <c r="S674" s="60">
        <v>0</v>
      </c>
      <c r="T674" s="60">
        <v>0</v>
      </c>
      <c r="U674" s="60">
        <v>0</v>
      </c>
      <c r="V674" s="60">
        <v>0</v>
      </c>
      <c r="W674" s="60">
        <v>11.74</v>
      </c>
      <c r="X674" s="60">
        <v>9.06</v>
      </c>
      <c r="Y674" s="60">
        <v>35.85</v>
      </c>
      <c r="Z674" s="60">
        <v>0</v>
      </c>
      <c r="AA674" s="60">
        <v>0</v>
      </c>
      <c r="AB674" s="60">
        <v>0</v>
      </c>
      <c r="AC674" s="60">
        <v>0</v>
      </c>
      <c r="AD674" s="60">
        <v>0</v>
      </c>
      <c r="AE674" s="60">
        <v>0</v>
      </c>
      <c r="AF674" s="60">
        <v>0</v>
      </c>
      <c r="AG674" s="60">
        <v>0</v>
      </c>
      <c r="AH674" s="60">
        <v>0</v>
      </c>
      <c r="AI674" s="60">
        <v>11.74</v>
      </c>
      <c r="AJ674" s="60">
        <v>9.06</v>
      </c>
      <c r="AK674" s="60">
        <v>35.85</v>
      </c>
      <c r="AL674" s="60">
        <v>0</v>
      </c>
      <c r="AM674" s="60">
        <v>0</v>
      </c>
      <c r="AN674" s="60">
        <v>0</v>
      </c>
      <c r="AO674" s="60">
        <v>11.74</v>
      </c>
      <c r="AP674" s="60">
        <v>9.06</v>
      </c>
      <c r="AQ674" s="60">
        <v>35.85</v>
      </c>
      <c r="AR674" s="61">
        <v>35.85</v>
      </c>
    </row>
    <row r="675" spans="1:44" x14ac:dyDescent="0.35">
      <c r="A675" s="49" t="str">
        <f>TEXT(25,"00")</f>
        <v>25</v>
      </c>
      <c r="B675" s="27">
        <v>65896</v>
      </c>
      <c r="C675" s="25" t="str">
        <f t="shared" si="57"/>
        <v>0000000</v>
      </c>
      <c r="D675" s="26" t="s">
        <v>3663</v>
      </c>
      <c r="E675" s="25" t="s">
        <v>1367</v>
      </c>
      <c r="F675" s="25" t="s">
        <v>1366</v>
      </c>
      <c r="G675" s="59" t="s">
        <v>1368</v>
      </c>
      <c r="H675" s="60">
        <v>83.56</v>
      </c>
      <c r="I675" s="60">
        <v>100.41</v>
      </c>
      <c r="J675" s="60">
        <v>111.66</v>
      </c>
      <c r="K675" s="60">
        <v>0</v>
      </c>
      <c r="L675" s="60">
        <v>0</v>
      </c>
      <c r="M675" s="60">
        <v>0</v>
      </c>
      <c r="N675" s="60">
        <v>0</v>
      </c>
      <c r="O675" s="60">
        <v>0</v>
      </c>
      <c r="P675" s="60">
        <v>0</v>
      </c>
      <c r="Q675" s="60">
        <v>0</v>
      </c>
      <c r="R675" s="60">
        <v>0</v>
      </c>
      <c r="S675" s="60">
        <v>0</v>
      </c>
      <c r="T675" s="60">
        <v>0</v>
      </c>
      <c r="U675" s="60">
        <v>0</v>
      </c>
      <c r="V675" s="60">
        <v>0</v>
      </c>
      <c r="W675" s="60">
        <v>0</v>
      </c>
      <c r="X675" s="60">
        <v>0</v>
      </c>
      <c r="Y675" s="60">
        <v>0</v>
      </c>
      <c r="Z675" s="60">
        <v>0</v>
      </c>
      <c r="AA675" s="60">
        <v>0</v>
      </c>
      <c r="AB675" s="60">
        <v>0</v>
      </c>
      <c r="AC675" s="60">
        <v>0</v>
      </c>
      <c r="AD675" s="60">
        <v>0</v>
      </c>
      <c r="AE675" s="60">
        <v>0</v>
      </c>
      <c r="AF675" s="60">
        <v>0</v>
      </c>
      <c r="AG675" s="60">
        <v>0</v>
      </c>
      <c r="AH675" s="60">
        <v>0</v>
      </c>
      <c r="AI675" s="60">
        <v>83.56</v>
      </c>
      <c r="AJ675" s="60">
        <v>100.41</v>
      </c>
      <c r="AK675" s="60">
        <v>111.66</v>
      </c>
      <c r="AL675" s="60">
        <v>0</v>
      </c>
      <c r="AM675" s="60">
        <v>0</v>
      </c>
      <c r="AN675" s="60">
        <v>0</v>
      </c>
      <c r="AO675" s="60">
        <v>83.56</v>
      </c>
      <c r="AP675" s="60">
        <v>100.41</v>
      </c>
      <c r="AQ675" s="60">
        <v>111.66</v>
      </c>
      <c r="AR675" s="61">
        <v>111.66</v>
      </c>
    </row>
    <row r="676" spans="1:44" x14ac:dyDescent="0.35">
      <c r="A676" s="49" t="str">
        <f>TEXT(25,"00")</f>
        <v>25</v>
      </c>
      <c r="B676" s="27">
        <v>73585</v>
      </c>
      <c r="C676" s="25" t="str">
        <f t="shared" si="57"/>
        <v>0000000</v>
      </c>
      <c r="D676" s="26" t="s">
        <v>3663</v>
      </c>
      <c r="E676" s="25" t="s">
        <v>1369</v>
      </c>
      <c r="F676" s="25" t="s">
        <v>1366</v>
      </c>
      <c r="G676" s="59" t="s">
        <v>1370</v>
      </c>
      <c r="H676" s="60">
        <v>750.53</v>
      </c>
      <c r="I676" s="60">
        <v>751.92</v>
      </c>
      <c r="J676" s="60">
        <v>788.24</v>
      </c>
      <c r="K676" s="60">
        <v>0</v>
      </c>
      <c r="L676" s="60">
        <v>0</v>
      </c>
      <c r="M676" s="60">
        <v>0</v>
      </c>
      <c r="N676" s="60">
        <v>0</v>
      </c>
      <c r="O676" s="60">
        <v>0</v>
      </c>
      <c r="P676" s="60">
        <v>0</v>
      </c>
      <c r="Q676" s="60">
        <v>0</v>
      </c>
      <c r="R676" s="60">
        <v>0</v>
      </c>
      <c r="S676" s="60">
        <v>0</v>
      </c>
      <c r="T676" s="60">
        <v>0</v>
      </c>
      <c r="U676" s="60">
        <v>0</v>
      </c>
      <c r="V676" s="60">
        <v>0</v>
      </c>
      <c r="W676" s="60">
        <v>0</v>
      </c>
      <c r="X676" s="60">
        <v>0</v>
      </c>
      <c r="Y676" s="60">
        <v>0</v>
      </c>
      <c r="Z676" s="60">
        <v>0</v>
      </c>
      <c r="AA676" s="60">
        <v>0</v>
      </c>
      <c r="AB676" s="60">
        <v>0</v>
      </c>
      <c r="AC676" s="60">
        <v>0</v>
      </c>
      <c r="AD676" s="60">
        <v>0</v>
      </c>
      <c r="AE676" s="60">
        <v>0</v>
      </c>
      <c r="AF676" s="60">
        <v>0</v>
      </c>
      <c r="AG676" s="60">
        <v>0</v>
      </c>
      <c r="AH676" s="60">
        <v>0</v>
      </c>
      <c r="AI676" s="60">
        <v>750.53</v>
      </c>
      <c r="AJ676" s="60">
        <v>751.92</v>
      </c>
      <c r="AK676" s="60">
        <v>788.24</v>
      </c>
      <c r="AL676" s="60">
        <v>0</v>
      </c>
      <c r="AM676" s="60">
        <v>0</v>
      </c>
      <c r="AN676" s="60">
        <v>0</v>
      </c>
      <c r="AO676" s="60">
        <v>750.53</v>
      </c>
      <c r="AP676" s="60">
        <v>751.92</v>
      </c>
      <c r="AQ676" s="60">
        <v>788.24</v>
      </c>
      <c r="AR676" s="61">
        <v>788.24</v>
      </c>
    </row>
    <row r="677" spans="1:44" x14ac:dyDescent="0.35">
      <c r="A677" s="49" t="str">
        <f>TEXT(25,"00")</f>
        <v>25</v>
      </c>
      <c r="B677" s="27">
        <v>73593</v>
      </c>
      <c r="C677" s="25" t="str">
        <f t="shared" si="57"/>
        <v>0000000</v>
      </c>
      <c r="D677" s="26" t="s">
        <v>3663</v>
      </c>
      <c r="E677" s="25" t="s">
        <v>1371</v>
      </c>
      <c r="F677" s="25" t="s">
        <v>1366</v>
      </c>
      <c r="G677" s="59" t="s">
        <v>1372</v>
      </c>
      <c r="H677" s="60">
        <v>366.43</v>
      </c>
      <c r="I677" s="60">
        <v>364.07</v>
      </c>
      <c r="J677" s="60">
        <v>386.9</v>
      </c>
      <c r="K677" s="60">
        <v>0</v>
      </c>
      <c r="L677" s="60">
        <v>0</v>
      </c>
      <c r="M677" s="60">
        <v>0</v>
      </c>
      <c r="N677" s="60">
        <v>0</v>
      </c>
      <c r="O677" s="60">
        <v>0</v>
      </c>
      <c r="P677" s="60">
        <v>0</v>
      </c>
      <c r="Q677" s="60">
        <v>0</v>
      </c>
      <c r="R677" s="60">
        <v>0</v>
      </c>
      <c r="S677" s="60">
        <v>0</v>
      </c>
      <c r="T677" s="60">
        <v>0</v>
      </c>
      <c r="U677" s="60">
        <v>0</v>
      </c>
      <c r="V677" s="60">
        <v>0</v>
      </c>
      <c r="W677" s="60">
        <v>0</v>
      </c>
      <c r="X677" s="60">
        <v>0</v>
      </c>
      <c r="Y677" s="60">
        <v>0</v>
      </c>
      <c r="Z677" s="60">
        <v>0</v>
      </c>
      <c r="AA677" s="60">
        <v>0</v>
      </c>
      <c r="AB677" s="60">
        <v>0</v>
      </c>
      <c r="AC677" s="60">
        <v>0</v>
      </c>
      <c r="AD677" s="60">
        <v>0</v>
      </c>
      <c r="AE677" s="60">
        <v>0</v>
      </c>
      <c r="AF677" s="60">
        <v>0</v>
      </c>
      <c r="AG677" s="60">
        <v>0</v>
      </c>
      <c r="AH677" s="60">
        <v>0</v>
      </c>
      <c r="AI677" s="60">
        <v>366.43</v>
      </c>
      <c r="AJ677" s="60">
        <v>364.07</v>
      </c>
      <c r="AK677" s="60">
        <v>386.9</v>
      </c>
      <c r="AL677" s="60">
        <v>0</v>
      </c>
      <c r="AM677" s="60">
        <v>0</v>
      </c>
      <c r="AN677" s="60">
        <v>0</v>
      </c>
      <c r="AO677" s="60">
        <v>366.43</v>
      </c>
      <c r="AP677" s="60">
        <v>364.07</v>
      </c>
      <c r="AQ677" s="60">
        <v>386.9</v>
      </c>
      <c r="AR677" s="61">
        <v>386.9</v>
      </c>
    </row>
    <row r="678" spans="1:44" x14ac:dyDescent="0.35">
      <c r="A678" s="49" t="str">
        <f>TEXT(34,"00")</f>
        <v>34</v>
      </c>
      <c r="B678" s="27">
        <v>67447</v>
      </c>
      <c r="C678" s="25" t="str">
        <f t="shared" si="57"/>
        <v>0000000</v>
      </c>
      <c r="D678" s="26" t="s">
        <v>3663</v>
      </c>
      <c r="E678" s="25" t="s">
        <v>1844</v>
      </c>
      <c r="F678" s="25" t="s">
        <v>1845</v>
      </c>
      <c r="G678" s="59" t="s">
        <v>1845</v>
      </c>
      <c r="H678" s="60">
        <v>34592.410000000003</v>
      </c>
      <c r="I678" s="60">
        <v>33980.519999999997</v>
      </c>
      <c r="J678" s="60">
        <v>37437.14</v>
      </c>
      <c r="K678" s="60">
        <v>0</v>
      </c>
      <c r="L678" s="60">
        <v>0</v>
      </c>
      <c r="M678" s="60">
        <v>0</v>
      </c>
      <c r="N678" s="60">
        <v>0</v>
      </c>
      <c r="O678" s="60">
        <v>0</v>
      </c>
      <c r="P678" s="60">
        <v>0</v>
      </c>
      <c r="Q678" s="60">
        <v>0</v>
      </c>
      <c r="R678" s="60">
        <v>0</v>
      </c>
      <c r="S678" s="60">
        <v>0</v>
      </c>
      <c r="T678" s="60">
        <v>0</v>
      </c>
      <c r="U678" s="60">
        <v>0</v>
      </c>
      <c r="V678" s="60">
        <v>0</v>
      </c>
      <c r="W678" s="60">
        <v>0</v>
      </c>
      <c r="X678" s="60">
        <v>0</v>
      </c>
      <c r="Y678" s="60">
        <v>0</v>
      </c>
      <c r="Z678" s="60">
        <v>0</v>
      </c>
      <c r="AA678" s="60">
        <v>0</v>
      </c>
      <c r="AB678" s="60">
        <v>0</v>
      </c>
      <c r="AC678" s="60">
        <v>7999.65</v>
      </c>
      <c r="AD678" s="60">
        <v>8082.01</v>
      </c>
      <c r="AE678" s="60">
        <v>8458.98</v>
      </c>
      <c r="AF678" s="60">
        <v>0</v>
      </c>
      <c r="AG678" s="60">
        <v>0</v>
      </c>
      <c r="AH678" s="60">
        <v>0</v>
      </c>
      <c r="AI678" s="60">
        <v>42592.06</v>
      </c>
      <c r="AJ678" s="60">
        <v>42062.53</v>
      </c>
      <c r="AK678" s="60">
        <v>45896.12</v>
      </c>
      <c r="AL678" s="60">
        <v>0</v>
      </c>
      <c r="AM678" s="60">
        <v>0</v>
      </c>
      <c r="AN678" s="60">
        <v>0</v>
      </c>
      <c r="AO678" s="60">
        <v>42592.06</v>
      </c>
      <c r="AP678" s="60">
        <v>42062.53</v>
      </c>
      <c r="AQ678" s="60">
        <v>45896.12</v>
      </c>
      <c r="AR678" s="61">
        <v>45896.12</v>
      </c>
    </row>
    <row r="679" spans="1:44" x14ac:dyDescent="0.35">
      <c r="A679" s="49" t="str">
        <f>TEXT(30,"00")</f>
        <v>30</v>
      </c>
      <c r="B679" s="27">
        <v>66464</v>
      </c>
      <c r="C679" s="25" t="str">
        <f t="shared" si="57"/>
        <v>0000000</v>
      </c>
      <c r="D679" s="26" t="s">
        <v>3663</v>
      </c>
      <c r="E679" s="25" t="s">
        <v>1547</v>
      </c>
      <c r="F679" s="25" t="s">
        <v>1548</v>
      </c>
      <c r="G679" s="59" t="s">
        <v>1548</v>
      </c>
      <c r="H679" s="60">
        <v>39032.33</v>
      </c>
      <c r="I679" s="60">
        <v>39692.32</v>
      </c>
      <c r="J679" s="60">
        <v>44504.35</v>
      </c>
      <c r="K679" s="60">
        <v>125.76</v>
      </c>
      <c r="L679" s="60">
        <v>113.65</v>
      </c>
      <c r="M679" s="60">
        <v>99.66</v>
      </c>
      <c r="N679" s="60">
        <v>0</v>
      </c>
      <c r="O679" s="60">
        <v>0</v>
      </c>
      <c r="P679" s="60">
        <v>0</v>
      </c>
      <c r="Q679" s="60">
        <v>0</v>
      </c>
      <c r="R679" s="60">
        <v>0</v>
      </c>
      <c r="S679" s="60">
        <v>0</v>
      </c>
      <c r="T679" s="60">
        <v>0</v>
      </c>
      <c r="U679" s="60">
        <v>0</v>
      </c>
      <c r="V679" s="60">
        <v>0</v>
      </c>
      <c r="W679" s="60">
        <v>0</v>
      </c>
      <c r="X679" s="60">
        <v>0</v>
      </c>
      <c r="Y679" s="60">
        <v>0</v>
      </c>
      <c r="Z679" s="60">
        <v>0</v>
      </c>
      <c r="AA679" s="60">
        <v>0</v>
      </c>
      <c r="AB679" s="60">
        <v>0</v>
      </c>
      <c r="AC679" s="60">
        <v>533.24</v>
      </c>
      <c r="AD679" s="60">
        <v>480.4</v>
      </c>
      <c r="AE679" s="60">
        <v>556.28</v>
      </c>
      <c r="AF679" s="60">
        <v>0</v>
      </c>
      <c r="AG679" s="60">
        <v>0</v>
      </c>
      <c r="AH679" s="60">
        <v>0</v>
      </c>
      <c r="AI679" s="60">
        <v>39691.33</v>
      </c>
      <c r="AJ679" s="60">
        <v>40286.370000000003</v>
      </c>
      <c r="AK679" s="60">
        <v>45160.29</v>
      </c>
      <c r="AL679" s="60">
        <v>0</v>
      </c>
      <c r="AM679" s="60">
        <v>0</v>
      </c>
      <c r="AN679" s="60">
        <v>0</v>
      </c>
      <c r="AO679" s="60">
        <v>39691.33</v>
      </c>
      <c r="AP679" s="60">
        <v>40286.370000000003</v>
      </c>
      <c r="AQ679" s="60">
        <v>45160.29</v>
      </c>
      <c r="AR679" s="61">
        <v>45160.29</v>
      </c>
    </row>
    <row r="680" spans="1:44" x14ac:dyDescent="0.35">
      <c r="A680" s="49" t="str">
        <f>TEXT(9,"00")</f>
        <v>09</v>
      </c>
      <c r="B680" s="27">
        <v>61903</v>
      </c>
      <c r="C680" s="25" t="str">
        <f t="shared" si="57"/>
        <v>0000000</v>
      </c>
      <c r="D680" s="26" t="s">
        <v>3663</v>
      </c>
      <c r="E680" s="25" t="s">
        <v>165</v>
      </c>
      <c r="F680" s="25" t="s">
        <v>166</v>
      </c>
      <c r="G680" s="59" t="s">
        <v>166</v>
      </c>
      <c r="H680" s="60">
        <v>3221.76</v>
      </c>
      <c r="I680" s="60">
        <v>3216.23</v>
      </c>
      <c r="J680" s="60">
        <v>3625.98</v>
      </c>
      <c r="K680" s="60">
        <v>0</v>
      </c>
      <c r="L680" s="60">
        <v>0</v>
      </c>
      <c r="M680" s="60">
        <v>0</v>
      </c>
      <c r="N680" s="60">
        <v>0</v>
      </c>
      <c r="O680" s="60">
        <v>0</v>
      </c>
      <c r="P680" s="60">
        <v>0</v>
      </c>
      <c r="Q680" s="60">
        <v>0</v>
      </c>
      <c r="R680" s="60">
        <v>0</v>
      </c>
      <c r="S680" s="60">
        <v>0</v>
      </c>
      <c r="T680" s="60">
        <v>0</v>
      </c>
      <c r="U680" s="60">
        <v>0</v>
      </c>
      <c r="V680" s="60">
        <v>0</v>
      </c>
      <c r="W680" s="60">
        <v>0</v>
      </c>
      <c r="X680" s="60">
        <v>0</v>
      </c>
      <c r="Y680" s="60">
        <v>0</v>
      </c>
      <c r="Z680" s="60">
        <v>0</v>
      </c>
      <c r="AA680" s="60">
        <v>0</v>
      </c>
      <c r="AB680" s="60">
        <v>0</v>
      </c>
      <c r="AC680" s="60">
        <v>0</v>
      </c>
      <c r="AD680" s="60">
        <v>0</v>
      </c>
      <c r="AE680" s="60">
        <v>0</v>
      </c>
      <c r="AF680" s="60">
        <v>0</v>
      </c>
      <c r="AG680" s="60">
        <v>0</v>
      </c>
      <c r="AH680" s="60">
        <v>0</v>
      </c>
      <c r="AI680" s="60">
        <v>3221.76</v>
      </c>
      <c r="AJ680" s="60">
        <v>3216.23</v>
      </c>
      <c r="AK680" s="60">
        <v>3625.98</v>
      </c>
      <c r="AL680" s="60">
        <v>0</v>
      </c>
      <c r="AM680" s="60">
        <v>0</v>
      </c>
      <c r="AN680" s="60">
        <v>0</v>
      </c>
      <c r="AO680" s="60">
        <v>3221.76</v>
      </c>
      <c r="AP680" s="60">
        <v>3216.23</v>
      </c>
      <c r="AQ680" s="60">
        <v>3625.98</v>
      </c>
      <c r="AR680" s="61">
        <v>3625.98</v>
      </c>
    </row>
    <row r="681" spans="1:44" x14ac:dyDescent="0.35">
      <c r="A681" s="49" t="str">
        <f>TEXT(2,"00")</f>
        <v>02</v>
      </c>
      <c r="B681" s="27">
        <v>61333</v>
      </c>
      <c r="C681" s="25" t="str">
        <f t="shared" si="57"/>
        <v>0000000</v>
      </c>
      <c r="D681" s="26" t="s">
        <v>3663</v>
      </c>
      <c r="E681" s="25" t="s">
        <v>169</v>
      </c>
      <c r="F681" s="25" t="s">
        <v>166</v>
      </c>
      <c r="G681" s="59" t="s">
        <v>170</v>
      </c>
      <c r="H681" s="60">
        <v>55.78</v>
      </c>
      <c r="I681" s="60">
        <v>56.7</v>
      </c>
      <c r="J681" s="60">
        <v>68.7</v>
      </c>
      <c r="K681" s="60">
        <v>0</v>
      </c>
      <c r="L681" s="60">
        <v>0</v>
      </c>
      <c r="M681" s="60">
        <v>0</v>
      </c>
      <c r="N681" s="60">
        <v>0</v>
      </c>
      <c r="O681" s="60">
        <v>0</v>
      </c>
      <c r="P681" s="60">
        <v>0</v>
      </c>
      <c r="Q681" s="60">
        <v>0</v>
      </c>
      <c r="R681" s="60">
        <v>0</v>
      </c>
      <c r="S681" s="60">
        <v>0</v>
      </c>
      <c r="T681" s="60">
        <v>0</v>
      </c>
      <c r="U681" s="60">
        <v>0</v>
      </c>
      <c r="V681" s="60">
        <v>0</v>
      </c>
      <c r="W681" s="60">
        <v>0</v>
      </c>
      <c r="X681" s="60">
        <v>0</v>
      </c>
      <c r="Y681" s="60">
        <v>0</v>
      </c>
      <c r="Z681" s="60">
        <v>0</v>
      </c>
      <c r="AA681" s="60">
        <v>0</v>
      </c>
      <c r="AB681" s="60">
        <v>0</v>
      </c>
      <c r="AC681" s="60">
        <v>0</v>
      </c>
      <c r="AD681" s="60">
        <v>0</v>
      </c>
      <c r="AE681" s="60">
        <v>0</v>
      </c>
      <c r="AF681" s="60">
        <v>0</v>
      </c>
      <c r="AG681" s="60">
        <v>0</v>
      </c>
      <c r="AH681" s="60">
        <v>0</v>
      </c>
      <c r="AI681" s="60">
        <v>55.78</v>
      </c>
      <c r="AJ681" s="60">
        <v>56.7</v>
      </c>
      <c r="AK681" s="60">
        <v>68.7</v>
      </c>
      <c r="AL681" s="60">
        <v>0</v>
      </c>
      <c r="AM681" s="60">
        <v>0</v>
      </c>
      <c r="AN681" s="60">
        <v>0</v>
      </c>
      <c r="AO681" s="60">
        <v>55.78</v>
      </c>
      <c r="AP681" s="60">
        <v>56.7</v>
      </c>
      <c r="AQ681" s="60">
        <v>68.7</v>
      </c>
      <c r="AR681" s="61">
        <v>68.7</v>
      </c>
    </row>
    <row r="682" spans="1:44" x14ac:dyDescent="0.35">
      <c r="A682" s="49" t="str">
        <f>TEXT(2,"00")</f>
        <v>02</v>
      </c>
      <c r="B682" s="27">
        <v>10025</v>
      </c>
      <c r="C682" s="25" t="str">
        <f t="shared" si="57"/>
        <v>0000000</v>
      </c>
      <c r="D682" s="26" t="s">
        <v>3663</v>
      </c>
      <c r="E682" s="25" t="s">
        <v>167</v>
      </c>
      <c r="F682" s="25" t="s">
        <v>166</v>
      </c>
      <c r="G682" s="59" t="s">
        <v>168</v>
      </c>
      <c r="H682" s="60">
        <v>0</v>
      </c>
      <c r="I682" s="60">
        <v>0</v>
      </c>
      <c r="J682" s="60">
        <v>0</v>
      </c>
      <c r="K682" s="60">
        <v>0</v>
      </c>
      <c r="L682" s="60">
        <v>0</v>
      </c>
      <c r="M682" s="60">
        <v>0</v>
      </c>
      <c r="N682" s="60">
        <v>0</v>
      </c>
      <c r="O682" s="60">
        <v>0</v>
      </c>
      <c r="P682" s="60">
        <v>0</v>
      </c>
      <c r="Q682" s="60">
        <v>0</v>
      </c>
      <c r="R682" s="60">
        <v>0</v>
      </c>
      <c r="S682" s="60">
        <v>0</v>
      </c>
      <c r="T682" s="60">
        <v>0</v>
      </c>
      <c r="U682" s="60">
        <v>0</v>
      </c>
      <c r="V682" s="60">
        <v>0</v>
      </c>
      <c r="W682" s="60">
        <v>22.22</v>
      </c>
      <c r="X682" s="60">
        <v>30.69</v>
      </c>
      <c r="Y682" s="60">
        <v>40.86</v>
      </c>
      <c r="Z682" s="60">
        <v>0</v>
      </c>
      <c r="AA682" s="60">
        <v>0</v>
      </c>
      <c r="AB682" s="60">
        <v>0</v>
      </c>
      <c r="AC682" s="60">
        <v>0</v>
      </c>
      <c r="AD682" s="60">
        <v>0</v>
      </c>
      <c r="AE682" s="60">
        <v>0</v>
      </c>
      <c r="AF682" s="60">
        <v>0</v>
      </c>
      <c r="AG682" s="60">
        <v>0</v>
      </c>
      <c r="AH682" s="60">
        <v>0</v>
      </c>
      <c r="AI682" s="60">
        <v>22.22</v>
      </c>
      <c r="AJ682" s="60">
        <v>30.69</v>
      </c>
      <c r="AK682" s="60">
        <v>40.86</v>
      </c>
      <c r="AL682" s="60">
        <v>0</v>
      </c>
      <c r="AM682" s="60">
        <v>0</v>
      </c>
      <c r="AN682" s="60">
        <v>0</v>
      </c>
      <c r="AO682" s="60">
        <v>22.22</v>
      </c>
      <c r="AP682" s="60">
        <v>30.69</v>
      </c>
      <c r="AQ682" s="60">
        <v>40.86</v>
      </c>
      <c r="AR682" s="61">
        <v>40.86</v>
      </c>
    </row>
    <row r="683" spans="1:44" x14ac:dyDescent="0.35">
      <c r="A683" s="49" t="str">
        <f>TEXT(19,"00")</f>
        <v>19</v>
      </c>
      <c r="B683" s="27">
        <v>73445</v>
      </c>
      <c r="C683" s="25" t="str">
        <f t="shared" si="57"/>
        <v>0000000</v>
      </c>
      <c r="D683" s="26" t="s">
        <v>3663</v>
      </c>
      <c r="E683" s="25" t="s">
        <v>1158</v>
      </c>
      <c r="F683" s="25" t="s">
        <v>1159</v>
      </c>
      <c r="G683" s="59" t="s">
        <v>1159</v>
      </c>
      <c r="H683" s="60">
        <v>14947.59</v>
      </c>
      <c r="I683" s="60">
        <v>14957.38</v>
      </c>
      <c r="J683" s="60">
        <v>17109.3</v>
      </c>
      <c r="K683" s="60">
        <v>0</v>
      </c>
      <c r="L683" s="60">
        <v>0</v>
      </c>
      <c r="M683" s="60">
        <v>0</v>
      </c>
      <c r="N683" s="60">
        <v>0</v>
      </c>
      <c r="O683" s="60">
        <v>0</v>
      </c>
      <c r="P683" s="60">
        <v>0</v>
      </c>
      <c r="Q683" s="60">
        <v>0</v>
      </c>
      <c r="R683" s="60">
        <v>0</v>
      </c>
      <c r="S683" s="60">
        <v>0</v>
      </c>
      <c r="T683" s="60">
        <v>6.71</v>
      </c>
      <c r="U683" s="60">
        <v>6.02</v>
      </c>
      <c r="V683" s="60">
        <v>17.37</v>
      </c>
      <c r="W683" s="60">
        <v>30.7</v>
      </c>
      <c r="X683" s="60">
        <v>32.44</v>
      </c>
      <c r="Y683" s="60">
        <v>33.53</v>
      </c>
      <c r="Z683" s="60">
        <v>0</v>
      </c>
      <c r="AA683" s="60">
        <v>0</v>
      </c>
      <c r="AB683" s="60">
        <v>0</v>
      </c>
      <c r="AC683" s="60">
        <v>0</v>
      </c>
      <c r="AD683" s="60">
        <v>0</v>
      </c>
      <c r="AE683" s="60">
        <v>0</v>
      </c>
      <c r="AF683" s="60">
        <v>0</v>
      </c>
      <c r="AG683" s="60">
        <v>0</v>
      </c>
      <c r="AH683" s="60">
        <v>0</v>
      </c>
      <c r="AI683" s="60">
        <v>14985</v>
      </c>
      <c r="AJ683" s="60">
        <v>14995.84</v>
      </c>
      <c r="AK683" s="60">
        <v>17160.2</v>
      </c>
      <c r="AL683" s="60">
        <v>0</v>
      </c>
      <c r="AM683" s="60">
        <v>0</v>
      </c>
      <c r="AN683" s="60">
        <v>0</v>
      </c>
      <c r="AO683" s="60">
        <v>14985</v>
      </c>
      <c r="AP683" s="60">
        <v>14995.84</v>
      </c>
      <c r="AQ683" s="60">
        <v>17160.2</v>
      </c>
      <c r="AR683" s="61">
        <v>17160.2</v>
      </c>
    </row>
    <row r="684" spans="1:44" x14ac:dyDescent="0.35">
      <c r="A684" s="49" t="str">
        <f t="shared" ref="A684:A701" si="58">TEXT(1,"00")</f>
        <v>01</v>
      </c>
      <c r="B684" s="27">
        <v>61127</v>
      </c>
      <c r="C684" s="25" t="str">
        <f t="shared" si="57"/>
        <v>0000000</v>
      </c>
      <c r="D684" s="26" t="s">
        <v>3663</v>
      </c>
      <c r="E684" s="25" t="s">
        <v>35</v>
      </c>
      <c r="F684" s="25" t="s">
        <v>36</v>
      </c>
      <c r="G684" s="59" t="s">
        <v>36</v>
      </c>
      <c r="H684" s="60">
        <v>3363.11</v>
      </c>
      <c r="I684" s="60">
        <v>3394.35</v>
      </c>
      <c r="J684" s="60">
        <v>3484.19</v>
      </c>
      <c r="K684" s="60">
        <v>0</v>
      </c>
      <c r="L684" s="60">
        <v>0</v>
      </c>
      <c r="M684" s="60">
        <v>0</v>
      </c>
      <c r="N684" s="60">
        <v>0</v>
      </c>
      <c r="O684" s="60">
        <v>0</v>
      </c>
      <c r="P684" s="60">
        <v>0</v>
      </c>
      <c r="Q684" s="60">
        <v>0</v>
      </c>
      <c r="R684" s="60">
        <v>0</v>
      </c>
      <c r="S684" s="60">
        <v>0</v>
      </c>
      <c r="T684" s="60">
        <v>0</v>
      </c>
      <c r="U684" s="60">
        <v>0</v>
      </c>
      <c r="V684" s="60">
        <v>0</v>
      </c>
      <c r="W684" s="60">
        <v>0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0">
        <v>0</v>
      </c>
      <c r="AD684" s="60">
        <v>0</v>
      </c>
      <c r="AE684" s="60">
        <v>0</v>
      </c>
      <c r="AF684" s="60">
        <v>0</v>
      </c>
      <c r="AG684" s="60">
        <v>0</v>
      </c>
      <c r="AH684" s="60">
        <v>0</v>
      </c>
      <c r="AI684" s="60">
        <v>3363.11</v>
      </c>
      <c r="AJ684" s="60">
        <v>3394.35</v>
      </c>
      <c r="AK684" s="60">
        <v>3484.19</v>
      </c>
      <c r="AL684" s="60">
        <v>0</v>
      </c>
      <c r="AM684" s="60">
        <v>0</v>
      </c>
      <c r="AN684" s="60">
        <v>0</v>
      </c>
      <c r="AO684" s="60">
        <v>3363.11</v>
      </c>
      <c r="AP684" s="60">
        <v>3394.35</v>
      </c>
      <c r="AQ684" s="60">
        <v>3484.19</v>
      </c>
      <c r="AR684" s="61">
        <v>3484.19</v>
      </c>
    </row>
    <row r="685" spans="1:44" x14ac:dyDescent="0.35">
      <c r="A685" s="49" t="str">
        <f t="shared" si="58"/>
        <v>01</v>
      </c>
      <c r="B685" s="27">
        <v>61143</v>
      </c>
      <c r="C685" s="25" t="str">
        <f t="shared" si="57"/>
        <v>0000000</v>
      </c>
      <c r="D685" s="26" t="s">
        <v>3663</v>
      </c>
      <c r="E685" s="25" t="s">
        <v>46</v>
      </c>
      <c r="F685" s="25" t="s">
        <v>36</v>
      </c>
      <c r="G685" s="59" t="s">
        <v>47</v>
      </c>
      <c r="H685" s="60">
        <v>8538.5300000000007</v>
      </c>
      <c r="I685" s="60">
        <v>8844.2099999999991</v>
      </c>
      <c r="J685" s="60">
        <v>9426.0300000000007</v>
      </c>
      <c r="K685" s="60">
        <v>0</v>
      </c>
      <c r="L685" s="60">
        <v>0</v>
      </c>
      <c r="M685" s="60">
        <v>0</v>
      </c>
      <c r="N685" s="60">
        <v>0</v>
      </c>
      <c r="O685" s="60">
        <v>0</v>
      </c>
      <c r="P685" s="60">
        <v>0</v>
      </c>
      <c r="Q685" s="60">
        <v>0</v>
      </c>
      <c r="R685" s="60">
        <v>0</v>
      </c>
      <c r="S685" s="60">
        <v>0</v>
      </c>
      <c r="T685" s="60">
        <v>0</v>
      </c>
      <c r="U685" s="60">
        <v>0</v>
      </c>
      <c r="V685" s="60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60">
        <v>0</v>
      </c>
      <c r="AE685" s="60">
        <v>0</v>
      </c>
      <c r="AF685" s="60">
        <v>0</v>
      </c>
      <c r="AG685" s="60">
        <v>0</v>
      </c>
      <c r="AH685" s="60">
        <v>0</v>
      </c>
      <c r="AI685" s="60">
        <v>8538.5300000000007</v>
      </c>
      <c r="AJ685" s="60">
        <v>8844.2099999999991</v>
      </c>
      <c r="AK685" s="60">
        <v>9426.0300000000007</v>
      </c>
      <c r="AL685" s="60">
        <v>0</v>
      </c>
      <c r="AM685" s="60">
        <v>0</v>
      </c>
      <c r="AN685" s="60">
        <v>0</v>
      </c>
      <c r="AO685" s="60">
        <v>8538.5300000000007</v>
      </c>
      <c r="AP685" s="60">
        <v>8844.2099999999991</v>
      </c>
      <c r="AQ685" s="60">
        <v>9426.0300000000007</v>
      </c>
      <c r="AR685" s="61">
        <v>9426.0300000000007</v>
      </c>
    </row>
    <row r="686" spans="1:44" x14ac:dyDescent="0.35">
      <c r="A686" s="49" t="str">
        <f t="shared" si="58"/>
        <v>01</v>
      </c>
      <c r="B686" s="27">
        <v>61168</v>
      </c>
      <c r="C686" s="25" t="str">
        <f t="shared" si="57"/>
        <v>0000000</v>
      </c>
      <c r="D686" s="26" t="s">
        <v>3663</v>
      </c>
      <c r="E686" s="25" t="s">
        <v>50</v>
      </c>
      <c r="F686" s="25" t="s">
        <v>36</v>
      </c>
      <c r="G686" s="59" t="s">
        <v>51</v>
      </c>
      <c r="H686" s="60">
        <v>565.66999999999996</v>
      </c>
      <c r="I686" s="60">
        <v>569.63</v>
      </c>
      <c r="J686" s="60">
        <v>688.6</v>
      </c>
      <c r="K686" s="60">
        <v>0</v>
      </c>
      <c r="L686" s="60">
        <v>0</v>
      </c>
      <c r="M686" s="60">
        <v>0</v>
      </c>
      <c r="N686" s="60">
        <v>0</v>
      </c>
      <c r="O686" s="60">
        <v>0</v>
      </c>
      <c r="P686" s="60">
        <v>0</v>
      </c>
      <c r="Q686" s="60">
        <v>0</v>
      </c>
      <c r="R686" s="60">
        <v>0</v>
      </c>
      <c r="S686" s="60">
        <v>0</v>
      </c>
      <c r="T686" s="60">
        <v>0</v>
      </c>
      <c r="U686" s="60">
        <v>0</v>
      </c>
      <c r="V686" s="60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0">
        <v>0</v>
      </c>
      <c r="AD686" s="60">
        <v>0</v>
      </c>
      <c r="AE686" s="60">
        <v>0</v>
      </c>
      <c r="AF686" s="60">
        <v>0</v>
      </c>
      <c r="AG686" s="60">
        <v>0</v>
      </c>
      <c r="AH686" s="60">
        <v>0</v>
      </c>
      <c r="AI686" s="60">
        <v>565.66999999999996</v>
      </c>
      <c r="AJ686" s="60">
        <v>569.63</v>
      </c>
      <c r="AK686" s="60">
        <v>688.6</v>
      </c>
      <c r="AL686" s="60">
        <v>0</v>
      </c>
      <c r="AM686" s="60">
        <v>0</v>
      </c>
      <c r="AN686" s="60">
        <v>0</v>
      </c>
      <c r="AO686" s="60">
        <v>565.66999999999996</v>
      </c>
      <c r="AP686" s="60">
        <v>569.63</v>
      </c>
      <c r="AQ686" s="60">
        <v>688.6</v>
      </c>
      <c r="AR686" s="61">
        <v>688.6</v>
      </c>
    </row>
    <row r="687" spans="1:44" x14ac:dyDescent="0.35">
      <c r="A687" s="49" t="str">
        <f t="shared" si="58"/>
        <v>01</v>
      </c>
      <c r="B687" s="27">
        <v>61275</v>
      </c>
      <c r="C687" s="25" t="str">
        <f t="shared" si="57"/>
        <v>0000000</v>
      </c>
      <c r="D687" s="26" t="s">
        <v>3663</v>
      </c>
      <c r="E687" s="25" t="s">
        <v>147</v>
      </c>
      <c r="F687" s="25" t="s">
        <v>36</v>
      </c>
      <c r="G687" s="59" t="s">
        <v>148</v>
      </c>
      <c r="H687" s="60">
        <v>2213.52</v>
      </c>
      <c r="I687" s="60">
        <v>2258.16</v>
      </c>
      <c r="J687" s="60">
        <v>2495.67</v>
      </c>
      <c r="K687" s="60">
        <v>0</v>
      </c>
      <c r="L687" s="60">
        <v>0</v>
      </c>
      <c r="M687" s="60">
        <v>0</v>
      </c>
      <c r="N687" s="60">
        <v>0</v>
      </c>
      <c r="O687" s="60">
        <v>0</v>
      </c>
      <c r="P687" s="60">
        <v>0</v>
      </c>
      <c r="Q687" s="60">
        <v>0</v>
      </c>
      <c r="R687" s="60">
        <v>0</v>
      </c>
      <c r="S687" s="60">
        <v>0</v>
      </c>
      <c r="T687" s="60">
        <v>0</v>
      </c>
      <c r="U687" s="60">
        <v>0</v>
      </c>
      <c r="V687" s="60">
        <v>0</v>
      </c>
      <c r="W687" s="60">
        <v>0</v>
      </c>
      <c r="X687" s="60">
        <v>0</v>
      </c>
      <c r="Y687" s="60">
        <v>0</v>
      </c>
      <c r="Z687" s="60">
        <v>0</v>
      </c>
      <c r="AA687" s="60">
        <v>0</v>
      </c>
      <c r="AB687" s="60">
        <v>0</v>
      </c>
      <c r="AC687" s="60">
        <v>0</v>
      </c>
      <c r="AD687" s="60">
        <v>0</v>
      </c>
      <c r="AE687" s="60">
        <v>0</v>
      </c>
      <c r="AF687" s="60">
        <v>0</v>
      </c>
      <c r="AG687" s="60">
        <v>0</v>
      </c>
      <c r="AH687" s="60">
        <v>0</v>
      </c>
      <c r="AI687" s="60">
        <v>2213.52</v>
      </c>
      <c r="AJ687" s="60">
        <v>2258.16</v>
      </c>
      <c r="AK687" s="60">
        <v>2495.67</v>
      </c>
      <c r="AL687" s="60">
        <v>0</v>
      </c>
      <c r="AM687" s="60">
        <v>0</v>
      </c>
      <c r="AN687" s="60">
        <v>0</v>
      </c>
      <c r="AO687" s="60">
        <v>2213.52</v>
      </c>
      <c r="AP687" s="60">
        <v>2258.16</v>
      </c>
      <c r="AQ687" s="60">
        <v>2495.67</v>
      </c>
      <c r="AR687" s="61">
        <v>2495.67</v>
      </c>
    </row>
    <row r="688" spans="1:44" x14ac:dyDescent="0.35">
      <c r="A688" s="49" t="str">
        <f t="shared" si="58"/>
        <v>01</v>
      </c>
      <c r="B688" s="27">
        <v>61119</v>
      </c>
      <c r="C688" s="25" t="str">
        <f t="shared" si="57"/>
        <v>0000000</v>
      </c>
      <c r="D688" s="26" t="s">
        <v>3663</v>
      </c>
      <c r="E688" s="25" t="s">
        <v>37</v>
      </c>
      <c r="F688" s="25" t="s">
        <v>36</v>
      </c>
      <c r="G688" s="59" t="s">
        <v>38</v>
      </c>
      <c r="H688" s="60">
        <v>8301.99</v>
      </c>
      <c r="I688" s="60">
        <v>8298.68</v>
      </c>
      <c r="J688" s="60">
        <v>8976</v>
      </c>
      <c r="K688" s="60">
        <v>0</v>
      </c>
      <c r="L688" s="60">
        <v>0</v>
      </c>
      <c r="M688" s="60">
        <v>0</v>
      </c>
      <c r="N688" s="60">
        <v>0</v>
      </c>
      <c r="O688" s="60">
        <v>0</v>
      </c>
      <c r="P688" s="60">
        <v>0</v>
      </c>
      <c r="Q688" s="60">
        <v>0</v>
      </c>
      <c r="R688" s="60">
        <v>0</v>
      </c>
      <c r="S688" s="60">
        <v>0</v>
      </c>
      <c r="T688" s="60">
        <v>0</v>
      </c>
      <c r="U688" s="60">
        <v>0</v>
      </c>
      <c r="V688" s="60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0">
        <v>0</v>
      </c>
      <c r="AD688" s="60">
        <v>0</v>
      </c>
      <c r="AE688" s="60">
        <v>155.19</v>
      </c>
      <c r="AF688" s="60">
        <v>0</v>
      </c>
      <c r="AG688" s="60">
        <v>0</v>
      </c>
      <c r="AH688" s="60">
        <v>0</v>
      </c>
      <c r="AI688" s="60">
        <v>8301.99</v>
      </c>
      <c r="AJ688" s="60">
        <v>8298.68</v>
      </c>
      <c r="AK688" s="60">
        <v>9131.19</v>
      </c>
      <c r="AL688" s="60">
        <v>0</v>
      </c>
      <c r="AM688" s="60">
        <v>0</v>
      </c>
      <c r="AN688" s="60">
        <v>0</v>
      </c>
      <c r="AO688" s="60">
        <v>8301.99</v>
      </c>
      <c r="AP688" s="60">
        <v>8298.68</v>
      </c>
      <c r="AQ688" s="60">
        <v>9131.19</v>
      </c>
      <c r="AR688" s="61">
        <v>9131.19</v>
      </c>
    </row>
    <row r="689" spans="1:44" x14ac:dyDescent="0.35">
      <c r="A689" s="49" t="str">
        <f t="shared" si="58"/>
        <v>01</v>
      </c>
      <c r="B689" s="27">
        <v>61150</v>
      </c>
      <c r="C689" s="25" t="str">
        <f t="shared" si="57"/>
        <v>0000000</v>
      </c>
      <c r="D689" s="26" t="s">
        <v>3663</v>
      </c>
      <c r="E689" s="25" t="s">
        <v>48</v>
      </c>
      <c r="F689" s="25" t="s">
        <v>49</v>
      </c>
      <c r="G689" s="59" t="s">
        <v>49</v>
      </c>
      <c r="H689" s="60">
        <v>8660.5300000000007</v>
      </c>
      <c r="I689" s="60">
        <v>8463.83</v>
      </c>
      <c r="J689" s="60">
        <v>8976.77</v>
      </c>
      <c r="K689" s="60">
        <v>0</v>
      </c>
      <c r="L689" s="60">
        <v>0</v>
      </c>
      <c r="M689" s="60">
        <v>0</v>
      </c>
      <c r="N689" s="60">
        <v>0</v>
      </c>
      <c r="O689" s="60">
        <v>0</v>
      </c>
      <c r="P689" s="60">
        <v>0</v>
      </c>
      <c r="Q689" s="60">
        <v>0</v>
      </c>
      <c r="R689" s="60">
        <v>0</v>
      </c>
      <c r="S689" s="60">
        <v>0</v>
      </c>
      <c r="T689" s="60">
        <v>0</v>
      </c>
      <c r="U689" s="60">
        <v>0</v>
      </c>
      <c r="V689" s="60">
        <v>0</v>
      </c>
      <c r="W689" s="60">
        <v>0</v>
      </c>
      <c r="X689" s="60">
        <v>0</v>
      </c>
      <c r="Y689" s="60">
        <v>0</v>
      </c>
      <c r="Z689" s="60">
        <v>0</v>
      </c>
      <c r="AA689" s="60">
        <v>0</v>
      </c>
      <c r="AB689" s="60">
        <v>0</v>
      </c>
      <c r="AC689" s="60">
        <v>0</v>
      </c>
      <c r="AD689" s="60">
        <v>0</v>
      </c>
      <c r="AE689" s="60">
        <v>0</v>
      </c>
      <c r="AF689" s="60">
        <v>0</v>
      </c>
      <c r="AG689" s="60">
        <v>0</v>
      </c>
      <c r="AH689" s="60">
        <v>0</v>
      </c>
      <c r="AI689" s="60">
        <v>8660.5300000000007</v>
      </c>
      <c r="AJ689" s="60">
        <v>8463.83</v>
      </c>
      <c r="AK689" s="60">
        <v>8976.77</v>
      </c>
      <c r="AL689" s="60">
        <v>0</v>
      </c>
      <c r="AM689" s="60">
        <v>0</v>
      </c>
      <c r="AN689" s="60">
        <v>0</v>
      </c>
      <c r="AO689" s="60">
        <v>8660.5300000000007</v>
      </c>
      <c r="AP689" s="60">
        <v>8463.83</v>
      </c>
      <c r="AQ689" s="60">
        <v>8976.77</v>
      </c>
      <c r="AR689" s="61">
        <v>8976.77</v>
      </c>
    </row>
    <row r="690" spans="1:44" x14ac:dyDescent="0.35">
      <c r="A690" s="49" t="str">
        <f t="shared" si="58"/>
        <v>01</v>
      </c>
      <c r="B690" s="27">
        <v>61291</v>
      </c>
      <c r="C690" s="25" t="str">
        <f t="shared" si="57"/>
        <v>0000000</v>
      </c>
      <c r="D690" s="26" t="s">
        <v>3663</v>
      </c>
      <c r="E690" s="25" t="s">
        <v>149</v>
      </c>
      <c r="F690" s="25" t="s">
        <v>49</v>
      </c>
      <c r="G690" s="59" t="s">
        <v>150</v>
      </c>
      <c r="H690" s="60">
        <v>7903.57</v>
      </c>
      <c r="I690" s="60">
        <v>7728.59</v>
      </c>
      <c r="J690" s="60">
        <v>8608.2099999999991</v>
      </c>
      <c r="K690" s="60">
        <v>0</v>
      </c>
      <c r="L690" s="60">
        <v>0</v>
      </c>
      <c r="M690" s="60">
        <v>0</v>
      </c>
      <c r="N690" s="60">
        <v>0</v>
      </c>
      <c r="O690" s="60">
        <v>0</v>
      </c>
      <c r="P690" s="60">
        <v>0</v>
      </c>
      <c r="Q690" s="60">
        <v>0</v>
      </c>
      <c r="R690" s="60">
        <v>0</v>
      </c>
      <c r="S690" s="60">
        <v>0</v>
      </c>
      <c r="T690" s="60">
        <v>0</v>
      </c>
      <c r="U690" s="60">
        <v>0</v>
      </c>
      <c r="V690" s="60">
        <v>0</v>
      </c>
      <c r="W690" s="60">
        <v>0</v>
      </c>
      <c r="X690" s="60">
        <v>0</v>
      </c>
      <c r="Y690" s="60">
        <v>0</v>
      </c>
      <c r="Z690" s="60">
        <v>0</v>
      </c>
      <c r="AA690" s="60">
        <v>0</v>
      </c>
      <c r="AB690" s="60">
        <v>0</v>
      </c>
      <c r="AC690" s="60">
        <v>0</v>
      </c>
      <c r="AD690" s="60">
        <v>0</v>
      </c>
      <c r="AE690" s="60">
        <v>0</v>
      </c>
      <c r="AF690" s="60">
        <v>0</v>
      </c>
      <c r="AG690" s="60">
        <v>0</v>
      </c>
      <c r="AH690" s="60">
        <v>0</v>
      </c>
      <c r="AI690" s="60">
        <v>7903.57</v>
      </c>
      <c r="AJ690" s="60">
        <v>7728.59</v>
      </c>
      <c r="AK690" s="60">
        <v>8608.2099999999991</v>
      </c>
      <c r="AL690" s="60">
        <v>0</v>
      </c>
      <c r="AM690" s="60">
        <v>0</v>
      </c>
      <c r="AN690" s="60">
        <v>0</v>
      </c>
      <c r="AO690" s="60">
        <v>7903.57</v>
      </c>
      <c r="AP690" s="60">
        <v>7728.59</v>
      </c>
      <c r="AQ690" s="60">
        <v>8608.2099999999991</v>
      </c>
      <c r="AR690" s="61">
        <v>8608.2099999999991</v>
      </c>
    </row>
    <row r="691" spans="1:44" x14ac:dyDescent="0.35">
      <c r="A691" s="49" t="str">
        <f t="shared" si="58"/>
        <v>01</v>
      </c>
      <c r="B691" s="27">
        <v>61309</v>
      </c>
      <c r="C691" s="25" t="str">
        <f t="shared" si="57"/>
        <v>0000000</v>
      </c>
      <c r="D691" s="26" t="s">
        <v>3663</v>
      </c>
      <c r="E691" s="25" t="s">
        <v>151</v>
      </c>
      <c r="F691" s="25" t="s">
        <v>49</v>
      </c>
      <c r="G691" s="59" t="s">
        <v>152</v>
      </c>
      <c r="H691" s="60">
        <v>7599.74</v>
      </c>
      <c r="I691" s="60">
        <v>7743.27</v>
      </c>
      <c r="J691" s="60">
        <v>9334.41</v>
      </c>
      <c r="K691" s="60">
        <v>0</v>
      </c>
      <c r="L691" s="60">
        <v>0</v>
      </c>
      <c r="M691" s="60">
        <v>0</v>
      </c>
      <c r="N691" s="60">
        <v>0</v>
      </c>
      <c r="O691" s="60">
        <v>0</v>
      </c>
      <c r="P691" s="60">
        <v>0</v>
      </c>
      <c r="Q691" s="60">
        <v>0</v>
      </c>
      <c r="R691" s="60">
        <v>0</v>
      </c>
      <c r="S691" s="60">
        <v>0</v>
      </c>
      <c r="T691" s="60">
        <v>0</v>
      </c>
      <c r="U691" s="60">
        <v>0</v>
      </c>
      <c r="V691" s="60">
        <v>0</v>
      </c>
      <c r="W691" s="60">
        <v>0</v>
      </c>
      <c r="X691" s="60">
        <v>0</v>
      </c>
      <c r="Y691" s="60">
        <v>0</v>
      </c>
      <c r="Z691" s="60">
        <v>0</v>
      </c>
      <c r="AA691" s="60">
        <v>0</v>
      </c>
      <c r="AB691" s="60">
        <v>0</v>
      </c>
      <c r="AC691" s="60">
        <v>0</v>
      </c>
      <c r="AD691" s="60">
        <v>0</v>
      </c>
      <c r="AE691" s="60">
        <v>0</v>
      </c>
      <c r="AF691" s="60">
        <v>0</v>
      </c>
      <c r="AG691" s="60">
        <v>0</v>
      </c>
      <c r="AH691" s="60">
        <v>0</v>
      </c>
      <c r="AI691" s="60">
        <v>7599.74</v>
      </c>
      <c r="AJ691" s="60">
        <v>7743.27</v>
      </c>
      <c r="AK691" s="60">
        <v>9334.41</v>
      </c>
      <c r="AL691" s="60">
        <v>0</v>
      </c>
      <c r="AM691" s="60">
        <v>0</v>
      </c>
      <c r="AN691" s="60">
        <v>0</v>
      </c>
      <c r="AO691" s="60">
        <v>7599.74</v>
      </c>
      <c r="AP691" s="60">
        <v>7743.27</v>
      </c>
      <c r="AQ691" s="60">
        <v>9334.41</v>
      </c>
      <c r="AR691" s="61">
        <v>9334.41</v>
      </c>
    </row>
    <row r="692" spans="1:44" x14ac:dyDescent="0.35">
      <c r="A692" s="49" t="str">
        <f t="shared" si="58"/>
        <v>01</v>
      </c>
      <c r="B692" s="27">
        <v>61192</v>
      </c>
      <c r="C692" s="25" t="str">
        <f t="shared" si="57"/>
        <v>0000000</v>
      </c>
      <c r="D692" s="26" t="s">
        <v>3663</v>
      </c>
      <c r="E692" s="25" t="s">
        <v>54</v>
      </c>
      <c r="F692" s="25" t="s">
        <v>49</v>
      </c>
      <c r="G692" s="59" t="s">
        <v>55</v>
      </c>
      <c r="H692" s="60">
        <v>16041.76</v>
      </c>
      <c r="I692" s="60">
        <v>15500.48</v>
      </c>
      <c r="J692" s="60">
        <v>18711.61</v>
      </c>
      <c r="K692" s="60">
        <v>0</v>
      </c>
      <c r="L692" s="60">
        <v>0</v>
      </c>
      <c r="M692" s="60">
        <v>0</v>
      </c>
      <c r="N692" s="60">
        <v>0</v>
      </c>
      <c r="O692" s="60">
        <v>0</v>
      </c>
      <c r="P692" s="60">
        <v>0</v>
      </c>
      <c r="Q692" s="60">
        <v>0</v>
      </c>
      <c r="R692" s="60">
        <v>0</v>
      </c>
      <c r="S692" s="60">
        <v>0</v>
      </c>
      <c r="T692" s="60">
        <v>0</v>
      </c>
      <c r="U692" s="60">
        <v>0</v>
      </c>
      <c r="V692" s="60">
        <v>0</v>
      </c>
      <c r="W692" s="60">
        <v>0</v>
      </c>
      <c r="X692" s="60">
        <v>0</v>
      </c>
      <c r="Y692" s="60">
        <v>0</v>
      </c>
      <c r="Z692" s="60">
        <v>0</v>
      </c>
      <c r="AA692" s="60">
        <v>0</v>
      </c>
      <c r="AB692" s="60">
        <v>0</v>
      </c>
      <c r="AC692" s="60">
        <v>0</v>
      </c>
      <c r="AD692" s="60">
        <v>0</v>
      </c>
      <c r="AE692" s="60">
        <v>0</v>
      </c>
      <c r="AF692" s="60">
        <v>0</v>
      </c>
      <c r="AG692" s="60">
        <v>0</v>
      </c>
      <c r="AH692" s="60">
        <v>0</v>
      </c>
      <c r="AI692" s="60">
        <v>16041.76</v>
      </c>
      <c r="AJ692" s="60">
        <v>15500.48</v>
      </c>
      <c r="AK692" s="60">
        <v>18711.61</v>
      </c>
      <c r="AL692" s="60">
        <v>0</v>
      </c>
      <c r="AM692" s="60">
        <v>0</v>
      </c>
      <c r="AN692" s="60">
        <v>0</v>
      </c>
      <c r="AO692" s="60">
        <v>16041.76</v>
      </c>
      <c r="AP692" s="60">
        <v>15500.48</v>
      </c>
      <c r="AQ692" s="60">
        <v>18711.61</v>
      </c>
      <c r="AR692" s="61">
        <v>18711.61</v>
      </c>
    </row>
    <row r="693" spans="1:44" x14ac:dyDescent="0.35">
      <c r="A693" s="49" t="str">
        <f t="shared" si="58"/>
        <v>01</v>
      </c>
      <c r="B693" s="27">
        <v>61176</v>
      </c>
      <c r="C693" s="25" t="str">
        <f t="shared" si="57"/>
        <v>0000000</v>
      </c>
      <c r="D693" s="26" t="s">
        <v>3663</v>
      </c>
      <c r="E693" s="25" t="s">
        <v>52</v>
      </c>
      <c r="F693" s="25" t="s">
        <v>53</v>
      </c>
      <c r="G693" s="59" t="s">
        <v>53</v>
      </c>
      <c r="H693" s="60">
        <v>31005.03</v>
      </c>
      <c r="I693" s="60">
        <v>32226.7</v>
      </c>
      <c r="J693" s="60">
        <v>34009.5</v>
      </c>
      <c r="K693" s="60">
        <v>0</v>
      </c>
      <c r="L693" s="60">
        <v>0</v>
      </c>
      <c r="M693" s="60">
        <v>0</v>
      </c>
      <c r="N693" s="60">
        <v>0</v>
      </c>
      <c r="O693" s="60">
        <v>0</v>
      </c>
      <c r="P693" s="60">
        <v>0</v>
      </c>
      <c r="Q693" s="60">
        <v>0</v>
      </c>
      <c r="R693" s="60">
        <v>0</v>
      </c>
      <c r="S693" s="60">
        <v>0</v>
      </c>
      <c r="T693" s="60">
        <v>0</v>
      </c>
      <c r="U693" s="60">
        <v>0</v>
      </c>
      <c r="V693" s="60">
        <v>0</v>
      </c>
      <c r="W693" s="60">
        <v>0</v>
      </c>
      <c r="X693" s="60">
        <v>0</v>
      </c>
      <c r="Y693" s="60">
        <v>0</v>
      </c>
      <c r="Z693" s="60">
        <v>0</v>
      </c>
      <c r="AA693" s="60">
        <v>0</v>
      </c>
      <c r="AB693" s="60">
        <v>0</v>
      </c>
      <c r="AC693" s="60">
        <v>398.62</v>
      </c>
      <c r="AD693" s="60">
        <v>400.2</v>
      </c>
      <c r="AE693" s="60">
        <v>0</v>
      </c>
      <c r="AF693" s="60">
        <v>0</v>
      </c>
      <c r="AG693" s="60">
        <v>0</v>
      </c>
      <c r="AH693" s="60">
        <v>0</v>
      </c>
      <c r="AI693" s="60">
        <v>31403.65</v>
      </c>
      <c r="AJ693" s="60">
        <v>32626.9</v>
      </c>
      <c r="AK693" s="60">
        <v>34009.5</v>
      </c>
      <c r="AL693" s="60">
        <v>0</v>
      </c>
      <c r="AM693" s="60">
        <v>0</v>
      </c>
      <c r="AN693" s="60">
        <v>0</v>
      </c>
      <c r="AO693" s="60">
        <v>31403.65</v>
      </c>
      <c r="AP693" s="60">
        <v>32626.9</v>
      </c>
      <c r="AQ693" s="60">
        <v>34009.5</v>
      </c>
      <c r="AR693" s="61">
        <v>34009.5</v>
      </c>
    </row>
    <row r="694" spans="1:44" x14ac:dyDescent="0.35">
      <c r="A694" s="49" t="str">
        <f t="shared" si="58"/>
        <v>01</v>
      </c>
      <c r="B694" s="27">
        <v>61242</v>
      </c>
      <c r="C694" s="25" t="str">
        <f t="shared" si="57"/>
        <v>0000000</v>
      </c>
      <c r="D694" s="26" t="s">
        <v>3663</v>
      </c>
      <c r="E694" s="25" t="s">
        <v>72</v>
      </c>
      <c r="F694" s="25" t="s">
        <v>53</v>
      </c>
      <c r="G694" s="59" t="s">
        <v>73</v>
      </c>
      <c r="H694" s="60">
        <v>9393.01</v>
      </c>
      <c r="I694" s="60">
        <v>9351.6299999999992</v>
      </c>
      <c r="J694" s="60">
        <v>10476.709999999999</v>
      </c>
      <c r="K694" s="60">
        <v>0</v>
      </c>
      <c r="L694" s="60">
        <v>0</v>
      </c>
      <c r="M694" s="60">
        <v>0</v>
      </c>
      <c r="N694" s="60">
        <v>0</v>
      </c>
      <c r="O694" s="60">
        <v>0</v>
      </c>
      <c r="P694" s="60">
        <v>0</v>
      </c>
      <c r="Q694" s="60">
        <v>0</v>
      </c>
      <c r="R694" s="60">
        <v>0</v>
      </c>
      <c r="S694" s="60">
        <v>0</v>
      </c>
      <c r="T694" s="60">
        <v>0</v>
      </c>
      <c r="U694" s="60">
        <v>0</v>
      </c>
      <c r="V694" s="60">
        <v>0</v>
      </c>
      <c r="W694" s="60">
        <v>0</v>
      </c>
      <c r="X694" s="60">
        <v>0</v>
      </c>
      <c r="Y694" s="60">
        <v>0</v>
      </c>
      <c r="Z694" s="60">
        <v>0</v>
      </c>
      <c r="AA694" s="60">
        <v>0</v>
      </c>
      <c r="AB694" s="60">
        <v>0</v>
      </c>
      <c r="AC694" s="60">
        <v>0</v>
      </c>
      <c r="AD694" s="60">
        <v>0</v>
      </c>
      <c r="AE694" s="60">
        <v>0</v>
      </c>
      <c r="AF694" s="60">
        <v>0</v>
      </c>
      <c r="AG694" s="60">
        <v>0</v>
      </c>
      <c r="AH694" s="60">
        <v>0</v>
      </c>
      <c r="AI694" s="60">
        <v>9393.01</v>
      </c>
      <c r="AJ694" s="60">
        <v>9351.6299999999992</v>
      </c>
      <c r="AK694" s="60">
        <v>10476.709999999999</v>
      </c>
      <c r="AL694" s="60">
        <v>0</v>
      </c>
      <c r="AM694" s="60">
        <v>0</v>
      </c>
      <c r="AN694" s="60">
        <v>0</v>
      </c>
      <c r="AO694" s="60">
        <v>9393.01</v>
      </c>
      <c r="AP694" s="60">
        <v>9351.6299999999992</v>
      </c>
      <c r="AQ694" s="60">
        <v>10476.709999999999</v>
      </c>
      <c r="AR694" s="61">
        <v>10476.709999999999</v>
      </c>
    </row>
    <row r="695" spans="1:44" x14ac:dyDescent="0.35">
      <c r="A695" s="49" t="str">
        <f t="shared" si="58"/>
        <v>01</v>
      </c>
      <c r="B695" s="27">
        <v>61234</v>
      </c>
      <c r="C695" s="25" t="str">
        <f t="shared" si="57"/>
        <v>0000000</v>
      </c>
      <c r="D695" s="26" t="s">
        <v>3663</v>
      </c>
      <c r="E695" s="25" t="s">
        <v>70</v>
      </c>
      <c r="F695" s="25" t="s">
        <v>53</v>
      </c>
      <c r="G695" s="59" t="s">
        <v>71</v>
      </c>
      <c r="H695" s="60">
        <v>4574.3900000000003</v>
      </c>
      <c r="I695" s="60">
        <v>4721.33</v>
      </c>
      <c r="J695" s="60">
        <v>5482.67</v>
      </c>
      <c r="K695" s="60">
        <v>0</v>
      </c>
      <c r="L695" s="60">
        <v>0</v>
      </c>
      <c r="M695" s="60">
        <v>0</v>
      </c>
      <c r="N695" s="60">
        <v>0</v>
      </c>
      <c r="O695" s="60">
        <v>0</v>
      </c>
      <c r="P695" s="60">
        <v>0</v>
      </c>
      <c r="Q695" s="60">
        <v>0</v>
      </c>
      <c r="R695" s="60">
        <v>0</v>
      </c>
      <c r="S695" s="60">
        <v>0</v>
      </c>
      <c r="T695" s="60">
        <v>0</v>
      </c>
      <c r="U695" s="60">
        <v>0</v>
      </c>
      <c r="V695" s="60">
        <v>0</v>
      </c>
      <c r="W695" s="60">
        <v>0</v>
      </c>
      <c r="X695" s="60">
        <v>0</v>
      </c>
      <c r="Y695" s="60">
        <v>0</v>
      </c>
      <c r="Z695" s="60">
        <v>0</v>
      </c>
      <c r="AA695" s="60">
        <v>0</v>
      </c>
      <c r="AB695" s="60">
        <v>0</v>
      </c>
      <c r="AC695" s="60">
        <v>0</v>
      </c>
      <c r="AD695" s="60">
        <v>0</v>
      </c>
      <c r="AE695" s="60">
        <v>0</v>
      </c>
      <c r="AF695" s="60">
        <v>0</v>
      </c>
      <c r="AG695" s="60">
        <v>0</v>
      </c>
      <c r="AH695" s="60">
        <v>0</v>
      </c>
      <c r="AI695" s="60">
        <v>4574.3900000000003</v>
      </c>
      <c r="AJ695" s="60">
        <v>4721.33</v>
      </c>
      <c r="AK695" s="60">
        <v>5482.67</v>
      </c>
      <c r="AL695" s="60">
        <v>0</v>
      </c>
      <c r="AM695" s="60">
        <v>0</v>
      </c>
      <c r="AN695" s="60">
        <v>0</v>
      </c>
      <c r="AO695" s="60">
        <v>4574.3900000000003</v>
      </c>
      <c r="AP695" s="60">
        <v>4721.33</v>
      </c>
      <c r="AQ695" s="60">
        <v>5482.67</v>
      </c>
      <c r="AR695" s="61">
        <v>5482.67</v>
      </c>
    </row>
    <row r="696" spans="1:44" x14ac:dyDescent="0.35">
      <c r="A696" s="49" t="str">
        <f t="shared" si="58"/>
        <v>01</v>
      </c>
      <c r="B696" s="27">
        <v>75101</v>
      </c>
      <c r="C696" s="25" t="str">
        <f t="shared" si="57"/>
        <v>0000000</v>
      </c>
      <c r="D696" s="26" t="s">
        <v>3663</v>
      </c>
      <c r="E696" s="25" t="s">
        <v>0</v>
      </c>
      <c r="F696" s="25" t="s">
        <v>1</v>
      </c>
      <c r="G696" s="59" t="s">
        <v>1</v>
      </c>
      <c r="H696" s="60">
        <v>13434.08</v>
      </c>
      <c r="I696" s="60">
        <v>13437.81</v>
      </c>
      <c r="J696" s="60">
        <v>14367.5</v>
      </c>
      <c r="K696" s="60">
        <v>0</v>
      </c>
      <c r="L696" s="60">
        <v>0</v>
      </c>
      <c r="M696" s="60">
        <v>0</v>
      </c>
      <c r="N696" s="60">
        <v>0</v>
      </c>
      <c r="O696" s="60">
        <v>0</v>
      </c>
      <c r="P696" s="60">
        <v>0</v>
      </c>
      <c r="Q696" s="60">
        <v>0</v>
      </c>
      <c r="R696" s="60">
        <v>0</v>
      </c>
      <c r="S696" s="60">
        <v>0</v>
      </c>
      <c r="T696" s="60">
        <v>0</v>
      </c>
      <c r="U696" s="60">
        <v>0</v>
      </c>
      <c r="V696" s="60">
        <v>0</v>
      </c>
      <c r="W696" s="60">
        <v>0</v>
      </c>
      <c r="X696" s="60">
        <v>0</v>
      </c>
      <c r="Y696" s="60">
        <v>0</v>
      </c>
      <c r="Z696" s="60">
        <v>0</v>
      </c>
      <c r="AA696" s="60">
        <v>0</v>
      </c>
      <c r="AB696" s="60">
        <v>0</v>
      </c>
      <c r="AC696" s="60">
        <v>0</v>
      </c>
      <c r="AD696" s="60">
        <v>0</v>
      </c>
      <c r="AE696" s="60">
        <v>0</v>
      </c>
      <c r="AF696" s="60">
        <v>0</v>
      </c>
      <c r="AG696" s="60">
        <v>0</v>
      </c>
      <c r="AH696" s="60">
        <v>0</v>
      </c>
      <c r="AI696" s="60">
        <v>13434.08</v>
      </c>
      <c r="AJ696" s="60">
        <v>13437.81</v>
      </c>
      <c r="AK696" s="60">
        <v>14367.5</v>
      </c>
      <c r="AL696" s="60">
        <v>0</v>
      </c>
      <c r="AM696" s="60">
        <v>0</v>
      </c>
      <c r="AN696" s="60">
        <v>0</v>
      </c>
      <c r="AO696" s="60">
        <v>13434.08</v>
      </c>
      <c r="AP696" s="60">
        <v>13437.81</v>
      </c>
      <c r="AQ696" s="60">
        <v>14367.5</v>
      </c>
      <c r="AR696" s="61">
        <v>14367.5</v>
      </c>
    </row>
    <row r="697" spans="1:44" x14ac:dyDescent="0.35">
      <c r="A697" s="49" t="str">
        <f t="shared" si="58"/>
        <v>01</v>
      </c>
      <c r="B697" s="27">
        <v>61200</v>
      </c>
      <c r="C697" s="25" t="str">
        <f t="shared" si="57"/>
        <v>0000000</v>
      </c>
      <c r="D697" s="26" t="s">
        <v>3663</v>
      </c>
      <c r="E697" s="25" t="s">
        <v>66</v>
      </c>
      <c r="F697" s="25" t="s">
        <v>1</v>
      </c>
      <c r="G697" s="59" t="s">
        <v>67</v>
      </c>
      <c r="H697" s="60">
        <v>12164.64</v>
      </c>
      <c r="I697" s="60">
        <v>12050.83</v>
      </c>
      <c r="J697" s="60">
        <v>13195.12</v>
      </c>
      <c r="K697" s="60">
        <v>0</v>
      </c>
      <c r="L697" s="60">
        <v>0</v>
      </c>
      <c r="M697" s="60">
        <v>0</v>
      </c>
      <c r="N697" s="60">
        <v>0</v>
      </c>
      <c r="O697" s="60">
        <v>0</v>
      </c>
      <c r="P697" s="60">
        <v>0</v>
      </c>
      <c r="Q697" s="60">
        <v>0</v>
      </c>
      <c r="R697" s="60">
        <v>0</v>
      </c>
      <c r="S697" s="60">
        <v>0</v>
      </c>
      <c r="T697" s="60">
        <v>0</v>
      </c>
      <c r="U697" s="60">
        <v>0</v>
      </c>
      <c r="V697" s="60">
        <v>0</v>
      </c>
      <c r="W697" s="60">
        <v>0</v>
      </c>
      <c r="X697" s="60">
        <v>0</v>
      </c>
      <c r="Y697" s="60">
        <v>0</v>
      </c>
      <c r="Z697" s="60">
        <v>0</v>
      </c>
      <c r="AA697" s="60">
        <v>0</v>
      </c>
      <c r="AB697" s="60">
        <v>0</v>
      </c>
      <c r="AC697" s="60">
        <v>0</v>
      </c>
      <c r="AD697" s="60">
        <v>0</v>
      </c>
      <c r="AE697" s="60">
        <v>0</v>
      </c>
      <c r="AF697" s="60">
        <v>0</v>
      </c>
      <c r="AG697" s="60">
        <v>0</v>
      </c>
      <c r="AH697" s="60">
        <v>0</v>
      </c>
      <c r="AI697" s="60">
        <v>12164.64</v>
      </c>
      <c r="AJ697" s="60">
        <v>12050.83</v>
      </c>
      <c r="AK697" s="60">
        <v>13195.12</v>
      </c>
      <c r="AL697" s="60">
        <v>0</v>
      </c>
      <c r="AM697" s="60">
        <v>0</v>
      </c>
      <c r="AN697" s="60">
        <v>0</v>
      </c>
      <c r="AO697" s="60">
        <v>12164.64</v>
      </c>
      <c r="AP697" s="60">
        <v>12050.83</v>
      </c>
      <c r="AQ697" s="60">
        <v>13195.12</v>
      </c>
      <c r="AR697" s="61">
        <v>13195.12</v>
      </c>
    </row>
    <row r="698" spans="1:44" x14ac:dyDescent="0.35">
      <c r="A698" s="49" t="str">
        <f t="shared" si="58"/>
        <v>01</v>
      </c>
      <c r="B698" s="27">
        <v>10017</v>
      </c>
      <c r="C698" s="25" t="str">
        <f t="shared" si="57"/>
        <v>0000000</v>
      </c>
      <c r="D698" s="26" t="s">
        <v>3663</v>
      </c>
      <c r="E698" s="25" t="s">
        <v>2</v>
      </c>
      <c r="F698" s="25" t="s">
        <v>1</v>
      </c>
      <c r="G698" s="59" t="s">
        <v>3</v>
      </c>
      <c r="H698" s="60">
        <v>0</v>
      </c>
      <c r="I698" s="60">
        <v>0</v>
      </c>
      <c r="J698" s="60">
        <v>0</v>
      </c>
      <c r="K698" s="60">
        <v>0</v>
      </c>
      <c r="L698" s="60">
        <v>0</v>
      </c>
      <c r="M698" s="60">
        <v>0</v>
      </c>
      <c r="N698" s="60">
        <v>0</v>
      </c>
      <c r="O698" s="60">
        <v>0</v>
      </c>
      <c r="P698" s="60">
        <v>0</v>
      </c>
      <c r="Q698" s="60">
        <v>0</v>
      </c>
      <c r="R698" s="60">
        <v>0</v>
      </c>
      <c r="S698" s="60">
        <v>0</v>
      </c>
      <c r="T698" s="60">
        <v>115.3</v>
      </c>
      <c r="U698" s="60">
        <v>118.64</v>
      </c>
      <c r="V698" s="60">
        <v>276.97000000000003</v>
      </c>
      <c r="W698" s="60">
        <v>154.08000000000001</v>
      </c>
      <c r="X698" s="60">
        <v>144.06</v>
      </c>
      <c r="Y698" s="60">
        <v>125.67</v>
      </c>
      <c r="Z698" s="60">
        <v>0</v>
      </c>
      <c r="AA698" s="60">
        <v>0</v>
      </c>
      <c r="AB698" s="60">
        <v>0</v>
      </c>
      <c r="AC698" s="60">
        <v>0</v>
      </c>
      <c r="AD698" s="60">
        <v>0</v>
      </c>
      <c r="AE698" s="60">
        <v>0</v>
      </c>
      <c r="AF698" s="60">
        <v>0</v>
      </c>
      <c r="AG698" s="60">
        <v>0</v>
      </c>
      <c r="AH698" s="60">
        <v>0</v>
      </c>
      <c r="AI698" s="60">
        <v>269.38</v>
      </c>
      <c r="AJ698" s="60">
        <v>262.7</v>
      </c>
      <c r="AK698" s="60">
        <v>402.64</v>
      </c>
      <c r="AL698" s="60">
        <v>0</v>
      </c>
      <c r="AM698" s="60">
        <v>0</v>
      </c>
      <c r="AN698" s="60">
        <v>0</v>
      </c>
      <c r="AO698" s="60">
        <v>269.38</v>
      </c>
      <c r="AP698" s="60">
        <v>262.7</v>
      </c>
      <c r="AQ698" s="60">
        <v>402.64</v>
      </c>
      <c r="AR698" s="61">
        <v>402.64</v>
      </c>
    </row>
    <row r="699" spans="1:44" x14ac:dyDescent="0.35">
      <c r="A699" s="49" t="str">
        <f t="shared" si="58"/>
        <v>01</v>
      </c>
      <c r="B699" s="27">
        <v>75093</v>
      </c>
      <c r="C699" s="25" t="str">
        <f t="shared" si="57"/>
        <v>0000000</v>
      </c>
      <c r="D699" s="26" t="s">
        <v>3663</v>
      </c>
      <c r="E699" s="25" t="s">
        <v>159</v>
      </c>
      <c r="F699" s="25" t="s">
        <v>1</v>
      </c>
      <c r="G699" s="59" t="s">
        <v>160</v>
      </c>
      <c r="H699" s="60">
        <v>11987.97</v>
      </c>
      <c r="I699" s="60">
        <v>11933.57</v>
      </c>
      <c r="J699" s="60">
        <v>12207.37</v>
      </c>
      <c r="K699" s="60">
        <v>0</v>
      </c>
      <c r="L699" s="60">
        <v>0</v>
      </c>
      <c r="M699" s="60">
        <v>0</v>
      </c>
      <c r="N699" s="60">
        <v>0</v>
      </c>
      <c r="O699" s="60">
        <v>0</v>
      </c>
      <c r="P699" s="60">
        <v>0</v>
      </c>
      <c r="Q699" s="60">
        <v>0</v>
      </c>
      <c r="R699" s="60">
        <v>0</v>
      </c>
      <c r="S699" s="60">
        <v>0</v>
      </c>
      <c r="T699" s="60">
        <v>0</v>
      </c>
      <c r="U699" s="60">
        <v>0</v>
      </c>
      <c r="V699" s="60">
        <v>0</v>
      </c>
      <c r="W699" s="60">
        <v>0</v>
      </c>
      <c r="X699" s="60">
        <v>0</v>
      </c>
      <c r="Y699" s="60">
        <v>0</v>
      </c>
      <c r="Z699" s="60">
        <v>0</v>
      </c>
      <c r="AA699" s="60">
        <v>0</v>
      </c>
      <c r="AB699" s="60">
        <v>0</v>
      </c>
      <c r="AC699" s="60">
        <v>0</v>
      </c>
      <c r="AD699" s="60">
        <v>0</v>
      </c>
      <c r="AE699" s="60">
        <v>0</v>
      </c>
      <c r="AF699" s="60">
        <v>0</v>
      </c>
      <c r="AG699" s="60">
        <v>0</v>
      </c>
      <c r="AH699" s="60">
        <v>0</v>
      </c>
      <c r="AI699" s="60">
        <v>11987.97</v>
      </c>
      <c r="AJ699" s="60">
        <v>11933.57</v>
      </c>
      <c r="AK699" s="60">
        <v>12207.37</v>
      </c>
      <c r="AL699" s="60">
        <v>0</v>
      </c>
      <c r="AM699" s="60">
        <v>0</v>
      </c>
      <c r="AN699" s="60">
        <v>0</v>
      </c>
      <c r="AO699" s="60">
        <v>11987.97</v>
      </c>
      <c r="AP699" s="60">
        <v>11933.57</v>
      </c>
      <c r="AQ699" s="60">
        <v>12207.37</v>
      </c>
      <c r="AR699" s="61">
        <v>12207.37</v>
      </c>
    </row>
    <row r="700" spans="1:44" x14ac:dyDescent="0.35">
      <c r="A700" s="49" t="str">
        <f t="shared" si="58"/>
        <v>01</v>
      </c>
      <c r="B700" s="27">
        <v>61218</v>
      </c>
      <c r="C700" s="25" t="str">
        <f t="shared" si="57"/>
        <v>0000000</v>
      </c>
      <c r="D700" s="26" t="s">
        <v>3663</v>
      </c>
      <c r="E700" s="25" t="s">
        <v>68</v>
      </c>
      <c r="F700" s="25" t="s">
        <v>1</v>
      </c>
      <c r="G700" s="59" t="s">
        <v>69</v>
      </c>
      <c r="H700" s="60">
        <v>19.47</v>
      </c>
      <c r="I700" s="60">
        <v>17.62</v>
      </c>
      <c r="J700" s="60">
        <v>14.62</v>
      </c>
      <c r="K700" s="60">
        <v>0</v>
      </c>
      <c r="L700" s="60">
        <v>0</v>
      </c>
      <c r="M700" s="60">
        <v>0</v>
      </c>
      <c r="N700" s="60">
        <v>0</v>
      </c>
      <c r="O700" s="60">
        <v>0</v>
      </c>
      <c r="P700" s="60">
        <v>0</v>
      </c>
      <c r="Q700" s="60">
        <v>0</v>
      </c>
      <c r="R700" s="60">
        <v>0</v>
      </c>
      <c r="S700" s="60">
        <v>0</v>
      </c>
      <c r="T700" s="60">
        <v>0</v>
      </c>
      <c r="U700" s="60">
        <v>0</v>
      </c>
      <c r="V700" s="60">
        <v>0</v>
      </c>
      <c r="W700" s="60">
        <v>0</v>
      </c>
      <c r="X700" s="60">
        <v>0</v>
      </c>
      <c r="Y700" s="60">
        <v>0</v>
      </c>
      <c r="Z700" s="60">
        <v>0</v>
      </c>
      <c r="AA700" s="60">
        <v>0</v>
      </c>
      <c r="AB700" s="60">
        <v>0</v>
      </c>
      <c r="AC700" s="60">
        <v>0</v>
      </c>
      <c r="AD700" s="60">
        <v>0</v>
      </c>
      <c r="AE700" s="60">
        <v>0</v>
      </c>
      <c r="AF700" s="60">
        <v>0</v>
      </c>
      <c r="AG700" s="60">
        <v>0</v>
      </c>
      <c r="AH700" s="60">
        <v>0</v>
      </c>
      <c r="AI700" s="60">
        <v>19.47</v>
      </c>
      <c r="AJ700" s="60">
        <v>17.62</v>
      </c>
      <c r="AK700" s="60">
        <v>14.62</v>
      </c>
      <c r="AL700" s="60">
        <v>0</v>
      </c>
      <c r="AM700" s="60">
        <v>0</v>
      </c>
      <c r="AN700" s="60">
        <v>0</v>
      </c>
      <c r="AO700" s="60">
        <v>19.47</v>
      </c>
      <c r="AP700" s="60">
        <v>17.62</v>
      </c>
      <c r="AQ700" s="60">
        <v>14.62</v>
      </c>
      <c r="AR700" s="61">
        <v>19.47</v>
      </c>
    </row>
    <row r="701" spans="1:44" x14ac:dyDescent="0.35">
      <c r="A701" s="49" t="str">
        <f t="shared" si="58"/>
        <v>01</v>
      </c>
      <c r="B701" s="27">
        <v>75119</v>
      </c>
      <c r="C701" s="25" t="str">
        <f t="shared" si="57"/>
        <v>0000000</v>
      </c>
      <c r="D701" s="26" t="s">
        <v>3663</v>
      </c>
      <c r="E701" s="25" t="s">
        <v>161</v>
      </c>
      <c r="F701" s="25" t="s">
        <v>1</v>
      </c>
      <c r="G701" s="59" t="s">
        <v>162</v>
      </c>
      <c r="H701" s="60">
        <v>257.41000000000003</v>
      </c>
      <c r="I701" s="60">
        <v>253.91</v>
      </c>
      <c r="J701" s="60">
        <v>279.06</v>
      </c>
      <c r="K701" s="60">
        <v>0</v>
      </c>
      <c r="L701" s="60">
        <v>0</v>
      </c>
      <c r="M701" s="60">
        <v>0</v>
      </c>
      <c r="N701" s="60">
        <v>0</v>
      </c>
      <c r="O701" s="60">
        <v>0</v>
      </c>
      <c r="P701" s="60">
        <v>0</v>
      </c>
      <c r="Q701" s="60">
        <v>0</v>
      </c>
      <c r="R701" s="60">
        <v>0</v>
      </c>
      <c r="S701" s="60">
        <v>0</v>
      </c>
      <c r="T701" s="60">
        <v>0</v>
      </c>
      <c r="U701" s="60">
        <v>0</v>
      </c>
      <c r="V701" s="60">
        <v>0</v>
      </c>
      <c r="W701" s="60">
        <v>0</v>
      </c>
      <c r="X701" s="60">
        <v>0</v>
      </c>
      <c r="Y701" s="60">
        <v>0</v>
      </c>
      <c r="Z701" s="60">
        <v>0</v>
      </c>
      <c r="AA701" s="60">
        <v>0</v>
      </c>
      <c r="AB701" s="60">
        <v>0</v>
      </c>
      <c r="AC701" s="60">
        <v>0</v>
      </c>
      <c r="AD701" s="60">
        <v>0</v>
      </c>
      <c r="AE701" s="60">
        <v>0</v>
      </c>
      <c r="AF701" s="60">
        <v>0</v>
      </c>
      <c r="AG701" s="60">
        <v>0</v>
      </c>
      <c r="AH701" s="60">
        <v>0</v>
      </c>
      <c r="AI701" s="60">
        <v>257.41000000000003</v>
      </c>
      <c r="AJ701" s="60">
        <v>253.91</v>
      </c>
      <c r="AK701" s="60">
        <v>279.06</v>
      </c>
      <c r="AL701" s="60">
        <v>0</v>
      </c>
      <c r="AM701" s="60">
        <v>0</v>
      </c>
      <c r="AN701" s="60">
        <v>0</v>
      </c>
      <c r="AO701" s="60">
        <v>257.41000000000003</v>
      </c>
      <c r="AP701" s="60">
        <v>253.91</v>
      </c>
      <c r="AQ701" s="60">
        <v>279.06</v>
      </c>
      <c r="AR701" s="61">
        <v>279.06</v>
      </c>
    </row>
    <row r="702" spans="1:44" x14ac:dyDescent="0.35">
      <c r="A702" s="49" t="str">
        <f t="shared" ref="A702:A707" si="59">TEXT(5,"00")</f>
        <v>05</v>
      </c>
      <c r="B702" s="27">
        <v>10058</v>
      </c>
      <c r="C702" s="25" t="str">
        <f t="shared" si="57"/>
        <v>0000000</v>
      </c>
      <c r="D702" s="26" t="s">
        <v>3663</v>
      </c>
      <c r="E702" s="25" t="s">
        <v>232</v>
      </c>
      <c r="F702" s="25" t="s">
        <v>233</v>
      </c>
      <c r="G702" s="59" t="s">
        <v>233</v>
      </c>
      <c r="H702" s="60">
        <v>0</v>
      </c>
      <c r="I702" s="60">
        <v>0</v>
      </c>
      <c r="J702" s="60">
        <v>0</v>
      </c>
      <c r="K702" s="60">
        <v>0</v>
      </c>
      <c r="L702" s="60">
        <v>0</v>
      </c>
      <c r="M702" s="60">
        <v>0</v>
      </c>
      <c r="N702" s="60">
        <v>0</v>
      </c>
      <c r="O702" s="60">
        <v>0</v>
      </c>
      <c r="P702" s="60">
        <v>0</v>
      </c>
      <c r="Q702" s="60">
        <v>0</v>
      </c>
      <c r="R702" s="60">
        <v>0</v>
      </c>
      <c r="S702" s="60">
        <v>0</v>
      </c>
      <c r="T702" s="60">
        <v>29.42</v>
      </c>
      <c r="U702" s="60">
        <v>23.09</v>
      </c>
      <c r="V702" s="60">
        <v>30.62</v>
      </c>
      <c r="W702" s="60">
        <v>28.73</v>
      </c>
      <c r="X702" s="60">
        <v>20.62</v>
      </c>
      <c r="Y702" s="60">
        <v>23.16</v>
      </c>
      <c r="Z702" s="60">
        <v>0</v>
      </c>
      <c r="AA702" s="60">
        <v>0</v>
      </c>
      <c r="AB702" s="60">
        <v>0</v>
      </c>
      <c r="AC702" s="60">
        <v>0</v>
      </c>
      <c r="AD702" s="60">
        <v>0</v>
      </c>
      <c r="AE702" s="60">
        <v>0</v>
      </c>
      <c r="AF702" s="60">
        <v>0</v>
      </c>
      <c r="AG702" s="60">
        <v>0</v>
      </c>
      <c r="AH702" s="60">
        <v>0</v>
      </c>
      <c r="AI702" s="60">
        <v>58.15</v>
      </c>
      <c r="AJ702" s="60">
        <v>43.71</v>
      </c>
      <c r="AK702" s="60">
        <v>53.78</v>
      </c>
      <c r="AL702" s="60">
        <v>0</v>
      </c>
      <c r="AM702" s="60">
        <v>0</v>
      </c>
      <c r="AN702" s="60">
        <v>0</v>
      </c>
      <c r="AO702" s="60">
        <v>58.15</v>
      </c>
      <c r="AP702" s="60">
        <v>43.71</v>
      </c>
      <c r="AQ702" s="60">
        <v>53.78</v>
      </c>
      <c r="AR702" s="61">
        <v>58.15</v>
      </c>
    </row>
    <row r="703" spans="1:44" x14ac:dyDescent="0.35">
      <c r="A703" s="49" t="str">
        <f t="shared" si="59"/>
        <v>05</v>
      </c>
      <c r="B703" s="27">
        <v>61556</v>
      </c>
      <c r="C703" s="25" t="str">
        <f t="shared" si="57"/>
        <v>0000000</v>
      </c>
      <c r="D703" s="26" t="s">
        <v>3663</v>
      </c>
      <c r="E703" s="25" t="s">
        <v>237</v>
      </c>
      <c r="F703" s="25" t="s">
        <v>233</v>
      </c>
      <c r="G703" s="59" t="s">
        <v>238</v>
      </c>
      <c r="H703" s="60">
        <v>575.87</v>
      </c>
      <c r="I703" s="60">
        <v>580.48</v>
      </c>
      <c r="J703" s="60">
        <v>588.44000000000005</v>
      </c>
      <c r="K703" s="60">
        <v>0</v>
      </c>
      <c r="L703" s="60">
        <v>0</v>
      </c>
      <c r="M703" s="60">
        <v>0</v>
      </c>
      <c r="N703" s="60">
        <v>0</v>
      </c>
      <c r="O703" s="60">
        <v>0</v>
      </c>
      <c r="P703" s="60">
        <v>0</v>
      </c>
      <c r="Q703" s="60">
        <v>0</v>
      </c>
      <c r="R703" s="60">
        <v>0</v>
      </c>
      <c r="S703" s="60">
        <v>0</v>
      </c>
      <c r="T703" s="60">
        <v>0</v>
      </c>
      <c r="U703" s="60">
        <v>0</v>
      </c>
      <c r="V703" s="60">
        <v>0</v>
      </c>
      <c r="W703" s="60">
        <v>0</v>
      </c>
      <c r="X703" s="60">
        <v>0</v>
      </c>
      <c r="Y703" s="60">
        <v>0</v>
      </c>
      <c r="Z703" s="60">
        <v>0</v>
      </c>
      <c r="AA703" s="60">
        <v>0</v>
      </c>
      <c r="AB703" s="60">
        <v>0</v>
      </c>
      <c r="AC703" s="60">
        <v>0</v>
      </c>
      <c r="AD703" s="60">
        <v>0</v>
      </c>
      <c r="AE703" s="60">
        <v>0</v>
      </c>
      <c r="AF703" s="60">
        <v>0</v>
      </c>
      <c r="AG703" s="60">
        <v>0</v>
      </c>
      <c r="AH703" s="60">
        <v>0</v>
      </c>
      <c r="AI703" s="60">
        <v>575.87</v>
      </c>
      <c r="AJ703" s="60">
        <v>580.48</v>
      </c>
      <c r="AK703" s="60">
        <v>588.44000000000005</v>
      </c>
      <c r="AL703" s="60">
        <v>0</v>
      </c>
      <c r="AM703" s="60">
        <v>0</v>
      </c>
      <c r="AN703" s="60">
        <v>0</v>
      </c>
      <c r="AO703" s="60">
        <v>575.87</v>
      </c>
      <c r="AP703" s="60">
        <v>580.48</v>
      </c>
      <c r="AQ703" s="60">
        <v>588.44000000000005</v>
      </c>
      <c r="AR703" s="61">
        <v>588.44000000000005</v>
      </c>
    </row>
    <row r="704" spans="1:44" x14ac:dyDescent="0.35">
      <c r="A704" s="49" t="str">
        <f t="shared" si="59"/>
        <v>05</v>
      </c>
      <c r="B704" s="27">
        <v>61564</v>
      </c>
      <c r="C704" s="25" t="str">
        <f t="shared" si="57"/>
        <v>0000000</v>
      </c>
      <c r="D704" s="26" t="s">
        <v>3663</v>
      </c>
      <c r="E704" s="25" t="s">
        <v>239</v>
      </c>
      <c r="F704" s="25" t="s">
        <v>233</v>
      </c>
      <c r="G704" s="59" t="s">
        <v>240</v>
      </c>
      <c r="H704" s="60">
        <v>2568.7399999999998</v>
      </c>
      <c r="I704" s="60">
        <v>2477.2600000000002</v>
      </c>
      <c r="J704" s="60">
        <v>2699.49</v>
      </c>
      <c r="K704" s="60">
        <v>0</v>
      </c>
      <c r="L704" s="60">
        <v>0</v>
      </c>
      <c r="M704" s="60">
        <v>0</v>
      </c>
      <c r="N704" s="60">
        <v>0</v>
      </c>
      <c r="O704" s="60">
        <v>0</v>
      </c>
      <c r="P704" s="60">
        <v>0</v>
      </c>
      <c r="Q704" s="60">
        <v>0</v>
      </c>
      <c r="R704" s="60">
        <v>0</v>
      </c>
      <c r="S704" s="60">
        <v>0</v>
      </c>
      <c r="T704" s="60">
        <v>0</v>
      </c>
      <c r="U704" s="60">
        <v>0</v>
      </c>
      <c r="V704" s="60">
        <v>0</v>
      </c>
      <c r="W704" s="60">
        <v>0</v>
      </c>
      <c r="X704" s="60">
        <v>0</v>
      </c>
      <c r="Y704" s="60">
        <v>0</v>
      </c>
      <c r="Z704" s="60">
        <v>0</v>
      </c>
      <c r="AA704" s="60">
        <v>0</v>
      </c>
      <c r="AB704" s="60">
        <v>0</v>
      </c>
      <c r="AC704" s="60">
        <v>0</v>
      </c>
      <c r="AD704" s="60">
        <v>0</v>
      </c>
      <c r="AE704" s="60">
        <v>0</v>
      </c>
      <c r="AF704" s="60">
        <v>0</v>
      </c>
      <c r="AG704" s="60">
        <v>0</v>
      </c>
      <c r="AH704" s="60">
        <v>0</v>
      </c>
      <c r="AI704" s="60">
        <v>2568.7399999999998</v>
      </c>
      <c r="AJ704" s="60">
        <v>2477.2600000000002</v>
      </c>
      <c r="AK704" s="60">
        <v>2699.49</v>
      </c>
      <c r="AL704" s="60">
        <v>0</v>
      </c>
      <c r="AM704" s="60">
        <v>0</v>
      </c>
      <c r="AN704" s="60">
        <v>0</v>
      </c>
      <c r="AO704" s="60">
        <v>2568.7399999999998</v>
      </c>
      <c r="AP704" s="60">
        <v>2477.2600000000002</v>
      </c>
      <c r="AQ704" s="60">
        <v>2699.49</v>
      </c>
      <c r="AR704" s="61">
        <v>2699.49</v>
      </c>
    </row>
    <row r="705" spans="1:44" x14ac:dyDescent="0.35">
      <c r="A705" s="49" t="str">
        <f t="shared" si="59"/>
        <v>05</v>
      </c>
      <c r="B705" s="27">
        <v>61580</v>
      </c>
      <c r="C705" s="25" t="str">
        <f t="shared" si="57"/>
        <v>0000000</v>
      </c>
      <c r="D705" s="26" t="s">
        <v>3663</v>
      </c>
      <c r="E705" s="25" t="s">
        <v>243</v>
      </c>
      <c r="F705" s="25" t="s">
        <v>233</v>
      </c>
      <c r="G705" s="59" t="s">
        <v>244</v>
      </c>
      <c r="H705" s="60">
        <v>533.20000000000005</v>
      </c>
      <c r="I705" s="60">
        <v>491.31</v>
      </c>
      <c r="J705" s="60">
        <v>553.70000000000005</v>
      </c>
      <c r="K705" s="60">
        <v>0</v>
      </c>
      <c r="L705" s="60">
        <v>0</v>
      </c>
      <c r="M705" s="60">
        <v>0</v>
      </c>
      <c r="N705" s="60">
        <v>0</v>
      </c>
      <c r="O705" s="60">
        <v>0</v>
      </c>
      <c r="P705" s="60">
        <v>0</v>
      </c>
      <c r="Q705" s="60">
        <v>0</v>
      </c>
      <c r="R705" s="60">
        <v>0</v>
      </c>
      <c r="S705" s="60">
        <v>0</v>
      </c>
      <c r="T705" s="60">
        <v>0</v>
      </c>
      <c r="U705" s="60">
        <v>0</v>
      </c>
      <c r="V705" s="60">
        <v>0</v>
      </c>
      <c r="W705" s="60">
        <v>0</v>
      </c>
      <c r="X705" s="60">
        <v>0</v>
      </c>
      <c r="Y705" s="60">
        <v>0</v>
      </c>
      <c r="Z705" s="60">
        <v>0</v>
      </c>
      <c r="AA705" s="60">
        <v>0</v>
      </c>
      <c r="AB705" s="60">
        <v>0</v>
      </c>
      <c r="AC705" s="60">
        <v>0</v>
      </c>
      <c r="AD705" s="60">
        <v>0</v>
      </c>
      <c r="AE705" s="60">
        <v>0</v>
      </c>
      <c r="AF705" s="60">
        <v>0</v>
      </c>
      <c r="AG705" s="60">
        <v>0</v>
      </c>
      <c r="AH705" s="60">
        <v>0</v>
      </c>
      <c r="AI705" s="60">
        <v>533.20000000000005</v>
      </c>
      <c r="AJ705" s="60">
        <v>491.31</v>
      </c>
      <c r="AK705" s="60">
        <v>553.70000000000005</v>
      </c>
      <c r="AL705" s="60">
        <v>0</v>
      </c>
      <c r="AM705" s="60">
        <v>0</v>
      </c>
      <c r="AN705" s="60">
        <v>0</v>
      </c>
      <c r="AO705" s="60">
        <v>533.20000000000005</v>
      </c>
      <c r="AP705" s="60">
        <v>491.31</v>
      </c>
      <c r="AQ705" s="60">
        <v>553.70000000000005</v>
      </c>
      <c r="AR705" s="61">
        <v>553.70000000000005</v>
      </c>
    </row>
    <row r="706" spans="1:44" x14ac:dyDescent="0.35">
      <c r="A706" s="49" t="str">
        <f t="shared" si="59"/>
        <v>05</v>
      </c>
      <c r="B706" s="27">
        <v>61572</v>
      </c>
      <c r="C706" s="25" t="str">
        <f t="shared" si="57"/>
        <v>0000000</v>
      </c>
      <c r="D706" s="26" t="s">
        <v>3663</v>
      </c>
      <c r="E706" s="25" t="s">
        <v>241</v>
      </c>
      <c r="F706" s="25" t="s">
        <v>233</v>
      </c>
      <c r="G706" s="59" t="s">
        <v>242</v>
      </c>
      <c r="H706" s="60">
        <v>686.53</v>
      </c>
      <c r="I706" s="60">
        <v>662.67</v>
      </c>
      <c r="J706" s="60">
        <v>734.16</v>
      </c>
      <c r="K706" s="60">
        <v>0</v>
      </c>
      <c r="L706" s="60">
        <v>0</v>
      </c>
      <c r="M706" s="60">
        <v>0</v>
      </c>
      <c r="N706" s="60">
        <v>0</v>
      </c>
      <c r="O706" s="60">
        <v>0</v>
      </c>
      <c r="P706" s="60">
        <v>0</v>
      </c>
      <c r="Q706" s="60">
        <v>0</v>
      </c>
      <c r="R706" s="60">
        <v>0</v>
      </c>
      <c r="S706" s="60">
        <v>0</v>
      </c>
      <c r="T706" s="60">
        <v>0</v>
      </c>
      <c r="U706" s="60">
        <v>0</v>
      </c>
      <c r="V706" s="60">
        <v>0</v>
      </c>
      <c r="W706" s="60">
        <v>0</v>
      </c>
      <c r="X706" s="60">
        <v>0</v>
      </c>
      <c r="Y706" s="60">
        <v>0</v>
      </c>
      <c r="Z706" s="60">
        <v>0</v>
      </c>
      <c r="AA706" s="60">
        <v>0</v>
      </c>
      <c r="AB706" s="60">
        <v>0</v>
      </c>
      <c r="AC706" s="60">
        <v>0</v>
      </c>
      <c r="AD706" s="60">
        <v>0</v>
      </c>
      <c r="AE706" s="60">
        <v>0</v>
      </c>
      <c r="AF706" s="60">
        <v>0</v>
      </c>
      <c r="AG706" s="60">
        <v>0</v>
      </c>
      <c r="AH706" s="60">
        <v>0</v>
      </c>
      <c r="AI706" s="60">
        <v>686.53</v>
      </c>
      <c r="AJ706" s="60">
        <v>662.67</v>
      </c>
      <c r="AK706" s="60">
        <v>734.16</v>
      </c>
      <c r="AL706" s="60">
        <v>0</v>
      </c>
      <c r="AM706" s="60">
        <v>0</v>
      </c>
      <c r="AN706" s="60">
        <v>0</v>
      </c>
      <c r="AO706" s="60">
        <v>686.53</v>
      </c>
      <c r="AP706" s="60">
        <v>662.67</v>
      </c>
      <c r="AQ706" s="60">
        <v>734.16</v>
      </c>
      <c r="AR706" s="61">
        <v>734.16</v>
      </c>
    </row>
    <row r="707" spans="1:44" x14ac:dyDescent="0.35">
      <c r="A707" s="49" t="str">
        <f t="shared" si="59"/>
        <v>05</v>
      </c>
      <c r="B707" s="27">
        <v>10058</v>
      </c>
      <c r="C707" s="25" t="str">
        <f>TEXT(530154,"0000000")</f>
        <v>0530154</v>
      </c>
      <c r="D707" s="26" t="s">
        <v>236</v>
      </c>
      <c r="E707" s="25" t="s">
        <v>234</v>
      </c>
      <c r="F707" s="25" t="s">
        <v>233</v>
      </c>
      <c r="G707" s="59" t="s">
        <v>235</v>
      </c>
      <c r="H707" s="60">
        <v>0</v>
      </c>
      <c r="I707" s="60">
        <v>0</v>
      </c>
      <c r="J707" s="60">
        <v>0</v>
      </c>
      <c r="K707" s="60">
        <v>0</v>
      </c>
      <c r="L707" s="60">
        <v>0</v>
      </c>
      <c r="M707" s="60">
        <v>0</v>
      </c>
      <c r="N707" s="60">
        <v>0</v>
      </c>
      <c r="O707" s="60">
        <v>0</v>
      </c>
      <c r="P707" s="60">
        <v>0</v>
      </c>
      <c r="Q707" s="60">
        <v>0</v>
      </c>
      <c r="R707" s="60">
        <v>0</v>
      </c>
      <c r="S707" s="60">
        <v>0</v>
      </c>
      <c r="T707" s="60">
        <v>0</v>
      </c>
      <c r="U707" s="60">
        <v>0</v>
      </c>
      <c r="V707" s="60">
        <v>0</v>
      </c>
      <c r="W707" s="60">
        <v>0</v>
      </c>
      <c r="X707" s="60">
        <v>0</v>
      </c>
      <c r="Y707" s="60">
        <v>0</v>
      </c>
      <c r="Z707" s="60">
        <v>393.7</v>
      </c>
      <c r="AA707" s="60">
        <v>416.89</v>
      </c>
      <c r="AB707" s="60">
        <v>375.67</v>
      </c>
      <c r="AC707" s="60">
        <v>0</v>
      </c>
      <c r="AD707" s="60">
        <v>0</v>
      </c>
      <c r="AE707" s="60">
        <v>0</v>
      </c>
      <c r="AF707" s="60">
        <v>0</v>
      </c>
      <c r="AG707" s="60">
        <v>0</v>
      </c>
      <c r="AH707" s="60">
        <v>0</v>
      </c>
      <c r="AI707" s="60">
        <v>393.7</v>
      </c>
      <c r="AJ707" s="60">
        <v>416.89</v>
      </c>
      <c r="AK707" s="60">
        <v>375.67</v>
      </c>
      <c r="AL707" s="60">
        <v>0</v>
      </c>
      <c r="AM707" s="60">
        <v>0</v>
      </c>
      <c r="AN707" s="60">
        <v>0</v>
      </c>
      <c r="AO707" s="60">
        <v>393.7</v>
      </c>
      <c r="AP707" s="60">
        <v>416.89</v>
      </c>
      <c r="AQ707" s="60">
        <v>375.67</v>
      </c>
      <c r="AR707" s="61">
        <v>416.89</v>
      </c>
    </row>
    <row r="708" spans="1:44" x14ac:dyDescent="0.35">
      <c r="A708" s="49" t="str">
        <f>TEXT(15,"00")</f>
        <v>15</v>
      </c>
      <c r="B708" s="27">
        <v>63362</v>
      </c>
      <c r="C708" s="25" t="str">
        <f t="shared" ref="C708:C741" si="60">TEXT(,"0000000")</f>
        <v>0000000</v>
      </c>
      <c r="D708" s="26" t="s">
        <v>3663</v>
      </c>
      <c r="E708" s="25" t="s">
        <v>657</v>
      </c>
      <c r="F708" s="25" t="s">
        <v>658</v>
      </c>
      <c r="G708" s="59" t="s">
        <v>658</v>
      </c>
      <c r="H708" s="60">
        <v>17494.7</v>
      </c>
      <c r="I708" s="60">
        <v>16226.2</v>
      </c>
      <c r="J708" s="60">
        <v>17891.900000000001</v>
      </c>
      <c r="K708" s="60">
        <v>0</v>
      </c>
      <c r="L708" s="60">
        <v>0</v>
      </c>
      <c r="M708" s="60">
        <v>0</v>
      </c>
      <c r="N708" s="60">
        <v>0</v>
      </c>
      <c r="O708" s="60">
        <v>0</v>
      </c>
      <c r="P708" s="60">
        <v>0</v>
      </c>
      <c r="Q708" s="60">
        <v>0</v>
      </c>
      <c r="R708" s="60">
        <v>0</v>
      </c>
      <c r="S708" s="60">
        <v>0</v>
      </c>
      <c r="T708" s="60">
        <v>0</v>
      </c>
      <c r="U708" s="60">
        <v>0</v>
      </c>
      <c r="V708" s="60">
        <v>0</v>
      </c>
      <c r="W708" s="60">
        <v>0</v>
      </c>
      <c r="X708" s="60">
        <v>0</v>
      </c>
      <c r="Y708" s="60">
        <v>0</v>
      </c>
      <c r="Z708" s="60">
        <v>0</v>
      </c>
      <c r="AA708" s="60">
        <v>0</v>
      </c>
      <c r="AB708" s="60">
        <v>0</v>
      </c>
      <c r="AC708" s="60">
        <v>0</v>
      </c>
      <c r="AD708" s="60">
        <v>0</v>
      </c>
      <c r="AE708" s="60">
        <v>0</v>
      </c>
      <c r="AF708" s="60">
        <v>0</v>
      </c>
      <c r="AG708" s="60">
        <v>0</v>
      </c>
      <c r="AH708" s="60">
        <v>0</v>
      </c>
      <c r="AI708" s="60">
        <v>17494.7</v>
      </c>
      <c r="AJ708" s="60">
        <v>16226.2</v>
      </c>
      <c r="AK708" s="60">
        <v>17891.900000000001</v>
      </c>
      <c r="AL708" s="60">
        <v>0</v>
      </c>
      <c r="AM708" s="60">
        <v>0</v>
      </c>
      <c r="AN708" s="60">
        <v>0</v>
      </c>
      <c r="AO708" s="60">
        <v>17494.7</v>
      </c>
      <c r="AP708" s="60">
        <v>16226.2</v>
      </c>
      <c r="AQ708" s="60">
        <v>17891.900000000001</v>
      </c>
      <c r="AR708" s="61">
        <v>17891.900000000001</v>
      </c>
    </row>
    <row r="709" spans="1:44" x14ac:dyDescent="0.35">
      <c r="A709" s="49" t="str">
        <f>TEXT(34,"00")</f>
        <v>34</v>
      </c>
      <c r="B709" s="27">
        <v>76505</v>
      </c>
      <c r="C709" s="25" t="str">
        <f t="shared" si="60"/>
        <v>0000000</v>
      </c>
      <c r="D709" s="26" t="s">
        <v>3663</v>
      </c>
      <c r="E709" s="25" t="s">
        <v>1865</v>
      </c>
      <c r="F709" s="25" t="s">
        <v>1866</v>
      </c>
      <c r="G709" s="59" t="s">
        <v>1866</v>
      </c>
      <c r="H709" s="60">
        <v>19844.87</v>
      </c>
      <c r="I709" s="60">
        <v>18784.14</v>
      </c>
      <c r="J709" s="60">
        <v>21650.59</v>
      </c>
      <c r="K709" s="60">
        <v>0</v>
      </c>
      <c r="L709" s="60">
        <v>0</v>
      </c>
      <c r="M709" s="60">
        <v>0</v>
      </c>
      <c r="N709" s="60">
        <v>0</v>
      </c>
      <c r="O709" s="60">
        <v>0</v>
      </c>
      <c r="P709" s="60">
        <v>0</v>
      </c>
      <c r="Q709" s="60">
        <v>0</v>
      </c>
      <c r="R709" s="60">
        <v>0</v>
      </c>
      <c r="S709" s="60">
        <v>0</v>
      </c>
      <c r="T709" s="60">
        <v>0</v>
      </c>
      <c r="U709" s="60">
        <v>0</v>
      </c>
      <c r="V709" s="60">
        <v>0</v>
      </c>
      <c r="W709" s="60">
        <v>0</v>
      </c>
      <c r="X709" s="60">
        <v>0</v>
      </c>
      <c r="Y709" s="60">
        <v>0</v>
      </c>
      <c r="Z709" s="60">
        <v>0</v>
      </c>
      <c r="AA709" s="60">
        <v>0</v>
      </c>
      <c r="AB709" s="60">
        <v>0</v>
      </c>
      <c r="AC709" s="60">
        <v>10294.09</v>
      </c>
      <c r="AD709" s="60">
        <v>6718.26</v>
      </c>
      <c r="AE709" s="60">
        <v>6078</v>
      </c>
      <c r="AF709" s="60">
        <v>0</v>
      </c>
      <c r="AG709" s="60">
        <v>0</v>
      </c>
      <c r="AH709" s="60">
        <v>0</v>
      </c>
      <c r="AI709" s="60">
        <v>30138.959999999999</v>
      </c>
      <c r="AJ709" s="60">
        <v>25502.400000000001</v>
      </c>
      <c r="AK709" s="60">
        <v>27728.59</v>
      </c>
      <c r="AL709" s="60">
        <v>0</v>
      </c>
      <c r="AM709" s="60">
        <v>0</v>
      </c>
      <c r="AN709" s="60">
        <v>0</v>
      </c>
      <c r="AO709" s="60">
        <v>30138.959999999999</v>
      </c>
      <c r="AP709" s="60">
        <v>25502.400000000001</v>
      </c>
      <c r="AQ709" s="60">
        <v>27728.59</v>
      </c>
      <c r="AR709" s="61">
        <v>30138.959999999999</v>
      </c>
    </row>
    <row r="710" spans="1:44" x14ac:dyDescent="0.35">
      <c r="A710" s="49" t="str">
        <f>TEXT(34,"00")</f>
        <v>34</v>
      </c>
      <c r="B710" s="27">
        <v>75283</v>
      </c>
      <c r="C710" s="25" t="str">
        <f t="shared" si="60"/>
        <v>0000000</v>
      </c>
      <c r="D710" s="26" t="s">
        <v>3663</v>
      </c>
      <c r="E710" s="25" t="s">
        <v>1857</v>
      </c>
      <c r="F710" s="25" t="s">
        <v>1858</v>
      </c>
      <c r="G710" s="59" t="s">
        <v>1858</v>
      </c>
      <c r="H710" s="60">
        <v>10014.280000000001</v>
      </c>
      <c r="I710" s="60">
        <v>9806.7099999999991</v>
      </c>
      <c r="J710" s="60">
        <v>10008.76</v>
      </c>
      <c r="K710" s="60">
        <v>0</v>
      </c>
      <c r="L710" s="60">
        <v>0</v>
      </c>
      <c r="M710" s="60">
        <v>0</v>
      </c>
      <c r="N710" s="60">
        <v>0</v>
      </c>
      <c r="O710" s="60">
        <v>0</v>
      </c>
      <c r="P710" s="60">
        <v>0</v>
      </c>
      <c r="Q710" s="60">
        <v>0</v>
      </c>
      <c r="R710" s="60">
        <v>0</v>
      </c>
      <c r="S710" s="60">
        <v>0</v>
      </c>
      <c r="T710" s="60">
        <v>0</v>
      </c>
      <c r="U710" s="60">
        <v>0</v>
      </c>
      <c r="V710" s="60">
        <v>0</v>
      </c>
      <c r="W710" s="60">
        <v>0</v>
      </c>
      <c r="X710" s="60">
        <v>0</v>
      </c>
      <c r="Y710" s="60">
        <v>0</v>
      </c>
      <c r="Z710" s="60">
        <v>0</v>
      </c>
      <c r="AA710" s="60">
        <v>0</v>
      </c>
      <c r="AB710" s="60">
        <v>0</v>
      </c>
      <c r="AC710" s="60">
        <v>2215.48</v>
      </c>
      <c r="AD710" s="60">
        <v>2191.9299999999998</v>
      </c>
      <c r="AE710" s="60">
        <v>2206.8000000000002</v>
      </c>
      <c r="AF710" s="60">
        <v>0</v>
      </c>
      <c r="AG710" s="60">
        <v>0</v>
      </c>
      <c r="AH710" s="60">
        <v>0</v>
      </c>
      <c r="AI710" s="60">
        <v>12229.76</v>
      </c>
      <c r="AJ710" s="60">
        <v>11998.64</v>
      </c>
      <c r="AK710" s="60">
        <v>12215.56</v>
      </c>
      <c r="AL710" s="60">
        <v>0</v>
      </c>
      <c r="AM710" s="60">
        <v>0</v>
      </c>
      <c r="AN710" s="60">
        <v>0</v>
      </c>
      <c r="AO710" s="60">
        <v>12229.76</v>
      </c>
      <c r="AP710" s="60">
        <v>11998.64</v>
      </c>
      <c r="AQ710" s="60">
        <v>12215.56</v>
      </c>
      <c r="AR710" s="61">
        <v>12229.76</v>
      </c>
    </row>
    <row r="711" spans="1:44" x14ac:dyDescent="0.35">
      <c r="A711" s="49" t="str">
        <f t="shared" ref="A711:A742" si="61">TEXT(19,"00")</f>
        <v>19</v>
      </c>
      <c r="B711" s="27">
        <v>64857</v>
      </c>
      <c r="C711" s="25" t="str">
        <f t="shared" si="60"/>
        <v>0000000</v>
      </c>
      <c r="D711" s="26" t="s">
        <v>3663</v>
      </c>
      <c r="E711" s="25" t="s">
        <v>894</v>
      </c>
      <c r="F711" s="25" t="s">
        <v>895</v>
      </c>
      <c r="G711" s="59" t="s">
        <v>895</v>
      </c>
      <c r="H711" s="60">
        <v>15594.59</v>
      </c>
      <c r="I711" s="60">
        <v>15280.59</v>
      </c>
      <c r="J711" s="60">
        <v>17300.53</v>
      </c>
      <c r="K711" s="60">
        <v>0</v>
      </c>
      <c r="L711" s="60">
        <v>0</v>
      </c>
      <c r="M711" s="60">
        <v>0</v>
      </c>
      <c r="N711" s="60">
        <v>0</v>
      </c>
      <c r="O711" s="60">
        <v>0</v>
      </c>
      <c r="P711" s="60">
        <v>0</v>
      </c>
      <c r="Q711" s="60">
        <v>0</v>
      </c>
      <c r="R711" s="60">
        <v>0</v>
      </c>
      <c r="S711" s="60">
        <v>0</v>
      </c>
      <c r="T711" s="60">
        <v>28.79</v>
      </c>
      <c r="U711" s="60">
        <v>25.18</v>
      </c>
      <c r="V711" s="60">
        <v>72.94</v>
      </c>
      <c r="W711" s="60">
        <v>11.77</v>
      </c>
      <c r="X711" s="60">
        <v>12.35</v>
      </c>
      <c r="Y711" s="60">
        <v>12.16</v>
      </c>
      <c r="Z711" s="60">
        <v>0</v>
      </c>
      <c r="AA711" s="60">
        <v>0</v>
      </c>
      <c r="AB711" s="60">
        <v>0</v>
      </c>
      <c r="AC711" s="60">
        <v>476.08</v>
      </c>
      <c r="AD711" s="60">
        <v>246.36</v>
      </c>
      <c r="AE711" s="60">
        <v>0</v>
      </c>
      <c r="AF711" s="60">
        <v>0</v>
      </c>
      <c r="AG711" s="60">
        <v>0</v>
      </c>
      <c r="AH711" s="60">
        <v>0</v>
      </c>
      <c r="AI711" s="60">
        <v>16111.23</v>
      </c>
      <c r="AJ711" s="60">
        <v>15564.48</v>
      </c>
      <c r="AK711" s="60">
        <v>17385.63</v>
      </c>
      <c r="AL711" s="60">
        <v>0</v>
      </c>
      <c r="AM711" s="60">
        <v>0</v>
      </c>
      <c r="AN711" s="60">
        <v>0</v>
      </c>
      <c r="AO711" s="60">
        <v>16111.23</v>
      </c>
      <c r="AP711" s="60">
        <v>15564.48</v>
      </c>
      <c r="AQ711" s="60">
        <v>17385.63</v>
      </c>
      <c r="AR711" s="61">
        <v>17385.63</v>
      </c>
    </row>
    <row r="712" spans="1:44" x14ac:dyDescent="0.35">
      <c r="A712" s="49" t="str">
        <f t="shared" si="61"/>
        <v>19</v>
      </c>
      <c r="B712" s="27">
        <v>64246</v>
      </c>
      <c r="C712" s="25" t="str">
        <f t="shared" si="60"/>
        <v>0000000</v>
      </c>
      <c r="D712" s="26" t="s">
        <v>3663</v>
      </c>
      <c r="E712" s="25" t="s">
        <v>896</v>
      </c>
      <c r="F712" s="25" t="s">
        <v>895</v>
      </c>
      <c r="G712" s="59" t="s">
        <v>897</v>
      </c>
      <c r="H712" s="60">
        <v>19314.599999999999</v>
      </c>
      <c r="I712" s="60">
        <v>18836.759999999998</v>
      </c>
      <c r="J712" s="60">
        <v>19667.11</v>
      </c>
      <c r="K712" s="60">
        <v>0</v>
      </c>
      <c r="L712" s="60">
        <v>0</v>
      </c>
      <c r="M712" s="60">
        <v>0</v>
      </c>
      <c r="N712" s="60">
        <v>0</v>
      </c>
      <c r="O712" s="60">
        <v>0</v>
      </c>
      <c r="P712" s="60">
        <v>0</v>
      </c>
      <c r="Q712" s="60">
        <v>0</v>
      </c>
      <c r="R712" s="60">
        <v>0</v>
      </c>
      <c r="S712" s="60">
        <v>0</v>
      </c>
      <c r="T712" s="60">
        <v>0</v>
      </c>
      <c r="U712" s="60">
        <v>0</v>
      </c>
      <c r="V712" s="60">
        <v>0</v>
      </c>
      <c r="W712" s="60">
        <v>0</v>
      </c>
      <c r="X712" s="60">
        <v>0</v>
      </c>
      <c r="Y712" s="60">
        <v>0</v>
      </c>
      <c r="Z712" s="60">
        <v>0</v>
      </c>
      <c r="AA712" s="60">
        <v>0</v>
      </c>
      <c r="AB712" s="60">
        <v>0</v>
      </c>
      <c r="AC712" s="60">
        <v>628.38</v>
      </c>
      <c r="AD712" s="60">
        <v>596.19000000000005</v>
      </c>
      <c r="AE712" s="60">
        <v>585.89</v>
      </c>
      <c r="AF712" s="60">
        <v>0</v>
      </c>
      <c r="AG712" s="60">
        <v>0</v>
      </c>
      <c r="AH712" s="60">
        <v>0</v>
      </c>
      <c r="AI712" s="60">
        <v>19942.98</v>
      </c>
      <c r="AJ712" s="60">
        <v>19432.95</v>
      </c>
      <c r="AK712" s="60">
        <v>20253</v>
      </c>
      <c r="AL712" s="60">
        <v>0</v>
      </c>
      <c r="AM712" s="60">
        <v>0</v>
      </c>
      <c r="AN712" s="60">
        <v>0</v>
      </c>
      <c r="AO712" s="60">
        <v>19942.98</v>
      </c>
      <c r="AP712" s="60">
        <v>19432.95</v>
      </c>
      <c r="AQ712" s="60">
        <v>20253</v>
      </c>
      <c r="AR712" s="61">
        <v>20253</v>
      </c>
    </row>
    <row r="713" spans="1:44" x14ac:dyDescent="0.35">
      <c r="A713" s="49" t="str">
        <f t="shared" si="61"/>
        <v>19</v>
      </c>
      <c r="B713" s="27">
        <v>64477</v>
      </c>
      <c r="C713" s="25" t="str">
        <f t="shared" si="60"/>
        <v>0000000</v>
      </c>
      <c r="D713" s="26" t="s">
        <v>3663</v>
      </c>
      <c r="E713" s="25" t="s">
        <v>952</v>
      </c>
      <c r="F713" s="25" t="s">
        <v>895</v>
      </c>
      <c r="G713" s="59" t="s">
        <v>953</v>
      </c>
      <c r="H713" s="60">
        <v>2748.62</v>
      </c>
      <c r="I713" s="60">
        <v>2719.28</v>
      </c>
      <c r="J713" s="60">
        <v>3074.42</v>
      </c>
      <c r="K713" s="60">
        <v>0</v>
      </c>
      <c r="L713" s="60">
        <v>0</v>
      </c>
      <c r="M713" s="60">
        <v>0</v>
      </c>
      <c r="N713" s="60">
        <v>0</v>
      </c>
      <c r="O713" s="60">
        <v>0</v>
      </c>
      <c r="P713" s="60">
        <v>0</v>
      </c>
      <c r="Q713" s="60">
        <v>0</v>
      </c>
      <c r="R713" s="60">
        <v>0</v>
      </c>
      <c r="S713" s="60">
        <v>0</v>
      </c>
      <c r="T713" s="60">
        <v>0</v>
      </c>
      <c r="U713" s="60">
        <v>0</v>
      </c>
      <c r="V713" s="60">
        <v>0</v>
      </c>
      <c r="W713" s="60">
        <v>0</v>
      </c>
      <c r="X713" s="60">
        <v>0</v>
      </c>
      <c r="Y713" s="60">
        <v>0</v>
      </c>
      <c r="Z713" s="60">
        <v>0</v>
      </c>
      <c r="AA713" s="60">
        <v>0</v>
      </c>
      <c r="AB713" s="60">
        <v>0</v>
      </c>
      <c r="AC713" s="60">
        <v>0</v>
      </c>
      <c r="AD713" s="60">
        <v>0</v>
      </c>
      <c r="AE713" s="60">
        <v>0</v>
      </c>
      <c r="AF713" s="60">
        <v>0</v>
      </c>
      <c r="AG713" s="60">
        <v>0</v>
      </c>
      <c r="AH713" s="60">
        <v>0</v>
      </c>
      <c r="AI713" s="60">
        <v>2748.62</v>
      </c>
      <c r="AJ713" s="60">
        <v>2719.28</v>
      </c>
      <c r="AK713" s="60">
        <v>3074.42</v>
      </c>
      <c r="AL713" s="60">
        <v>0</v>
      </c>
      <c r="AM713" s="60">
        <v>0</v>
      </c>
      <c r="AN713" s="60">
        <v>0</v>
      </c>
      <c r="AO713" s="60">
        <v>2748.62</v>
      </c>
      <c r="AP713" s="60">
        <v>2719.28</v>
      </c>
      <c r="AQ713" s="60">
        <v>3074.42</v>
      </c>
      <c r="AR713" s="61">
        <v>3074.42</v>
      </c>
    </row>
    <row r="714" spans="1:44" x14ac:dyDescent="0.35">
      <c r="A714" s="49" t="str">
        <f t="shared" si="61"/>
        <v>19</v>
      </c>
      <c r="B714" s="27">
        <v>64626</v>
      </c>
      <c r="C714" s="25" t="str">
        <f t="shared" si="60"/>
        <v>0000000</v>
      </c>
      <c r="D714" s="26" t="s">
        <v>3663</v>
      </c>
      <c r="E714" s="25" t="s">
        <v>979</v>
      </c>
      <c r="F714" s="25" t="s">
        <v>895</v>
      </c>
      <c r="G714" s="59" t="s">
        <v>980</v>
      </c>
      <c r="H714" s="60">
        <v>157.15</v>
      </c>
      <c r="I714" s="60">
        <v>149.02000000000001</v>
      </c>
      <c r="J714" s="60">
        <v>168.2</v>
      </c>
      <c r="K714" s="60">
        <v>0</v>
      </c>
      <c r="L714" s="60">
        <v>0</v>
      </c>
      <c r="M714" s="60">
        <v>0</v>
      </c>
      <c r="N714" s="60">
        <v>0</v>
      </c>
      <c r="O714" s="60">
        <v>0</v>
      </c>
      <c r="P714" s="60">
        <v>0</v>
      </c>
      <c r="Q714" s="60">
        <v>0</v>
      </c>
      <c r="R714" s="60">
        <v>0</v>
      </c>
      <c r="S714" s="60">
        <v>0</v>
      </c>
      <c r="T714" s="60">
        <v>0</v>
      </c>
      <c r="U714" s="60">
        <v>0</v>
      </c>
      <c r="V714" s="60">
        <v>0</v>
      </c>
      <c r="W714" s="60">
        <v>0</v>
      </c>
      <c r="X714" s="60">
        <v>0</v>
      </c>
      <c r="Y714" s="60">
        <v>0</v>
      </c>
      <c r="Z714" s="60">
        <v>0</v>
      </c>
      <c r="AA714" s="60">
        <v>0</v>
      </c>
      <c r="AB714" s="60">
        <v>0</v>
      </c>
      <c r="AC714" s="60">
        <v>0</v>
      </c>
      <c r="AD714" s="60">
        <v>0</v>
      </c>
      <c r="AE714" s="60">
        <v>0</v>
      </c>
      <c r="AF714" s="60">
        <v>0</v>
      </c>
      <c r="AG714" s="60">
        <v>0</v>
      </c>
      <c r="AH714" s="60">
        <v>0</v>
      </c>
      <c r="AI714" s="60">
        <v>157.15</v>
      </c>
      <c r="AJ714" s="60">
        <v>149.02000000000001</v>
      </c>
      <c r="AK714" s="60">
        <v>168.2</v>
      </c>
      <c r="AL714" s="60">
        <v>0</v>
      </c>
      <c r="AM714" s="60">
        <v>0</v>
      </c>
      <c r="AN714" s="60">
        <v>0</v>
      </c>
      <c r="AO714" s="60">
        <v>157.15</v>
      </c>
      <c r="AP714" s="60">
        <v>149.02000000000001</v>
      </c>
      <c r="AQ714" s="60">
        <v>168.2</v>
      </c>
      <c r="AR714" s="61">
        <v>168.2</v>
      </c>
    </row>
    <row r="715" spans="1:44" x14ac:dyDescent="0.35">
      <c r="A715" s="49" t="str">
        <f t="shared" si="61"/>
        <v>19</v>
      </c>
      <c r="B715" s="27">
        <v>64642</v>
      </c>
      <c r="C715" s="25" t="str">
        <f t="shared" si="60"/>
        <v>0000000</v>
      </c>
      <c r="D715" s="26" t="s">
        <v>3663</v>
      </c>
      <c r="E715" s="25" t="s">
        <v>994</v>
      </c>
      <c r="F715" s="25" t="s">
        <v>895</v>
      </c>
      <c r="G715" s="59" t="s">
        <v>995</v>
      </c>
      <c r="H715" s="60">
        <v>2273.4899999999998</v>
      </c>
      <c r="I715" s="60">
        <v>2162.46</v>
      </c>
      <c r="J715" s="60">
        <v>2531.14</v>
      </c>
      <c r="K715" s="60">
        <v>0</v>
      </c>
      <c r="L715" s="60">
        <v>0</v>
      </c>
      <c r="M715" s="60">
        <v>0</v>
      </c>
      <c r="N715" s="60">
        <v>0</v>
      </c>
      <c r="O715" s="60">
        <v>0</v>
      </c>
      <c r="P715" s="60">
        <v>0</v>
      </c>
      <c r="Q715" s="60">
        <v>0</v>
      </c>
      <c r="R715" s="60">
        <v>0</v>
      </c>
      <c r="S715" s="60">
        <v>0</v>
      </c>
      <c r="T715" s="60">
        <v>0</v>
      </c>
      <c r="U715" s="60">
        <v>0</v>
      </c>
      <c r="V715" s="60">
        <v>0</v>
      </c>
      <c r="W715" s="60">
        <v>0</v>
      </c>
      <c r="X715" s="60">
        <v>0</v>
      </c>
      <c r="Y715" s="60">
        <v>0</v>
      </c>
      <c r="Z715" s="60">
        <v>0</v>
      </c>
      <c r="AA715" s="60">
        <v>0</v>
      </c>
      <c r="AB715" s="60">
        <v>0</v>
      </c>
      <c r="AC715" s="60">
        <v>0</v>
      </c>
      <c r="AD715" s="60">
        <v>0</v>
      </c>
      <c r="AE715" s="60">
        <v>0</v>
      </c>
      <c r="AF715" s="60">
        <v>0</v>
      </c>
      <c r="AG715" s="60">
        <v>0</v>
      </c>
      <c r="AH715" s="60">
        <v>0</v>
      </c>
      <c r="AI715" s="60">
        <v>2273.4899999999998</v>
      </c>
      <c r="AJ715" s="60">
        <v>2162.46</v>
      </c>
      <c r="AK715" s="60">
        <v>2531.14</v>
      </c>
      <c r="AL715" s="60">
        <v>0</v>
      </c>
      <c r="AM715" s="60">
        <v>0</v>
      </c>
      <c r="AN715" s="60">
        <v>0</v>
      </c>
      <c r="AO715" s="60">
        <v>2273.4899999999998</v>
      </c>
      <c r="AP715" s="60">
        <v>2162.46</v>
      </c>
      <c r="AQ715" s="60">
        <v>2531.14</v>
      </c>
      <c r="AR715" s="61">
        <v>2531.14</v>
      </c>
    </row>
    <row r="716" spans="1:44" x14ac:dyDescent="0.35">
      <c r="A716" s="49" t="str">
        <f t="shared" si="61"/>
        <v>19</v>
      </c>
      <c r="B716" s="27">
        <v>64667</v>
      </c>
      <c r="C716" s="25" t="str">
        <f t="shared" si="60"/>
        <v>0000000</v>
      </c>
      <c r="D716" s="26" t="s">
        <v>3663</v>
      </c>
      <c r="E716" s="25" t="s">
        <v>1000</v>
      </c>
      <c r="F716" s="25" t="s">
        <v>895</v>
      </c>
      <c r="G716" s="59" t="s">
        <v>1001</v>
      </c>
      <c r="H716" s="60">
        <v>12478.41</v>
      </c>
      <c r="I716" s="60">
        <v>12152.2</v>
      </c>
      <c r="J716" s="60">
        <v>13498.65</v>
      </c>
      <c r="K716" s="60">
        <v>0</v>
      </c>
      <c r="L716" s="60">
        <v>0</v>
      </c>
      <c r="M716" s="60">
        <v>0</v>
      </c>
      <c r="N716" s="60">
        <v>0</v>
      </c>
      <c r="O716" s="60">
        <v>0</v>
      </c>
      <c r="P716" s="60">
        <v>0</v>
      </c>
      <c r="Q716" s="60">
        <v>0</v>
      </c>
      <c r="R716" s="60">
        <v>0</v>
      </c>
      <c r="S716" s="60">
        <v>0</v>
      </c>
      <c r="T716" s="60">
        <v>0</v>
      </c>
      <c r="U716" s="60">
        <v>0</v>
      </c>
      <c r="V716" s="60">
        <v>0</v>
      </c>
      <c r="W716" s="60">
        <v>0</v>
      </c>
      <c r="X716" s="60">
        <v>0</v>
      </c>
      <c r="Y716" s="60">
        <v>0</v>
      </c>
      <c r="Z716" s="60">
        <v>0</v>
      </c>
      <c r="AA716" s="60">
        <v>0</v>
      </c>
      <c r="AB716" s="60">
        <v>0</v>
      </c>
      <c r="AC716" s="60">
        <v>0</v>
      </c>
      <c r="AD716" s="60">
        <v>0</v>
      </c>
      <c r="AE716" s="60">
        <v>0</v>
      </c>
      <c r="AF716" s="60">
        <v>0</v>
      </c>
      <c r="AG716" s="60">
        <v>0</v>
      </c>
      <c r="AH716" s="60">
        <v>0</v>
      </c>
      <c r="AI716" s="60">
        <v>12478.41</v>
      </c>
      <c r="AJ716" s="60">
        <v>12152.2</v>
      </c>
      <c r="AK716" s="60">
        <v>13498.65</v>
      </c>
      <c r="AL716" s="60">
        <v>0</v>
      </c>
      <c r="AM716" s="60">
        <v>0</v>
      </c>
      <c r="AN716" s="60">
        <v>0</v>
      </c>
      <c r="AO716" s="60">
        <v>12478.41</v>
      </c>
      <c r="AP716" s="60">
        <v>12152.2</v>
      </c>
      <c r="AQ716" s="60">
        <v>13498.65</v>
      </c>
      <c r="AR716" s="61">
        <v>13498.65</v>
      </c>
    </row>
    <row r="717" spans="1:44" x14ac:dyDescent="0.35">
      <c r="A717" s="49" t="str">
        <f t="shared" si="61"/>
        <v>19</v>
      </c>
      <c r="B717" s="27">
        <v>65102</v>
      </c>
      <c r="C717" s="25" t="str">
        <f t="shared" si="60"/>
        <v>0000000</v>
      </c>
      <c r="D717" s="26" t="s">
        <v>3663</v>
      </c>
      <c r="E717" s="25" t="s">
        <v>1126</v>
      </c>
      <c r="F717" s="25" t="s">
        <v>895</v>
      </c>
      <c r="G717" s="59" t="s">
        <v>1127</v>
      </c>
      <c r="H717" s="60">
        <v>8269.82</v>
      </c>
      <c r="I717" s="60">
        <v>7850.47</v>
      </c>
      <c r="J717" s="60">
        <v>9235.93</v>
      </c>
      <c r="K717" s="60">
        <v>0</v>
      </c>
      <c r="L717" s="60">
        <v>0</v>
      </c>
      <c r="M717" s="60">
        <v>0</v>
      </c>
      <c r="N717" s="60">
        <v>0</v>
      </c>
      <c r="O717" s="60">
        <v>0</v>
      </c>
      <c r="P717" s="60">
        <v>0</v>
      </c>
      <c r="Q717" s="60">
        <v>0</v>
      </c>
      <c r="R717" s="60">
        <v>0</v>
      </c>
      <c r="S717" s="60">
        <v>0</v>
      </c>
      <c r="T717" s="60">
        <v>0</v>
      </c>
      <c r="U717" s="60">
        <v>0</v>
      </c>
      <c r="V717" s="60">
        <v>0</v>
      </c>
      <c r="W717" s="60">
        <v>0</v>
      </c>
      <c r="X717" s="60">
        <v>0</v>
      </c>
      <c r="Y717" s="60">
        <v>0</v>
      </c>
      <c r="Z717" s="60">
        <v>0</v>
      </c>
      <c r="AA717" s="60">
        <v>0</v>
      </c>
      <c r="AB717" s="60">
        <v>0</v>
      </c>
      <c r="AC717" s="60">
        <v>0</v>
      </c>
      <c r="AD717" s="60">
        <v>0</v>
      </c>
      <c r="AE717" s="60">
        <v>0</v>
      </c>
      <c r="AF717" s="60">
        <v>0</v>
      </c>
      <c r="AG717" s="60">
        <v>0</v>
      </c>
      <c r="AH717" s="60">
        <v>0</v>
      </c>
      <c r="AI717" s="60">
        <v>8269.82</v>
      </c>
      <c r="AJ717" s="60">
        <v>7850.47</v>
      </c>
      <c r="AK717" s="60">
        <v>9235.93</v>
      </c>
      <c r="AL717" s="60">
        <v>0</v>
      </c>
      <c r="AM717" s="60">
        <v>0</v>
      </c>
      <c r="AN717" s="60">
        <v>0</v>
      </c>
      <c r="AO717" s="60">
        <v>8269.82</v>
      </c>
      <c r="AP717" s="60">
        <v>7850.47</v>
      </c>
      <c r="AQ717" s="60">
        <v>9235.93</v>
      </c>
      <c r="AR717" s="61">
        <v>9235.93</v>
      </c>
    </row>
    <row r="718" spans="1:44" x14ac:dyDescent="0.35">
      <c r="A718" s="49" t="str">
        <f t="shared" si="61"/>
        <v>19</v>
      </c>
      <c r="B718" s="27">
        <v>65151</v>
      </c>
      <c r="C718" s="25" t="str">
        <f t="shared" si="60"/>
        <v>0000000</v>
      </c>
      <c r="D718" s="26" t="s">
        <v>3663</v>
      </c>
      <c r="E718" s="25" t="s">
        <v>1139</v>
      </c>
      <c r="F718" s="25" t="s">
        <v>895</v>
      </c>
      <c r="G718" s="59" t="s">
        <v>1140</v>
      </c>
      <c r="H718" s="60">
        <v>1117.1300000000001</v>
      </c>
      <c r="I718" s="60">
        <v>1081.0899999999999</v>
      </c>
      <c r="J718" s="60">
        <v>1169.57</v>
      </c>
      <c r="K718" s="60">
        <v>0</v>
      </c>
      <c r="L718" s="60">
        <v>0</v>
      </c>
      <c r="M718" s="60">
        <v>0</v>
      </c>
      <c r="N718" s="60">
        <v>0</v>
      </c>
      <c r="O718" s="60">
        <v>0</v>
      </c>
      <c r="P718" s="60">
        <v>0</v>
      </c>
      <c r="Q718" s="60">
        <v>0</v>
      </c>
      <c r="R718" s="60">
        <v>0</v>
      </c>
      <c r="S718" s="60">
        <v>0</v>
      </c>
      <c r="T718" s="60">
        <v>0</v>
      </c>
      <c r="U718" s="60">
        <v>0</v>
      </c>
      <c r="V718" s="60">
        <v>0</v>
      </c>
      <c r="W718" s="60">
        <v>0</v>
      </c>
      <c r="X718" s="60">
        <v>0</v>
      </c>
      <c r="Y718" s="60">
        <v>0</v>
      </c>
      <c r="Z718" s="60">
        <v>0</v>
      </c>
      <c r="AA718" s="60">
        <v>0</v>
      </c>
      <c r="AB718" s="60">
        <v>0</v>
      </c>
      <c r="AC718" s="60">
        <v>0</v>
      </c>
      <c r="AD718" s="60">
        <v>0</v>
      </c>
      <c r="AE718" s="60">
        <v>0</v>
      </c>
      <c r="AF718" s="60">
        <v>0</v>
      </c>
      <c r="AG718" s="60">
        <v>0</v>
      </c>
      <c r="AH718" s="60">
        <v>0</v>
      </c>
      <c r="AI718" s="60">
        <v>1117.1300000000001</v>
      </c>
      <c r="AJ718" s="60">
        <v>1081.0899999999999</v>
      </c>
      <c r="AK718" s="60">
        <v>1169.57</v>
      </c>
      <c r="AL718" s="60">
        <v>0</v>
      </c>
      <c r="AM718" s="60">
        <v>0</v>
      </c>
      <c r="AN718" s="60">
        <v>0</v>
      </c>
      <c r="AO718" s="60">
        <v>1117.1300000000001</v>
      </c>
      <c r="AP718" s="60">
        <v>1081.0899999999999</v>
      </c>
      <c r="AQ718" s="60">
        <v>1169.57</v>
      </c>
      <c r="AR718" s="61">
        <v>1169.57</v>
      </c>
    </row>
    <row r="719" spans="1:44" x14ac:dyDescent="0.35">
      <c r="A719" s="49" t="str">
        <f t="shared" si="61"/>
        <v>19</v>
      </c>
      <c r="B719" s="27">
        <v>64584</v>
      </c>
      <c r="C719" s="25" t="str">
        <f t="shared" si="60"/>
        <v>0000000</v>
      </c>
      <c r="D719" s="26" t="s">
        <v>3663</v>
      </c>
      <c r="E719" s="25" t="s">
        <v>970</v>
      </c>
      <c r="F719" s="25" t="s">
        <v>895</v>
      </c>
      <c r="G719" s="59" t="s">
        <v>971</v>
      </c>
      <c r="H719" s="60">
        <v>78.31</v>
      </c>
      <c r="I719" s="60">
        <v>56.04</v>
      </c>
      <c r="J719" s="60">
        <v>65.900000000000006</v>
      </c>
      <c r="K719" s="60">
        <v>0</v>
      </c>
      <c r="L719" s="60">
        <v>0</v>
      </c>
      <c r="M719" s="60">
        <v>0</v>
      </c>
      <c r="N719" s="60">
        <v>0</v>
      </c>
      <c r="O719" s="60">
        <v>0</v>
      </c>
      <c r="P719" s="60">
        <v>0</v>
      </c>
      <c r="Q719" s="60">
        <v>0</v>
      </c>
      <c r="R719" s="60">
        <v>0</v>
      </c>
      <c r="S719" s="60">
        <v>0</v>
      </c>
      <c r="T719" s="60">
        <v>0</v>
      </c>
      <c r="U719" s="60">
        <v>0</v>
      </c>
      <c r="V719" s="60">
        <v>0</v>
      </c>
      <c r="W719" s="60">
        <v>0</v>
      </c>
      <c r="X719" s="60">
        <v>0</v>
      </c>
      <c r="Y719" s="60">
        <v>0</v>
      </c>
      <c r="Z719" s="60">
        <v>0</v>
      </c>
      <c r="AA719" s="60">
        <v>0</v>
      </c>
      <c r="AB719" s="60">
        <v>0</v>
      </c>
      <c r="AC719" s="60">
        <v>0</v>
      </c>
      <c r="AD719" s="60">
        <v>0</v>
      </c>
      <c r="AE719" s="60">
        <v>0</v>
      </c>
      <c r="AF719" s="60">
        <v>0</v>
      </c>
      <c r="AG719" s="60">
        <v>0</v>
      </c>
      <c r="AH719" s="60">
        <v>0</v>
      </c>
      <c r="AI719" s="60">
        <v>78.31</v>
      </c>
      <c r="AJ719" s="60">
        <v>56.04</v>
      </c>
      <c r="AK719" s="60">
        <v>65.900000000000006</v>
      </c>
      <c r="AL719" s="60">
        <v>0</v>
      </c>
      <c r="AM719" s="60">
        <v>0</v>
      </c>
      <c r="AN719" s="60">
        <v>0</v>
      </c>
      <c r="AO719" s="60">
        <v>78.31</v>
      </c>
      <c r="AP719" s="60">
        <v>56.04</v>
      </c>
      <c r="AQ719" s="60">
        <v>65.900000000000006</v>
      </c>
      <c r="AR719" s="61">
        <v>78.31</v>
      </c>
    </row>
    <row r="720" spans="1:44" x14ac:dyDescent="0.35">
      <c r="A720" s="49" t="str">
        <f t="shared" si="61"/>
        <v>19</v>
      </c>
      <c r="B720" s="27">
        <v>75309</v>
      </c>
      <c r="C720" s="25" t="str">
        <f t="shared" si="60"/>
        <v>0000000</v>
      </c>
      <c r="D720" s="26" t="s">
        <v>3663</v>
      </c>
      <c r="E720" s="25" t="s">
        <v>1168</v>
      </c>
      <c r="F720" s="25" t="s">
        <v>895</v>
      </c>
      <c r="G720" s="59" t="s">
        <v>1169</v>
      </c>
      <c r="H720" s="60">
        <v>890.81</v>
      </c>
      <c r="I720" s="60">
        <v>835.42</v>
      </c>
      <c r="J720" s="60">
        <v>979.6</v>
      </c>
      <c r="K720" s="60">
        <v>0</v>
      </c>
      <c r="L720" s="60">
        <v>0</v>
      </c>
      <c r="M720" s="60">
        <v>0</v>
      </c>
      <c r="N720" s="60">
        <v>0</v>
      </c>
      <c r="O720" s="60">
        <v>0</v>
      </c>
      <c r="P720" s="60">
        <v>0</v>
      </c>
      <c r="Q720" s="60">
        <v>0</v>
      </c>
      <c r="R720" s="60">
        <v>0</v>
      </c>
      <c r="S720" s="60">
        <v>0</v>
      </c>
      <c r="T720" s="60">
        <v>0</v>
      </c>
      <c r="U720" s="60">
        <v>0</v>
      </c>
      <c r="V720" s="60">
        <v>0</v>
      </c>
      <c r="W720" s="60">
        <v>0</v>
      </c>
      <c r="X720" s="60">
        <v>0</v>
      </c>
      <c r="Y720" s="60">
        <v>0</v>
      </c>
      <c r="Z720" s="60">
        <v>0</v>
      </c>
      <c r="AA720" s="60">
        <v>0</v>
      </c>
      <c r="AB720" s="60">
        <v>0</v>
      </c>
      <c r="AC720" s="60">
        <v>108.09</v>
      </c>
      <c r="AD720" s="60">
        <v>315.52</v>
      </c>
      <c r="AE720" s="60">
        <v>1456.77</v>
      </c>
      <c r="AF720" s="60">
        <v>0</v>
      </c>
      <c r="AG720" s="60">
        <v>0</v>
      </c>
      <c r="AH720" s="60">
        <v>0</v>
      </c>
      <c r="AI720" s="60">
        <v>998.9</v>
      </c>
      <c r="AJ720" s="60">
        <v>1150.94</v>
      </c>
      <c r="AK720" s="60">
        <v>2436.37</v>
      </c>
      <c r="AL720" s="60">
        <v>0</v>
      </c>
      <c r="AM720" s="60">
        <v>-198.37</v>
      </c>
      <c r="AN720" s="60">
        <v>-1290.1600000000001</v>
      </c>
      <c r="AO720" s="60">
        <v>998.9</v>
      </c>
      <c r="AP720" s="60">
        <v>952.57</v>
      </c>
      <c r="AQ720" s="60">
        <v>1146.21</v>
      </c>
      <c r="AR720" s="61">
        <v>1146.21</v>
      </c>
    </row>
    <row r="721" spans="1:44" x14ac:dyDescent="0.35">
      <c r="A721" s="49" t="str">
        <f t="shared" si="61"/>
        <v>19</v>
      </c>
      <c r="B721" s="27">
        <v>64212</v>
      </c>
      <c r="C721" s="25" t="str">
        <f t="shared" si="60"/>
        <v>0000000</v>
      </c>
      <c r="D721" s="26" t="s">
        <v>3663</v>
      </c>
      <c r="E721" s="25" t="s">
        <v>892</v>
      </c>
      <c r="F721" s="25" t="s">
        <v>893</v>
      </c>
      <c r="G721" s="59" t="s">
        <v>893</v>
      </c>
      <c r="H721" s="60">
        <v>17357.490000000002</v>
      </c>
      <c r="I721" s="60">
        <v>17556.64</v>
      </c>
      <c r="J721" s="60">
        <v>19633.75</v>
      </c>
      <c r="K721" s="60">
        <v>0</v>
      </c>
      <c r="L721" s="60">
        <v>0</v>
      </c>
      <c r="M721" s="60">
        <v>0</v>
      </c>
      <c r="N721" s="60">
        <v>0</v>
      </c>
      <c r="O721" s="60">
        <v>0</v>
      </c>
      <c r="P721" s="60">
        <v>0</v>
      </c>
      <c r="Q721" s="60">
        <v>0</v>
      </c>
      <c r="R721" s="60">
        <v>0</v>
      </c>
      <c r="S721" s="60">
        <v>0</v>
      </c>
      <c r="T721" s="60">
        <v>7.79</v>
      </c>
      <c r="U721" s="60">
        <v>7.06</v>
      </c>
      <c r="V721" s="60">
        <v>19.920000000000002</v>
      </c>
      <c r="W721" s="60">
        <v>3.72</v>
      </c>
      <c r="X721" s="60">
        <v>2.5499999999999998</v>
      </c>
      <c r="Y721" s="60">
        <v>2.58</v>
      </c>
      <c r="Z721" s="60">
        <v>0</v>
      </c>
      <c r="AA721" s="60">
        <v>0</v>
      </c>
      <c r="AB721" s="60">
        <v>0</v>
      </c>
      <c r="AC721" s="60">
        <v>0</v>
      </c>
      <c r="AD721" s="60">
        <v>0</v>
      </c>
      <c r="AE721" s="60">
        <v>0</v>
      </c>
      <c r="AF721" s="60">
        <v>0</v>
      </c>
      <c r="AG721" s="60">
        <v>0</v>
      </c>
      <c r="AH721" s="60">
        <v>0</v>
      </c>
      <c r="AI721" s="60">
        <v>17369</v>
      </c>
      <c r="AJ721" s="60">
        <v>17566.25</v>
      </c>
      <c r="AK721" s="60">
        <v>19656.25</v>
      </c>
      <c r="AL721" s="60">
        <v>0</v>
      </c>
      <c r="AM721" s="60">
        <v>0</v>
      </c>
      <c r="AN721" s="60">
        <v>0</v>
      </c>
      <c r="AO721" s="60">
        <v>17369</v>
      </c>
      <c r="AP721" s="60">
        <v>17566.25</v>
      </c>
      <c r="AQ721" s="60">
        <v>19656.25</v>
      </c>
      <c r="AR721" s="61">
        <v>19656.25</v>
      </c>
    </row>
    <row r="722" spans="1:44" x14ac:dyDescent="0.35">
      <c r="A722" s="49" t="str">
        <f t="shared" si="61"/>
        <v>19</v>
      </c>
      <c r="B722" s="27">
        <v>64303</v>
      </c>
      <c r="C722" s="25" t="str">
        <f t="shared" si="60"/>
        <v>0000000</v>
      </c>
      <c r="D722" s="26" t="s">
        <v>3663</v>
      </c>
      <c r="E722" s="25" t="s">
        <v>916</v>
      </c>
      <c r="F722" s="25" t="s">
        <v>917</v>
      </c>
      <c r="G722" s="59" t="s">
        <v>917</v>
      </c>
      <c r="H722" s="60">
        <v>9301.86</v>
      </c>
      <c r="I722" s="60">
        <v>9362.18</v>
      </c>
      <c r="J722" s="60">
        <v>11008.94</v>
      </c>
      <c r="K722" s="60">
        <v>0</v>
      </c>
      <c r="L722" s="60">
        <v>0</v>
      </c>
      <c r="M722" s="60">
        <v>0</v>
      </c>
      <c r="N722" s="60">
        <v>0</v>
      </c>
      <c r="O722" s="60">
        <v>0</v>
      </c>
      <c r="P722" s="60">
        <v>0</v>
      </c>
      <c r="Q722" s="60">
        <v>0</v>
      </c>
      <c r="R722" s="60">
        <v>0</v>
      </c>
      <c r="S722" s="60">
        <v>0</v>
      </c>
      <c r="T722" s="60">
        <v>14.28</v>
      </c>
      <c r="U722" s="60">
        <v>12.81</v>
      </c>
      <c r="V722" s="60">
        <v>37.69</v>
      </c>
      <c r="W722" s="60">
        <v>10.44</v>
      </c>
      <c r="X722" s="60">
        <v>9.65</v>
      </c>
      <c r="Y722" s="60">
        <v>16.39</v>
      </c>
      <c r="Z722" s="60">
        <v>0</v>
      </c>
      <c r="AA722" s="60">
        <v>0</v>
      </c>
      <c r="AB722" s="60">
        <v>0</v>
      </c>
      <c r="AC722" s="60">
        <v>0</v>
      </c>
      <c r="AD722" s="60">
        <v>0</v>
      </c>
      <c r="AE722" s="60">
        <v>0</v>
      </c>
      <c r="AF722" s="60">
        <v>0</v>
      </c>
      <c r="AG722" s="60">
        <v>0</v>
      </c>
      <c r="AH722" s="60">
        <v>0</v>
      </c>
      <c r="AI722" s="60">
        <v>9326.58</v>
      </c>
      <c r="AJ722" s="60">
        <v>9384.64</v>
      </c>
      <c r="AK722" s="60">
        <v>11063.02</v>
      </c>
      <c r="AL722" s="60">
        <v>0</v>
      </c>
      <c r="AM722" s="60">
        <v>0</v>
      </c>
      <c r="AN722" s="60">
        <v>0</v>
      </c>
      <c r="AO722" s="60">
        <v>9326.58</v>
      </c>
      <c r="AP722" s="60">
        <v>9384.64</v>
      </c>
      <c r="AQ722" s="60">
        <v>11063.02</v>
      </c>
      <c r="AR722" s="61">
        <v>11063.02</v>
      </c>
    </row>
    <row r="723" spans="1:44" x14ac:dyDescent="0.35">
      <c r="A723" s="49" t="str">
        <f t="shared" si="61"/>
        <v>19</v>
      </c>
      <c r="B723" s="27">
        <v>64774</v>
      </c>
      <c r="C723" s="25" t="str">
        <f t="shared" si="60"/>
        <v>0000000</v>
      </c>
      <c r="D723" s="26" t="s">
        <v>3663</v>
      </c>
      <c r="E723" s="25" t="s">
        <v>1059</v>
      </c>
      <c r="F723" s="25" t="s">
        <v>917</v>
      </c>
      <c r="G723" s="59" t="s">
        <v>1060</v>
      </c>
      <c r="H723" s="60">
        <v>10638.44</v>
      </c>
      <c r="I723" s="60">
        <v>10175.35</v>
      </c>
      <c r="J723" s="60">
        <v>12417</v>
      </c>
      <c r="K723" s="60">
        <v>0</v>
      </c>
      <c r="L723" s="60">
        <v>0</v>
      </c>
      <c r="M723" s="60">
        <v>0</v>
      </c>
      <c r="N723" s="60">
        <v>0</v>
      </c>
      <c r="O723" s="60">
        <v>0</v>
      </c>
      <c r="P723" s="60">
        <v>0</v>
      </c>
      <c r="Q723" s="60">
        <v>0</v>
      </c>
      <c r="R723" s="60">
        <v>0</v>
      </c>
      <c r="S723" s="60">
        <v>0</v>
      </c>
      <c r="T723" s="60">
        <v>0</v>
      </c>
      <c r="U723" s="60">
        <v>0</v>
      </c>
      <c r="V723" s="60">
        <v>0</v>
      </c>
      <c r="W723" s="60">
        <v>0</v>
      </c>
      <c r="X723" s="60">
        <v>0</v>
      </c>
      <c r="Y723" s="60">
        <v>0</v>
      </c>
      <c r="Z723" s="60">
        <v>0</v>
      </c>
      <c r="AA723" s="60">
        <v>0</v>
      </c>
      <c r="AB723" s="60">
        <v>0</v>
      </c>
      <c r="AC723" s="60">
        <v>0</v>
      </c>
      <c r="AD723" s="60">
        <v>0</v>
      </c>
      <c r="AE723" s="60">
        <v>0</v>
      </c>
      <c r="AF723" s="60">
        <v>0</v>
      </c>
      <c r="AG723" s="60">
        <v>0</v>
      </c>
      <c r="AH723" s="60">
        <v>0</v>
      </c>
      <c r="AI723" s="60">
        <v>10638.44</v>
      </c>
      <c r="AJ723" s="60">
        <v>10175.35</v>
      </c>
      <c r="AK723" s="60">
        <v>12417</v>
      </c>
      <c r="AL723" s="60">
        <v>0</v>
      </c>
      <c r="AM723" s="60">
        <v>0</v>
      </c>
      <c r="AN723" s="60">
        <v>0</v>
      </c>
      <c r="AO723" s="60">
        <v>10638.44</v>
      </c>
      <c r="AP723" s="60">
        <v>10175.35</v>
      </c>
      <c r="AQ723" s="60">
        <v>12417</v>
      </c>
      <c r="AR723" s="61">
        <v>12417</v>
      </c>
    </row>
    <row r="724" spans="1:44" x14ac:dyDescent="0.35">
      <c r="A724" s="49" t="str">
        <f t="shared" si="61"/>
        <v>19</v>
      </c>
      <c r="B724" s="27">
        <v>64873</v>
      </c>
      <c r="C724" s="25" t="str">
        <f t="shared" si="60"/>
        <v>0000000</v>
      </c>
      <c r="D724" s="26" t="s">
        <v>3663</v>
      </c>
      <c r="E724" s="25" t="s">
        <v>1078</v>
      </c>
      <c r="F724" s="25" t="s">
        <v>917</v>
      </c>
      <c r="G724" s="59" t="s">
        <v>1079</v>
      </c>
      <c r="H724" s="60">
        <v>11749.78</v>
      </c>
      <c r="I724" s="60">
        <v>11702.8</v>
      </c>
      <c r="J724" s="60">
        <v>13709.18</v>
      </c>
      <c r="K724" s="60">
        <v>0</v>
      </c>
      <c r="L724" s="60">
        <v>0</v>
      </c>
      <c r="M724" s="60">
        <v>0</v>
      </c>
      <c r="N724" s="60">
        <v>0</v>
      </c>
      <c r="O724" s="60">
        <v>0</v>
      </c>
      <c r="P724" s="60">
        <v>0</v>
      </c>
      <c r="Q724" s="60">
        <v>0</v>
      </c>
      <c r="R724" s="60">
        <v>0</v>
      </c>
      <c r="S724" s="60">
        <v>0</v>
      </c>
      <c r="T724" s="60">
        <v>0</v>
      </c>
      <c r="U724" s="60">
        <v>0</v>
      </c>
      <c r="V724" s="60">
        <v>0</v>
      </c>
      <c r="W724" s="60">
        <v>0</v>
      </c>
      <c r="X724" s="60">
        <v>0</v>
      </c>
      <c r="Y724" s="60">
        <v>0</v>
      </c>
      <c r="Z724" s="60">
        <v>0</v>
      </c>
      <c r="AA724" s="60">
        <v>0</v>
      </c>
      <c r="AB724" s="60">
        <v>0</v>
      </c>
      <c r="AC724" s="60">
        <v>0</v>
      </c>
      <c r="AD724" s="60">
        <v>0</v>
      </c>
      <c r="AE724" s="60">
        <v>0</v>
      </c>
      <c r="AF724" s="60">
        <v>0</v>
      </c>
      <c r="AG724" s="60">
        <v>0</v>
      </c>
      <c r="AH724" s="60">
        <v>0</v>
      </c>
      <c r="AI724" s="60">
        <v>11749.78</v>
      </c>
      <c r="AJ724" s="60">
        <v>11702.8</v>
      </c>
      <c r="AK724" s="60">
        <v>13709.18</v>
      </c>
      <c r="AL724" s="60">
        <v>0</v>
      </c>
      <c r="AM724" s="60">
        <v>0</v>
      </c>
      <c r="AN724" s="60">
        <v>0</v>
      </c>
      <c r="AO724" s="60">
        <v>11749.78</v>
      </c>
      <c r="AP724" s="60">
        <v>11702.8</v>
      </c>
      <c r="AQ724" s="60">
        <v>13709.18</v>
      </c>
      <c r="AR724" s="61">
        <v>13709.18</v>
      </c>
    </row>
    <row r="725" spans="1:44" x14ac:dyDescent="0.35">
      <c r="A725" s="49" t="str">
        <f t="shared" si="61"/>
        <v>19</v>
      </c>
      <c r="B725" s="27">
        <v>64907</v>
      </c>
      <c r="C725" s="25" t="str">
        <f t="shared" si="60"/>
        <v>0000000</v>
      </c>
      <c r="D725" s="26" t="s">
        <v>3663</v>
      </c>
      <c r="E725" s="25" t="s">
        <v>1093</v>
      </c>
      <c r="F725" s="25" t="s">
        <v>1094</v>
      </c>
      <c r="G725" s="59" t="s">
        <v>1094</v>
      </c>
      <c r="H725" s="60">
        <v>18163.32</v>
      </c>
      <c r="I725" s="60">
        <v>18486.310000000001</v>
      </c>
      <c r="J725" s="60">
        <v>21122.83</v>
      </c>
      <c r="K725" s="60">
        <v>0</v>
      </c>
      <c r="L725" s="60">
        <v>0</v>
      </c>
      <c r="M725" s="60">
        <v>0</v>
      </c>
      <c r="N725" s="60">
        <v>0</v>
      </c>
      <c r="O725" s="60">
        <v>0</v>
      </c>
      <c r="P725" s="60">
        <v>0</v>
      </c>
      <c r="Q725" s="60">
        <v>0</v>
      </c>
      <c r="R725" s="60">
        <v>0</v>
      </c>
      <c r="S725" s="60">
        <v>0</v>
      </c>
      <c r="T725" s="60">
        <v>8.69</v>
      </c>
      <c r="U725" s="60">
        <v>7.82</v>
      </c>
      <c r="V725" s="60">
        <v>22.18</v>
      </c>
      <c r="W725" s="60">
        <v>107.07</v>
      </c>
      <c r="X725" s="60">
        <v>102.86</v>
      </c>
      <c r="Y725" s="60">
        <v>92.85</v>
      </c>
      <c r="Z725" s="60">
        <v>0</v>
      </c>
      <c r="AA725" s="60">
        <v>0</v>
      </c>
      <c r="AB725" s="60">
        <v>0</v>
      </c>
      <c r="AC725" s="60">
        <v>1197.27</v>
      </c>
      <c r="AD725" s="60">
        <v>946.85</v>
      </c>
      <c r="AE725" s="60">
        <v>729.86</v>
      </c>
      <c r="AF725" s="60">
        <v>0</v>
      </c>
      <c r="AG725" s="60">
        <v>0</v>
      </c>
      <c r="AH725" s="60">
        <v>0</v>
      </c>
      <c r="AI725" s="60">
        <v>19476.349999999999</v>
      </c>
      <c r="AJ725" s="60">
        <v>19543.84</v>
      </c>
      <c r="AK725" s="60">
        <v>21967.72</v>
      </c>
      <c r="AL725" s="60">
        <v>0</v>
      </c>
      <c r="AM725" s="60">
        <v>0</v>
      </c>
      <c r="AN725" s="60">
        <v>0</v>
      </c>
      <c r="AO725" s="60">
        <v>19476.349999999999</v>
      </c>
      <c r="AP725" s="60">
        <v>19543.84</v>
      </c>
      <c r="AQ725" s="60">
        <v>21967.72</v>
      </c>
      <c r="AR725" s="61">
        <v>21967.72</v>
      </c>
    </row>
    <row r="726" spans="1:44" x14ac:dyDescent="0.35">
      <c r="A726" s="49" t="str">
        <f t="shared" si="61"/>
        <v>19</v>
      </c>
      <c r="B726" s="27">
        <v>65136</v>
      </c>
      <c r="C726" s="25" t="str">
        <f t="shared" si="60"/>
        <v>0000000</v>
      </c>
      <c r="D726" s="26" t="s">
        <v>3663</v>
      </c>
      <c r="E726" s="25" t="s">
        <v>928</v>
      </c>
      <c r="F726" s="25" t="s">
        <v>929</v>
      </c>
      <c r="G726" s="59" t="s">
        <v>929</v>
      </c>
      <c r="H726" s="60">
        <v>19593.47</v>
      </c>
      <c r="I726" s="60">
        <v>20067.05</v>
      </c>
      <c r="J726" s="60">
        <v>21274.880000000001</v>
      </c>
      <c r="K726" s="60">
        <v>0</v>
      </c>
      <c r="L726" s="60">
        <v>0</v>
      </c>
      <c r="M726" s="60">
        <v>0</v>
      </c>
      <c r="N726" s="60">
        <v>0</v>
      </c>
      <c r="O726" s="60">
        <v>0</v>
      </c>
      <c r="P726" s="60">
        <v>0</v>
      </c>
      <c r="Q726" s="60">
        <v>0</v>
      </c>
      <c r="R726" s="60">
        <v>0</v>
      </c>
      <c r="S726" s="60">
        <v>0</v>
      </c>
      <c r="T726" s="60">
        <v>18.190000000000001</v>
      </c>
      <c r="U726" s="60">
        <v>16.489999999999998</v>
      </c>
      <c r="V726" s="60">
        <v>44.5</v>
      </c>
      <c r="W726" s="60">
        <v>24.55</v>
      </c>
      <c r="X726" s="60">
        <v>21.62</v>
      </c>
      <c r="Y726" s="60">
        <v>16.91</v>
      </c>
      <c r="Z726" s="60">
        <v>0</v>
      </c>
      <c r="AA726" s="60">
        <v>0</v>
      </c>
      <c r="AB726" s="60">
        <v>0</v>
      </c>
      <c r="AC726" s="60">
        <v>0</v>
      </c>
      <c r="AD726" s="60">
        <v>0</v>
      </c>
      <c r="AE726" s="60">
        <v>0</v>
      </c>
      <c r="AF726" s="60">
        <v>0</v>
      </c>
      <c r="AG726" s="60">
        <v>0</v>
      </c>
      <c r="AH726" s="60">
        <v>0</v>
      </c>
      <c r="AI726" s="60">
        <v>19636.21</v>
      </c>
      <c r="AJ726" s="60">
        <v>20105.16</v>
      </c>
      <c r="AK726" s="60">
        <v>21336.29</v>
      </c>
      <c r="AL726" s="60">
        <v>0</v>
      </c>
      <c r="AM726" s="60">
        <v>0</v>
      </c>
      <c r="AN726" s="60">
        <v>0</v>
      </c>
      <c r="AO726" s="60">
        <v>19636.21</v>
      </c>
      <c r="AP726" s="60">
        <v>20105.16</v>
      </c>
      <c r="AQ726" s="60">
        <v>21336.29</v>
      </c>
      <c r="AR726" s="61">
        <v>21336.29</v>
      </c>
    </row>
    <row r="727" spans="1:44" x14ac:dyDescent="0.35">
      <c r="A727" s="49" t="str">
        <f t="shared" si="61"/>
        <v>19</v>
      </c>
      <c r="B727" s="27">
        <v>64345</v>
      </c>
      <c r="C727" s="25" t="str">
        <f t="shared" si="60"/>
        <v>0000000</v>
      </c>
      <c r="D727" s="26" t="s">
        <v>3663</v>
      </c>
      <c r="E727" s="25" t="s">
        <v>930</v>
      </c>
      <c r="F727" s="25" t="s">
        <v>929</v>
      </c>
      <c r="G727" s="59" t="s">
        <v>931</v>
      </c>
      <c r="H727" s="60">
        <v>1763.03</v>
      </c>
      <c r="I727" s="60">
        <v>1766.28</v>
      </c>
      <c r="J727" s="60">
        <v>1944.72</v>
      </c>
      <c r="K727" s="60">
        <v>0</v>
      </c>
      <c r="L727" s="60">
        <v>0</v>
      </c>
      <c r="M727" s="60">
        <v>0</v>
      </c>
      <c r="N727" s="60">
        <v>0</v>
      </c>
      <c r="O727" s="60">
        <v>0</v>
      </c>
      <c r="P727" s="60">
        <v>0</v>
      </c>
      <c r="Q727" s="60">
        <v>0</v>
      </c>
      <c r="R727" s="60">
        <v>0</v>
      </c>
      <c r="S727" s="60">
        <v>0</v>
      </c>
      <c r="T727" s="60">
        <v>0</v>
      </c>
      <c r="U727" s="60">
        <v>0</v>
      </c>
      <c r="V727" s="60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60">
        <v>0</v>
      </c>
      <c r="AE727" s="60">
        <v>0</v>
      </c>
      <c r="AF727" s="60">
        <v>0</v>
      </c>
      <c r="AG727" s="60">
        <v>0</v>
      </c>
      <c r="AH727" s="60">
        <v>0</v>
      </c>
      <c r="AI727" s="60">
        <v>1763.03</v>
      </c>
      <c r="AJ727" s="60">
        <v>1766.28</v>
      </c>
      <c r="AK727" s="60">
        <v>1944.72</v>
      </c>
      <c r="AL727" s="60">
        <v>0</v>
      </c>
      <c r="AM727" s="60">
        <v>0</v>
      </c>
      <c r="AN727" s="60">
        <v>0</v>
      </c>
      <c r="AO727" s="60">
        <v>1763.03</v>
      </c>
      <c r="AP727" s="60">
        <v>1766.28</v>
      </c>
      <c r="AQ727" s="60">
        <v>1944.72</v>
      </c>
      <c r="AR727" s="61">
        <v>1944.72</v>
      </c>
    </row>
    <row r="728" spans="1:44" x14ac:dyDescent="0.35">
      <c r="A728" s="49" t="str">
        <f t="shared" si="61"/>
        <v>19</v>
      </c>
      <c r="B728" s="27">
        <v>64832</v>
      </c>
      <c r="C728" s="25" t="str">
        <f t="shared" si="60"/>
        <v>0000000</v>
      </c>
      <c r="D728" s="26" t="s">
        <v>3663</v>
      </c>
      <c r="E728" s="25" t="s">
        <v>1067</v>
      </c>
      <c r="F728" s="25" t="s">
        <v>929</v>
      </c>
      <c r="G728" s="59" t="s">
        <v>1068</v>
      </c>
      <c r="H728" s="60">
        <v>5601.11</v>
      </c>
      <c r="I728" s="60">
        <v>5551.52</v>
      </c>
      <c r="J728" s="60">
        <v>6046.54</v>
      </c>
      <c r="K728" s="60">
        <v>0</v>
      </c>
      <c r="L728" s="60">
        <v>0</v>
      </c>
      <c r="M728" s="60">
        <v>0</v>
      </c>
      <c r="N728" s="60">
        <v>0</v>
      </c>
      <c r="O728" s="60">
        <v>0</v>
      </c>
      <c r="P728" s="60">
        <v>0</v>
      </c>
      <c r="Q728" s="60">
        <v>0</v>
      </c>
      <c r="R728" s="60">
        <v>0</v>
      </c>
      <c r="S728" s="60">
        <v>0</v>
      </c>
      <c r="T728" s="60">
        <v>0</v>
      </c>
      <c r="U728" s="60">
        <v>0</v>
      </c>
      <c r="V728" s="60">
        <v>0</v>
      </c>
      <c r="W728" s="60">
        <v>0</v>
      </c>
      <c r="X728" s="60">
        <v>0</v>
      </c>
      <c r="Y728" s="60">
        <v>0</v>
      </c>
      <c r="Z728" s="60">
        <v>0</v>
      </c>
      <c r="AA728" s="60">
        <v>0</v>
      </c>
      <c r="AB728" s="60">
        <v>0</v>
      </c>
      <c r="AC728" s="60">
        <v>0</v>
      </c>
      <c r="AD728" s="60">
        <v>0</v>
      </c>
      <c r="AE728" s="60">
        <v>0</v>
      </c>
      <c r="AF728" s="60">
        <v>0</v>
      </c>
      <c r="AG728" s="60">
        <v>0</v>
      </c>
      <c r="AH728" s="60">
        <v>0</v>
      </c>
      <c r="AI728" s="60">
        <v>5601.11</v>
      </c>
      <c r="AJ728" s="60">
        <v>5551.52</v>
      </c>
      <c r="AK728" s="60">
        <v>6046.54</v>
      </c>
      <c r="AL728" s="60">
        <v>0</v>
      </c>
      <c r="AM728" s="60">
        <v>0</v>
      </c>
      <c r="AN728" s="60">
        <v>0</v>
      </c>
      <c r="AO728" s="60">
        <v>5601.11</v>
      </c>
      <c r="AP728" s="60">
        <v>5551.52</v>
      </c>
      <c r="AQ728" s="60">
        <v>6046.54</v>
      </c>
      <c r="AR728" s="61">
        <v>6046.54</v>
      </c>
    </row>
    <row r="729" spans="1:44" x14ac:dyDescent="0.35">
      <c r="A729" s="49" t="str">
        <f t="shared" si="61"/>
        <v>19</v>
      </c>
      <c r="B729" s="27">
        <v>65045</v>
      </c>
      <c r="C729" s="25" t="str">
        <f t="shared" si="60"/>
        <v>0000000</v>
      </c>
      <c r="D729" s="26" t="s">
        <v>3663</v>
      </c>
      <c r="E729" s="25" t="s">
        <v>1110</v>
      </c>
      <c r="F729" s="25" t="s">
        <v>929</v>
      </c>
      <c r="G729" s="59" t="s">
        <v>1111</v>
      </c>
      <c r="H729" s="60">
        <v>4896.1000000000004</v>
      </c>
      <c r="I729" s="60">
        <v>4824.76</v>
      </c>
      <c r="J729" s="60">
        <v>5108.2700000000004</v>
      </c>
      <c r="K729" s="60">
        <v>0</v>
      </c>
      <c r="L729" s="60">
        <v>0</v>
      </c>
      <c r="M729" s="60">
        <v>0</v>
      </c>
      <c r="N729" s="60">
        <v>0</v>
      </c>
      <c r="O729" s="60">
        <v>0</v>
      </c>
      <c r="P729" s="60">
        <v>0</v>
      </c>
      <c r="Q729" s="60">
        <v>0</v>
      </c>
      <c r="R729" s="60">
        <v>0</v>
      </c>
      <c r="S729" s="60">
        <v>0</v>
      </c>
      <c r="T729" s="60">
        <v>0</v>
      </c>
      <c r="U729" s="60">
        <v>0</v>
      </c>
      <c r="V729" s="60">
        <v>0</v>
      </c>
      <c r="W729" s="60">
        <v>0</v>
      </c>
      <c r="X729" s="60">
        <v>0</v>
      </c>
      <c r="Y729" s="60">
        <v>0</v>
      </c>
      <c r="Z729" s="60">
        <v>0</v>
      </c>
      <c r="AA729" s="60">
        <v>0</v>
      </c>
      <c r="AB729" s="60">
        <v>0</v>
      </c>
      <c r="AC729" s="60">
        <v>0</v>
      </c>
      <c r="AD729" s="60">
        <v>0</v>
      </c>
      <c r="AE729" s="60">
        <v>0</v>
      </c>
      <c r="AF729" s="60">
        <v>0</v>
      </c>
      <c r="AG729" s="60">
        <v>0</v>
      </c>
      <c r="AH729" s="60">
        <v>0</v>
      </c>
      <c r="AI729" s="60">
        <v>4896.1000000000004</v>
      </c>
      <c r="AJ729" s="60">
        <v>4824.76</v>
      </c>
      <c r="AK729" s="60">
        <v>5108.2700000000004</v>
      </c>
      <c r="AL729" s="60">
        <v>0</v>
      </c>
      <c r="AM729" s="60">
        <v>0</v>
      </c>
      <c r="AN729" s="60">
        <v>0</v>
      </c>
      <c r="AO729" s="60">
        <v>4896.1000000000004</v>
      </c>
      <c r="AP729" s="60">
        <v>4824.76</v>
      </c>
      <c r="AQ729" s="60">
        <v>5108.2700000000004</v>
      </c>
      <c r="AR729" s="61">
        <v>5108.2700000000004</v>
      </c>
    </row>
    <row r="730" spans="1:44" x14ac:dyDescent="0.35">
      <c r="A730" s="49" t="str">
        <f t="shared" si="61"/>
        <v>19</v>
      </c>
      <c r="B730" s="27">
        <v>64998</v>
      </c>
      <c r="C730" s="25" t="str">
        <f t="shared" si="60"/>
        <v>0000000</v>
      </c>
      <c r="D730" s="26" t="s">
        <v>3663</v>
      </c>
      <c r="E730" s="25" t="s">
        <v>1104</v>
      </c>
      <c r="F730" s="25" t="s">
        <v>929</v>
      </c>
      <c r="G730" s="59" t="s">
        <v>1105</v>
      </c>
      <c r="H730" s="60">
        <v>8673.61</v>
      </c>
      <c r="I730" s="60">
        <v>8760.86</v>
      </c>
      <c r="J730" s="60">
        <v>9446.4599999999991</v>
      </c>
      <c r="K730" s="60">
        <v>0</v>
      </c>
      <c r="L730" s="60">
        <v>0</v>
      </c>
      <c r="M730" s="60">
        <v>0</v>
      </c>
      <c r="N730" s="60">
        <v>0</v>
      </c>
      <c r="O730" s="60">
        <v>0</v>
      </c>
      <c r="P730" s="60">
        <v>0</v>
      </c>
      <c r="Q730" s="60">
        <v>0</v>
      </c>
      <c r="R730" s="60">
        <v>0</v>
      </c>
      <c r="S730" s="60">
        <v>0</v>
      </c>
      <c r="T730" s="60">
        <v>0</v>
      </c>
      <c r="U730" s="60">
        <v>0</v>
      </c>
      <c r="V730" s="60">
        <v>0</v>
      </c>
      <c r="W730" s="60">
        <v>0</v>
      </c>
      <c r="X730" s="60">
        <v>0</v>
      </c>
      <c r="Y730" s="60">
        <v>0</v>
      </c>
      <c r="Z730" s="60">
        <v>0</v>
      </c>
      <c r="AA730" s="60">
        <v>0</v>
      </c>
      <c r="AB730" s="60">
        <v>0</v>
      </c>
      <c r="AC730" s="60">
        <v>0</v>
      </c>
      <c r="AD730" s="60">
        <v>0</v>
      </c>
      <c r="AE730" s="60">
        <v>0</v>
      </c>
      <c r="AF730" s="60">
        <v>0</v>
      </c>
      <c r="AG730" s="60">
        <v>0</v>
      </c>
      <c r="AH730" s="60">
        <v>0</v>
      </c>
      <c r="AI730" s="60">
        <v>8673.61</v>
      </c>
      <c r="AJ730" s="60">
        <v>8760.86</v>
      </c>
      <c r="AK730" s="60">
        <v>9446.4599999999991</v>
      </c>
      <c r="AL730" s="60">
        <v>0</v>
      </c>
      <c r="AM730" s="60">
        <v>0</v>
      </c>
      <c r="AN730" s="60">
        <v>0</v>
      </c>
      <c r="AO730" s="60">
        <v>8673.61</v>
      </c>
      <c r="AP730" s="60">
        <v>8760.86</v>
      </c>
      <c r="AQ730" s="60">
        <v>9446.4599999999991</v>
      </c>
      <c r="AR730" s="61">
        <v>9446.4599999999991</v>
      </c>
    </row>
    <row r="731" spans="1:44" x14ac:dyDescent="0.35">
      <c r="A731" s="49" t="str">
        <f t="shared" si="61"/>
        <v>19</v>
      </c>
      <c r="B731" s="27">
        <v>64691</v>
      </c>
      <c r="C731" s="25" t="str">
        <f t="shared" si="60"/>
        <v>0000000</v>
      </c>
      <c r="D731" s="26" t="s">
        <v>3663</v>
      </c>
      <c r="E731" s="25" t="s">
        <v>932</v>
      </c>
      <c r="F731" s="25" t="s">
        <v>933</v>
      </c>
      <c r="G731" s="59" t="s">
        <v>933</v>
      </c>
      <c r="H731" s="60">
        <v>4164.95</v>
      </c>
      <c r="I731" s="60">
        <v>4282.59</v>
      </c>
      <c r="J731" s="60">
        <v>4972.0600000000004</v>
      </c>
      <c r="K731" s="60">
        <v>0</v>
      </c>
      <c r="L731" s="60">
        <v>0</v>
      </c>
      <c r="M731" s="60">
        <v>0</v>
      </c>
      <c r="N731" s="60">
        <v>0</v>
      </c>
      <c r="O731" s="60">
        <v>0</v>
      </c>
      <c r="P731" s="60">
        <v>0</v>
      </c>
      <c r="Q731" s="60">
        <v>0</v>
      </c>
      <c r="R731" s="60">
        <v>0</v>
      </c>
      <c r="S731" s="60">
        <v>0</v>
      </c>
      <c r="T731" s="60">
        <v>36.130000000000003</v>
      </c>
      <c r="U731" s="60">
        <v>32.6</v>
      </c>
      <c r="V731" s="60">
        <v>95.98</v>
      </c>
      <c r="W731" s="60">
        <v>56.39</v>
      </c>
      <c r="X731" s="60">
        <v>55.51</v>
      </c>
      <c r="Y731" s="60">
        <v>52.18</v>
      </c>
      <c r="Z731" s="60">
        <v>0</v>
      </c>
      <c r="AA731" s="60">
        <v>0</v>
      </c>
      <c r="AB731" s="60">
        <v>0</v>
      </c>
      <c r="AC731" s="60">
        <v>0</v>
      </c>
      <c r="AD731" s="60">
        <v>0</v>
      </c>
      <c r="AE731" s="60">
        <v>412.49</v>
      </c>
      <c r="AF731" s="60">
        <v>0</v>
      </c>
      <c r="AG731" s="60">
        <v>0</v>
      </c>
      <c r="AH731" s="60">
        <v>0</v>
      </c>
      <c r="AI731" s="60">
        <v>4257.47</v>
      </c>
      <c r="AJ731" s="60">
        <v>4370.7</v>
      </c>
      <c r="AK731" s="60">
        <v>5532.71</v>
      </c>
      <c r="AL731" s="60">
        <v>0</v>
      </c>
      <c r="AM731" s="60">
        <v>0</v>
      </c>
      <c r="AN731" s="60">
        <v>0</v>
      </c>
      <c r="AO731" s="60">
        <v>4257.47</v>
      </c>
      <c r="AP731" s="60">
        <v>4370.7</v>
      </c>
      <c r="AQ731" s="60">
        <v>5532.71</v>
      </c>
      <c r="AR731" s="61">
        <v>5532.71</v>
      </c>
    </row>
    <row r="732" spans="1:44" x14ac:dyDescent="0.35">
      <c r="A732" s="49" t="str">
        <f t="shared" si="61"/>
        <v>19</v>
      </c>
      <c r="B732" s="27">
        <v>64352</v>
      </c>
      <c r="C732" s="25" t="str">
        <f t="shared" si="60"/>
        <v>0000000</v>
      </c>
      <c r="D732" s="26" t="s">
        <v>3663</v>
      </c>
      <c r="E732" s="25" t="s">
        <v>934</v>
      </c>
      <c r="F732" s="25" t="s">
        <v>933</v>
      </c>
      <c r="G732" s="59" t="s">
        <v>935</v>
      </c>
      <c r="H732" s="60">
        <v>5333.08</v>
      </c>
      <c r="I732" s="60">
        <v>5351.05</v>
      </c>
      <c r="J732" s="60">
        <v>5957.07</v>
      </c>
      <c r="K732" s="60">
        <v>0</v>
      </c>
      <c r="L732" s="60">
        <v>0</v>
      </c>
      <c r="M732" s="60">
        <v>0</v>
      </c>
      <c r="N732" s="60">
        <v>0</v>
      </c>
      <c r="O732" s="60">
        <v>0</v>
      </c>
      <c r="P732" s="60">
        <v>0</v>
      </c>
      <c r="Q732" s="60">
        <v>0</v>
      </c>
      <c r="R732" s="60">
        <v>0</v>
      </c>
      <c r="S732" s="60">
        <v>0</v>
      </c>
      <c r="T732" s="60">
        <v>0</v>
      </c>
      <c r="U732" s="60">
        <v>0</v>
      </c>
      <c r="V732" s="60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60">
        <v>0</v>
      </c>
      <c r="AD732" s="60">
        <v>0</v>
      </c>
      <c r="AE732" s="60">
        <v>0</v>
      </c>
      <c r="AF732" s="60">
        <v>0</v>
      </c>
      <c r="AG732" s="60">
        <v>0</v>
      </c>
      <c r="AH732" s="60">
        <v>0</v>
      </c>
      <c r="AI732" s="60">
        <v>5333.08</v>
      </c>
      <c r="AJ732" s="60">
        <v>5351.05</v>
      </c>
      <c r="AK732" s="60">
        <v>5957.07</v>
      </c>
      <c r="AL732" s="60">
        <v>0</v>
      </c>
      <c r="AM732" s="60">
        <v>0</v>
      </c>
      <c r="AN732" s="60">
        <v>0</v>
      </c>
      <c r="AO732" s="60">
        <v>5333.08</v>
      </c>
      <c r="AP732" s="60">
        <v>5351.05</v>
      </c>
      <c r="AQ732" s="60">
        <v>5957.07</v>
      </c>
      <c r="AR732" s="61">
        <v>5957.07</v>
      </c>
    </row>
    <row r="733" spans="1:44" x14ac:dyDescent="0.35">
      <c r="A733" s="49" t="str">
        <f t="shared" si="61"/>
        <v>19</v>
      </c>
      <c r="B733" s="27">
        <v>64535</v>
      </c>
      <c r="C733" s="25" t="str">
        <f t="shared" si="60"/>
        <v>0000000</v>
      </c>
      <c r="D733" s="26" t="s">
        <v>3663</v>
      </c>
      <c r="E733" s="25" t="s">
        <v>964</v>
      </c>
      <c r="F733" s="25" t="s">
        <v>933</v>
      </c>
      <c r="G733" s="59" t="s">
        <v>965</v>
      </c>
      <c r="H733" s="60">
        <v>3328.66</v>
      </c>
      <c r="I733" s="60">
        <v>3306.48</v>
      </c>
      <c r="J733" s="60">
        <v>3407.92</v>
      </c>
      <c r="K733" s="60">
        <v>0</v>
      </c>
      <c r="L733" s="60">
        <v>0</v>
      </c>
      <c r="M733" s="60">
        <v>0</v>
      </c>
      <c r="N733" s="60">
        <v>0</v>
      </c>
      <c r="O733" s="60">
        <v>0</v>
      </c>
      <c r="P733" s="60">
        <v>0</v>
      </c>
      <c r="Q733" s="60">
        <v>0</v>
      </c>
      <c r="R733" s="60">
        <v>0</v>
      </c>
      <c r="S733" s="60">
        <v>0</v>
      </c>
      <c r="T733" s="60">
        <v>0</v>
      </c>
      <c r="U733" s="60">
        <v>0</v>
      </c>
      <c r="V733" s="60">
        <v>0</v>
      </c>
      <c r="W733" s="60">
        <v>0</v>
      </c>
      <c r="X733" s="60">
        <v>0</v>
      </c>
      <c r="Y733" s="60">
        <v>0</v>
      </c>
      <c r="Z733" s="60">
        <v>0</v>
      </c>
      <c r="AA733" s="60">
        <v>0</v>
      </c>
      <c r="AB733" s="60">
        <v>0</v>
      </c>
      <c r="AC733" s="60">
        <v>0</v>
      </c>
      <c r="AD733" s="60">
        <v>0</v>
      </c>
      <c r="AE733" s="60">
        <v>0</v>
      </c>
      <c r="AF733" s="60">
        <v>0</v>
      </c>
      <c r="AG733" s="60">
        <v>0</v>
      </c>
      <c r="AH733" s="60">
        <v>0</v>
      </c>
      <c r="AI733" s="60">
        <v>3328.66</v>
      </c>
      <c r="AJ733" s="60">
        <v>3306.48</v>
      </c>
      <c r="AK733" s="60">
        <v>3407.92</v>
      </c>
      <c r="AL733" s="60">
        <v>0</v>
      </c>
      <c r="AM733" s="60">
        <v>0</v>
      </c>
      <c r="AN733" s="60">
        <v>0</v>
      </c>
      <c r="AO733" s="60">
        <v>3328.66</v>
      </c>
      <c r="AP733" s="60">
        <v>3306.48</v>
      </c>
      <c r="AQ733" s="60">
        <v>3407.92</v>
      </c>
      <c r="AR733" s="61">
        <v>3407.92</v>
      </c>
    </row>
    <row r="734" spans="1:44" x14ac:dyDescent="0.35">
      <c r="A734" s="49" t="str">
        <f t="shared" si="61"/>
        <v>19</v>
      </c>
      <c r="B734" s="27">
        <v>64592</v>
      </c>
      <c r="C734" s="25" t="str">
        <f t="shared" si="60"/>
        <v>0000000</v>
      </c>
      <c r="D734" s="26" t="s">
        <v>3663</v>
      </c>
      <c r="E734" s="25" t="s">
        <v>975</v>
      </c>
      <c r="F734" s="25" t="s">
        <v>933</v>
      </c>
      <c r="G734" s="59" t="s">
        <v>976</v>
      </c>
      <c r="H734" s="60">
        <v>5985.92</v>
      </c>
      <c r="I734" s="60">
        <v>5941.15</v>
      </c>
      <c r="J734" s="60">
        <v>7022.08</v>
      </c>
      <c r="K734" s="60">
        <v>0</v>
      </c>
      <c r="L734" s="60">
        <v>0</v>
      </c>
      <c r="M734" s="60">
        <v>0</v>
      </c>
      <c r="N734" s="60">
        <v>0</v>
      </c>
      <c r="O734" s="60">
        <v>0</v>
      </c>
      <c r="P734" s="60">
        <v>0</v>
      </c>
      <c r="Q734" s="60">
        <v>0</v>
      </c>
      <c r="R734" s="60">
        <v>0</v>
      </c>
      <c r="S734" s="60">
        <v>0</v>
      </c>
      <c r="T734" s="60">
        <v>0</v>
      </c>
      <c r="U734" s="60">
        <v>0</v>
      </c>
      <c r="V734" s="60">
        <v>0</v>
      </c>
      <c r="W734" s="60">
        <v>0</v>
      </c>
      <c r="X734" s="60">
        <v>0</v>
      </c>
      <c r="Y734" s="60">
        <v>0</v>
      </c>
      <c r="Z734" s="60">
        <v>0</v>
      </c>
      <c r="AA734" s="60">
        <v>0</v>
      </c>
      <c r="AB734" s="60">
        <v>0</v>
      </c>
      <c r="AC734" s="60">
        <v>507.77</v>
      </c>
      <c r="AD734" s="60">
        <v>520.29999999999995</v>
      </c>
      <c r="AE734" s="60">
        <v>563.59</v>
      </c>
      <c r="AF734" s="60">
        <v>0</v>
      </c>
      <c r="AG734" s="60">
        <v>0</v>
      </c>
      <c r="AH734" s="60">
        <v>0</v>
      </c>
      <c r="AI734" s="60">
        <v>6493.69</v>
      </c>
      <c r="AJ734" s="60">
        <v>6461.45</v>
      </c>
      <c r="AK734" s="60">
        <v>7585.67</v>
      </c>
      <c r="AL734" s="60">
        <v>0</v>
      </c>
      <c r="AM734" s="60">
        <v>0</v>
      </c>
      <c r="AN734" s="60">
        <v>0</v>
      </c>
      <c r="AO734" s="60">
        <v>6493.69</v>
      </c>
      <c r="AP734" s="60">
        <v>6461.45</v>
      </c>
      <c r="AQ734" s="60">
        <v>7585.67</v>
      </c>
      <c r="AR734" s="61">
        <v>7585.67</v>
      </c>
    </row>
    <row r="735" spans="1:44" x14ac:dyDescent="0.35">
      <c r="A735" s="49" t="str">
        <f t="shared" si="61"/>
        <v>19</v>
      </c>
      <c r="B735" s="27">
        <v>64600</v>
      </c>
      <c r="C735" s="25" t="str">
        <f t="shared" si="60"/>
        <v>0000000</v>
      </c>
      <c r="D735" s="26" t="s">
        <v>3663</v>
      </c>
      <c r="E735" s="25" t="s">
        <v>977</v>
      </c>
      <c r="F735" s="25" t="s">
        <v>933</v>
      </c>
      <c r="G735" s="59" t="s">
        <v>978</v>
      </c>
      <c r="H735" s="60">
        <v>1194.55</v>
      </c>
      <c r="I735" s="60">
        <v>1176.99</v>
      </c>
      <c r="J735" s="60">
        <v>1308.23</v>
      </c>
      <c r="K735" s="60">
        <v>0</v>
      </c>
      <c r="L735" s="60">
        <v>0</v>
      </c>
      <c r="M735" s="60">
        <v>0</v>
      </c>
      <c r="N735" s="60">
        <v>0</v>
      </c>
      <c r="O735" s="60">
        <v>0</v>
      </c>
      <c r="P735" s="60">
        <v>0</v>
      </c>
      <c r="Q735" s="60">
        <v>0</v>
      </c>
      <c r="R735" s="60">
        <v>0</v>
      </c>
      <c r="S735" s="60">
        <v>0</v>
      </c>
      <c r="T735" s="60">
        <v>0</v>
      </c>
      <c r="U735" s="60">
        <v>0</v>
      </c>
      <c r="V735" s="60">
        <v>0</v>
      </c>
      <c r="W735" s="60">
        <v>0</v>
      </c>
      <c r="X735" s="60">
        <v>0</v>
      </c>
      <c r="Y735" s="60">
        <v>0</v>
      </c>
      <c r="Z735" s="60">
        <v>0</v>
      </c>
      <c r="AA735" s="60">
        <v>0</v>
      </c>
      <c r="AB735" s="60">
        <v>0</v>
      </c>
      <c r="AC735" s="60">
        <v>0</v>
      </c>
      <c r="AD735" s="60">
        <v>0</v>
      </c>
      <c r="AE735" s="60">
        <v>0</v>
      </c>
      <c r="AF735" s="60">
        <v>0</v>
      </c>
      <c r="AG735" s="60">
        <v>0</v>
      </c>
      <c r="AH735" s="60">
        <v>0</v>
      </c>
      <c r="AI735" s="60">
        <v>1194.55</v>
      </c>
      <c r="AJ735" s="60">
        <v>1176.99</v>
      </c>
      <c r="AK735" s="60">
        <v>1308.23</v>
      </c>
      <c r="AL735" s="60">
        <v>0</v>
      </c>
      <c r="AM735" s="60">
        <v>0</v>
      </c>
      <c r="AN735" s="60">
        <v>0</v>
      </c>
      <c r="AO735" s="60">
        <v>1194.55</v>
      </c>
      <c r="AP735" s="60">
        <v>1176.99</v>
      </c>
      <c r="AQ735" s="60">
        <v>1308.23</v>
      </c>
      <c r="AR735" s="61">
        <v>1308.23</v>
      </c>
    </row>
    <row r="736" spans="1:44" x14ac:dyDescent="0.35">
      <c r="A736" s="49" t="str">
        <f t="shared" si="61"/>
        <v>19</v>
      </c>
      <c r="B736" s="27">
        <v>64634</v>
      </c>
      <c r="C736" s="25" t="str">
        <f t="shared" si="60"/>
        <v>0000000</v>
      </c>
      <c r="D736" s="26" t="s">
        <v>3663</v>
      </c>
      <c r="E736" s="25" t="s">
        <v>981</v>
      </c>
      <c r="F736" s="25" t="s">
        <v>933</v>
      </c>
      <c r="G736" s="59" t="s">
        <v>982</v>
      </c>
      <c r="H736" s="60">
        <v>5695.37</v>
      </c>
      <c r="I736" s="60">
        <v>5779.38</v>
      </c>
      <c r="J736" s="60">
        <v>7580.39</v>
      </c>
      <c r="K736" s="60">
        <v>0</v>
      </c>
      <c r="L736" s="60">
        <v>0</v>
      </c>
      <c r="M736" s="60">
        <v>0</v>
      </c>
      <c r="N736" s="60">
        <v>0</v>
      </c>
      <c r="O736" s="60">
        <v>0</v>
      </c>
      <c r="P736" s="60">
        <v>0</v>
      </c>
      <c r="Q736" s="60">
        <v>0</v>
      </c>
      <c r="R736" s="60">
        <v>0</v>
      </c>
      <c r="S736" s="60">
        <v>0</v>
      </c>
      <c r="T736" s="60">
        <v>0</v>
      </c>
      <c r="U736" s="60">
        <v>0</v>
      </c>
      <c r="V736" s="60">
        <v>0</v>
      </c>
      <c r="W736" s="60">
        <v>0</v>
      </c>
      <c r="X736" s="60">
        <v>0</v>
      </c>
      <c r="Y736" s="60">
        <v>0</v>
      </c>
      <c r="Z736" s="60">
        <v>0</v>
      </c>
      <c r="AA736" s="60">
        <v>0</v>
      </c>
      <c r="AB736" s="60">
        <v>0</v>
      </c>
      <c r="AC736" s="60">
        <v>904.83</v>
      </c>
      <c r="AD736" s="60">
        <v>1278.78</v>
      </c>
      <c r="AE736" s="60">
        <v>1547.06</v>
      </c>
      <c r="AF736" s="60">
        <v>0</v>
      </c>
      <c r="AG736" s="60">
        <v>0</v>
      </c>
      <c r="AH736" s="60">
        <v>0</v>
      </c>
      <c r="AI736" s="60">
        <v>6600.2</v>
      </c>
      <c r="AJ736" s="60">
        <v>7058.16</v>
      </c>
      <c r="AK736" s="60">
        <v>9127.4500000000007</v>
      </c>
      <c r="AL736" s="60">
        <v>0</v>
      </c>
      <c r="AM736" s="60">
        <v>-368.45</v>
      </c>
      <c r="AN736" s="60">
        <v>-388.65</v>
      </c>
      <c r="AO736" s="60">
        <v>6600.2</v>
      </c>
      <c r="AP736" s="60">
        <v>6689.71</v>
      </c>
      <c r="AQ736" s="60">
        <v>8738.7999999999993</v>
      </c>
      <c r="AR736" s="61">
        <v>8738.7999999999993</v>
      </c>
    </row>
    <row r="737" spans="1:44" x14ac:dyDescent="0.35">
      <c r="A737" s="49" t="str">
        <f t="shared" si="61"/>
        <v>19</v>
      </c>
      <c r="B737" s="27">
        <v>64709</v>
      </c>
      <c r="C737" s="25" t="str">
        <f t="shared" si="60"/>
        <v>0000000</v>
      </c>
      <c r="D737" s="26" t="s">
        <v>3663</v>
      </c>
      <c r="E737" s="25" t="s">
        <v>1013</v>
      </c>
      <c r="F737" s="25" t="s">
        <v>933</v>
      </c>
      <c r="G737" s="59" t="s">
        <v>1014</v>
      </c>
      <c r="H737" s="60">
        <v>3819.64</v>
      </c>
      <c r="I737" s="60">
        <v>3888.09</v>
      </c>
      <c r="J737" s="60">
        <v>4913.76</v>
      </c>
      <c r="K737" s="60">
        <v>0</v>
      </c>
      <c r="L737" s="60">
        <v>0</v>
      </c>
      <c r="M737" s="60">
        <v>0</v>
      </c>
      <c r="N737" s="60">
        <v>0</v>
      </c>
      <c r="O737" s="60">
        <v>0</v>
      </c>
      <c r="P737" s="60">
        <v>0</v>
      </c>
      <c r="Q737" s="60">
        <v>0</v>
      </c>
      <c r="R737" s="60">
        <v>0</v>
      </c>
      <c r="S737" s="60">
        <v>0</v>
      </c>
      <c r="T737" s="60">
        <v>0</v>
      </c>
      <c r="U737" s="60">
        <v>0</v>
      </c>
      <c r="V737" s="60">
        <v>0</v>
      </c>
      <c r="W737" s="60">
        <v>0</v>
      </c>
      <c r="X737" s="60">
        <v>0</v>
      </c>
      <c r="Y737" s="60">
        <v>0</v>
      </c>
      <c r="Z737" s="60">
        <v>0</v>
      </c>
      <c r="AA737" s="60">
        <v>0</v>
      </c>
      <c r="AB737" s="60">
        <v>0</v>
      </c>
      <c r="AC737" s="60">
        <v>0</v>
      </c>
      <c r="AD737" s="60">
        <v>411.29</v>
      </c>
      <c r="AE737" s="60">
        <v>435.68</v>
      </c>
      <c r="AF737" s="60">
        <v>0</v>
      </c>
      <c r="AG737" s="60">
        <v>0</v>
      </c>
      <c r="AH737" s="60">
        <v>0</v>
      </c>
      <c r="AI737" s="60">
        <v>3819.64</v>
      </c>
      <c r="AJ737" s="60">
        <v>4299.38</v>
      </c>
      <c r="AK737" s="60">
        <v>5349.44</v>
      </c>
      <c r="AL737" s="60">
        <v>0</v>
      </c>
      <c r="AM737" s="60">
        <v>-411.29</v>
      </c>
      <c r="AN737" s="60">
        <v>-435.68</v>
      </c>
      <c r="AO737" s="60">
        <v>3819.64</v>
      </c>
      <c r="AP737" s="60">
        <v>3888.09</v>
      </c>
      <c r="AQ737" s="60">
        <v>4913.76</v>
      </c>
      <c r="AR737" s="61">
        <v>4913.76</v>
      </c>
    </row>
    <row r="738" spans="1:44" x14ac:dyDescent="0.35">
      <c r="A738" s="49" t="str">
        <f t="shared" si="61"/>
        <v>19</v>
      </c>
      <c r="B738" s="27">
        <v>64865</v>
      </c>
      <c r="C738" s="25" t="str">
        <f t="shared" si="60"/>
        <v>0000000</v>
      </c>
      <c r="D738" s="26" t="s">
        <v>3663</v>
      </c>
      <c r="E738" s="25" t="s">
        <v>1076</v>
      </c>
      <c r="F738" s="25" t="s">
        <v>933</v>
      </c>
      <c r="G738" s="59" t="s">
        <v>1077</v>
      </c>
      <c r="H738" s="60">
        <v>9924.57</v>
      </c>
      <c r="I738" s="60">
        <v>9941.19</v>
      </c>
      <c r="J738" s="60">
        <v>10672.07</v>
      </c>
      <c r="K738" s="60">
        <v>0</v>
      </c>
      <c r="L738" s="60">
        <v>0</v>
      </c>
      <c r="M738" s="60">
        <v>0</v>
      </c>
      <c r="N738" s="60">
        <v>0</v>
      </c>
      <c r="O738" s="60">
        <v>0</v>
      </c>
      <c r="P738" s="60">
        <v>0</v>
      </c>
      <c r="Q738" s="60">
        <v>0</v>
      </c>
      <c r="R738" s="60">
        <v>0</v>
      </c>
      <c r="S738" s="60">
        <v>0</v>
      </c>
      <c r="T738" s="60">
        <v>0</v>
      </c>
      <c r="U738" s="60">
        <v>0</v>
      </c>
      <c r="V738" s="60">
        <v>0</v>
      </c>
      <c r="W738" s="60">
        <v>0</v>
      </c>
      <c r="X738" s="60">
        <v>0</v>
      </c>
      <c r="Y738" s="60">
        <v>0</v>
      </c>
      <c r="Z738" s="60">
        <v>0</v>
      </c>
      <c r="AA738" s="60">
        <v>0</v>
      </c>
      <c r="AB738" s="60">
        <v>0</v>
      </c>
      <c r="AC738" s="60">
        <v>0</v>
      </c>
      <c r="AD738" s="60">
        <v>0</v>
      </c>
      <c r="AE738" s="60">
        <v>0</v>
      </c>
      <c r="AF738" s="60">
        <v>0</v>
      </c>
      <c r="AG738" s="60">
        <v>0</v>
      </c>
      <c r="AH738" s="60">
        <v>0</v>
      </c>
      <c r="AI738" s="60">
        <v>9924.57</v>
      </c>
      <c r="AJ738" s="60">
        <v>9941.19</v>
      </c>
      <c r="AK738" s="60">
        <v>10672.07</v>
      </c>
      <c r="AL738" s="60">
        <v>0</v>
      </c>
      <c r="AM738" s="60">
        <v>0</v>
      </c>
      <c r="AN738" s="60">
        <v>0</v>
      </c>
      <c r="AO738" s="60">
        <v>9924.57</v>
      </c>
      <c r="AP738" s="60">
        <v>9941.19</v>
      </c>
      <c r="AQ738" s="60">
        <v>10672.07</v>
      </c>
      <c r="AR738" s="61">
        <v>10672.07</v>
      </c>
    </row>
    <row r="739" spans="1:44" x14ac:dyDescent="0.35">
      <c r="A739" s="49" t="str">
        <f t="shared" si="61"/>
        <v>19</v>
      </c>
      <c r="B739" s="27">
        <v>65060</v>
      </c>
      <c r="C739" s="25" t="str">
        <f t="shared" si="60"/>
        <v>0000000</v>
      </c>
      <c r="D739" s="26" t="s">
        <v>3663</v>
      </c>
      <c r="E739" s="25" t="s">
        <v>1114</v>
      </c>
      <c r="F739" s="25" t="s">
        <v>933</v>
      </c>
      <c r="G739" s="59" t="s">
        <v>1115</v>
      </c>
      <c r="H739" s="60">
        <v>20533.650000000001</v>
      </c>
      <c r="I739" s="60">
        <v>20708.07</v>
      </c>
      <c r="J739" s="60">
        <v>22300.81</v>
      </c>
      <c r="K739" s="60">
        <v>0</v>
      </c>
      <c r="L739" s="60">
        <v>0</v>
      </c>
      <c r="M739" s="60">
        <v>0</v>
      </c>
      <c r="N739" s="60">
        <v>0</v>
      </c>
      <c r="O739" s="60">
        <v>0</v>
      </c>
      <c r="P739" s="60">
        <v>0</v>
      </c>
      <c r="Q739" s="60">
        <v>0</v>
      </c>
      <c r="R739" s="60">
        <v>0</v>
      </c>
      <c r="S739" s="60">
        <v>0</v>
      </c>
      <c r="T739" s="60">
        <v>0</v>
      </c>
      <c r="U739" s="60">
        <v>0</v>
      </c>
      <c r="V739" s="60">
        <v>0</v>
      </c>
      <c r="W739" s="60">
        <v>0</v>
      </c>
      <c r="X739" s="60">
        <v>0</v>
      </c>
      <c r="Y739" s="60">
        <v>0</v>
      </c>
      <c r="Z739" s="60">
        <v>0</v>
      </c>
      <c r="AA739" s="60">
        <v>0</v>
      </c>
      <c r="AB739" s="60">
        <v>0</v>
      </c>
      <c r="AC739" s="60">
        <v>0</v>
      </c>
      <c r="AD739" s="60">
        <v>0</v>
      </c>
      <c r="AE739" s="60">
        <v>0</v>
      </c>
      <c r="AF739" s="60">
        <v>0</v>
      </c>
      <c r="AG739" s="60">
        <v>0</v>
      </c>
      <c r="AH739" s="60">
        <v>0</v>
      </c>
      <c r="AI739" s="60">
        <v>20533.650000000001</v>
      </c>
      <c r="AJ739" s="60">
        <v>20708.07</v>
      </c>
      <c r="AK739" s="60">
        <v>22300.81</v>
      </c>
      <c r="AL739" s="60">
        <v>0</v>
      </c>
      <c r="AM739" s="60">
        <v>0</v>
      </c>
      <c r="AN739" s="60">
        <v>0</v>
      </c>
      <c r="AO739" s="60">
        <v>20533.650000000001</v>
      </c>
      <c r="AP739" s="60">
        <v>20708.07</v>
      </c>
      <c r="AQ739" s="60">
        <v>22300.81</v>
      </c>
      <c r="AR739" s="61">
        <v>22300.81</v>
      </c>
    </row>
    <row r="740" spans="1:44" x14ac:dyDescent="0.35">
      <c r="A740" s="49" t="str">
        <f t="shared" si="61"/>
        <v>19</v>
      </c>
      <c r="B740" s="27">
        <v>75333</v>
      </c>
      <c r="C740" s="25" t="str">
        <f t="shared" si="60"/>
        <v>0000000</v>
      </c>
      <c r="D740" s="26" t="s">
        <v>3663</v>
      </c>
      <c r="E740" s="25" t="s">
        <v>1190</v>
      </c>
      <c r="F740" s="25" t="s">
        <v>933</v>
      </c>
      <c r="G740" s="59" t="s">
        <v>1191</v>
      </c>
      <c r="H740" s="60">
        <v>5616.47</v>
      </c>
      <c r="I740" s="60">
        <v>5576.07</v>
      </c>
      <c r="J740" s="60">
        <v>6302.25</v>
      </c>
      <c r="K740" s="60">
        <v>0</v>
      </c>
      <c r="L740" s="60">
        <v>0</v>
      </c>
      <c r="M740" s="60">
        <v>0</v>
      </c>
      <c r="N740" s="60">
        <v>0</v>
      </c>
      <c r="O740" s="60">
        <v>0</v>
      </c>
      <c r="P740" s="60">
        <v>0</v>
      </c>
      <c r="Q740" s="60">
        <v>0</v>
      </c>
      <c r="R740" s="60">
        <v>0</v>
      </c>
      <c r="S740" s="60">
        <v>0</v>
      </c>
      <c r="T740" s="60">
        <v>0</v>
      </c>
      <c r="U740" s="60">
        <v>0</v>
      </c>
      <c r="V740" s="60">
        <v>0</v>
      </c>
      <c r="W740" s="60">
        <v>0</v>
      </c>
      <c r="X740" s="60">
        <v>0</v>
      </c>
      <c r="Y740" s="60">
        <v>0</v>
      </c>
      <c r="Z740" s="60">
        <v>0</v>
      </c>
      <c r="AA740" s="60">
        <v>0</v>
      </c>
      <c r="AB740" s="60">
        <v>0</v>
      </c>
      <c r="AC740" s="60">
        <v>0</v>
      </c>
      <c r="AD740" s="60">
        <v>0</v>
      </c>
      <c r="AE740" s="60">
        <v>0</v>
      </c>
      <c r="AF740" s="60">
        <v>0</v>
      </c>
      <c r="AG740" s="60">
        <v>0</v>
      </c>
      <c r="AH740" s="60">
        <v>0</v>
      </c>
      <c r="AI740" s="60">
        <v>5616.47</v>
      </c>
      <c r="AJ740" s="60">
        <v>5576.07</v>
      </c>
      <c r="AK740" s="60">
        <v>6302.25</v>
      </c>
      <c r="AL740" s="60">
        <v>0</v>
      </c>
      <c r="AM740" s="60">
        <v>0</v>
      </c>
      <c r="AN740" s="60">
        <v>0</v>
      </c>
      <c r="AO740" s="60">
        <v>5616.47</v>
      </c>
      <c r="AP740" s="60">
        <v>5576.07</v>
      </c>
      <c r="AQ740" s="60">
        <v>6302.25</v>
      </c>
      <c r="AR740" s="61">
        <v>6302.25</v>
      </c>
    </row>
    <row r="741" spans="1:44" x14ac:dyDescent="0.35">
      <c r="A741" s="49" t="str">
        <f t="shared" si="61"/>
        <v>19</v>
      </c>
      <c r="B741" s="27">
        <v>75341</v>
      </c>
      <c r="C741" s="25" t="str">
        <f t="shared" si="60"/>
        <v>0000000</v>
      </c>
      <c r="D741" s="26" t="s">
        <v>3663</v>
      </c>
      <c r="E741" s="25" t="s">
        <v>1192</v>
      </c>
      <c r="F741" s="25" t="s">
        <v>933</v>
      </c>
      <c r="G741" s="59" t="s">
        <v>1193</v>
      </c>
      <c r="H741" s="60">
        <v>9021.4</v>
      </c>
      <c r="I741" s="60">
        <v>9011.25</v>
      </c>
      <c r="J741" s="60">
        <v>9743.7099999999991</v>
      </c>
      <c r="K741" s="60">
        <v>0</v>
      </c>
      <c r="L741" s="60">
        <v>0</v>
      </c>
      <c r="M741" s="60">
        <v>0</v>
      </c>
      <c r="N741" s="60">
        <v>0</v>
      </c>
      <c r="O741" s="60">
        <v>0</v>
      </c>
      <c r="P741" s="60">
        <v>0</v>
      </c>
      <c r="Q741" s="60">
        <v>0</v>
      </c>
      <c r="R741" s="60">
        <v>0</v>
      </c>
      <c r="S741" s="60">
        <v>0</v>
      </c>
      <c r="T741" s="60">
        <v>0</v>
      </c>
      <c r="U741" s="60">
        <v>0</v>
      </c>
      <c r="V741" s="60">
        <v>0</v>
      </c>
      <c r="W741" s="60">
        <v>0</v>
      </c>
      <c r="X741" s="60">
        <v>0</v>
      </c>
      <c r="Y741" s="60">
        <v>0</v>
      </c>
      <c r="Z741" s="60">
        <v>0</v>
      </c>
      <c r="AA741" s="60">
        <v>0</v>
      </c>
      <c r="AB741" s="60">
        <v>0</v>
      </c>
      <c r="AC741" s="60">
        <v>0</v>
      </c>
      <c r="AD741" s="60">
        <v>0</v>
      </c>
      <c r="AE741" s="60">
        <v>0</v>
      </c>
      <c r="AF741" s="60">
        <v>0</v>
      </c>
      <c r="AG741" s="60">
        <v>0</v>
      </c>
      <c r="AH741" s="60">
        <v>0</v>
      </c>
      <c r="AI741" s="60">
        <v>9021.4</v>
      </c>
      <c r="AJ741" s="60">
        <v>9011.25</v>
      </c>
      <c r="AK741" s="60">
        <v>9743.7099999999991</v>
      </c>
      <c r="AL741" s="60">
        <v>0</v>
      </c>
      <c r="AM741" s="60">
        <v>0</v>
      </c>
      <c r="AN741" s="60">
        <v>0</v>
      </c>
      <c r="AO741" s="60">
        <v>9021.4</v>
      </c>
      <c r="AP741" s="60">
        <v>9011.25</v>
      </c>
      <c r="AQ741" s="60">
        <v>9743.7099999999991</v>
      </c>
      <c r="AR741" s="61">
        <v>9743.7099999999991</v>
      </c>
    </row>
    <row r="742" spans="1:44" x14ac:dyDescent="0.35">
      <c r="A742" s="49" t="str">
        <f t="shared" si="61"/>
        <v>19</v>
      </c>
      <c r="B742" s="27">
        <v>77289</v>
      </c>
      <c r="C742" s="25" t="str">
        <f>TEXT(109942,"0000000")</f>
        <v>0109942</v>
      </c>
      <c r="D742" s="26" t="s">
        <v>1212</v>
      </c>
      <c r="E742" s="25" t="s">
        <v>1210</v>
      </c>
      <c r="F742" s="25" t="s">
        <v>933</v>
      </c>
      <c r="G742" s="59" t="s">
        <v>1211</v>
      </c>
      <c r="H742" s="60">
        <v>0</v>
      </c>
      <c r="I742" s="60">
        <v>0</v>
      </c>
      <c r="J742" s="60">
        <v>0</v>
      </c>
      <c r="K742" s="60">
        <v>0</v>
      </c>
      <c r="L742" s="60">
        <v>0</v>
      </c>
      <c r="M742" s="60">
        <v>0</v>
      </c>
      <c r="N742" s="60">
        <v>0</v>
      </c>
      <c r="O742" s="60">
        <v>0</v>
      </c>
      <c r="P742" s="60">
        <v>0</v>
      </c>
      <c r="Q742" s="60">
        <v>0</v>
      </c>
      <c r="R742" s="60">
        <v>0</v>
      </c>
      <c r="S742" s="60">
        <v>0</v>
      </c>
      <c r="T742" s="60">
        <v>0</v>
      </c>
      <c r="U742" s="60">
        <v>0</v>
      </c>
      <c r="V742" s="60">
        <v>0</v>
      </c>
      <c r="W742" s="60">
        <v>0</v>
      </c>
      <c r="X742" s="60">
        <v>0</v>
      </c>
      <c r="Y742" s="60">
        <v>0</v>
      </c>
      <c r="Z742" s="60">
        <v>0</v>
      </c>
      <c r="AA742" s="60">
        <v>0</v>
      </c>
      <c r="AB742" s="60">
        <v>0</v>
      </c>
      <c r="AC742" s="60">
        <v>34.840000000000003</v>
      </c>
      <c r="AD742" s="60">
        <v>41.42</v>
      </c>
      <c r="AE742" s="60">
        <v>94.28</v>
      </c>
      <c r="AF742" s="60">
        <v>0</v>
      </c>
      <c r="AG742" s="60">
        <v>0</v>
      </c>
      <c r="AH742" s="60">
        <v>0</v>
      </c>
      <c r="AI742" s="60">
        <v>34.840000000000003</v>
      </c>
      <c r="AJ742" s="60">
        <v>41.42</v>
      </c>
      <c r="AK742" s="60">
        <v>94.28</v>
      </c>
      <c r="AL742" s="60">
        <v>0</v>
      </c>
      <c r="AM742" s="60">
        <v>0</v>
      </c>
      <c r="AN742" s="60">
        <v>0</v>
      </c>
      <c r="AO742" s="60">
        <v>34.840000000000003</v>
      </c>
      <c r="AP742" s="60">
        <v>41.42</v>
      </c>
      <c r="AQ742" s="60">
        <v>94.28</v>
      </c>
      <c r="AR742" s="61">
        <v>94.28</v>
      </c>
    </row>
    <row r="743" spans="1:44" x14ac:dyDescent="0.35">
      <c r="A743" s="49" t="str">
        <f>TEXT(30,"00")</f>
        <v>30</v>
      </c>
      <c r="B743" s="27">
        <v>66464</v>
      </c>
      <c r="C743" s="25" t="str">
        <f>TEXT(6120356,"0000000")</f>
        <v>6120356</v>
      </c>
      <c r="D743" s="26" t="s">
        <v>1560</v>
      </c>
      <c r="E743" s="25" t="s">
        <v>1558</v>
      </c>
      <c r="F743" s="25" t="s">
        <v>933</v>
      </c>
      <c r="G743" s="59" t="s">
        <v>1559</v>
      </c>
      <c r="H743" s="60">
        <v>0</v>
      </c>
      <c r="I743" s="60">
        <v>0</v>
      </c>
      <c r="J743" s="60">
        <v>0</v>
      </c>
      <c r="K743" s="60">
        <v>0</v>
      </c>
      <c r="L743" s="60">
        <v>0</v>
      </c>
      <c r="M743" s="60">
        <v>0</v>
      </c>
      <c r="N743" s="60">
        <v>0</v>
      </c>
      <c r="O743" s="60">
        <v>0</v>
      </c>
      <c r="P743" s="60">
        <v>0</v>
      </c>
      <c r="Q743" s="60">
        <v>0</v>
      </c>
      <c r="R743" s="60">
        <v>0</v>
      </c>
      <c r="S743" s="60">
        <v>0</v>
      </c>
      <c r="T743" s="60">
        <v>0</v>
      </c>
      <c r="U743" s="60">
        <v>0</v>
      </c>
      <c r="V743" s="60">
        <v>0</v>
      </c>
      <c r="W743" s="60">
        <v>0</v>
      </c>
      <c r="X743" s="60">
        <v>0</v>
      </c>
      <c r="Y743" s="60">
        <v>0</v>
      </c>
      <c r="Z743" s="60">
        <v>0</v>
      </c>
      <c r="AA743" s="60">
        <v>0</v>
      </c>
      <c r="AB743" s="60">
        <v>0</v>
      </c>
      <c r="AC743" s="60">
        <v>178.22</v>
      </c>
      <c r="AD743" s="60">
        <v>158.28</v>
      </c>
      <c r="AE743" s="60">
        <v>818.45</v>
      </c>
      <c r="AF743" s="60">
        <v>0</v>
      </c>
      <c r="AG743" s="60">
        <v>0</v>
      </c>
      <c r="AH743" s="60">
        <v>0</v>
      </c>
      <c r="AI743" s="60">
        <v>178.22</v>
      </c>
      <c r="AJ743" s="60">
        <v>158.28</v>
      </c>
      <c r="AK743" s="60">
        <v>818.45</v>
      </c>
      <c r="AL743" s="60">
        <v>0</v>
      </c>
      <c r="AM743" s="60">
        <v>0</v>
      </c>
      <c r="AN743" s="60">
        <v>0</v>
      </c>
      <c r="AO743" s="60">
        <v>178.22</v>
      </c>
      <c r="AP743" s="60">
        <v>158.28</v>
      </c>
      <c r="AQ743" s="60">
        <v>818.45</v>
      </c>
      <c r="AR743" s="61">
        <v>818.45</v>
      </c>
    </row>
    <row r="744" spans="1:44" x14ac:dyDescent="0.35">
      <c r="A744" s="49" t="str">
        <f t="shared" ref="A744:A758" si="62">TEXT(19,"00")</f>
        <v>19</v>
      </c>
      <c r="B744" s="27">
        <v>64634</v>
      </c>
      <c r="C744" s="25" t="str">
        <f>TEXT(116822,"0000000")</f>
        <v>0116822</v>
      </c>
      <c r="D744" s="26" t="s">
        <v>988</v>
      </c>
      <c r="E744" s="25" t="s">
        <v>986</v>
      </c>
      <c r="F744" s="25" t="s">
        <v>933</v>
      </c>
      <c r="G744" s="59" t="s">
        <v>987</v>
      </c>
      <c r="H744" s="60">
        <v>0</v>
      </c>
      <c r="I744" s="60">
        <v>0</v>
      </c>
      <c r="J744" s="60">
        <v>0</v>
      </c>
      <c r="K744" s="60">
        <v>0</v>
      </c>
      <c r="L744" s="60">
        <v>0</v>
      </c>
      <c r="M744" s="60">
        <v>0</v>
      </c>
      <c r="N744" s="60">
        <v>0</v>
      </c>
      <c r="O744" s="60">
        <v>0</v>
      </c>
      <c r="P744" s="60">
        <v>0</v>
      </c>
      <c r="Q744" s="60">
        <v>0</v>
      </c>
      <c r="R744" s="60">
        <v>0</v>
      </c>
      <c r="S744" s="60">
        <v>0</v>
      </c>
      <c r="T744" s="60">
        <v>0</v>
      </c>
      <c r="U744" s="60">
        <v>0</v>
      </c>
      <c r="V744" s="60">
        <v>0</v>
      </c>
      <c r="W744" s="60">
        <v>0</v>
      </c>
      <c r="X744" s="60">
        <v>0</v>
      </c>
      <c r="Y744" s="60">
        <v>0</v>
      </c>
      <c r="Z744" s="60">
        <v>0</v>
      </c>
      <c r="AA744" s="60">
        <v>0</v>
      </c>
      <c r="AB744" s="60">
        <v>0</v>
      </c>
      <c r="AC744" s="60">
        <v>184.94</v>
      </c>
      <c r="AD744" s="60">
        <v>189.64</v>
      </c>
      <c r="AE744" s="60">
        <v>203</v>
      </c>
      <c r="AF744" s="60">
        <v>0</v>
      </c>
      <c r="AG744" s="60">
        <v>0</v>
      </c>
      <c r="AH744" s="60">
        <v>0</v>
      </c>
      <c r="AI744" s="60">
        <v>184.94</v>
      </c>
      <c r="AJ744" s="60">
        <v>189.64</v>
      </c>
      <c r="AK744" s="60">
        <v>203</v>
      </c>
      <c r="AL744" s="60">
        <v>0</v>
      </c>
      <c r="AM744" s="60">
        <v>0</v>
      </c>
      <c r="AN744" s="60">
        <v>0</v>
      </c>
      <c r="AO744" s="60">
        <v>184.94</v>
      </c>
      <c r="AP744" s="60">
        <v>189.64</v>
      </c>
      <c r="AQ744" s="60">
        <v>203</v>
      </c>
      <c r="AR744" s="61">
        <v>203</v>
      </c>
    </row>
    <row r="745" spans="1:44" x14ac:dyDescent="0.35">
      <c r="A745" s="49" t="str">
        <f t="shared" si="62"/>
        <v>19</v>
      </c>
      <c r="B745" s="27">
        <v>76869</v>
      </c>
      <c r="C745" s="25" t="str">
        <f>TEXT(,"0000000")</f>
        <v>0000000</v>
      </c>
      <c r="D745" s="26" t="s">
        <v>3663</v>
      </c>
      <c r="E745" s="25" t="s">
        <v>1197</v>
      </c>
      <c r="F745" s="25" t="s">
        <v>933</v>
      </c>
      <c r="G745" s="59" t="s">
        <v>1198</v>
      </c>
      <c r="H745" s="60">
        <v>2343.2800000000002</v>
      </c>
      <c r="I745" s="60">
        <v>2357.13</v>
      </c>
      <c r="J745" s="60">
        <v>2426.02</v>
      </c>
      <c r="K745" s="60">
        <v>0</v>
      </c>
      <c r="L745" s="60">
        <v>0</v>
      </c>
      <c r="M745" s="60">
        <v>0</v>
      </c>
      <c r="N745" s="60">
        <v>0</v>
      </c>
      <c r="O745" s="60">
        <v>0</v>
      </c>
      <c r="P745" s="60">
        <v>0</v>
      </c>
      <c r="Q745" s="60">
        <v>0</v>
      </c>
      <c r="R745" s="60">
        <v>0</v>
      </c>
      <c r="S745" s="60">
        <v>0</v>
      </c>
      <c r="T745" s="60">
        <v>0</v>
      </c>
      <c r="U745" s="60">
        <v>0</v>
      </c>
      <c r="V745" s="60">
        <v>0</v>
      </c>
      <c r="W745" s="60">
        <v>0</v>
      </c>
      <c r="X745" s="60">
        <v>0</v>
      </c>
      <c r="Y745" s="60">
        <v>0</v>
      </c>
      <c r="Z745" s="60">
        <v>0</v>
      </c>
      <c r="AA745" s="60">
        <v>0</v>
      </c>
      <c r="AB745" s="60">
        <v>0</v>
      </c>
      <c r="AC745" s="60">
        <v>0</v>
      </c>
      <c r="AD745" s="60">
        <v>0</v>
      </c>
      <c r="AE745" s="60">
        <v>0</v>
      </c>
      <c r="AF745" s="60">
        <v>0</v>
      </c>
      <c r="AG745" s="60">
        <v>0</v>
      </c>
      <c r="AH745" s="60">
        <v>0</v>
      </c>
      <c r="AI745" s="60">
        <v>2343.2800000000002</v>
      </c>
      <c r="AJ745" s="60">
        <v>2357.13</v>
      </c>
      <c r="AK745" s="60">
        <v>2426.02</v>
      </c>
      <c r="AL745" s="60">
        <v>0</v>
      </c>
      <c r="AM745" s="60">
        <v>0</v>
      </c>
      <c r="AN745" s="60">
        <v>0</v>
      </c>
      <c r="AO745" s="60">
        <v>2343.2800000000002</v>
      </c>
      <c r="AP745" s="60">
        <v>2357.13</v>
      </c>
      <c r="AQ745" s="60">
        <v>2426.02</v>
      </c>
      <c r="AR745" s="61">
        <v>2426.02</v>
      </c>
    </row>
    <row r="746" spans="1:44" ht="31" x14ac:dyDescent="0.35">
      <c r="A746" s="49" t="str">
        <f t="shared" si="62"/>
        <v>19</v>
      </c>
      <c r="B746" s="27">
        <v>64709</v>
      </c>
      <c r="C746" s="25" t="str">
        <f>TEXT(100602,"0000000")</f>
        <v>0100602</v>
      </c>
      <c r="D746" s="26" t="s">
        <v>1017</v>
      </c>
      <c r="E746" s="25" t="s">
        <v>1015</v>
      </c>
      <c r="F746" s="25" t="s">
        <v>933</v>
      </c>
      <c r="G746" s="59" t="s">
        <v>1016</v>
      </c>
      <c r="H746" s="60">
        <v>0</v>
      </c>
      <c r="I746" s="60">
        <v>0</v>
      </c>
      <c r="J746" s="60">
        <v>0</v>
      </c>
      <c r="K746" s="60">
        <v>0</v>
      </c>
      <c r="L746" s="60">
        <v>0</v>
      </c>
      <c r="M746" s="60">
        <v>0</v>
      </c>
      <c r="N746" s="60">
        <v>0</v>
      </c>
      <c r="O746" s="60">
        <v>0</v>
      </c>
      <c r="P746" s="60">
        <v>0</v>
      </c>
      <c r="Q746" s="60">
        <v>0</v>
      </c>
      <c r="R746" s="60">
        <v>0</v>
      </c>
      <c r="S746" s="60">
        <v>0</v>
      </c>
      <c r="T746" s="60">
        <v>0</v>
      </c>
      <c r="U746" s="60">
        <v>0</v>
      </c>
      <c r="V746" s="60">
        <v>0</v>
      </c>
      <c r="W746" s="60">
        <v>0</v>
      </c>
      <c r="X746" s="60">
        <v>0</v>
      </c>
      <c r="Y746" s="60">
        <v>0</v>
      </c>
      <c r="Z746" s="60">
        <v>0</v>
      </c>
      <c r="AA746" s="60">
        <v>0</v>
      </c>
      <c r="AB746" s="60">
        <v>0</v>
      </c>
      <c r="AC746" s="60">
        <v>561.86</v>
      </c>
      <c r="AD746" s="60">
        <v>550.5</v>
      </c>
      <c r="AE746" s="60">
        <v>564.71</v>
      </c>
      <c r="AF746" s="60">
        <v>0</v>
      </c>
      <c r="AG746" s="60">
        <v>0</v>
      </c>
      <c r="AH746" s="60">
        <v>0</v>
      </c>
      <c r="AI746" s="60">
        <v>561.86</v>
      </c>
      <c r="AJ746" s="60">
        <v>550.5</v>
      </c>
      <c r="AK746" s="60">
        <v>564.71</v>
      </c>
      <c r="AL746" s="60">
        <v>0</v>
      </c>
      <c r="AM746" s="60">
        <v>0</v>
      </c>
      <c r="AN746" s="60">
        <v>0</v>
      </c>
      <c r="AO746" s="60">
        <v>561.86</v>
      </c>
      <c r="AP746" s="60">
        <v>550.5</v>
      </c>
      <c r="AQ746" s="60">
        <v>564.71</v>
      </c>
      <c r="AR746" s="61">
        <v>564.71</v>
      </c>
    </row>
    <row r="747" spans="1:44" x14ac:dyDescent="0.35">
      <c r="A747" s="49" t="str">
        <f t="shared" si="62"/>
        <v>19</v>
      </c>
      <c r="B747" s="27">
        <v>64352</v>
      </c>
      <c r="C747" s="25" t="str">
        <f>TEXT(128488,"0000000")</f>
        <v>0128488</v>
      </c>
      <c r="D747" s="27">
        <v>1558</v>
      </c>
      <c r="E747" s="25" t="s">
        <v>936</v>
      </c>
      <c r="F747" s="25" t="s">
        <v>933</v>
      </c>
      <c r="G747" s="59" t="s">
        <v>937</v>
      </c>
      <c r="H747" s="60">
        <v>0</v>
      </c>
      <c r="I747" s="60">
        <v>0</v>
      </c>
      <c r="J747" s="60">
        <v>0</v>
      </c>
      <c r="K747" s="60">
        <v>0</v>
      </c>
      <c r="L747" s="60">
        <v>0</v>
      </c>
      <c r="M747" s="60">
        <v>0</v>
      </c>
      <c r="N747" s="60">
        <v>0</v>
      </c>
      <c r="O747" s="60">
        <v>0</v>
      </c>
      <c r="P747" s="60">
        <v>0</v>
      </c>
      <c r="Q747" s="60">
        <v>0</v>
      </c>
      <c r="R747" s="60">
        <v>0</v>
      </c>
      <c r="S747" s="60">
        <v>0</v>
      </c>
      <c r="T747" s="60">
        <v>0</v>
      </c>
      <c r="U747" s="60">
        <v>0</v>
      </c>
      <c r="V747" s="60">
        <v>0</v>
      </c>
      <c r="W747" s="60">
        <v>0</v>
      </c>
      <c r="X747" s="60">
        <v>0</v>
      </c>
      <c r="Y747" s="60">
        <v>0</v>
      </c>
      <c r="Z747" s="60">
        <v>0</v>
      </c>
      <c r="AA747" s="60">
        <v>0</v>
      </c>
      <c r="AB747" s="60">
        <v>0</v>
      </c>
      <c r="AC747" s="60">
        <v>275.74</v>
      </c>
      <c r="AD747" s="60">
        <v>199.67</v>
      </c>
      <c r="AE747" s="60">
        <v>345.37</v>
      </c>
      <c r="AF747" s="60">
        <v>0</v>
      </c>
      <c r="AG747" s="60">
        <v>0</v>
      </c>
      <c r="AH747" s="60">
        <v>0</v>
      </c>
      <c r="AI747" s="60">
        <v>275.74</v>
      </c>
      <c r="AJ747" s="60">
        <v>199.67</v>
      </c>
      <c r="AK747" s="60">
        <v>345.37</v>
      </c>
      <c r="AL747" s="60">
        <v>0</v>
      </c>
      <c r="AM747" s="60">
        <v>0</v>
      </c>
      <c r="AN747" s="60">
        <v>0</v>
      </c>
      <c r="AO747" s="60">
        <v>275.74</v>
      </c>
      <c r="AP747" s="60">
        <v>199.67</v>
      </c>
      <c r="AQ747" s="60">
        <v>345.37</v>
      </c>
      <c r="AR747" s="61">
        <v>345.37</v>
      </c>
    </row>
    <row r="748" spans="1:44" x14ac:dyDescent="0.35">
      <c r="A748" s="49" t="str">
        <f t="shared" si="62"/>
        <v>19</v>
      </c>
      <c r="B748" s="27">
        <v>64352</v>
      </c>
      <c r="C748" s="25" t="str">
        <f>TEXT(128496,"0000000")</f>
        <v>0128496</v>
      </c>
      <c r="D748" s="27">
        <v>1557</v>
      </c>
      <c r="E748" s="25" t="s">
        <v>938</v>
      </c>
      <c r="F748" s="25" t="s">
        <v>933</v>
      </c>
      <c r="G748" s="59" t="s">
        <v>939</v>
      </c>
      <c r="H748" s="60">
        <v>0</v>
      </c>
      <c r="I748" s="60">
        <v>0</v>
      </c>
      <c r="J748" s="60">
        <v>0</v>
      </c>
      <c r="K748" s="60">
        <v>0</v>
      </c>
      <c r="L748" s="60">
        <v>0</v>
      </c>
      <c r="M748" s="60">
        <v>0</v>
      </c>
      <c r="N748" s="60">
        <v>0</v>
      </c>
      <c r="O748" s="60">
        <v>0</v>
      </c>
      <c r="P748" s="60">
        <v>0</v>
      </c>
      <c r="Q748" s="60">
        <v>0</v>
      </c>
      <c r="R748" s="60">
        <v>0</v>
      </c>
      <c r="S748" s="60">
        <v>0</v>
      </c>
      <c r="T748" s="60">
        <v>0</v>
      </c>
      <c r="U748" s="60">
        <v>0</v>
      </c>
      <c r="V748" s="60">
        <v>0</v>
      </c>
      <c r="W748" s="60">
        <v>0</v>
      </c>
      <c r="X748" s="60">
        <v>0</v>
      </c>
      <c r="Y748" s="60">
        <v>0</v>
      </c>
      <c r="Z748" s="60">
        <v>0</v>
      </c>
      <c r="AA748" s="60">
        <v>0</v>
      </c>
      <c r="AB748" s="60">
        <v>0</v>
      </c>
      <c r="AC748" s="60">
        <v>249.68</v>
      </c>
      <c r="AD748" s="60">
        <v>181.42</v>
      </c>
      <c r="AE748" s="60">
        <v>456.55</v>
      </c>
      <c r="AF748" s="60">
        <v>0</v>
      </c>
      <c r="AG748" s="60">
        <v>0</v>
      </c>
      <c r="AH748" s="60">
        <v>0</v>
      </c>
      <c r="AI748" s="60">
        <v>249.68</v>
      </c>
      <c r="AJ748" s="60">
        <v>181.42</v>
      </c>
      <c r="AK748" s="60">
        <v>456.55</v>
      </c>
      <c r="AL748" s="60">
        <v>0</v>
      </c>
      <c r="AM748" s="60">
        <v>0</v>
      </c>
      <c r="AN748" s="60">
        <v>0</v>
      </c>
      <c r="AO748" s="60">
        <v>249.68</v>
      </c>
      <c r="AP748" s="60">
        <v>181.42</v>
      </c>
      <c r="AQ748" s="60">
        <v>456.55</v>
      </c>
      <c r="AR748" s="61">
        <v>456.55</v>
      </c>
    </row>
    <row r="749" spans="1:44" x14ac:dyDescent="0.35">
      <c r="A749" s="49" t="str">
        <f t="shared" si="62"/>
        <v>19</v>
      </c>
      <c r="B749" s="27">
        <v>64634</v>
      </c>
      <c r="C749" s="25" t="str">
        <f>TEXT(101667,"0000000")</f>
        <v>0101667</v>
      </c>
      <c r="D749" s="26" t="s">
        <v>985</v>
      </c>
      <c r="E749" s="25" t="s">
        <v>983</v>
      </c>
      <c r="F749" s="25" t="s">
        <v>933</v>
      </c>
      <c r="G749" s="59" t="s">
        <v>984</v>
      </c>
      <c r="H749" s="60">
        <v>0</v>
      </c>
      <c r="I749" s="60">
        <v>0</v>
      </c>
      <c r="J749" s="60">
        <v>0</v>
      </c>
      <c r="K749" s="60">
        <v>0</v>
      </c>
      <c r="L749" s="60">
        <v>0</v>
      </c>
      <c r="M749" s="60">
        <v>0</v>
      </c>
      <c r="N749" s="60">
        <v>0</v>
      </c>
      <c r="O749" s="60">
        <v>0</v>
      </c>
      <c r="P749" s="60">
        <v>0</v>
      </c>
      <c r="Q749" s="60">
        <v>0</v>
      </c>
      <c r="R749" s="60">
        <v>0</v>
      </c>
      <c r="S749" s="60">
        <v>0</v>
      </c>
      <c r="T749" s="60">
        <v>0</v>
      </c>
      <c r="U749" s="60">
        <v>0</v>
      </c>
      <c r="V749" s="60">
        <v>0</v>
      </c>
      <c r="W749" s="60">
        <v>0</v>
      </c>
      <c r="X749" s="60">
        <v>0</v>
      </c>
      <c r="Y749" s="60">
        <v>0</v>
      </c>
      <c r="Z749" s="60">
        <v>0</v>
      </c>
      <c r="AA749" s="60">
        <v>0</v>
      </c>
      <c r="AB749" s="60">
        <v>0</v>
      </c>
      <c r="AC749" s="60">
        <v>373.16</v>
      </c>
      <c r="AD749" s="60">
        <v>0</v>
      </c>
      <c r="AE749" s="60">
        <v>0</v>
      </c>
      <c r="AF749" s="60">
        <v>0</v>
      </c>
      <c r="AG749" s="60">
        <v>0</v>
      </c>
      <c r="AH749" s="60">
        <v>0</v>
      </c>
      <c r="AI749" s="60">
        <v>373.16</v>
      </c>
      <c r="AJ749" s="60">
        <v>0</v>
      </c>
      <c r="AK749" s="60">
        <v>0</v>
      </c>
      <c r="AL749" s="60">
        <v>0</v>
      </c>
      <c r="AM749" s="60">
        <v>368.45</v>
      </c>
      <c r="AN749" s="60">
        <v>388.65</v>
      </c>
      <c r="AO749" s="60">
        <v>373.16</v>
      </c>
      <c r="AP749" s="60">
        <v>368.45</v>
      </c>
      <c r="AQ749" s="60">
        <v>388.65</v>
      </c>
      <c r="AR749" s="61">
        <v>388.65</v>
      </c>
    </row>
    <row r="750" spans="1:44" x14ac:dyDescent="0.35">
      <c r="A750" s="49" t="str">
        <f t="shared" si="62"/>
        <v>19</v>
      </c>
      <c r="B750" s="27">
        <v>64709</v>
      </c>
      <c r="C750" s="25" t="str">
        <f>TEXT(107508,"0000000")</f>
        <v>0107508</v>
      </c>
      <c r="D750" s="26" t="s">
        <v>1020</v>
      </c>
      <c r="E750" s="25" t="s">
        <v>1018</v>
      </c>
      <c r="F750" s="25" t="s">
        <v>933</v>
      </c>
      <c r="G750" s="59" t="s">
        <v>1019</v>
      </c>
      <c r="H750" s="60">
        <v>0</v>
      </c>
      <c r="I750" s="60">
        <v>0</v>
      </c>
      <c r="J750" s="60">
        <v>0</v>
      </c>
      <c r="K750" s="60">
        <v>0</v>
      </c>
      <c r="L750" s="60">
        <v>0</v>
      </c>
      <c r="M750" s="60">
        <v>0</v>
      </c>
      <c r="N750" s="60">
        <v>0</v>
      </c>
      <c r="O750" s="60">
        <v>0</v>
      </c>
      <c r="P750" s="60">
        <v>0</v>
      </c>
      <c r="Q750" s="60">
        <v>0</v>
      </c>
      <c r="R750" s="60">
        <v>0</v>
      </c>
      <c r="S750" s="60">
        <v>0</v>
      </c>
      <c r="T750" s="60">
        <v>0</v>
      </c>
      <c r="U750" s="60">
        <v>0</v>
      </c>
      <c r="V750" s="60">
        <v>0</v>
      </c>
      <c r="W750" s="60">
        <v>0</v>
      </c>
      <c r="X750" s="60">
        <v>0</v>
      </c>
      <c r="Y750" s="60">
        <v>0</v>
      </c>
      <c r="Z750" s="60">
        <v>0</v>
      </c>
      <c r="AA750" s="60">
        <v>0</v>
      </c>
      <c r="AB750" s="60">
        <v>0</v>
      </c>
      <c r="AC750" s="60">
        <v>429.9</v>
      </c>
      <c r="AD750" s="60">
        <v>0</v>
      </c>
      <c r="AE750" s="60">
        <v>0</v>
      </c>
      <c r="AF750" s="60">
        <v>0</v>
      </c>
      <c r="AG750" s="60">
        <v>0</v>
      </c>
      <c r="AH750" s="60">
        <v>0</v>
      </c>
      <c r="AI750" s="60">
        <v>429.9</v>
      </c>
      <c r="AJ750" s="60">
        <v>0</v>
      </c>
      <c r="AK750" s="60">
        <v>0</v>
      </c>
      <c r="AL750" s="60">
        <v>0</v>
      </c>
      <c r="AM750" s="60">
        <v>411.29</v>
      </c>
      <c r="AN750" s="60">
        <v>435.68</v>
      </c>
      <c r="AO750" s="60">
        <v>429.9</v>
      </c>
      <c r="AP750" s="60">
        <v>411.29</v>
      </c>
      <c r="AQ750" s="60">
        <v>435.68</v>
      </c>
      <c r="AR750" s="61">
        <v>435.68</v>
      </c>
    </row>
    <row r="751" spans="1:44" x14ac:dyDescent="0.35">
      <c r="A751" s="49" t="str">
        <f t="shared" si="62"/>
        <v>19</v>
      </c>
      <c r="B751" s="27">
        <v>64568</v>
      </c>
      <c r="C751" s="25" t="str">
        <f t="shared" ref="C751:C761" si="63">TEXT(,"0000000")</f>
        <v>0000000</v>
      </c>
      <c r="D751" s="26" t="s">
        <v>3663</v>
      </c>
      <c r="E751" s="25" t="s">
        <v>924</v>
      </c>
      <c r="F751" s="25" t="s">
        <v>925</v>
      </c>
      <c r="G751" s="59" t="s">
        <v>925</v>
      </c>
      <c r="H751" s="60">
        <v>23071.95</v>
      </c>
      <c r="I751" s="60">
        <v>22742.58</v>
      </c>
      <c r="J751" s="60">
        <v>24691.45</v>
      </c>
      <c r="K751" s="60">
        <v>0</v>
      </c>
      <c r="L751" s="60">
        <v>0</v>
      </c>
      <c r="M751" s="60">
        <v>0</v>
      </c>
      <c r="N751" s="60">
        <v>0</v>
      </c>
      <c r="O751" s="60">
        <v>0</v>
      </c>
      <c r="P751" s="60">
        <v>0</v>
      </c>
      <c r="Q751" s="60">
        <v>0</v>
      </c>
      <c r="R751" s="60">
        <v>0</v>
      </c>
      <c r="S751" s="60">
        <v>0</v>
      </c>
      <c r="T751" s="60">
        <v>18.07</v>
      </c>
      <c r="U751" s="60">
        <v>16.02</v>
      </c>
      <c r="V751" s="60">
        <v>43.97</v>
      </c>
      <c r="W751" s="60">
        <v>35.74</v>
      </c>
      <c r="X751" s="60">
        <v>33.76</v>
      </c>
      <c r="Y751" s="60">
        <v>45.87</v>
      </c>
      <c r="Z751" s="60">
        <v>0</v>
      </c>
      <c r="AA751" s="60">
        <v>0</v>
      </c>
      <c r="AB751" s="60">
        <v>0</v>
      </c>
      <c r="AC751" s="60">
        <v>0</v>
      </c>
      <c r="AD751" s="60">
        <v>0</v>
      </c>
      <c r="AE751" s="60">
        <v>0</v>
      </c>
      <c r="AF751" s="60">
        <v>0</v>
      </c>
      <c r="AG751" s="60">
        <v>0</v>
      </c>
      <c r="AH751" s="60">
        <v>0</v>
      </c>
      <c r="AI751" s="60">
        <v>23125.759999999998</v>
      </c>
      <c r="AJ751" s="60">
        <v>22792.36</v>
      </c>
      <c r="AK751" s="60">
        <v>24781.29</v>
      </c>
      <c r="AL751" s="60">
        <v>0</v>
      </c>
      <c r="AM751" s="60">
        <v>0</v>
      </c>
      <c r="AN751" s="60">
        <v>0</v>
      </c>
      <c r="AO751" s="60">
        <v>23125.759999999998</v>
      </c>
      <c r="AP751" s="60">
        <v>22792.36</v>
      </c>
      <c r="AQ751" s="60">
        <v>24781.29</v>
      </c>
      <c r="AR751" s="61">
        <v>24781.29</v>
      </c>
    </row>
    <row r="752" spans="1:44" x14ac:dyDescent="0.35">
      <c r="A752" s="49" t="str">
        <f t="shared" si="62"/>
        <v>19</v>
      </c>
      <c r="B752" s="27">
        <v>64337</v>
      </c>
      <c r="C752" s="25" t="str">
        <f t="shared" si="63"/>
        <v>0000000</v>
      </c>
      <c r="D752" s="26" t="s">
        <v>3663</v>
      </c>
      <c r="E752" s="25" t="s">
        <v>926</v>
      </c>
      <c r="F752" s="25" t="s">
        <v>925</v>
      </c>
      <c r="G752" s="59" t="s">
        <v>927</v>
      </c>
      <c r="H752" s="60">
        <v>13447.7</v>
      </c>
      <c r="I752" s="60">
        <v>13272.57</v>
      </c>
      <c r="J752" s="60">
        <v>14719.87</v>
      </c>
      <c r="K752" s="60">
        <v>0</v>
      </c>
      <c r="L752" s="60">
        <v>0</v>
      </c>
      <c r="M752" s="60">
        <v>0</v>
      </c>
      <c r="N752" s="60">
        <v>0</v>
      </c>
      <c r="O752" s="60">
        <v>0</v>
      </c>
      <c r="P752" s="60">
        <v>0</v>
      </c>
      <c r="Q752" s="60">
        <v>0</v>
      </c>
      <c r="R752" s="60">
        <v>0</v>
      </c>
      <c r="S752" s="60">
        <v>0</v>
      </c>
      <c r="T752" s="60">
        <v>0</v>
      </c>
      <c r="U752" s="60">
        <v>0</v>
      </c>
      <c r="V752" s="60">
        <v>0</v>
      </c>
      <c r="W752" s="60">
        <v>0</v>
      </c>
      <c r="X752" s="60">
        <v>0</v>
      </c>
      <c r="Y752" s="60">
        <v>0</v>
      </c>
      <c r="Z752" s="60">
        <v>0</v>
      </c>
      <c r="AA752" s="60">
        <v>0</v>
      </c>
      <c r="AB752" s="60">
        <v>0</v>
      </c>
      <c r="AC752" s="60">
        <v>0</v>
      </c>
      <c r="AD752" s="60">
        <v>0</v>
      </c>
      <c r="AE752" s="60">
        <v>0</v>
      </c>
      <c r="AF752" s="60">
        <v>0</v>
      </c>
      <c r="AG752" s="60">
        <v>0</v>
      </c>
      <c r="AH752" s="60">
        <v>0</v>
      </c>
      <c r="AI752" s="60">
        <v>13447.7</v>
      </c>
      <c r="AJ752" s="60">
        <v>13272.57</v>
      </c>
      <c r="AK752" s="60">
        <v>14719.87</v>
      </c>
      <c r="AL752" s="60">
        <v>0</v>
      </c>
      <c r="AM752" s="60">
        <v>0</v>
      </c>
      <c r="AN752" s="60">
        <v>0</v>
      </c>
      <c r="AO752" s="60">
        <v>13447.7</v>
      </c>
      <c r="AP752" s="60">
        <v>13272.57</v>
      </c>
      <c r="AQ752" s="60">
        <v>14719.87</v>
      </c>
      <c r="AR752" s="61">
        <v>14719.87</v>
      </c>
    </row>
    <row r="753" spans="1:44" x14ac:dyDescent="0.35">
      <c r="A753" s="49" t="str">
        <f t="shared" si="62"/>
        <v>19</v>
      </c>
      <c r="B753" s="27">
        <v>64659</v>
      </c>
      <c r="C753" s="25" t="str">
        <f t="shared" si="63"/>
        <v>0000000</v>
      </c>
      <c r="D753" s="26" t="s">
        <v>3663</v>
      </c>
      <c r="E753" s="25" t="s">
        <v>998</v>
      </c>
      <c r="F753" s="25" t="s">
        <v>925</v>
      </c>
      <c r="G753" s="59" t="s">
        <v>999</v>
      </c>
      <c r="H753" s="60">
        <v>3737.88</v>
      </c>
      <c r="I753" s="60">
        <v>3771.55</v>
      </c>
      <c r="J753" s="60">
        <v>4030.04</v>
      </c>
      <c r="K753" s="60">
        <v>0</v>
      </c>
      <c r="L753" s="60">
        <v>0</v>
      </c>
      <c r="M753" s="60">
        <v>0</v>
      </c>
      <c r="N753" s="60">
        <v>0</v>
      </c>
      <c r="O753" s="60">
        <v>0</v>
      </c>
      <c r="P753" s="60">
        <v>0</v>
      </c>
      <c r="Q753" s="60">
        <v>0</v>
      </c>
      <c r="R753" s="60">
        <v>0</v>
      </c>
      <c r="S753" s="60">
        <v>0</v>
      </c>
      <c r="T753" s="60">
        <v>0</v>
      </c>
      <c r="U753" s="60">
        <v>0</v>
      </c>
      <c r="V753" s="60">
        <v>0</v>
      </c>
      <c r="W753" s="60">
        <v>0</v>
      </c>
      <c r="X753" s="60">
        <v>0</v>
      </c>
      <c r="Y753" s="60">
        <v>0</v>
      </c>
      <c r="Z753" s="60">
        <v>0</v>
      </c>
      <c r="AA753" s="60">
        <v>0</v>
      </c>
      <c r="AB753" s="60">
        <v>0</v>
      </c>
      <c r="AC753" s="60">
        <v>0</v>
      </c>
      <c r="AD753" s="60">
        <v>0</v>
      </c>
      <c r="AE753" s="60">
        <v>0</v>
      </c>
      <c r="AF753" s="60">
        <v>0</v>
      </c>
      <c r="AG753" s="60">
        <v>0</v>
      </c>
      <c r="AH753" s="60">
        <v>0</v>
      </c>
      <c r="AI753" s="60">
        <v>3737.88</v>
      </c>
      <c r="AJ753" s="60">
        <v>3771.55</v>
      </c>
      <c r="AK753" s="60">
        <v>4030.04</v>
      </c>
      <c r="AL753" s="60">
        <v>0</v>
      </c>
      <c r="AM753" s="60">
        <v>0</v>
      </c>
      <c r="AN753" s="60">
        <v>0</v>
      </c>
      <c r="AO753" s="60">
        <v>3737.88</v>
      </c>
      <c r="AP753" s="60">
        <v>3771.55</v>
      </c>
      <c r="AQ753" s="60">
        <v>4030.04</v>
      </c>
      <c r="AR753" s="61">
        <v>4030.04</v>
      </c>
    </row>
    <row r="754" spans="1:44" x14ac:dyDescent="0.35">
      <c r="A754" s="49" t="str">
        <f t="shared" si="62"/>
        <v>19</v>
      </c>
      <c r="B754" s="27">
        <v>64725</v>
      </c>
      <c r="C754" s="25" t="str">
        <f t="shared" si="63"/>
        <v>0000000</v>
      </c>
      <c r="D754" s="26" t="s">
        <v>3663</v>
      </c>
      <c r="E754" s="25" t="s">
        <v>1026</v>
      </c>
      <c r="F754" s="25" t="s">
        <v>1027</v>
      </c>
      <c r="G754" s="59" t="s">
        <v>1027</v>
      </c>
      <c r="H754" s="60">
        <v>59288.7</v>
      </c>
      <c r="I754" s="60">
        <v>59862.14</v>
      </c>
      <c r="J754" s="60">
        <v>68158.53</v>
      </c>
      <c r="K754" s="60">
        <v>0</v>
      </c>
      <c r="L754" s="60">
        <v>0</v>
      </c>
      <c r="M754" s="60">
        <v>0</v>
      </c>
      <c r="N754" s="60">
        <v>0</v>
      </c>
      <c r="O754" s="60">
        <v>0</v>
      </c>
      <c r="P754" s="60">
        <v>0</v>
      </c>
      <c r="Q754" s="60">
        <v>0</v>
      </c>
      <c r="R754" s="60">
        <v>0</v>
      </c>
      <c r="S754" s="60">
        <v>0</v>
      </c>
      <c r="T754" s="60">
        <v>26.74</v>
      </c>
      <c r="U754" s="60">
        <v>24.23</v>
      </c>
      <c r="V754" s="60">
        <v>69.47</v>
      </c>
      <c r="W754" s="60">
        <v>13.58</v>
      </c>
      <c r="X754" s="60">
        <v>14.9</v>
      </c>
      <c r="Y754" s="60">
        <v>10.86</v>
      </c>
      <c r="Z754" s="60">
        <v>0</v>
      </c>
      <c r="AA754" s="60">
        <v>0</v>
      </c>
      <c r="AB754" s="60">
        <v>0</v>
      </c>
      <c r="AC754" s="60">
        <v>265.62</v>
      </c>
      <c r="AD754" s="60">
        <v>270.61</v>
      </c>
      <c r="AE754" s="60">
        <v>282.73</v>
      </c>
      <c r="AF754" s="60">
        <v>0</v>
      </c>
      <c r="AG754" s="60">
        <v>0</v>
      </c>
      <c r="AH754" s="60">
        <v>0</v>
      </c>
      <c r="AI754" s="60">
        <v>59594.64</v>
      </c>
      <c r="AJ754" s="60">
        <v>60171.88</v>
      </c>
      <c r="AK754" s="60">
        <v>68521.59</v>
      </c>
      <c r="AL754" s="60">
        <v>0</v>
      </c>
      <c r="AM754" s="60">
        <v>0</v>
      </c>
      <c r="AN754" s="60">
        <v>0</v>
      </c>
      <c r="AO754" s="60">
        <v>59594.64</v>
      </c>
      <c r="AP754" s="60">
        <v>60171.88</v>
      </c>
      <c r="AQ754" s="60">
        <v>68521.59</v>
      </c>
      <c r="AR754" s="61">
        <v>68521.59</v>
      </c>
    </row>
    <row r="755" spans="1:44" x14ac:dyDescent="0.35">
      <c r="A755" s="49" t="str">
        <f t="shared" si="62"/>
        <v>19</v>
      </c>
      <c r="B755" s="27">
        <v>64451</v>
      </c>
      <c r="C755" s="25" t="str">
        <f t="shared" si="63"/>
        <v>0000000</v>
      </c>
      <c r="D755" s="26" t="s">
        <v>3663</v>
      </c>
      <c r="E755" s="25" t="s">
        <v>944</v>
      </c>
      <c r="F755" s="25" t="s">
        <v>945</v>
      </c>
      <c r="G755" s="59" t="s">
        <v>945</v>
      </c>
      <c r="H755" s="60">
        <v>20602.64</v>
      </c>
      <c r="I755" s="60">
        <v>19770.8</v>
      </c>
      <c r="J755" s="60">
        <v>21246.959999999999</v>
      </c>
      <c r="K755" s="60">
        <v>0</v>
      </c>
      <c r="L755" s="60">
        <v>0</v>
      </c>
      <c r="M755" s="60">
        <v>0</v>
      </c>
      <c r="N755" s="60">
        <v>0</v>
      </c>
      <c r="O755" s="60">
        <v>0</v>
      </c>
      <c r="P755" s="60">
        <v>0</v>
      </c>
      <c r="Q755" s="60">
        <v>0</v>
      </c>
      <c r="R755" s="60">
        <v>0</v>
      </c>
      <c r="S755" s="60">
        <v>0</v>
      </c>
      <c r="T755" s="60">
        <v>17.63</v>
      </c>
      <c r="U755" s="60">
        <v>15.89</v>
      </c>
      <c r="V755" s="60">
        <v>44.94</v>
      </c>
      <c r="W755" s="60">
        <v>22.45</v>
      </c>
      <c r="X755" s="60">
        <v>18.7</v>
      </c>
      <c r="Y755" s="60">
        <v>22.75</v>
      </c>
      <c r="Z755" s="60">
        <v>0</v>
      </c>
      <c r="AA755" s="60">
        <v>0</v>
      </c>
      <c r="AB755" s="60">
        <v>0</v>
      </c>
      <c r="AC755" s="60">
        <v>0</v>
      </c>
      <c r="AD755" s="60">
        <v>0</v>
      </c>
      <c r="AE755" s="60">
        <v>0</v>
      </c>
      <c r="AF755" s="60">
        <v>0</v>
      </c>
      <c r="AG755" s="60">
        <v>0</v>
      </c>
      <c r="AH755" s="60">
        <v>0</v>
      </c>
      <c r="AI755" s="60">
        <v>20642.72</v>
      </c>
      <c r="AJ755" s="60">
        <v>19805.39</v>
      </c>
      <c r="AK755" s="60">
        <v>21314.65</v>
      </c>
      <c r="AL755" s="60">
        <v>0</v>
      </c>
      <c r="AM755" s="60">
        <v>0</v>
      </c>
      <c r="AN755" s="60">
        <v>0</v>
      </c>
      <c r="AO755" s="60">
        <v>20642.72</v>
      </c>
      <c r="AP755" s="60">
        <v>19805.39</v>
      </c>
      <c r="AQ755" s="60">
        <v>21314.65</v>
      </c>
      <c r="AR755" s="61">
        <v>21314.65</v>
      </c>
    </row>
    <row r="756" spans="1:44" x14ac:dyDescent="0.35">
      <c r="A756" s="49" t="str">
        <f t="shared" si="62"/>
        <v>19</v>
      </c>
      <c r="B756" s="27">
        <v>64808</v>
      </c>
      <c r="C756" s="25" t="str">
        <f t="shared" si="63"/>
        <v>0000000</v>
      </c>
      <c r="D756" s="26" t="s">
        <v>3663</v>
      </c>
      <c r="E756" s="25" t="s">
        <v>1063</v>
      </c>
      <c r="F756" s="25" t="s">
        <v>945</v>
      </c>
      <c r="G756" s="59" t="s">
        <v>1064</v>
      </c>
      <c r="H756" s="60">
        <v>18665.97</v>
      </c>
      <c r="I756" s="60">
        <v>19711.39</v>
      </c>
      <c r="J756" s="60">
        <v>23026.82</v>
      </c>
      <c r="K756" s="60">
        <v>0</v>
      </c>
      <c r="L756" s="60">
        <v>0</v>
      </c>
      <c r="M756" s="60">
        <v>0</v>
      </c>
      <c r="N756" s="60">
        <v>0</v>
      </c>
      <c r="O756" s="60">
        <v>0</v>
      </c>
      <c r="P756" s="60">
        <v>0</v>
      </c>
      <c r="Q756" s="60">
        <v>0</v>
      </c>
      <c r="R756" s="60">
        <v>0</v>
      </c>
      <c r="S756" s="60">
        <v>0</v>
      </c>
      <c r="T756" s="60">
        <v>0</v>
      </c>
      <c r="U756" s="60">
        <v>0</v>
      </c>
      <c r="V756" s="60">
        <v>0</v>
      </c>
      <c r="W756" s="60">
        <v>0</v>
      </c>
      <c r="X756" s="60">
        <v>0</v>
      </c>
      <c r="Y756" s="60">
        <v>0</v>
      </c>
      <c r="Z756" s="60">
        <v>0</v>
      </c>
      <c r="AA756" s="60">
        <v>0</v>
      </c>
      <c r="AB756" s="60">
        <v>0</v>
      </c>
      <c r="AC756" s="60">
        <v>0</v>
      </c>
      <c r="AD756" s="60">
        <v>0</v>
      </c>
      <c r="AE756" s="60">
        <v>0</v>
      </c>
      <c r="AF756" s="60">
        <v>0</v>
      </c>
      <c r="AG756" s="60">
        <v>0</v>
      </c>
      <c r="AH756" s="60">
        <v>0</v>
      </c>
      <c r="AI756" s="60">
        <v>18665.97</v>
      </c>
      <c r="AJ756" s="60">
        <v>19711.39</v>
      </c>
      <c r="AK756" s="60">
        <v>23026.82</v>
      </c>
      <c r="AL756" s="60">
        <v>0</v>
      </c>
      <c r="AM756" s="60">
        <v>0</v>
      </c>
      <c r="AN756" s="60">
        <v>0</v>
      </c>
      <c r="AO756" s="60">
        <v>18665.97</v>
      </c>
      <c r="AP756" s="60">
        <v>19711.39</v>
      </c>
      <c r="AQ756" s="60">
        <v>23026.82</v>
      </c>
      <c r="AR756" s="61">
        <v>23026.82</v>
      </c>
    </row>
    <row r="757" spans="1:44" x14ac:dyDescent="0.35">
      <c r="A757" s="49" t="str">
        <f t="shared" si="62"/>
        <v>19</v>
      </c>
      <c r="B757" s="27">
        <v>64881</v>
      </c>
      <c r="C757" s="25" t="str">
        <f t="shared" si="63"/>
        <v>0000000</v>
      </c>
      <c r="D757" s="26" t="s">
        <v>3663</v>
      </c>
      <c r="E757" s="25" t="s">
        <v>1080</v>
      </c>
      <c r="F757" s="25" t="s">
        <v>1081</v>
      </c>
      <c r="G757" s="59" t="s">
        <v>1081</v>
      </c>
      <c r="H757" s="60">
        <v>12920.45</v>
      </c>
      <c r="I757" s="60">
        <v>12999.94</v>
      </c>
      <c r="J757" s="60">
        <v>15109.3</v>
      </c>
      <c r="K757" s="60">
        <v>0</v>
      </c>
      <c r="L757" s="60">
        <v>0</v>
      </c>
      <c r="M757" s="60">
        <v>0</v>
      </c>
      <c r="N757" s="60">
        <v>0</v>
      </c>
      <c r="O757" s="60">
        <v>0</v>
      </c>
      <c r="P757" s="60">
        <v>0</v>
      </c>
      <c r="Q757" s="60">
        <v>0</v>
      </c>
      <c r="R757" s="60">
        <v>0</v>
      </c>
      <c r="S757" s="60">
        <v>0</v>
      </c>
      <c r="T757" s="60">
        <v>5.88</v>
      </c>
      <c r="U757" s="60">
        <v>5.31</v>
      </c>
      <c r="V757" s="60">
        <v>15.56</v>
      </c>
      <c r="W757" s="60">
        <v>39.94</v>
      </c>
      <c r="X757" s="60">
        <v>35.92</v>
      </c>
      <c r="Y757" s="60">
        <v>34.32</v>
      </c>
      <c r="Z757" s="60">
        <v>0</v>
      </c>
      <c r="AA757" s="60">
        <v>0</v>
      </c>
      <c r="AB757" s="60">
        <v>0</v>
      </c>
      <c r="AC757" s="60">
        <v>173.2</v>
      </c>
      <c r="AD757" s="60">
        <v>181.64</v>
      </c>
      <c r="AE757" s="60">
        <v>218.75</v>
      </c>
      <c r="AF757" s="60">
        <v>0</v>
      </c>
      <c r="AG757" s="60">
        <v>0</v>
      </c>
      <c r="AH757" s="60">
        <v>0</v>
      </c>
      <c r="AI757" s="60">
        <v>13139.47</v>
      </c>
      <c r="AJ757" s="60">
        <v>13222.81</v>
      </c>
      <c r="AK757" s="60">
        <v>15377.93</v>
      </c>
      <c r="AL757" s="60">
        <v>0</v>
      </c>
      <c r="AM757" s="60">
        <v>0</v>
      </c>
      <c r="AN757" s="60">
        <v>0</v>
      </c>
      <c r="AO757" s="60">
        <v>13139.47</v>
      </c>
      <c r="AP757" s="60">
        <v>13222.81</v>
      </c>
      <c r="AQ757" s="60">
        <v>15377.93</v>
      </c>
      <c r="AR757" s="61">
        <v>15377.93</v>
      </c>
    </row>
    <row r="758" spans="1:44" x14ac:dyDescent="0.35">
      <c r="A758" s="49" t="str">
        <f t="shared" si="62"/>
        <v>19</v>
      </c>
      <c r="B758" s="27">
        <v>10199</v>
      </c>
      <c r="C758" s="25" t="str">
        <f t="shared" si="63"/>
        <v>0000000</v>
      </c>
      <c r="D758" s="26" t="s">
        <v>3663</v>
      </c>
      <c r="E758" s="25" t="s">
        <v>827</v>
      </c>
      <c r="F758" s="25" t="s">
        <v>828</v>
      </c>
      <c r="G758" s="59" t="s">
        <v>828</v>
      </c>
      <c r="H758" s="60">
        <v>0</v>
      </c>
      <c r="I758" s="60">
        <v>0</v>
      </c>
      <c r="J758" s="60">
        <v>0</v>
      </c>
      <c r="K758" s="60">
        <v>0</v>
      </c>
      <c r="L758" s="60">
        <v>0</v>
      </c>
      <c r="M758" s="60">
        <v>0</v>
      </c>
      <c r="N758" s="60">
        <v>0</v>
      </c>
      <c r="O758" s="60">
        <v>0</v>
      </c>
      <c r="P758" s="60">
        <v>0</v>
      </c>
      <c r="Q758" s="60">
        <v>0</v>
      </c>
      <c r="R758" s="60">
        <v>0</v>
      </c>
      <c r="S758" s="60">
        <v>0</v>
      </c>
      <c r="T758" s="60">
        <v>0</v>
      </c>
      <c r="U758" s="60">
        <v>0</v>
      </c>
      <c r="V758" s="60">
        <v>0</v>
      </c>
      <c r="W758" s="60">
        <v>0</v>
      </c>
      <c r="X758" s="60">
        <v>0</v>
      </c>
      <c r="Y758" s="60">
        <v>0</v>
      </c>
      <c r="Z758" s="60">
        <v>0</v>
      </c>
      <c r="AA758" s="60">
        <v>0</v>
      </c>
      <c r="AB758" s="60">
        <v>0</v>
      </c>
      <c r="AC758" s="60">
        <v>0</v>
      </c>
      <c r="AD758" s="60">
        <v>0</v>
      </c>
      <c r="AE758" s="60">
        <v>0</v>
      </c>
      <c r="AF758" s="60">
        <v>0</v>
      </c>
      <c r="AG758" s="60">
        <v>0</v>
      </c>
      <c r="AH758" s="60">
        <v>0</v>
      </c>
      <c r="AI758" s="60">
        <v>1208647.43</v>
      </c>
      <c r="AJ758" s="60">
        <v>1184418.8700000001</v>
      </c>
      <c r="AK758" s="60">
        <v>1358430</v>
      </c>
      <c r="AL758" s="60">
        <v>0</v>
      </c>
      <c r="AM758" s="60">
        <v>0</v>
      </c>
      <c r="AN758" s="60">
        <v>0</v>
      </c>
      <c r="AO758" s="60">
        <v>1208647.43</v>
      </c>
      <c r="AP758" s="60">
        <v>1184418.8700000001</v>
      </c>
      <c r="AQ758" s="60">
        <v>1358430</v>
      </c>
      <c r="AR758" s="61">
        <v>1358430</v>
      </c>
    </row>
    <row r="759" spans="1:44" x14ac:dyDescent="0.35">
      <c r="A759" s="49" t="str">
        <f>TEXT(39,"00")</f>
        <v>39</v>
      </c>
      <c r="B759" s="27">
        <v>68585</v>
      </c>
      <c r="C759" s="25" t="str">
        <f t="shared" si="63"/>
        <v>0000000</v>
      </c>
      <c r="D759" s="26" t="s">
        <v>3663</v>
      </c>
      <c r="E759" s="25" t="s">
        <v>2419</v>
      </c>
      <c r="F759" s="25" t="s">
        <v>2420</v>
      </c>
      <c r="G759" s="59" t="s">
        <v>2420</v>
      </c>
      <c r="H759" s="60">
        <v>24428.39</v>
      </c>
      <c r="I759" s="60">
        <v>24123.03</v>
      </c>
      <c r="J759" s="60">
        <v>26684.13</v>
      </c>
      <c r="K759" s="60">
        <v>0</v>
      </c>
      <c r="L759" s="60">
        <v>0</v>
      </c>
      <c r="M759" s="60">
        <v>0</v>
      </c>
      <c r="N759" s="60">
        <v>0</v>
      </c>
      <c r="O759" s="60">
        <v>0</v>
      </c>
      <c r="P759" s="60">
        <v>0</v>
      </c>
      <c r="Q759" s="60">
        <v>0</v>
      </c>
      <c r="R759" s="60">
        <v>0</v>
      </c>
      <c r="S759" s="60">
        <v>0</v>
      </c>
      <c r="T759" s="60">
        <v>0</v>
      </c>
      <c r="U759" s="60">
        <v>0</v>
      </c>
      <c r="V759" s="60">
        <v>0</v>
      </c>
      <c r="W759" s="60">
        <v>0</v>
      </c>
      <c r="X759" s="60">
        <v>0</v>
      </c>
      <c r="Y759" s="60">
        <v>0</v>
      </c>
      <c r="Z759" s="60">
        <v>0</v>
      </c>
      <c r="AA759" s="60">
        <v>0</v>
      </c>
      <c r="AB759" s="60">
        <v>0</v>
      </c>
      <c r="AC759" s="60">
        <v>337.34</v>
      </c>
      <c r="AD759" s="60">
        <v>335</v>
      </c>
      <c r="AE759" s="60">
        <v>343.81</v>
      </c>
      <c r="AF759" s="60">
        <v>0</v>
      </c>
      <c r="AG759" s="60">
        <v>0</v>
      </c>
      <c r="AH759" s="60">
        <v>0</v>
      </c>
      <c r="AI759" s="60">
        <v>24765.73</v>
      </c>
      <c r="AJ759" s="60">
        <v>24458.03</v>
      </c>
      <c r="AK759" s="60">
        <v>27027.94</v>
      </c>
      <c r="AL759" s="60">
        <v>0</v>
      </c>
      <c r="AM759" s="60">
        <v>0</v>
      </c>
      <c r="AN759" s="60">
        <v>0</v>
      </c>
      <c r="AO759" s="60">
        <v>24765.73</v>
      </c>
      <c r="AP759" s="60">
        <v>24458.03</v>
      </c>
      <c r="AQ759" s="60">
        <v>27027.94</v>
      </c>
      <c r="AR759" s="61">
        <v>27027.94</v>
      </c>
    </row>
    <row r="760" spans="1:44" x14ac:dyDescent="0.35">
      <c r="A760" s="49" t="str">
        <f>TEXT(39,"00")</f>
        <v>39</v>
      </c>
      <c r="B760" s="27">
        <v>68619</v>
      </c>
      <c r="C760" s="25" t="str">
        <f t="shared" si="63"/>
        <v>0000000</v>
      </c>
      <c r="D760" s="26" t="s">
        <v>3663</v>
      </c>
      <c r="E760" s="25" t="s">
        <v>2436</v>
      </c>
      <c r="F760" s="25" t="s">
        <v>2420</v>
      </c>
      <c r="G760" s="59" t="s">
        <v>2437</v>
      </c>
      <c r="H760" s="60">
        <v>166.34</v>
      </c>
      <c r="I760" s="60">
        <v>166.26</v>
      </c>
      <c r="J760" s="60">
        <v>179.47</v>
      </c>
      <c r="K760" s="60">
        <v>0</v>
      </c>
      <c r="L760" s="60">
        <v>0</v>
      </c>
      <c r="M760" s="60">
        <v>0</v>
      </c>
      <c r="N760" s="60">
        <v>0</v>
      </c>
      <c r="O760" s="60">
        <v>0</v>
      </c>
      <c r="P760" s="60">
        <v>0</v>
      </c>
      <c r="Q760" s="60">
        <v>0</v>
      </c>
      <c r="R760" s="60">
        <v>0</v>
      </c>
      <c r="S760" s="60">
        <v>0</v>
      </c>
      <c r="T760" s="60">
        <v>0</v>
      </c>
      <c r="U760" s="60">
        <v>0</v>
      </c>
      <c r="V760" s="60">
        <v>0</v>
      </c>
      <c r="W760" s="60">
        <v>0</v>
      </c>
      <c r="X760" s="60">
        <v>0</v>
      </c>
      <c r="Y760" s="60">
        <v>0</v>
      </c>
      <c r="Z760" s="60">
        <v>0</v>
      </c>
      <c r="AA760" s="60">
        <v>0</v>
      </c>
      <c r="AB760" s="60">
        <v>0</v>
      </c>
      <c r="AC760" s="60">
        <v>0</v>
      </c>
      <c r="AD760" s="60">
        <v>0</v>
      </c>
      <c r="AE760" s="60">
        <v>0</v>
      </c>
      <c r="AF760" s="60">
        <v>0</v>
      </c>
      <c r="AG760" s="60">
        <v>0</v>
      </c>
      <c r="AH760" s="60">
        <v>0</v>
      </c>
      <c r="AI760" s="60">
        <v>166.34</v>
      </c>
      <c r="AJ760" s="60">
        <v>166.26</v>
      </c>
      <c r="AK760" s="60">
        <v>179.47</v>
      </c>
      <c r="AL760" s="60">
        <v>0</v>
      </c>
      <c r="AM760" s="60">
        <v>0</v>
      </c>
      <c r="AN760" s="60">
        <v>0</v>
      </c>
      <c r="AO760" s="60">
        <v>166.34</v>
      </c>
      <c r="AP760" s="60">
        <v>166.26</v>
      </c>
      <c r="AQ760" s="60">
        <v>179.47</v>
      </c>
      <c r="AR760" s="61">
        <v>179.47</v>
      </c>
    </row>
    <row r="761" spans="1:44" x14ac:dyDescent="0.35">
      <c r="A761" s="49" t="str">
        <f>TEXT(39,"00")</f>
        <v>39</v>
      </c>
      <c r="B761" s="27">
        <v>68635</v>
      </c>
      <c r="C761" s="25" t="str">
        <f t="shared" si="63"/>
        <v>0000000</v>
      </c>
      <c r="D761" s="26" t="s">
        <v>3663</v>
      </c>
      <c r="E761" s="25" t="s">
        <v>2461</v>
      </c>
      <c r="F761" s="25" t="s">
        <v>2420</v>
      </c>
      <c r="G761" s="59" t="s">
        <v>2462</v>
      </c>
      <c r="H761" s="60">
        <v>357.55</v>
      </c>
      <c r="I761" s="60">
        <v>347.76</v>
      </c>
      <c r="J761" s="60">
        <v>378.38</v>
      </c>
      <c r="K761" s="60">
        <v>0</v>
      </c>
      <c r="L761" s="60">
        <v>0</v>
      </c>
      <c r="M761" s="60">
        <v>0</v>
      </c>
      <c r="N761" s="60">
        <v>0</v>
      </c>
      <c r="O761" s="60">
        <v>0</v>
      </c>
      <c r="P761" s="60">
        <v>0</v>
      </c>
      <c r="Q761" s="60">
        <v>0</v>
      </c>
      <c r="R761" s="60">
        <v>0</v>
      </c>
      <c r="S761" s="60">
        <v>0</v>
      </c>
      <c r="T761" s="60">
        <v>0</v>
      </c>
      <c r="U761" s="60">
        <v>0</v>
      </c>
      <c r="V761" s="60">
        <v>0</v>
      </c>
      <c r="W761" s="60">
        <v>0</v>
      </c>
      <c r="X761" s="60">
        <v>0</v>
      </c>
      <c r="Y761" s="60">
        <v>0</v>
      </c>
      <c r="Z761" s="60">
        <v>0</v>
      </c>
      <c r="AA761" s="60">
        <v>0</v>
      </c>
      <c r="AB761" s="60">
        <v>0</v>
      </c>
      <c r="AC761" s="60">
        <v>0</v>
      </c>
      <c r="AD761" s="60">
        <v>0</v>
      </c>
      <c r="AE761" s="60">
        <v>0</v>
      </c>
      <c r="AF761" s="60">
        <v>0</v>
      </c>
      <c r="AG761" s="60">
        <v>0</v>
      </c>
      <c r="AH761" s="60">
        <v>0</v>
      </c>
      <c r="AI761" s="60">
        <v>357.55</v>
      </c>
      <c r="AJ761" s="60">
        <v>347.76</v>
      </c>
      <c r="AK761" s="60">
        <v>378.38</v>
      </c>
      <c r="AL761" s="60">
        <v>0</v>
      </c>
      <c r="AM761" s="60">
        <v>0</v>
      </c>
      <c r="AN761" s="60">
        <v>0</v>
      </c>
      <c r="AO761" s="60">
        <v>357.55</v>
      </c>
      <c r="AP761" s="60">
        <v>347.76</v>
      </c>
      <c r="AQ761" s="60">
        <v>378.38</v>
      </c>
      <c r="AR761" s="61">
        <v>378.38</v>
      </c>
    </row>
    <row r="762" spans="1:44" x14ac:dyDescent="0.35">
      <c r="A762" s="49" t="str">
        <f>TEXT(39,"00")</f>
        <v>39</v>
      </c>
      <c r="B762" s="27">
        <v>68585</v>
      </c>
      <c r="C762" s="25" t="str">
        <f>TEXT(122580,"0000000")</f>
        <v>0122580</v>
      </c>
      <c r="D762" s="27">
        <v>1229</v>
      </c>
      <c r="E762" s="25" t="s">
        <v>2424</v>
      </c>
      <c r="F762" s="25" t="s">
        <v>2420</v>
      </c>
      <c r="G762" s="59" t="s">
        <v>2425</v>
      </c>
      <c r="H762" s="60">
        <v>0</v>
      </c>
      <c r="I762" s="60">
        <v>0</v>
      </c>
      <c r="J762" s="60">
        <v>0</v>
      </c>
      <c r="K762" s="60">
        <v>0</v>
      </c>
      <c r="L762" s="60">
        <v>0</v>
      </c>
      <c r="M762" s="60">
        <v>0</v>
      </c>
      <c r="N762" s="60">
        <v>0</v>
      </c>
      <c r="O762" s="60">
        <v>0</v>
      </c>
      <c r="P762" s="60">
        <v>0</v>
      </c>
      <c r="Q762" s="60">
        <v>0</v>
      </c>
      <c r="R762" s="60">
        <v>0</v>
      </c>
      <c r="S762" s="60">
        <v>0</v>
      </c>
      <c r="T762" s="60">
        <v>0</v>
      </c>
      <c r="U762" s="60">
        <v>0</v>
      </c>
      <c r="V762" s="60">
        <v>0</v>
      </c>
      <c r="W762" s="60">
        <v>0</v>
      </c>
      <c r="X762" s="60">
        <v>0</v>
      </c>
      <c r="Y762" s="60">
        <v>0</v>
      </c>
      <c r="Z762" s="60">
        <v>0</v>
      </c>
      <c r="AA762" s="60">
        <v>0</v>
      </c>
      <c r="AB762" s="60">
        <v>0</v>
      </c>
      <c r="AC762" s="60">
        <v>779.5</v>
      </c>
      <c r="AD762" s="60">
        <v>786.64</v>
      </c>
      <c r="AE762" s="60">
        <v>820.77</v>
      </c>
      <c r="AF762" s="60">
        <v>0</v>
      </c>
      <c r="AG762" s="60">
        <v>0</v>
      </c>
      <c r="AH762" s="60">
        <v>0</v>
      </c>
      <c r="AI762" s="60">
        <v>779.5</v>
      </c>
      <c r="AJ762" s="60">
        <v>786.64</v>
      </c>
      <c r="AK762" s="60">
        <v>820.77</v>
      </c>
      <c r="AL762" s="60">
        <v>0</v>
      </c>
      <c r="AM762" s="60">
        <v>0</v>
      </c>
      <c r="AN762" s="60">
        <v>0</v>
      </c>
      <c r="AO762" s="60">
        <v>779.5</v>
      </c>
      <c r="AP762" s="60">
        <v>786.64</v>
      </c>
      <c r="AQ762" s="60">
        <v>820.77</v>
      </c>
      <c r="AR762" s="61">
        <v>820.77</v>
      </c>
    </row>
    <row r="763" spans="1:44" x14ac:dyDescent="0.35">
      <c r="A763" s="49" t="str">
        <f t="shared" ref="A763:A773" si="64">TEXT(19,"00")</f>
        <v>19</v>
      </c>
      <c r="B763" s="27">
        <v>64840</v>
      </c>
      <c r="C763" s="25" t="str">
        <f t="shared" ref="C763:C773" si="65">TEXT(,"0000000")</f>
        <v>0000000</v>
      </c>
      <c r="D763" s="26" t="s">
        <v>3663</v>
      </c>
      <c r="E763" s="25" t="s">
        <v>1069</v>
      </c>
      <c r="F763" s="25" t="s">
        <v>1070</v>
      </c>
      <c r="G763" s="59" t="s">
        <v>1070</v>
      </c>
      <c r="H763" s="60">
        <v>14080.86</v>
      </c>
      <c r="I763" s="60">
        <v>14221.25</v>
      </c>
      <c r="J763" s="60">
        <v>16330.61</v>
      </c>
      <c r="K763" s="60">
        <v>0</v>
      </c>
      <c r="L763" s="60">
        <v>0</v>
      </c>
      <c r="M763" s="60">
        <v>0</v>
      </c>
      <c r="N763" s="60">
        <v>0</v>
      </c>
      <c r="O763" s="60">
        <v>0</v>
      </c>
      <c r="P763" s="60">
        <v>0</v>
      </c>
      <c r="Q763" s="60">
        <v>0</v>
      </c>
      <c r="R763" s="60">
        <v>0</v>
      </c>
      <c r="S763" s="60">
        <v>0</v>
      </c>
      <c r="T763" s="60">
        <v>6.32</v>
      </c>
      <c r="U763" s="60">
        <v>5.72</v>
      </c>
      <c r="V763" s="60">
        <v>16.57</v>
      </c>
      <c r="W763" s="60">
        <v>3.47</v>
      </c>
      <c r="X763" s="60">
        <v>5.4</v>
      </c>
      <c r="Y763" s="60">
        <v>5.47</v>
      </c>
      <c r="Z763" s="60">
        <v>0</v>
      </c>
      <c r="AA763" s="60">
        <v>0</v>
      </c>
      <c r="AB763" s="60">
        <v>0</v>
      </c>
      <c r="AC763" s="60">
        <v>0</v>
      </c>
      <c r="AD763" s="60">
        <v>0</v>
      </c>
      <c r="AE763" s="60">
        <v>0</v>
      </c>
      <c r="AF763" s="60">
        <v>0</v>
      </c>
      <c r="AG763" s="60">
        <v>0</v>
      </c>
      <c r="AH763" s="60">
        <v>0</v>
      </c>
      <c r="AI763" s="60">
        <v>14090.65</v>
      </c>
      <c r="AJ763" s="60">
        <v>14232.37</v>
      </c>
      <c r="AK763" s="60">
        <v>16352.65</v>
      </c>
      <c r="AL763" s="60">
        <v>0</v>
      </c>
      <c r="AM763" s="60">
        <v>0</v>
      </c>
      <c r="AN763" s="60">
        <v>0</v>
      </c>
      <c r="AO763" s="60">
        <v>14090.65</v>
      </c>
      <c r="AP763" s="60">
        <v>14232.37</v>
      </c>
      <c r="AQ763" s="60">
        <v>16352.65</v>
      </c>
      <c r="AR763" s="61">
        <v>16352.65</v>
      </c>
    </row>
    <row r="764" spans="1:44" x14ac:dyDescent="0.35">
      <c r="A764" s="49" t="str">
        <f t="shared" si="64"/>
        <v>19</v>
      </c>
      <c r="B764" s="27">
        <v>64436</v>
      </c>
      <c r="C764" s="25" t="str">
        <f t="shared" si="65"/>
        <v>0000000</v>
      </c>
      <c r="D764" s="26" t="s">
        <v>3663</v>
      </c>
      <c r="E764" s="25" t="s">
        <v>905</v>
      </c>
      <c r="F764" s="25" t="s">
        <v>906</v>
      </c>
      <c r="G764" s="59" t="s">
        <v>906</v>
      </c>
      <c r="H764" s="60">
        <v>10377.89</v>
      </c>
      <c r="I764" s="60">
        <v>10352.629999999999</v>
      </c>
      <c r="J764" s="60">
        <v>11185.08</v>
      </c>
      <c r="K764" s="60">
        <v>0</v>
      </c>
      <c r="L764" s="60">
        <v>0</v>
      </c>
      <c r="M764" s="60">
        <v>0</v>
      </c>
      <c r="N764" s="60">
        <v>0</v>
      </c>
      <c r="O764" s="60">
        <v>0</v>
      </c>
      <c r="P764" s="60">
        <v>0</v>
      </c>
      <c r="Q764" s="60">
        <v>0</v>
      </c>
      <c r="R764" s="60">
        <v>0</v>
      </c>
      <c r="S764" s="60">
        <v>0</v>
      </c>
      <c r="T764" s="60">
        <v>36.630000000000003</v>
      </c>
      <c r="U764" s="60">
        <v>34.56</v>
      </c>
      <c r="V764" s="60">
        <v>95.03</v>
      </c>
      <c r="W764" s="60">
        <v>145.87</v>
      </c>
      <c r="X764" s="60">
        <v>152.91999999999999</v>
      </c>
      <c r="Y764" s="60">
        <v>177.87</v>
      </c>
      <c r="Z764" s="60">
        <v>0</v>
      </c>
      <c r="AA764" s="60">
        <v>0</v>
      </c>
      <c r="AB764" s="60">
        <v>0</v>
      </c>
      <c r="AC764" s="60">
        <v>0</v>
      </c>
      <c r="AD764" s="60">
        <v>0</v>
      </c>
      <c r="AE764" s="60">
        <v>0</v>
      </c>
      <c r="AF764" s="60">
        <v>0</v>
      </c>
      <c r="AG764" s="60">
        <v>0</v>
      </c>
      <c r="AH764" s="60">
        <v>0</v>
      </c>
      <c r="AI764" s="60">
        <v>10560.39</v>
      </c>
      <c r="AJ764" s="60">
        <v>10540.11</v>
      </c>
      <c r="AK764" s="60">
        <v>11457.98</v>
      </c>
      <c r="AL764" s="60">
        <v>0</v>
      </c>
      <c r="AM764" s="60">
        <v>0</v>
      </c>
      <c r="AN764" s="60">
        <v>0</v>
      </c>
      <c r="AO764" s="60">
        <v>10560.39</v>
      </c>
      <c r="AP764" s="60">
        <v>10540.11</v>
      </c>
      <c r="AQ764" s="60">
        <v>11457.98</v>
      </c>
      <c r="AR764" s="61">
        <v>11457.98</v>
      </c>
    </row>
    <row r="765" spans="1:44" x14ac:dyDescent="0.35">
      <c r="A765" s="49" t="str">
        <f t="shared" si="64"/>
        <v>19</v>
      </c>
      <c r="B765" s="27">
        <v>64279</v>
      </c>
      <c r="C765" s="25" t="str">
        <f t="shared" si="65"/>
        <v>0000000</v>
      </c>
      <c r="D765" s="26" t="s">
        <v>3663</v>
      </c>
      <c r="E765" s="25" t="s">
        <v>907</v>
      </c>
      <c r="F765" s="25" t="s">
        <v>906</v>
      </c>
      <c r="G765" s="59" t="s">
        <v>908</v>
      </c>
      <c r="H765" s="60">
        <v>6055.93</v>
      </c>
      <c r="I765" s="60">
        <v>6187.75</v>
      </c>
      <c r="J765" s="60">
        <v>7318.44</v>
      </c>
      <c r="K765" s="60">
        <v>0</v>
      </c>
      <c r="L765" s="60">
        <v>0</v>
      </c>
      <c r="M765" s="60">
        <v>0</v>
      </c>
      <c r="N765" s="60">
        <v>0</v>
      </c>
      <c r="O765" s="60">
        <v>0</v>
      </c>
      <c r="P765" s="60">
        <v>0</v>
      </c>
      <c r="Q765" s="60">
        <v>0</v>
      </c>
      <c r="R765" s="60">
        <v>0</v>
      </c>
      <c r="S765" s="60">
        <v>0</v>
      </c>
      <c r="T765" s="60">
        <v>0</v>
      </c>
      <c r="U765" s="60">
        <v>0</v>
      </c>
      <c r="V765" s="60">
        <v>0</v>
      </c>
      <c r="W765" s="60">
        <v>0</v>
      </c>
      <c r="X765" s="60">
        <v>0</v>
      </c>
      <c r="Y765" s="60">
        <v>0</v>
      </c>
      <c r="Z765" s="60">
        <v>0</v>
      </c>
      <c r="AA765" s="60">
        <v>0</v>
      </c>
      <c r="AB765" s="60">
        <v>0</v>
      </c>
      <c r="AC765" s="60">
        <v>0</v>
      </c>
      <c r="AD765" s="60">
        <v>0</v>
      </c>
      <c r="AE765" s="60">
        <v>0</v>
      </c>
      <c r="AF765" s="60">
        <v>0</v>
      </c>
      <c r="AG765" s="60">
        <v>0</v>
      </c>
      <c r="AH765" s="60">
        <v>0</v>
      </c>
      <c r="AI765" s="60">
        <v>6055.93</v>
      </c>
      <c r="AJ765" s="60">
        <v>6187.75</v>
      </c>
      <c r="AK765" s="60">
        <v>7318.44</v>
      </c>
      <c r="AL765" s="60">
        <v>0</v>
      </c>
      <c r="AM765" s="60">
        <v>0</v>
      </c>
      <c r="AN765" s="60">
        <v>0</v>
      </c>
      <c r="AO765" s="60">
        <v>6055.93</v>
      </c>
      <c r="AP765" s="60">
        <v>6187.75</v>
      </c>
      <c r="AQ765" s="60">
        <v>7318.44</v>
      </c>
      <c r="AR765" s="61">
        <v>7318.44</v>
      </c>
    </row>
    <row r="766" spans="1:44" x14ac:dyDescent="0.35">
      <c r="A766" s="49" t="str">
        <f t="shared" si="64"/>
        <v>19</v>
      </c>
      <c r="B766" s="27">
        <v>64287</v>
      </c>
      <c r="C766" s="25" t="str">
        <f t="shared" si="65"/>
        <v>0000000</v>
      </c>
      <c r="D766" s="26" t="s">
        <v>3663</v>
      </c>
      <c r="E766" s="25" t="s">
        <v>909</v>
      </c>
      <c r="F766" s="25" t="s">
        <v>906</v>
      </c>
      <c r="G766" s="59" t="s">
        <v>910</v>
      </c>
      <c r="H766" s="60">
        <v>9599.44</v>
      </c>
      <c r="I766" s="60">
        <v>9524</v>
      </c>
      <c r="J766" s="60">
        <v>11675.42</v>
      </c>
      <c r="K766" s="60">
        <v>0</v>
      </c>
      <c r="L766" s="60">
        <v>0</v>
      </c>
      <c r="M766" s="60">
        <v>0</v>
      </c>
      <c r="N766" s="60">
        <v>0</v>
      </c>
      <c r="O766" s="60">
        <v>0</v>
      </c>
      <c r="P766" s="60">
        <v>0</v>
      </c>
      <c r="Q766" s="60">
        <v>0</v>
      </c>
      <c r="R766" s="60">
        <v>0</v>
      </c>
      <c r="S766" s="60">
        <v>0</v>
      </c>
      <c r="T766" s="60">
        <v>0</v>
      </c>
      <c r="U766" s="60">
        <v>0</v>
      </c>
      <c r="V766" s="60">
        <v>0</v>
      </c>
      <c r="W766" s="60">
        <v>0</v>
      </c>
      <c r="X766" s="60">
        <v>0</v>
      </c>
      <c r="Y766" s="60">
        <v>0</v>
      </c>
      <c r="Z766" s="60">
        <v>0</v>
      </c>
      <c r="AA766" s="60">
        <v>0</v>
      </c>
      <c r="AB766" s="60">
        <v>0</v>
      </c>
      <c r="AC766" s="60">
        <v>0</v>
      </c>
      <c r="AD766" s="60">
        <v>2561.02</v>
      </c>
      <c r="AE766" s="60">
        <v>4581.1400000000003</v>
      </c>
      <c r="AF766" s="60">
        <v>0</v>
      </c>
      <c r="AG766" s="60">
        <v>0</v>
      </c>
      <c r="AH766" s="60">
        <v>0</v>
      </c>
      <c r="AI766" s="60">
        <v>9599.44</v>
      </c>
      <c r="AJ766" s="60">
        <v>12085.02</v>
      </c>
      <c r="AK766" s="60">
        <v>16256.56</v>
      </c>
      <c r="AL766" s="60">
        <v>0</v>
      </c>
      <c r="AM766" s="60">
        <v>-2561.02</v>
      </c>
      <c r="AN766" s="60">
        <v>-4581.1400000000003</v>
      </c>
      <c r="AO766" s="60">
        <v>9599.44</v>
      </c>
      <c r="AP766" s="60">
        <v>9524</v>
      </c>
      <c r="AQ766" s="60">
        <v>11675.42</v>
      </c>
      <c r="AR766" s="61">
        <v>11675.42</v>
      </c>
    </row>
    <row r="767" spans="1:44" x14ac:dyDescent="0.35">
      <c r="A767" s="49" t="str">
        <f t="shared" si="64"/>
        <v>19</v>
      </c>
      <c r="B767" s="27">
        <v>64295</v>
      </c>
      <c r="C767" s="25" t="str">
        <f t="shared" si="65"/>
        <v>0000000</v>
      </c>
      <c r="D767" s="26" t="s">
        <v>3663</v>
      </c>
      <c r="E767" s="25" t="s">
        <v>914</v>
      </c>
      <c r="F767" s="25" t="s">
        <v>906</v>
      </c>
      <c r="G767" s="59" t="s">
        <v>915</v>
      </c>
      <c r="H767" s="60">
        <v>2629.6</v>
      </c>
      <c r="I767" s="60">
        <v>2695.84</v>
      </c>
      <c r="J767" s="60">
        <v>3175.49</v>
      </c>
      <c r="K767" s="60">
        <v>0</v>
      </c>
      <c r="L767" s="60">
        <v>0</v>
      </c>
      <c r="M767" s="60">
        <v>0</v>
      </c>
      <c r="N767" s="60">
        <v>0</v>
      </c>
      <c r="O767" s="60">
        <v>0</v>
      </c>
      <c r="P767" s="60">
        <v>0</v>
      </c>
      <c r="Q767" s="60">
        <v>0</v>
      </c>
      <c r="R767" s="60">
        <v>0</v>
      </c>
      <c r="S767" s="60">
        <v>0</v>
      </c>
      <c r="T767" s="60">
        <v>0</v>
      </c>
      <c r="U767" s="60">
        <v>0</v>
      </c>
      <c r="V767" s="60">
        <v>0</v>
      </c>
      <c r="W767" s="60">
        <v>0</v>
      </c>
      <c r="X767" s="60">
        <v>0</v>
      </c>
      <c r="Y767" s="60">
        <v>0</v>
      </c>
      <c r="Z767" s="60">
        <v>0</v>
      </c>
      <c r="AA767" s="60">
        <v>0</v>
      </c>
      <c r="AB767" s="60">
        <v>0</v>
      </c>
      <c r="AC767" s="60">
        <v>0</v>
      </c>
      <c r="AD767" s="60">
        <v>0</v>
      </c>
      <c r="AE767" s="60">
        <v>0</v>
      </c>
      <c r="AF767" s="60">
        <v>0</v>
      </c>
      <c r="AG767" s="60">
        <v>0</v>
      </c>
      <c r="AH767" s="60">
        <v>0</v>
      </c>
      <c r="AI767" s="60">
        <v>2629.6</v>
      </c>
      <c r="AJ767" s="60">
        <v>2695.84</v>
      </c>
      <c r="AK767" s="60">
        <v>3175.49</v>
      </c>
      <c r="AL767" s="60">
        <v>0</v>
      </c>
      <c r="AM767" s="60">
        <v>0</v>
      </c>
      <c r="AN767" s="60">
        <v>0</v>
      </c>
      <c r="AO767" s="60">
        <v>2629.6</v>
      </c>
      <c r="AP767" s="60">
        <v>2695.84</v>
      </c>
      <c r="AQ767" s="60">
        <v>3175.49</v>
      </c>
      <c r="AR767" s="61">
        <v>3175.49</v>
      </c>
    </row>
    <row r="768" spans="1:44" x14ac:dyDescent="0.35">
      <c r="A768" s="49" t="str">
        <f t="shared" si="64"/>
        <v>19</v>
      </c>
      <c r="B768" s="27">
        <v>64329</v>
      </c>
      <c r="C768" s="25" t="str">
        <f t="shared" si="65"/>
        <v>0000000</v>
      </c>
      <c r="D768" s="26" t="s">
        <v>3663</v>
      </c>
      <c r="E768" s="25" t="s">
        <v>922</v>
      </c>
      <c r="F768" s="25" t="s">
        <v>906</v>
      </c>
      <c r="G768" s="59" t="s">
        <v>923</v>
      </c>
      <c r="H768" s="60">
        <v>9099.9699999999993</v>
      </c>
      <c r="I768" s="60">
        <v>8902.15</v>
      </c>
      <c r="J768" s="60">
        <v>9665.1</v>
      </c>
      <c r="K768" s="60">
        <v>0</v>
      </c>
      <c r="L768" s="60">
        <v>0</v>
      </c>
      <c r="M768" s="60">
        <v>0</v>
      </c>
      <c r="N768" s="60">
        <v>0</v>
      </c>
      <c r="O768" s="60">
        <v>0</v>
      </c>
      <c r="P768" s="60">
        <v>0</v>
      </c>
      <c r="Q768" s="60">
        <v>0</v>
      </c>
      <c r="R768" s="60">
        <v>0</v>
      </c>
      <c r="S768" s="60">
        <v>0</v>
      </c>
      <c r="T768" s="60">
        <v>0</v>
      </c>
      <c r="U768" s="60">
        <v>0</v>
      </c>
      <c r="V768" s="60">
        <v>0</v>
      </c>
      <c r="W768" s="60">
        <v>0</v>
      </c>
      <c r="X768" s="60">
        <v>0</v>
      </c>
      <c r="Y768" s="60">
        <v>0</v>
      </c>
      <c r="Z768" s="60">
        <v>0</v>
      </c>
      <c r="AA768" s="60">
        <v>0</v>
      </c>
      <c r="AB768" s="60">
        <v>0</v>
      </c>
      <c r="AC768" s="60">
        <v>0</v>
      </c>
      <c r="AD768" s="60">
        <v>0</v>
      </c>
      <c r="AE768" s="60">
        <v>0</v>
      </c>
      <c r="AF768" s="60">
        <v>0</v>
      </c>
      <c r="AG768" s="60">
        <v>0</v>
      </c>
      <c r="AH768" s="60">
        <v>0</v>
      </c>
      <c r="AI768" s="60">
        <v>9099.9699999999993</v>
      </c>
      <c r="AJ768" s="60">
        <v>8902.15</v>
      </c>
      <c r="AK768" s="60">
        <v>9665.1</v>
      </c>
      <c r="AL768" s="60">
        <v>0</v>
      </c>
      <c r="AM768" s="60">
        <v>0</v>
      </c>
      <c r="AN768" s="60">
        <v>0</v>
      </c>
      <c r="AO768" s="60">
        <v>9099.9699999999993</v>
      </c>
      <c r="AP768" s="60">
        <v>8902.15</v>
      </c>
      <c r="AQ768" s="60">
        <v>9665.1</v>
      </c>
      <c r="AR768" s="61">
        <v>9665.1</v>
      </c>
    </row>
    <row r="769" spans="1:44" x14ac:dyDescent="0.35">
      <c r="A769" s="49" t="str">
        <f t="shared" si="64"/>
        <v>19</v>
      </c>
      <c r="B769" s="27">
        <v>64378</v>
      </c>
      <c r="C769" s="25" t="str">
        <f t="shared" si="65"/>
        <v>0000000</v>
      </c>
      <c r="D769" s="26" t="s">
        <v>3663</v>
      </c>
      <c r="E769" s="25" t="s">
        <v>940</v>
      </c>
      <c r="F769" s="25" t="s">
        <v>906</v>
      </c>
      <c r="G769" s="59" t="s">
        <v>941</v>
      </c>
      <c r="H769" s="60">
        <v>3958.03</v>
      </c>
      <c r="I769" s="60">
        <v>3949.94</v>
      </c>
      <c r="J769" s="60">
        <v>4384.29</v>
      </c>
      <c r="K769" s="60">
        <v>0</v>
      </c>
      <c r="L769" s="60">
        <v>0</v>
      </c>
      <c r="M769" s="60">
        <v>0</v>
      </c>
      <c r="N769" s="60">
        <v>0</v>
      </c>
      <c r="O769" s="60">
        <v>0</v>
      </c>
      <c r="P769" s="60">
        <v>0</v>
      </c>
      <c r="Q769" s="60">
        <v>0</v>
      </c>
      <c r="R769" s="60">
        <v>0</v>
      </c>
      <c r="S769" s="60">
        <v>0</v>
      </c>
      <c r="T769" s="60">
        <v>0</v>
      </c>
      <c r="U769" s="60">
        <v>0</v>
      </c>
      <c r="V769" s="60">
        <v>0</v>
      </c>
      <c r="W769" s="60">
        <v>0</v>
      </c>
      <c r="X769" s="60">
        <v>0</v>
      </c>
      <c r="Y769" s="60">
        <v>0</v>
      </c>
      <c r="Z769" s="60">
        <v>0</v>
      </c>
      <c r="AA769" s="60">
        <v>0</v>
      </c>
      <c r="AB769" s="60">
        <v>0</v>
      </c>
      <c r="AC769" s="60">
        <v>0</v>
      </c>
      <c r="AD769" s="60">
        <v>0</v>
      </c>
      <c r="AE769" s="60">
        <v>0</v>
      </c>
      <c r="AF769" s="60">
        <v>0</v>
      </c>
      <c r="AG769" s="60">
        <v>0</v>
      </c>
      <c r="AH769" s="60">
        <v>0</v>
      </c>
      <c r="AI769" s="60">
        <v>3958.03</v>
      </c>
      <c r="AJ769" s="60">
        <v>3949.94</v>
      </c>
      <c r="AK769" s="60">
        <v>4384.29</v>
      </c>
      <c r="AL769" s="60">
        <v>0</v>
      </c>
      <c r="AM769" s="60">
        <v>0</v>
      </c>
      <c r="AN769" s="60">
        <v>0</v>
      </c>
      <c r="AO769" s="60">
        <v>3958.03</v>
      </c>
      <c r="AP769" s="60">
        <v>3949.94</v>
      </c>
      <c r="AQ769" s="60">
        <v>4384.29</v>
      </c>
      <c r="AR769" s="61">
        <v>4384.29</v>
      </c>
    </row>
    <row r="770" spans="1:44" x14ac:dyDescent="0.35">
      <c r="A770" s="49" t="str">
        <f t="shared" si="64"/>
        <v>19</v>
      </c>
      <c r="B770" s="27">
        <v>64394</v>
      </c>
      <c r="C770" s="25" t="str">
        <f t="shared" si="65"/>
        <v>0000000</v>
      </c>
      <c r="D770" s="26" t="s">
        <v>3663</v>
      </c>
      <c r="E770" s="25" t="s">
        <v>942</v>
      </c>
      <c r="F770" s="25" t="s">
        <v>906</v>
      </c>
      <c r="G770" s="59" t="s">
        <v>943</v>
      </c>
      <c r="H770" s="60">
        <v>5952.66</v>
      </c>
      <c r="I770" s="60">
        <v>6068.38</v>
      </c>
      <c r="J770" s="60">
        <v>6639.62</v>
      </c>
      <c r="K770" s="60">
        <v>0</v>
      </c>
      <c r="L770" s="60">
        <v>0</v>
      </c>
      <c r="M770" s="60">
        <v>0</v>
      </c>
      <c r="N770" s="60">
        <v>0</v>
      </c>
      <c r="O770" s="60">
        <v>0</v>
      </c>
      <c r="P770" s="60">
        <v>0</v>
      </c>
      <c r="Q770" s="60">
        <v>0</v>
      </c>
      <c r="R770" s="60">
        <v>0</v>
      </c>
      <c r="S770" s="60">
        <v>0</v>
      </c>
      <c r="T770" s="60">
        <v>0</v>
      </c>
      <c r="U770" s="60">
        <v>0</v>
      </c>
      <c r="V770" s="60">
        <v>0</v>
      </c>
      <c r="W770" s="60">
        <v>0</v>
      </c>
      <c r="X770" s="60">
        <v>0</v>
      </c>
      <c r="Y770" s="60">
        <v>0</v>
      </c>
      <c r="Z770" s="60">
        <v>0</v>
      </c>
      <c r="AA770" s="60">
        <v>0</v>
      </c>
      <c r="AB770" s="60">
        <v>0</v>
      </c>
      <c r="AC770" s="60">
        <v>0</v>
      </c>
      <c r="AD770" s="60">
        <v>0</v>
      </c>
      <c r="AE770" s="60">
        <v>0</v>
      </c>
      <c r="AF770" s="60">
        <v>0</v>
      </c>
      <c r="AG770" s="60">
        <v>0</v>
      </c>
      <c r="AH770" s="60">
        <v>0</v>
      </c>
      <c r="AI770" s="60">
        <v>5952.66</v>
      </c>
      <c r="AJ770" s="60">
        <v>6068.38</v>
      </c>
      <c r="AK770" s="60">
        <v>6639.62</v>
      </c>
      <c r="AL770" s="60">
        <v>0</v>
      </c>
      <c r="AM770" s="60">
        <v>0</v>
      </c>
      <c r="AN770" s="60">
        <v>0</v>
      </c>
      <c r="AO770" s="60">
        <v>5952.66</v>
      </c>
      <c r="AP770" s="60">
        <v>6068.38</v>
      </c>
      <c r="AQ770" s="60">
        <v>6639.62</v>
      </c>
      <c r="AR770" s="61">
        <v>6639.62</v>
      </c>
    </row>
    <row r="771" spans="1:44" x14ac:dyDescent="0.35">
      <c r="A771" s="49" t="str">
        <f t="shared" si="64"/>
        <v>19</v>
      </c>
      <c r="B771" s="27">
        <v>64576</v>
      </c>
      <c r="C771" s="25" t="str">
        <f t="shared" si="65"/>
        <v>0000000</v>
      </c>
      <c r="D771" s="26" t="s">
        <v>3663</v>
      </c>
      <c r="E771" s="25" t="s">
        <v>968</v>
      </c>
      <c r="F771" s="25" t="s">
        <v>906</v>
      </c>
      <c r="G771" s="59" t="s">
        <v>969</v>
      </c>
      <c r="H771" s="60">
        <v>6156.33</v>
      </c>
      <c r="I771" s="60">
        <v>6208.04</v>
      </c>
      <c r="J771" s="60">
        <v>6884.79</v>
      </c>
      <c r="K771" s="60">
        <v>0</v>
      </c>
      <c r="L771" s="60">
        <v>0</v>
      </c>
      <c r="M771" s="60">
        <v>0</v>
      </c>
      <c r="N771" s="60">
        <v>0</v>
      </c>
      <c r="O771" s="60">
        <v>0</v>
      </c>
      <c r="P771" s="60">
        <v>0</v>
      </c>
      <c r="Q771" s="60">
        <v>0</v>
      </c>
      <c r="R771" s="60">
        <v>0</v>
      </c>
      <c r="S771" s="60">
        <v>0</v>
      </c>
      <c r="T771" s="60">
        <v>0</v>
      </c>
      <c r="U771" s="60">
        <v>0</v>
      </c>
      <c r="V771" s="60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0</v>
      </c>
      <c r="AD771" s="60">
        <v>0</v>
      </c>
      <c r="AE771" s="60">
        <v>0</v>
      </c>
      <c r="AF771" s="60">
        <v>0</v>
      </c>
      <c r="AG771" s="60">
        <v>0</v>
      </c>
      <c r="AH771" s="60">
        <v>0</v>
      </c>
      <c r="AI771" s="60">
        <v>6156.33</v>
      </c>
      <c r="AJ771" s="60">
        <v>6208.04</v>
      </c>
      <c r="AK771" s="60">
        <v>6884.79</v>
      </c>
      <c r="AL771" s="60">
        <v>0</v>
      </c>
      <c r="AM771" s="60">
        <v>0</v>
      </c>
      <c r="AN771" s="60">
        <v>0</v>
      </c>
      <c r="AO771" s="60">
        <v>6156.33</v>
      </c>
      <c r="AP771" s="60">
        <v>6208.04</v>
      </c>
      <c r="AQ771" s="60">
        <v>6884.79</v>
      </c>
      <c r="AR771" s="61">
        <v>6884.79</v>
      </c>
    </row>
    <row r="772" spans="1:44" x14ac:dyDescent="0.35">
      <c r="A772" s="49" t="str">
        <f t="shared" si="64"/>
        <v>19</v>
      </c>
      <c r="B772" s="27">
        <v>73460</v>
      </c>
      <c r="C772" s="25" t="str">
        <f t="shared" si="65"/>
        <v>0000000</v>
      </c>
      <c r="D772" s="26" t="s">
        <v>3663</v>
      </c>
      <c r="E772" s="25" t="s">
        <v>1164</v>
      </c>
      <c r="F772" s="25" t="s">
        <v>906</v>
      </c>
      <c r="G772" s="59" t="s">
        <v>1165</v>
      </c>
      <c r="H772" s="60">
        <v>13001.95</v>
      </c>
      <c r="I772" s="60">
        <v>12813.64</v>
      </c>
      <c r="J772" s="60">
        <v>13436.13</v>
      </c>
      <c r="K772" s="60">
        <v>0</v>
      </c>
      <c r="L772" s="60">
        <v>0</v>
      </c>
      <c r="M772" s="60">
        <v>0</v>
      </c>
      <c r="N772" s="60">
        <v>0</v>
      </c>
      <c r="O772" s="60">
        <v>0</v>
      </c>
      <c r="P772" s="60">
        <v>0</v>
      </c>
      <c r="Q772" s="60">
        <v>0</v>
      </c>
      <c r="R772" s="60">
        <v>0</v>
      </c>
      <c r="S772" s="60">
        <v>0</v>
      </c>
      <c r="T772" s="60">
        <v>0</v>
      </c>
      <c r="U772" s="60">
        <v>0</v>
      </c>
      <c r="V772" s="60">
        <v>0</v>
      </c>
      <c r="W772" s="60">
        <v>0</v>
      </c>
      <c r="X772" s="60">
        <v>0</v>
      </c>
      <c r="Y772" s="60">
        <v>0</v>
      </c>
      <c r="Z772" s="60">
        <v>0</v>
      </c>
      <c r="AA772" s="60">
        <v>0</v>
      </c>
      <c r="AB772" s="60">
        <v>0</v>
      </c>
      <c r="AC772" s="60">
        <v>0</v>
      </c>
      <c r="AD772" s="60">
        <v>0</v>
      </c>
      <c r="AE772" s="60">
        <v>0</v>
      </c>
      <c r="AF772" s="60">
        <v>0</v>
      </c>
      <c r="AG772" s="60">
        <v>0</v>
      </c>
      <c r="AH772" s="60">
        <v>0</v>
      </c>
      <c r="AI772" s="60">
        <v>13001.95</v>
      </c>
      <c r="AJ772" s="60">
        <v>12813.64</v>
      </c>
      <c r="AK772" s="60">
        <v>13436.13</v>
      </c>
      <c r="AL772" s="60">
        <v>0</v>
      </c>
      <c r="AM772" s="60">
        <v>0</v>
      </c>
      <c r="AN772" s="60">
        <v>0</v>
      </c>
      <c r="AO772" s="60">
        <v>13001.95</v>
      </c>
      <c r="AP772" s="60">
        <v>12813.64</v>
      </c>
      <c r="AQ772" s="60">
        <v>13436.13</v>
      </c>
      <c r="AR772" s="61">
        <v>13436.13</v>
      </c>
    </row>
    <row r="773" spans="1:44" x14ac:dyDescent="0.35">
      <c r="A773" s="49" t="str">
        <f t="shared" si="64"/>
        <v>19</v>
      </c>
      <c r="B773" s="27">
        <v>65094</v>
      </c>
      <c r="C773" s="25" t="str">
        <f t="shared" si="65"/>
        <v>0000000</v>
      </c>
      <c r="D773" s="26" t="s">
        <v>3663</v>
      </c>
      <c r="E773" s="25" t="s">
        <v>1118</v>
      </c>
      <c r="F773" s="25" t="s">
        <v>906</v>
      </c>
      <c r="G773" s="59" t="s">
        <v>1119</v>
      </c>
      <c r="H773" s="60">
        <v>7446.89</v>
      </c>
      <c r="I773" s="60">
        <v>7536.38</v>
      </c>
      <c r="J773" s="60">
        <v>8215.67</v>
      </c>
      <c r="K773" s="60">
        <v>0</v>
      </c>
      <c r="L773" s="60">
        <v>0</v>
      </c>
      <c r="M773" s="60">
        <v>0</v>
      </c>
      <c r="N773" s="60">
        <v>0</v>
      </c>
      <c r="O773" s="60">
        <v>0</v>
      </c>
      <c r="P773" s="60">
        <v>0</v>
      </c>
      <c r="Q773" s="60">
        <v>0</v>
      </c>
      <c r="R773" s="60">
        <v>0</v>
      </c>
      <c r="S773" s="60">
        <v>0</v>
      </c>
      <c r="T773" s="60">
        <v>0</v>
      </c>
      <c r="U773" s="60">
        <v>0</v>
      </c>
      <c r="V773" s="60">
        <v>0</v>
      </c>
      <c r="W773" s="60">
        <v>0</v>
      </c>
      <c r="X773" s="60">
        <v>0</v>
      </c>
      <c r="Y773" s="60">
        <v>0</v>
      </c>
      <c r="Z773" s="60">
        <v>0</v>
      </c>
      <c r="AA773" s="60">
        <v>0</v>
      </c>
      <c r="AB773" s="60">
        <v>0</v>
      </c>
      <c r="AC773" s="60">
        <v>0</v>
      </c>
      <c r="AD773" s="60">
        <v>1186.1099999999999</v>
      </c>
      <c r="AE773" s="60">
        <v>1218.3599999999999</v>
      </c>
      <c r="AF773" s="60">
        <v>0</v>
      </c>
      <c r="AG773" s="60">
        <v>0</v>
      </c>
      <c r="AH773" s="60">
        <v>0</v>
      </c>
      <c r="AI773" s="60">
        <v>7446.89</v>
      </c>
      <c r="AJ773" s="60">
        <v>8722.49</v>
      </c>
      <c r="AK773" s="60">
        <v>9434.0300000000007</v>
      </c>
      <c r="AL773" s="60">
        <v>0</v>
      </c>
      <c r="AM773" s="60">
        <v>-1186.1099999999999</v>
      </c>
      <c r="AN773" s="60">
        <v>-1218.3599999999999</v>
      </c>
      <c r="AO773" s="60">
        <v>7446.89</v>
      </c>
      <c r="AP773" s="60">
        <v>7536.38</v>
      </c>
      <c r="AQ773" s="60">
        <v>8215.67</v>
      </c>
      <c r="AR773" s="61">
        <v>8215.67</v>
      </c>
    </row>
    <row r="774" spans="1:44" x14ac:dyDescent="0.35">
      <c r="A774" s="49" t="str">
        <f>TEXT(36,"00")</f>
        <v>36</v>
      </c>
      <c r="B774" s="27">
        <v>67876</v>
      </c>
      <c r="C774" s="25" t="str">
        <f>TEXT(120568,"0000000")</f>
        <v>0120568</v>
      </c>
      <c r="D774" s="27">
        <v>1132</v>
      </c>
      <c r="E774" s="25" t="s">
        <v>1984</v>
      </c>
      <c r="F774" s="25" t="s">
        <v>906</v>
      </c>
      <c r="G774" s="59" t="s">
        <v>1985</v>
      </c>
      <c r="H774" s="60">
        <v>0</v>
      </c>
      <c r="I774" s="60">
        <v>0</v>
      </c>
      <c r="J774" s="60">
        <v>0</v>
      </c>
      <c r="K774" s="60">
        <v>0</v>
      </c>
      <c r="L774" s="60">
        <v>0</v>
      </c>
      <c r="M774" s="60">
        <v>0</v>
      </c>
      <c r="N774" s="60">
        <v>0</v>
      </c>
      <c r="O774" s="60">
        <v>0</v>
      </c>
      <c r="P774" s="60">
        <v>0</v>
      </c>
      <c r="Q774" s="60">
        <v>0</v>
      </c>
      <c r="R774" s="60">
        <v>0</v>
      </c>
      <c r="S774" s="60">
        <v>0</v>
      </c>
      <c r="T774" s="60">
        <v>0</v>
      </c>
      <c r="U774" s="60">
        <v>0</v>
      </c>
      <c r="V774" s="60">
        <v>0</v>
      </c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1206.18</v>
      </c>
      <c r="AD774" s="60">
        <v>1015.93</v>
      </c>
      <c r="AE774" s="60">
        <v>1093.48</v>
      </c>
      <c r="AF774" s="60">
        <v>0</v>
      </c>
      <c r="AG774" s="60">
        <v>0</v>
      </c>
      <c r="AH774" s="60">
        <v>0</v>
      </c>
      <c r="AI774" s="60">
        <v>1206.18</v>
      </c>
      <c r="AJ774" s="60">
        <v>1015.93</v>
      </c>
      <c r="AK774" s="60">
        <v>1093.48</v>
      </c>
      <c r="AL774" s="60">
        <v>0</v>
      </c>
      <c r="AM774" s="60">
        <v>0</v>
      </c>
      <c r="AN774" s="60">
        <v>0</v>
      </c>
      <c r="AO774" s="60">
        <v>1206.18</v>
      </c>
      <c r="AP774" s="60">
        <v>1015.93</v>
      </c>
      <c r="AQ774" s="60">
        <v>1093.48</v>
      </c>
      <c r="AR774" s="61">
        <v>1206.18</v>
      </c>
    </row>
    <row r="775" spans="1:44" x14ac:dyDescent="0.35">
      <c r="A775" s="49" t="str">
        <f t="shared" ref="A775:A792" si="66">TEXT(19,"00")</f>
        <v>19</v>
      </c>
      <c r="B775" s="27">
        <v>73452</v>
      </c>
      <c r="C775" s="25" t="str">
        <f>TEXT(120600,"0000000")</f>
        <v>0120600</v>
      </c>
      <c r="D775" s="27">
        <v>1135</v>
      </c>
      <c r="E775" s="25" t="s">
        <v>1162</v>
      </c>
      <c r="F775" s="25" t="s">
        <v>906</v>
      </c>
      <c r="G775" s="59" t="s">
        <v>1163</v>
      </c>
      <c r="H775" s="60">
        <v>0</v>
      </c>
      <c r="I775" s="60">
        <v>0</v>
      </c>
      <c r="J775" s="60">
        <v>0</v>
      </c>
      <c r="K775" s="60">
        <v>0</v>
      </c>
      <c r="L775" s="60">
        <v>0</v>
      </c>
      <c r="M775" s="60">
        <v>0</v>
      </c>
      <c r="N775" s="60">
        <v>0</v>
      </c>
      <c r="O775" s="60">
        <v>0</v>
      </c>
      <c r="P775" s="60">
        <v>0</v>
      </c>
      <c r="Q775" s="60">
        <v>0</v>
      </c>
      <c r="R775" s="60">
        <v>0</v>
      </c>
      <c r="S775" s="60">
        <v>0</v>
      </c>
      <c r="T775" s="60">
        <v>0</v>
      </c>
      <c r="U775" s="60">
        <v>0</v>
      </c>
      <c r="V775" s="60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1274.1400000000001</v>
      </c>
      <c r="AD775" s="60">
        <v>1277.8499999999999</v>
      </c>
      <c r="AE775" s="60">
        <v>728.07</v>
      </c>
      <c r="AF775" s="60">
        <v>0</v>
      </c>
      <c r="AG775" s="60">
        <v>0</v>
      </c>
      <c r="AH775" s="60">
        <v>0</v>
      </c>
      <c r="AI775" s="60">
        <v>1274.1400000000001</v>
      </c>
      <c r="AJ775" s="60">
        <v>1277.8499999999999</v>
      </c>
      <c r="AK775" s="60">
        <v>728.07</v>
      </c>
      <c r="AL775" s="60">
        <v>0</v>
      </c>
      <c r="AM775" s="60">
        <v>0</v>
      </c>
      <c r="AN775" s="60">
        <v>0</v>
      </c>
      <c r="AO775" s="60">
        <v>1274.1400000000001</v>
      </c>
      <c r="AP775" s="60">
        <v>1277.8499999999999</v>
      </c>
      <c r="AQ775" s="60">
        <v>728.07</v>
      </c>
      <c r="AR775" s="61">
        <v>1277.8499999999999</v>
      </c>
    </row>
    <row r="776" spans="1:44" x14ac:dyDescent="0.35">
      <c r="A776" s="49" t="str">
        <f t="shared" si="66"/>
        <v>19</v>
      </c>
      <c r="B776" s="27">
        <v>65094</v>
      </c>
      <c r="C776" s="25" t="str">
        <f>TEXT(112706,"0000000")</f>
        <v>0112706</v>
      </c>
      <c r="D776" s="26" t="s">
        <v>1122</v>
      </c>
      <c r="E776" s="25" t="s">
        <v>1120</v>
      </c>
      <c r="F776" s="25" t="s">
        <v>906</v>
      </c>
      <c r="G776" s="59" t="s">
        <v>1121</v>
      </c>
      <c r="H776" s="60">
        <v>0</v>
      </c>
      <c r="I776" s="60">
        <v>0</v>
      </c>
      <c r="J776" s="60">
        <v>0</v>
      </c>
      <c r="K776" s="60">
        <v>0</v>
      </c>
      <c r="L776" s="60">
        <v>0</v>
      </c>
      <c r="M776" s="60">
        <v>0</v>
      </c>
      <c r="N776" s="60">
        <v>0</v>
      </c>
      <c r="O776" s="60">
        <v>0</v>
      </c>
      <c r="P776" s="60">
        <v>0</v>
      </c>
      <c r="Q776" s="60">
        <v>0</v>
      </c>
      <c r="R776" s="60">
        <v>0</v>
      </c>
      <c r="S776" s="60">
        <v>0</v>
      </c>
      <c r="T776" s="60">
        <v>0</v>
      </c>
      <c r="U776" s="60">
        <v>0</v>
      </c>
      <c r="V776" s="60">
        <v>0</v>
      </c>
      <c r="W776" s="60">
        <v>0</v>
      </c>
      <c r="X776" s="60">
        <v>0</v>
      </c>
      <c r="Y776" s="60">
        <v>0</v>
      </c>
      <c r="Z776" s="60">
        <v>0</v>
      </c>
      <c r="AA776" s="60">
        <v>0</v>
      </c>
      <c r="AB776" s="60">
        <v>0</v>
      </c>
      <c r="AC776" s="60">
        <v>5340.77</v>
      </c>
      <c r="AD776" s="60">
        <v>5709.8</v>
      </c>
      <c r="AE776" s="60">
        <v>3426.54</v>
      </c>
      <c r="AF776" s="60">
        <v>0</v>
      </c>
      <c r="AG776" s="60">
        <v>0</v>
      </c>
      <c r="AH776" s="60">
        <v>0</v>
      </c>
      <c r="AI776" s="60">
        <v>5340.77</v>
      </c>
      <c r="AJ776" s="60">
        <v>5709.8</v>
      </c>
      <c r="AK776" s="60">
        <v>3426.54</v>
      </c>
      <c r="AL776" s="60">
        <v>0</v>
      </c>
      <c r="AM776" s="60">
        <v>0</v>
      </c>
      <c r="AN776" s="60">
        <v>0</v>
      </c>
      <c r="AO776" s="60">
        <v>5340.77</v>
      </c>
      <c r="AP776" s="60">
        <v>5709.8</v>
      </c>
      <c r="AQ776" s="60">
        <v>3426.54</v>
      </c>
      <c r="AR776" s="61">
        <v>5709.8</v>
      </c>
    </row>
    <row r="777" spans="1:44" x14ac:dyDescent="0.35">
      <c r="A777" s="49" t="str">
        <f t="shared" si="66"/>
        <v>19</v>
      </c>
      <c r="B777" s="27">
        <v>64287</v>
      </c>
      <c r="C777" s="25" t="str">
        <f>TEXT(1996479,"0000000")</f>
        <v>1996479</v>
      </c>
      <c r="D777" s="26" t="s">
        <v>913</v>
      </c>
      <c r="E777" s="25" t="s">
        <v>911</v>
      </c>
      <c r="F777" s="25" t="s">
        <v>906</v>
      </c>
      <c r="G777" s="59" t="s">
        <v>912</v>
      </c>
      <c r="H777" s="60">
        <v>0</v>
      </c>
      <c r="I777" s="60">
        <v>0</v>
      </c>
      <c r="J777" s="60">
        <v>0</v>
      </c>
      <c r="K777" s="60">
        <v>0</v>
      </c>
      <c r="L777" s="60">
        <v>0</v>
      </c>
      <c r="M777" s="60">
        <v>0</v>
      </c>
      <c r="N777" s="60">
        <v>0</v>
      </c>
      <c r="O777" s="60">
        <v>0</v>
      </c>
      <c r="P777" s="60">
        <v>0</v>
      </c>
      <c r="Q777" s="60">
        <v>0</v>
      </c>
      <c r="R777" s="60">
        <v>0</v>
      </c>
      <c r="S777" s="60">
        <v>0</v>
      </c>
      <c r="T777" s="60">
        <v>0</v>
      </c>
      <c r="U777" s="60">
        <v>0</v>
      </c>
      <c r="V777" s="60">
        <v>0</v>
      </c>
      <c r="W777" s="60">
        <v>0</v>
      </c>
      <c r="X777" s="60">
        <v>0</v>
      </c>
      <c r="Y777" s="60">
        <v>0</v>
      </c>
      <c r="Z777" s="60">
        <v>0</v>
      </c>
      <c r="AA777" s="60">
        <v>0</v>
      </c>
      <c r="AB777" s="60">
        <v>0</v>
      </c>
      <c r="AC777" s="60">
        <v>779.86</v>
      </c>
      <c r="AD777" s="60">
        <v>0</v>
      </c>
      <c r="AE777" s="60">
        <v>0</v>
      </c>
      <c r="AF777" s="60">
        <v>0</v>
      </c>
      <c r="AG777" s="60">
        <v>0</v>
      </c>
      <c r="AH777" s="60">
        <v>0</v>
      </c>
      <c r="AI777" s="60">
        <v>779.86</v>
      </c>
      <c r="AJ777" s="60">
        <v>0</v>
      </c>
      <c r="AK777" s="60">
        <v>0</v>
      </c>
      <c r="AL777" s="60">
        <v>0</v>
      </c>
      <c r="AM777" s="60">
        <v>2561.02</v>
      </c>
      <c r="AN777" s="60">
        <v>4581.1400000000003</v>
      </c>
      <c r="AO777" s="60">
        <v>779.86</v>
      </c>
      <c r="AP777" s="60">
        <v>2561.02</v>
      </c>
      <c r="AQ777" s="60">
        <v>4581.1400000000003</v>
      </c>
      <c r="AR777" s="61">
        <v>4581.1400000000003</v>
      </c>
    </row>
    <row r="778" spans="1:44" x14ac:dyDescent="0.35">
      <c r="A778" s="49" t="str">
        <f t="shared" si="66"/>
        <v>19</v>
      </c>
      <c r="B778" s="27">
        <v>65094</v>
      </c>
      <c r="C778" s="25" t="str">
        <f>TEXT(6023527,"0000000")</f>
        <v>6023527</v>
      </c>
      <c r="D778" s="26" t="s">
        <v>1125</v>
      </c>
      <c r="E778" s="25" t="s">
        <v>1123</v>
      </c>
      <c r="F778" s="25" t="s">
        <v>906</v>
      </c>
      <c r="G778" s="59" t="s">
        <v>1124</v>
      </c>
      <c r="H778" s="60">
        <v>0</v>
      </c>
      <c r="I778" s="60">
        <v>0</v>
      </c>
      <c r="J778" s="60">
        <v>0</v>
      </c>
      <c r="K778" s="60">
        <v>0</v>
      </c>
      <c r="L778" s="60">
        <v>0</v>
      </c>
      <c r="M778" s="60">
        <v>0</v>
      </c>
      <c r="N778" s="60">
        <v>0</v>
      </c>
      <c r="O778" s="60">
        <v>0</v>
      </c>
      <c r="P778" s="60">
        <v>0</v>
      </c>
      <c r="Q778" s="60">
        <v>0</v>
      </c>
      <c r="R778" s="60">
        <v>0</v>
      </c>
      <c r="S778" s="60">
        <v>0</v>
      </c>
      <c r="T778" s="60">
        <v>0</v>
      </c>
      <c r="U778" s="60">
        <v>0</v>
      </c>
      <c r="V778" s="60">
        <v>0</v>
      </c>
      <c r="W778" s="60">
        <v>0</v>
      </c>
      <c r="X778" s="60">
        <v>0</v>
      </c>
      <c r="Y778" s="60">
        <v>0</v>
      </c>
      <c r="Z778" s="60">
        <v>0</v>
      </c>
      <c r="AA778" s="60">
        <v>0</v>
      </c>
      <c r="AB778" s="60">
        <v>0</v>
      </c>
      <c r="AC778" s="60">
        <v>1190.99</v>
      </c>
      <c r="AD778" s="60">
        <v>0</v>
      </c>
      <c r="AE778" s="60">
        <v>0</v>
      </c>
      <c r="AF778" s="60">
        <v>0</v>
      </c>
      <c r="AG778" s="60">
        <v>0</v>
      </c>
      <c r="AH778" s="60">
        <v>0</v>
      </c>
      <c r="AI778" s="60">
        <v>1190.99</v>
      </c>
      <c r="AJ778" s="60">
        <v>0</v>
      </c>
      <c r="AK778" s="60">
        <v>0</v>
      </c>
      <c r="AL778" s="60">
        <v>0</v>
      </c>
      <c r="AM778" s="60">
        <v>1186.1099999999999</v>
      </c>
      <c r="AN778" s="60">
        <v>1218.3599999999999</v>
      </c>
      <c r="AO778" s="60">
        <v>1190.99</v>
      </c>
      <c r="AP778" s="60">
        <v>1186.1099999999999</v>
      </c>
      <c r="AQ778" s="60">
        <v>1218.3599999999999</v>
      </c>
      <c r="AR778" s="61">
        <v>1218.3599999999999</v>
      </c>
    </row>
    <row r="779" spans="1:44" x14ac:dyDescent="0.35">
      <c r="A779" s="49" t="str">
        <f t="shared" si="66"/>
        <v>19</v>
      </c>
      <c r="B779" s="27">
        <v>75713</v>
      </c>
      <c r="C779" s="25" t="str">
        <f t="shared" ref="C779:C794" si="67">TEXT(,"0000000")</f>
        <v>0000000</v>
      </c>
      <c r="D779" s="26" t="s">
        <v>3663</v>
      </c>
      <c r="E779" s="25" t="s">
        <v>901</v>
      </c>
      <c r="F779" s="25" t="s">
        <v>902</v>
      </c>
      <c r="G779" s="59" t="s">
        <v>902</v>
      </c>
      <c r="H779" s="60">
        <v>13978.82</v>
      </c>
      <c r="I779" s="60">
        <v>13990.61</v>
      </c>
      <c r="J779" s="60">
        <v>15754.91</v>
      </c>
      <c r="K779" s="60">
        <v>0</v>
      </c>
      <c r="L779" s="60">
        <v>0</v>
      </c>
      <c r="M779" s="60">
        <v>0</v>
      </c>
      <c r="N779" s="60">
        <v>0</v>
      </c>
      <c r="O779" s="60">
        <v>0</v>
      </c>
      <c r="P779" s="60">
        <v>0</v>
      </c>
      <c r="Q779" s="60">
        <v>0</v>
      </c>
      <c r="R779" s="60">
        <v>0</v>
      </c>
      <c r="S779" s="60">
        <v>0</v>
      </c>
      <c r="T779" s="60">
        <v>33.89</v>
      </c>
      <c r="U779" s="60">
        <v>29.95</v>
      </c>
      <c r="V779" s="60">
        <v>84.48</v>
      </c>
      <c r="W779" s="60">
        <v>105.27</v>
      </c>
      <c r="X779" s="60">
        <v>82.89</v>
      </c>
      <c r="Y779" s="60">
        <v>109.33</v>
      </c>
      <c r="Z779" s="60">
        <v>0</v>
      </c>
      <c r="AA779" s="60">
        <v>0</v>
      </c>
      <c r="AB779" s="60">
        <v>0</v>
      </c>
      <c r="AC779" s="60">
        <v>0</v>
      </c>
      <c r="AD779" s="60">
        <v>0</v>
      </c>
      <c r="AE779" s="60">
        <v>0</v>
      </c>
      <c r="AF779" s="60">
        <v>0</v>
      </c>
      <c r="AG779" s="60">
        <v>0</v>
      </c>
      <c r="AH779" s="60">
        <v>0</v>
      </c>
      <c r="AI779" s="60">
        <v>14117.98</v>
      </c>
      <c r="AJ779" s="60">
        <v>14103.45</v>
      </c>
      <c r="AK779" s="60">
        <v>15948.72</v>
      </c>
      <c r="AL779" s="60">
        <v>0</v>
      </c>
      <c r="AM779" s="60">
        <v>0</v>
      </c>
      <c r="AN779" s="60">
        <v>0</v>
      </c>
      <c r="AO779" s="60">
        <v>14117.98</v>
      </c>
      <c r="AP779" s="60">
        <v>14103.45</v>
      </c>
      <c r="AQ779" s="60">
        <v>15948.72</v>
      </c>
      <c r="AR779" s="61">
        <v>15948.72</v>
      </c>
    </row>
    <row r="780" spans="1:44" x14ac:dyDescent="0.35">
      <c r="A780" s="49" t="str">
        <f t="shared" si="66"/>
        <v>19</v>
      </c>
      <c r="B780" s="27">
        <v>64261</v>
      </c>
      <c r="C780" s="25" t="str">
        <f t="shared" si="67"/>
        <v>0000000</v>
      </c>
      <c r="D780" s="26" t="s">
        <v>3663</v>
      </c>
      <c r="E780" s="25" t="s">
        <v>903</v>
      </c>
      <c r="F780" s="25" t="s">
        <v>902</v>
      </c>
      <c r="G780" s="59" t="s">
        <v>904</v>
      </c>
      <c r="H780" s="60">
        <v>8512.0300000000007</v>
      </c>
      <c r="I780" s="60">
        <v>8390.24</v>
      </c>
      <c r="J780" s="60">
        <v>9037.2999999999993</v>
      </c>
      <c r="K780" s="60">
        <v>0</v>
      </c>
      <c r="L780" s="60">
        <v>0</v>
      </c>
      <c r="M780" s="60">
        <v>0</v>
      </c>
      <c r="N780" s="60">
        <v>0</v>
      </c>
      <c r="O780" s="60">
        <v>0</v>
      </c>
      <c r="P780" s="60">
        <v>0</v>
      </c>
      <c r="Q780" s="60">
        <v>0</v>
      </c>
      <c r="R780" s="60">
        <v>0</v>
      </c>
      <c r="S780" s="60">
        <v>0</v>
      </c>
      <c r="T780" s="60">
        <v>0</v>
      </c>
      <c r="U780" s="60">
        <v>0</v>
      </c>
      <c r="V780" s="60">
        <v>0</v>
      </c>
      <c r="W780" s="60">
        <v>0</v>
      </c>
      <c r="X780" s="60">
        <v>0</v>
      </c>
      <c r="Y780" s="60">
        <v>0</v>
      </c>
      <c r="Z780" s="60">
        <v>0</v>
      </c>
      <c r="AA780" s="60">
        <v>0</v>
      </c>
      <c r="AB780" s="60">
        <v>0</v>
      </c>
      <c r="AC780" s="60">
        <v>0</v>
      </c>
      <c r="AD780" s="60">
        <v>0</v>
      </c>
      <c r="AE780" s="60">
        <v>0</v>
      </c>
      <c r="AF780" s="60">
        <v>0</v>
      </c>
      <c r="AG780" s="60">
        <v>0</v>
      </c>
      <c r="AH780" s="60">
        <v>0</v>
      </c>
      <c r="AI780" s="60">
        <v>8512.0300000000007</v>
      </c>
      <c r="AJ780" s="60">
        <v>8390.24</v>
      </c>
      <c r="AK780" s="60">
        <v>9037.2999999999993</v>
      </c>
      <c r="AL780" s="60">
        <v>0</v>
      </c>
      <c r="AM780" s="60">
        <v>0</v>
      </c>
      <c r="AN780" s="60">
        <v>0</v>
      </c>
      <c r="AO780" s="60">
        <v>8512.0300000000007</v>
      </c>
      <c r="AP780" s="60">
        <v>8390.24</v>
      </c>
      <c r="AQ780" s="60">
        <v>9037.2999999999993</v>
      </c>
      <c r="AR780" s="61">
        <v>9037.2999999999993</v>
      </c>
    </row>
    <row r="781" spans="1:44" x14ac:dyDescent="0.35">
      <c r="A781" s="49" t="str">
        <f t="shared" si="66"/>
        <v>19</v>
      </c>
      <c r="B781" s="27">
        <v>64469</v>
      </c>
      <c r="C781" s="25" t="str">
        <f t="shared" si="67"/>
        <v>0000000</v>
      </c>
      <c r="D781" s="26" t="s">
        <v>3663</v>
      </c>
      <c r="E781" s="25" t="s">
        <v>946</v>
      </c>
      <c r="F781" s="25" t="s">
        <v>902</v>
      </c>
      <c r="G781" s="59" t="s">
        <v>947</v>
      </c>
      <c r="H781" s="60">
        <v>2808.99</v>
      </c>
      <c r="I781" s="60">
        <v>2860.79</v>
      </c>
      <c r="J781" s="60">
        <v>3275.98</v>
      </c>
      <c r="K781" s="60">
        <v>0</v>
      </c>
      <c r="L781" s="60">
        <v>0</v>
      </c>
      <c r="M781" s="60">
        <v>0</v>
      </c>
      <c r="N781" s="60">
        <v>0</v>
      </c>
      <c r="O781" s="60">
        <v>0</v>
      </c>
      <c r="P781" s="60">
        <v>0</v>
      </c>
      <c r="Q781" s="60">
        <v>0</v>
      </c>
      <c r="R781" s="60">
        <v>0</v>
      </c>
      <c r="S781" s="60">
        <v>0</v>
      </c>
      <c r="T781" s="60">
        <v>0</v>
      </c>
      <c r="U781" s="60">
        <v>0</v>
      </c>
      <c r="V781" s="60">
        <v>0</v>
      </c>
      <c r="W781" s="60">
        <v>0</v>
      </c>
      <c r="X781" s="60">
        <v>0</v>
      </c>
      <c r="Y781" s="60">
        <v>0</v>
      </c>
      <c r="Z781" s="60">
        <v>0</v>
      </c>
      <c r="AA781" s="60">
        <v>0</v>
      </c>
      <c r="AB781" s="60">
        <v>0</v>
      </c>
      <c r="AC781" s="60">
        <v>2911.84</v>
      </c>
      <c r="AD781" s="60">
        <v>1159.24</v>
      </c>
      <c r="AE781" s="60">
        <v>1918.46</v>
      </c>
      <c r="AF781" s="60">
        <v>0</v>
      </c>
      <c r="AG781" s="60">
        <v>0</v>
      </c>
      <c r="AH781" s="60">
        <v>0</v>
      </c>
      <c r="AI781" s="60">
        <v>5720.83</v>
      </c>
      <c r="AJ781" s="60">
        <v>4020.03</v>
      </c>
      <c r="AK781" s="60">
        <v>5194.4399999999996</v>
      </c>
      <c r="AL781" s="60">
        <v>0</v>
      </c>
      <c r="AM781" s="60">
        <v>0</v>
      </c>
      <c r="AN781" s="60">
        <v>0</v>
      </c>
      <c r="AO781" s="60">
        <v>5720.83</v>
      </c>
      <c r="AP781" s="60">
        <v>4020.03</v>
      </c>
      <c r="AQ781" s="60">
        <v>5194.4399999999996</v>
      </c>
      <c r="AR781" s="61">
        <v>5720.83</v>
      </c>
    </row>
    <row r="782" spans="1:44" x14ac:dyDescent="0.35">
      <c r="A782" s="49" t="str">
        <f t="shared" si="66"/>
        <v>19</v>
      </c>
      <c r="B782" s="27">
        <v>64501</v>
      </c>
      <c r="C782" s="25" t="str">
        <f t="shared" si="67"/>
        <v>0000000</v>
      </c>
      <c r="D782" s="26" t="s">
        <v>3663</v>
      </c>
      <c r="E782" s="25" t="s">
        <v>958</v>
      </c>
      <c r="F782" s="25" t="s">
        <v>902</v>
      </c>
      <c r="G782" s="59" t="s">
        <v>959</v>
      </c>
      <c r="H782" s="60">
        <v>6817.63</v>
      </c>
      <c r="I782" s="60">
        <v>6925.83</v>
      </c>
      <c r="J782" s="60">
        <v>7762.54</v>
      </c>
      <c r="K782" s="60">
        <v>0</v>
      </c>
      <c r="L782" s="60">
        <v>0</v>
      </c>
      <c r="M782" s="60">
        <v>0</v>
      </c>
      <c r="N782" s="60">
        <v>0</v>
      </c>
      <c r="O782" s="60">
        <v>0</v>
      </c>
      <c r="P782" s="60">
        <v>0</v>
      </c>
      <c r="Q782" s="60">
        <v>0</v>
      </c>
      <c r="R782" s="60">
        <v>0</v>
      </c>
      <c r="S782" s="60">
        <v>0</v>
      </c>
      <c r="T782" s="60">
        <v>0</v>
      </c>
      <c r="U782" s="60">
        <v>0</v>
      </c>
      <c r="V782" s="60">
        <v>0</v>
      </c>
      <c r="W782" s="60">
        <v>0</v>
      </c>
      <c r="X782" s="60">
        <v>0</v>
      </c>
      <c r="Y782" s="60">
        <v>0</v>
      </c>
      <c r="Z782" s="60">
        <v>0</v>
      </c>
      <c r="AA782" s="60">
        <v>0</v>
      </c>
      <c r="AB782" s="60">
        <v>0</v>
      </c>
      <c r="AC782" s="60">
        <v>0</v>
      </c>
      <c r="AD782" s="60">
        <v>0</v>
      </c>
      <c r="AE782" s="60">
        <v>0</v>
      </c>
      <c r="AF782" s="60">
        <v>0</v>
      </c>
      <c r="AG782" s="60">
        <v>0</v>
      </c>
      <c r="AH782" s="60">
        <v>0</v>
      </c>
      <c r="AI782" s="60">
        <v>6817.63</v>
      </c>
      <c r="AJ782" s="60">
        <v>6925.83</v>
      </c>
      <c r="AK782" s="60">
        <v>7762.54</v>
      </c>
      <c r="AL782" s="60">
        <v>0</v>
      </c>
      <c r="AM782" s="60">
        <v>0</v>
      </c>
      <c r="AN782" s="60">
        <v>0</v>
      </c>
      <c r="AO782" s="60">
        <v>6817.63</v>
      </c>
      <c r="AP782" s="60">
        <v>6925.83</v>
      </c>
      <c r="AQ782" s="60">
        <v>7762.54</v>
      </c>
      <c r="AR782" s="61">
        <v>7762.54</v>
      </c>
    </row>
    <row r="783" spans="1:44" x14ac:dyDescent="0.35">
      <c r="A783" s="49" t="str">
        <f t="shared" si="66"/>
        <v>19</v>
      </c>
      <c r="B783" s="27">
        <v>64519</v>
      </c>
      <c r="C783" s="25" t="str">
        <f t="shared" si="67"/>
        <v>0000000</v>
      </c>
      <c r="D783" s="26" t="s">
        <v>3663</v>
      </c>
      <c r="E783" s="25" t="s">
        <v>960</v>
      </c>
      <c r="F783" s="25" t="s">
        <v>902</v>
      </c>
      <c r="G783" s="59" t="s">
        <v>961</v>
      </c>
      <c r="H783" s="60">
        <v>7237.99</v>
      </c>
      <c r="I783" s="60">
        <v>7426.58</v>
      </c>
      <c r="J783" s="60">
        <v>8031.19</v>
      </c>
      <c r="K783" s="60">
        <v>0</v>
      </c>
      <c r="L783" s="60">
        <v>0</v>
      </c>
      <c r="M783" s="60">
        <v>0</v>
      </c>
      <c r="N783" s="60">
        <v>0</v>
      </c>
      <c r="O783" s="60">
        <v>0</v>
      </c>
      <c r="P783" s="60">
        <v>0</v>
      </c>
      <c r="Q783" s="60">
        <v>0</v>
      </c>
      <c r="R783" s="60">
        <v>0</v>
      </c>
      <c r="S783" s="60">
        <v>0</v>
      </c>
      <c r="T783" s="60">
        <v>0</v>
      </c>
      <c r="U783" s="60">
        <v>0</v>
      </c>
      <c r="V783" s="60">
        <v>0</v>
      </c>
      <c r="W783" s="60">
        <v>0</v>
      </c>
      <c r="X783" s="60">
        <v>0</v>
      </c>
      <c r="Y783" s="60">
        <v>0</v>
      </c>
      <c r="Z783" s="60">
        <v>0</v>
      </c>
      <c r="AA783" s="60">
        <v>0</v>
      </c>
      <c r="AB783" s="60">
        <v>0</v>
      </c>
      <c r="AC783" s="60">
        <v>0</v>
      </c>
      <c r="AD783" s="60">
        <v>0</v>
      </c>
      <c r="AE783" s="60">
        <v>0</v>
      </c>
      <c r="AF783" s="60">
        <v>0</v>
      </c>
      <c r="AG783" s="60">
        <v>0</v>
      </c>
      <c r="AH783" s="60">
        <v>0</v>
      </c>
      <c r="AI783" s="60">
        <v>7237.99</v>
      </c>
      <c r="AJ783" s="60">
        <v>7426.58</v>
      </c>
      <c r="AK783" s="60">
        <v>8031.19</v>
      </c>
      <c r="AL783" s="60">
        <v>0</v>
      </c>
      <c r="AM783" s="60">
        <v>0</v>
      </c>
      <c r="AN783" s="60">
        <v>0</v>
      </c>
      <c r="AO783" s="60">
        <v>7237.99</v>
      </c>
      <c r="AP783" s="60">
        <v>7426.58</v>
      </c>
      <c r="AQ783" s="60">
        <v>8031.19</v>
      </c>
      <c r="AR783" s="61">
        <v>8031.19</v>
      </c>
    </row>
    <row r="784" spans="1:44" x14ac:dyDescent="0.35">
      <c r="A784" s="49" t="str">
        <f t="shared" si="66"/>
        <v>19</v>
      </c>
      <c r="B784" s="27">
        <v>64550</v>
      </c>
      <c r="C784" s="25" t="str">
        <f t="shared" si="67"/>
        <v>0000000</v>
      </c>
      <c r="D784" s="26" t="s">
        <v>3663</v>
      </c>
      <c r="E784" s="25" t="s">
        <v>966</v>
      </c>
      <c r="F784" s="25" t="s">
        <v>902</v>
      </c>
      <c r="G784" s="59" t="s">
        <v>967</v>
      </c>
      <c r="H784" s="60">
        <v>4023.99</v>
      </c>
      <c r="I784" s="60">
        <v>4017.2</v>
      </c>
      <c r="J784" s="60">
        <v>4371.17</v>
      </c>
      <c r="K784" s="60">
        <v>0</v>
      </c>
      <c r="L784" s="60">
        <v>0</v>
      </c>
      <c r="M784" s="60">
        <v>0</v>
      </c>
      <c r="N784" s="60">
        <v>0</v>
      </c>
      <c r="O784" s="60">
        <v>0</v>
      </c>
      <c r="P784" s="60">
        <v>0</v>
      </c>
      <c r="Q784" s="60">
        <v>0</v>
      </c>
      <c r="R784" s="60">
        <v>0</v>
      </c>
      <c r="S784" s="60">
        <v>0</v>
      </c>
      <c r="T784" s="60">
        <v>0</v>
      </c>
      <c r="U784" s="60">
        <v>0</v>
      </c>
      <c r="V784" s="60">
        <v>0</v>
      </c>
      <c r="W784" s="60">
        <v>0</v>
      </c>
      <c r="X784" s="60">
        <v>0</v>
      </c>
      <c r="Y784" s="60">
        <v>0</v>
      </c>
      <c r="Z784" s="60">
        <v>0</v>
      </c>
      <c r="AA784" s="60">
        <v>0</v>
      </c>
      <c r="AB784" s="60">
        <v>0</v>
      </c>
      <c r="AC784" s="60">
        <v>0</v>
      </c>
      <c r="AD784" s="60">
        <v>0</v>
      </c>
      <c r="AE784" s="60">
        <v>0</v>
      </c>
      <c r="AF784" s="60">
        <v>0</v>
      </c>
      <c r="AG784" s="60">
        <v>0</v>
      </c>
      <c r="AH784" s="60">
        <v>0</v>
      </c>
      <c r="AI784" s="60">
        <v>4023.99</v>
      </c>
      <c r="AJ784" s="60">
        <v>4017.2</v>
      </c>
      <c r="AK784" s="60">
        <v>4371.17</v>
      </c>
      <c r="AL784" s="60">
        <v>0</v>
      </c>
      <c r="AM784" s="60">
        <v>0</v>
      </c>
      <c r="AN784" s="60">
        <v>0</v>
      </c>
      <c r="AO784" s="60">
        <v>4023.99</v>
      </c>
      <c r="AP784" s="60">
        <v>4017.2</v>
      </c>
      <c r="AQ784" s="60">
        <v>4371.17</v>
      </c>
      <c r="AR784" s="61">
        <v>4371.17</v>
      </c>
    </row>
    <row r="785" spans="1:44" x14ac:dyDescent="0.35">
      <c r="A785" s="49" t="str">
        <f t="shared" si="66"/>
        <v>19</v>
      </c>
      <c r="B785" s="27">
        <v>64790</v>
      </c>
      <c r="C785" s="25" t="str">
        <f t="shared" si="67"/>
        <v>0000000</v>
      </c>
      <c r="D785" s="26" t="s">
        <v>3663</v>
      </c>
      <c r="E785" s="25" t="s">
        <v>1061</v>
      </c>
      <c r="F785" s="25" t="s">
        <v>902</v>
      </c>
      <c r="G785" s="59" t="s">
        <v>1062</v>
      </c>
      <c r="H785" s="60">
        <v>4611.9799999999996</v>
      </c>
      <c r="I785" s="60">
        <v>4688.12</v>
      </c>
      <c r="J785" s="60">
        <v>5132.9799999999996</v>
      </c>
      <c r="K785" s="60">
        <v>0</v>
      </c>
      <c r="L785" s="60">
        <v>0</v>
      </c>
      <c r="M785" s="60">
        <v>0</v>
      </c>
      <c r="N785" s="60">
        <v>0</v>
      </c>
      <c r="O785" s="60">
        <v>0</v>
      </c>
      <c r="P785" s="60">
        <v>0</v>
      </c>
      <c r="Q785" s="60">
        <v>0</v>
      </c>
      <c r="R785" s="60">
        <v>0</v>
      </c>
      <c r="S785" s="60">
        <v>0</v>
      </c>
      <c r="T785" s="60">
        <v>0</v>
      </c>
      <c r="U785" s="60">
        <v>0</v>
      </c>
      <c r="V785" s="60">
        <v>0</v>
      </c>
      <c r="W785" s="60">
        <v>0</v>
      </c>
      <c r="X785" s="60">
        <v>0</v>
      </c>
      <c r="Y785" s="60">
        <v>0</v>
      </c>
      <c r="Z785" s="60">
        <v>0</v>
      </c>
      <c r="AA785" s="60">
        <v>0</v>
      </c>
      <c r="AB785" s="60">
        <v>0</v>
      </c>
      <c r="AC785" s="60">
        <v>0</v>
      </c>
      <c r="AD785" s="60">
        <v>0</v>
      </c>
      <c r="AE785" s="60">
        <v>0</v>
      </c>
      <c r="AF785" s="60">
        <v>0</v>
      </c>
      <c r="AG785" s="60">
        <v>0</v>
      </c>
      <c r="AH785" s="60">
        <v>0</v>
      </c>
      <c r="AI785" s="60">
        <v>4611.9799999999996</v>
      </c>
      <c r="AJ785" s="60">
        <v>4688.12</v>
      </c>
      <c r="AK785" s="60">
        <v>5132.9799999999996</v>
      </c>
      <c r="AL785" s="60">
        <v>0</v>
      </c>
      <c r="AM785" s="60">
        <v>0</v>
      </c>
      <c r="AN785" s="60">
        <v>0</v>
      </c>
      <c r="AO785" s="60">
        <v>4611.9799999999996</v>
      </c>
      <c r="AP785" s="60">
        <v>4688.12</v>
      </c>
      <c r="AQ785" s="60">
        <v>5132.9799999999996</v>
      </c>
      <c r="AR785" s="61">
        <v>5132.9799999999996</v>
      </c>
    </row>
    <row r="786" spans="1:44" x14ac:dyDescent="0.35">
      <c r="A786" s="49" t="str">
        <f t="shared" si="66"/>
        <v>19</v>
      </c>
      <c r="B786" s="27">
        <v>64816</v>
      </c>
      <c r="C786" s="25" t="str">
        <f t="shared" si="67"/>
        <v>0000000</v>
      </c>
      <c r="D786" s="26" t="s">
        <v>3663</v>
      </c>
      <c r="E786" s="25" t="s">
        <v>1065</v>
      </c>
      <c r="F786" s="25" t="s">
        <v>902</v>
      </c>
      <c r="G786" s="59" t="s">
        <v>1066</v>
      </c>
      <c r="H786" s="60">
        <v>4516</v>
      </c>
      <c r="I786" s="60">
        <v>4725.6000000000004</v>
      </c>
      <c r="J786" s="60">
        <v>5813.44</v>
      </c>
      <c r="K786" s="60">
        <v>0</v>
      </c>
      <c r="L786" s="60">
        <v>0</v>
      </c>
      <c r="M786" s="60">
        <v>0</v>
      </c>
      <c r="N786" s="60">
        <v>0</v>
      </c>
      <c r="O786" s="60">
        <v>0</v>
      </c>
      <c r="P786" s="60">
        <v>0</v>
      </c>
      <c r="Q786" s="60">
        <v>0</v>
      </c>
      <c r="R786" s="60">
        <v>0</v>
      </c>
      <c r="S786" s="60">
        <v>0</v>
      </c>
      <c r="T786" s="60">
        <v>0</v>
      </c>
      <c r="U786" s="60">
        <v>0</v>
      </c>
      <c r="V786" s="60">
        <v>0</v>
      </c>
      <c r="W786" s="60">
        <v>0</v>
      </c>
      <c r="X786" s="60">
        <v>0</v>
      </c>
      <c r="Y786" s="60">
        <v>0</v>
      </c>
      <c r="Z786" s="60">
        <v>0</v>
      </c>
      <c r="AA786" s="60">
        <v>0</v>
      </c>
      <c r="AB786" s="60">
        <v>0</v>
      </c>
      <c r="AC786" s="60">
        <v>0</v>
      </c>
      <c r="AD786" s="60">
        <v>0</v>
      </c>
      <c r="AE786" s="60">
        <v>0</v>
      </c>
      <c r="AF786" s="60">
        <v>0</v>
      </c>
      <c r="AG786" s="60">
        <v>0</v>
      </c>
      <c r="AH786" s="60">
        <v>0</v>
      </c>
      <c r="AI786" s="60">
        <v>4516</v>
      </c>
      <c r="AJ786" s="60">
        <v>4725.6000000000004</v>
      </c>
      <c r="AK786" s="60">
        <v>5813.44</v>
      </c>
      <c r="AL786" s="60">
        <v>0</v>
      </c>
      <c r="AM786" s="60">
        <v>0</v>
      </c>
      <c r="AN786" s="60">
        <v>0</v>
      </c>
      <c r="AO786" s="60">
        <v>4516</v>
      </c>
      <c r="AP786" s="60">
        <v>4725.6000000000004</v>
      </c>
      <c r="AQ786" s="60">
        <v>5813.44</v>
      </c>
      <c r="AR786" s="61">
        <v>5813.44</v>
      </c>
    </row>
    <row r="787" spans="1:44" x14ac:dyDescent="0.35">
      <c r="A787" s="49" t="str">
        <f t="shared" si="66"/>
        <v>19</v>
      </c>
      <c r="B787" s="27">
        <v>64931</v>
      </c>
      <c r="C787" s="25" t="str">
        <f t="shared" si="67"/>
        <v>0000000</v>
      </c>
      <c r="D787" s="26" t="s">
        <v>3663</v>
      </c>
      <c r="E787" s="25" t="s">
        <v>1098</v>
      </c>
      <c r="F787" s="25" t="s">
        <v>902</v>
      </c>
      <c r="G787" s="59" t="s">
        <v>1099</v>
      </c>
      <c r="H787" s="60">
        <v>2200.3200000000002</v>
      </c>
      <c r="I787" s="60">
        <v>2168.71</v>
      </c>
      <c r="J787" s="60">
        <v>2332.13</v>
      </c>
      <c r="K787" s="60">
        <v>0</v>
      </c>
      <c r="L787" s="60">
        <v>0</v>
      </c>
      <c r="M787" s="60">
        <v>0</v>
      </c>
      <c r="N787" s="60">
        <v>0</v>
      </c>
      <c r="O787" s="60">
        <v>0</v>
      </c>
      <c r="P787" s="60">
        <v>0</v>
      </c>
      <c r="Q787" s="60">
        <v>0</v>
      </c>
      <c r="R787" s="60">
        <v>0</v>
      </c>
      <c r="S787" s="60">
        <v>0</v>
      </c>
      <c r="T787" s="60">
        <v>0</v>
      </c>
      <c r="U787" s="60">
        <v>0</v>
      </c>
      <c r="V787" s="60">
        <v>0</v>
      </c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0</v>
      </c>
      <c r="AD787" s="60">
        <v>0</v>
      </c>
      <c r="AE787" s="60">
        <v>0</v>
      </c>
      <c r="AF787" s="60">
        <v>0</v>
      </c>
      <c r="AG787" s="60">
        <v>0</v>
      </c>
      <c r="AH787" s="60">
        <v>0</v>
      </c>
      <c r="AI787" s="60">
        <v>2200.3200000000002</v>
      </c>
      <c r="AJ787" s="60">
        <v>2168.71</v>
      </c>
      <c r="AK787" s="60">
        <v>2332.13</v>
      </c>
      <c r="AL787" s="60">
        <v>0</v>
      </c>
      <c r="AM787" s="60">
        <v>0</v>
      </c>
      <c r="AN787" s="60">
        <v>0</v>
      </c>
      <c r="AO787" s="60">
        <v>2200.3200000000002</v>
      </c>
      <c r="AP787" s="60">
        <v>2168.71</v>
      </c>
      <c r="AQ787" s="60">
        <v>2332.13</v>
      </c>
      <c r="AR787" s="61">
        <v>2332.13</v>
      </c>
    </row>
    <row r="788" spans="1:44" x14ac:dyDescent="0.35">
      <c r="A788" s="49" t="str">
        <f t="shared" si="66"/>
        <v>19</v>
      </c>
      <c r="B788" s="27">
        <v>64964</v>
      </c>
      <c r="C788" s="25" t="str">
        <f t="shared" si="67"/>
        <v>0000000</v>
      </c>
      <c r="D788" s="26" t="s">
        <v>3663</v>
      </c>
      <c r="E788" s="25" t="s">
        <v>1100</v>
      </c>
      <c r="F788" s="25" t="s">
        <v>902</v>
      </c>
      <c r="G788" s="59" t="s">
        <v>1101</v>
      </c>
      <c r="H788" s="60">
        <v>2646.61</v>
      </c>
      <c r="I788" s="60">
        <v>2608.96</v>
      </c>
      <c r="J788" s="60">
        <v>2841.63</v>
      </c>
      <c r="K788" s="60">
        <v>0</v>
      </c>
      <c r="L788" s="60">
        <v>0</v>
      </c>
      <c r="M788" s="60">
        <v>0</v>
      </c>
      <c r="N788" s="60">
        <v>0</v>
      </c>
      <c r="O788" s="60">
        <v>0</v>
      </c>
      <c r="P788" s="60">
        <v>0</v>
      </c>
      <c r="Q788" s="60">
        <v>0</v>
      </c>
      <c r="R788" s="60">
        <v>0</v>
      </c>
      <c r="S788" s="60">
        <v>0</v>
      </c>
      <c r="T788" s="60">
        <v>0</v>
      </c>
      <c r="U788" s="60">
        <v>0</v>
      </c>
      <c r="V788" s="60">
        <v>0</v>
      </c>
      <c r="W788" s="60">
        <v>0</v>
      </c>
      <c r="X788" s="60">
        <v>0</v>
      </c>
      <c r="Y788" s="60">
        <v>0</v>
      </c>
      <c r="Z788" s="60">
        <v>0</v>
      </c>
      <c r="AA788" s="60">
        <v>0</v>
      </c>
      <c r="AB788" s="60">
        <v>0</v>
      </c>
      <c r="AC788" s="60">
        <v>0</v>
      </c>
      <c r="AD788" s="60">
        <v>0</v>
      </c>
      <c r="AE788" s="60">
        <v>0</v>
      </c>
      <c r="AF788" s="60">
        <v>0</v>
      </c>
      <c r="AG788" s="60">
        <v>0</v>
      </c>
      <c r="AH788" s="60">
        <v>0</v>
      </c>
      <c r="AI788" s="60">
        <v>2646.61</v>
      </c>
      <c r="AJ788" s="60">
        <v>2608.96</v>
      </c>
      <c r="AK788" s="60">
        <v>2841.63</v>
      </c>
      <c r="AL788" s="60">
        <v>0</v>
      </c>
      <c r="AM788" s="60">
        <v>0</v>
      </c>
      <c r="AN788" s="60">
        <v>0</v>
      </c>
      <c r="AO788" s="60">
        <v>2646.61</v>
      </c>
      <c r="AP788" s="60">
        <v>2608.96</v>
      </c>
      <c r="AQ788" s="60">
        <v>2841.63</v>
      </c>
      <c r="AR788" s="61">
        <v>2841.63</v>
      </c>
    </row>
    <row r="789" spans="1:44" x14ac:dyDescent="0.35">
      <c r="A789" s="49" t="str">
        <f t="shared" si="66"/>
        <v>19</v>
      </c>
      <c r="B789" s="27">
        <v>65029</v>
      </c>
      <c r="C789" s="25" t="str">
        <f t="shared" si="67"/>
        <v>0000000</v>
      </c>
      <c r="D789" s="26" t="s">
        <v>3663</v>
      </c>
      <c r="E789" s="25" t="s">
        <v>1106</v>
      </c>
      <c r="F789" s="25" t="s">
        <v>902</v>
      </c>
      <c r="G789" s="59" t="s">
        <v>1107</v>
      </c>
      <c r="H789" s="60">
        <v>4456.5</v>
      </c>
      <c r="I789" s="60">
        <v>4498.8900000000003</v>
      </c>
      <c r="J789" s="60">
        <v>4742.96</v>
      </c>
      <c r="K789" s="60">
        <v>0</v>
      </c>
      <c r="L789" s="60">
        <v>0</v>
      </c>
      <c r="M789" s="60">
        <v>0</v>
      </c>
      <c r="N789" s="60">
        <v>0</v>
      </c>
      <c r="O789" s="60">
        <v>0</v>
      </c>
      <c r="P789" s="60">
        <v>0</v>
      </c>
      <c r="Q789" s="60">
        <v>0</v>
      </c>
      <c r="R789" s="60">
        <v>0</v>
      </c>
      <c r="S789" s="60">
        <v>0</v>
      </c>
      <c r="T789" s="60">
        <v>0</v>
      </c>
      <c r="U789" s="60">
        <v>0</v>
      </c>
      <c r="V789" s="60">
        <v>0</v>
      </c>
      <c r="W789" s="60">
        <v>0</v>
      </c>
      <c r="X789" s="60">
        <v>0</v>
      </c>
      <c r="Y789" s="60">
        <v>0</v>
      </c>
      <c r="Z789" s="60">
        <v>0</v>
      </c>
      <c r="AA789" s="60">
        <v>0</v>
      </c>
      <c r="AB789" s="60">
        <v>0</v>
      </c>
      <c r="AC789" s="60">
        <v>0</v>
      </c>
      <c r="AD789" s="60">
        <v>0</v>
      </c>
      <c r="AE789" s="60">
        <v>0</v>
      </c>
      <c r="AF789" s="60">
        <v>0</v>
      </c>
      <c r="AG789" s="60">
        <v>0</v>
      </c>
      <c r="AH789" s="60">
        <v>0</v>
      </c>
      <c r="AI789" s="60">
        <v>4456.5</v>
      </c>
      <c r="AJ789" s="60">
        <v>4498.8900000000003</v>
      </c>
      <c r="AK789" s="60">
        <v>4742.96</v>
      </c>
      <c r="AL789" s="60">
        <v>0</v>
      </c>
      <c r="AM789" s="60">
        <v>0</v>
      </c>
      <c r="AN789" s="60">
        <v>0</v>
      </c>
      <c r="AO789" s="60">
        <v>4456.5</v>
      </c>
      <c r="AP789" s="60">
        <v>4498.8900000000003</v>
      </c>
      <c r="AQ789" s="60">
        <v>4742.96</v>
      </c>
      <c r="AR789" s="61">
        <v>4742.96</v>
      </c>
    </row>
    <row r="790" spans="1:44" x14ac:dyDescent="0.35">
      <c r="A790" s="49" t="str">
        <f t="shared" si="66"/>
        <v>19</v>
      </c>
      <c r="B790" s="27">
        <v>65052</v>
      </c>
      <c r="C790" s="25" t="str">
        <f t="shared" si="67"/>
        <v>0000000</v>
      </c>
      <c r="D790" s="26" t="s">
        <v>3663</v>
      </c>
      <c r="E790" s="25" t="s">
        <v>1112</v>
      </c>
      <c r="F790" s="25" t="s">
        <v>902</v>
      </c>
      <c r="G790" s="59" t="s">
        <v>1113</v>
      </c>
      <c r="H790" s="60">
        <v>4998.07</v>
      </c>
      <c r="I790" s="60">
        <v>5069.8999999999996</v>
      </c>
      <c r="J790" s="60">
        <v>5463.43</v>
      </c>
      <c r="K790" s="60">
        <v>0</v>
      </c>
      <c r="L790" s="60">
        <v>0</v>
      </c>
      <c r="M790" s="60">
        <v>0</v>
      </c>
      <c r="N790" s="60">
        <v>0</v>
      </c>
      <c r="O790" s="60">
        <v>0</v>
      </c>
      <c r="P790" s="60">
        <v>0</v>
      </c>
      <c r="Q790" s="60">
        <v>0</v>
      </c>
      <c r="R790" s="60">
        <v>0</v>
      </c>
      <c r="S790" s="60">
        <v>0</v>
      </c>
      <c r="T790" s="60">
        <v>0</v>
      </c>
      <c r="U790" s="60">
        <v>0</v>
      </c>
      <c r="V790" s="60">
        <v>0</v>
      </c>
      <c r="W790" s="60">
        <v>0</v>
      </c>
      <c r="X790" s="60">
        <v>0</v>
      </c>
      <c r="Y790" s="60">
        <v>0</v>
      </c>
      <c r="Z790" s="60">
        <v>0</v>
      </c>
      <c r="AA790" s="60">
        <v>0</v>
      </c>
      <c r="AB790" s="60">
        <v>0</v>
      </c>
      <c r="AC790" s="60">
        <v>0</v>
      </c>
      <c r="AD790" s="60">
        <v>0</v>
      </c>
      <c r="AE790" s="60">
        <v>0</v>
      </c>
      <c r="AF790" s="60">
        <v>0</v>
      </c>
      <c r="AG790" s="60">
        <v>0</v>
      </c>
      <c r="AH790" s="60">
        <v>0</v>
      </c>
      <c r="AI790" s="60">
        <v>4998.07</v>
      </c>
      <c r="AJ790" s="60">
        <v>5069.8999999999996</v>
      </c>
      <c r="AK790" s="60">
        <v>5463.43</v>
      </c>
      <c r="AL790" s="60">
        <v>0</v>
      </c>
      <c r="AM790" s="60">
        <v>0</v>
      </c>
      <c r="AN790" s="60">
        <v>0</v>
      </c>
      <c r="AO790" s="60">
        <v>4998.07</v>
      </c>
      <c r="AP790" s="60">
        <v>5069.8999999999996</v>
      </c>
      <c r="AQ790" s="60">
        <v>5463.43</v>
      </c>
      <c r="AR790" s="61">
        <v>5463.43</v>
      </c>
    </row>
    <row r="791" spans="1:44" x14ac:dyDescent="0.35">
      <c r="A791" s="49" t="str">
        <f t="shared" si="66"/>
        <v>19</v>
      </c>
      <c r="B791" s="27">
        <v>65078</v>
      </c>
      <c r="C791" s="25" t="str">
        <f t="shared" si="67"/>
        <v>0000000</v>
      </c>
      <c r="D791" s="26" t="s">
        <v>3663</v>
      </c>
      <c r="E791" s="25" t="s">
        <v>1116</v>
      </c>
      <c r="F791" s="25" t="s">
        <v>902</v>
      </c>
      <c r="G791" s="59" t="s">
        <v>1117</v>
      </c>
      <c r="H791" s="60">
        <v>810.81</v>
      </c>
      <c r="I791" s="60">
        <v>808.37</v>
      </c>
      <c r="J791" s="60">
        <v>1026.17</v>
      </c>
      <c r="K791" s="60">
        <v>0</v>
      </c>
      <c r="L791" s="60">
        <v>0</v>
      </c>
      <c r="M791" s="60">
        <v>0</v>
      </c>
      <c r="N791" s="60">
        <v>0</v>
      </c>
      <c r="O791" s="60">
        <v>0</v>
      </c>
      <c r="P791" s="60">
        <v>0</v>
      </c>
      <c r="Q791" s="60">
        <v>0</v>
      </c>
      <c r="R791" s="60">
        <v>0</v>
      </c>
      <c r="S791" s="60">
        <v>0</v>
      </c>
      <c r="T791" s="60">
        <v>0</v>
      </c>
      <c r="U791" s="60">
        <v>0</v>
      </c>
      <c r="V791" s="60">
        <v>0</v>
      </c>
      <c r="W791" s="60">
        <v>0</v>
      </c>
      <c r="X791" s="60">
        <v>0</v>
      </c>
      <c r="Y791" s="60">
        <v>0</v>
      </c>
      <c r="Z791" s="60">
        <v>0</v>
      </c>
      <c r="AA791" s="60">
        <v>0</v>
      </c>
      <c r="AB791" s="60">
        <v>0</v>
      </c>
      <c r="AC791" s="60">
        <v>0</v>
      </c>
      <c r="AD791" s="60">
        <v>0</v>
      </c>
      <c r="AE791" s="60">
        <v>0</v>
      </c>
      <c r="AF791" s="60">
        <v>0</v>
      </c>
      <c r="AG791" s="60">
        <v>0</v>
      </c>
      <c r="AH791" s="60">
        <v>0</v>
      </c>
      <c r="AI791" s="60">
        <v>810.81</v>
      </c>
      <c r="AJ791" s="60">
        <v>808.37</v>
      </c>
      <c r="AK791" s="60">
        <v>1026.17</v>
      </c>
      <c r="AL791" s="60">
        <v>0</v>
      </c>
      <c r="AM791" s="60">
        <v>0</v>
      </c>
      <c r="AN791" s="60">
        <v>0</v>
      </c>
      <c r="AO791" s="60">
        <v>810.81</v>
      </c>
      <c r="AP791" s="60">
        <v>808.37</v>
      </c>
      <c r="AQ791" s="60">
        <v>1026.17</v>
      </c>
      <c r="AR791" s="61">
        <v>1026.17</v>
      </c>
    </row>
    <row r="792" spans="1:44" x14ac:dyDescent="0.35">
      <c r="A792" s="49" t="str">
        <f t="shared" si="66"/>
        <v>19</v>
      </c>
      <c r="B792" s="27">
        <v>75291</v>
      </c>
      <c r="C792" s="25" t="str">
        <f t="shared" si="67"/>
        <v>0000000</v>
      </c>
      <c r="D792" s="26" t="s">
        <v>3663</v>
      </c>
      <c r="E792" s="25" t="s">
        <v>1166</v>
      </c>
      <c r="F792" s="25" t="s">
        <v>902</v>
      </c>
      <c r="G792" s="59" t="s">
        <v>1167</v>
      </c>
      <c r="H792" s="60">
        <v>4283.34</v>
      </c>
      <c r="I792" s="60">
        <v>4356.1099999999997</v>
      </c>
      <c r="J792" s="60">
        <v>4784.26</v>
      </c>
      <c r="K792" s="60">
        <v>0</v>
      </c>
      <c r="L792" s="60">
        <v>0</v>
      </c>
      <c r="M792" s="60">
        <v>0</v>
      </c>
      <c r="N792" s="60">
        <v>0</v>
      </c>
      <c r="O792" s="60">
        <v>0</v>
      </c>
      <c r="P792" s="60">
        <v>0</v>
      </c>
      <c r="Q792" s="60">
        <v>0</v>
      </c>
      <c r="R792" s="60">
        <v>0</v>
      </c>
      <c r="S792" s="60">
        <v>0</v>
      </c>
      <c r="T792" s="60">
        <v>0</v>
      </c>
      <c r="U792" s="60">
        <v>0</v>
      </c>
      <c r="V792" s="60">
        <v>0</v>
      </c>
      <c r="W792" s="60">
        <v>0</v>
      </c>
      <c r="X792" s="60">
        <v>0</v>
      </c>
      <c r="Y792" s="60">
        <v>0</v>
      </c>
      <c r="Z792" s="60">
        <v>0</v>
      </c>
      <c r="AA792" s="60">
        <v>0</v>
      </c>
      <c r="AB792" s="60">
        <v>0</v>
      </c>
      <c r="AC792" s="60">
        <v>673.28</v>
      </c>
      <c r="AD792" s="60">
        <v>563.13</v>
      </c>
      <c r="AE792" s="60">
        <v>860.74</v>
      </c>
      <c r="AF792" s="60">
        <v>0</v>
      </c>
      <c r="AG792" s="60">
        <v>0</v>
      </c>
      <c r="AH792" s="60">
        <v>0</v>
      </c>
      <c r="AI792" s="60">
        <v>4956.62</v>
      </c>
      <c r="AJ792" s="60">
        <v>4919.24</v>
      </c>
      <c r="AK792" s="60">
        <v>5645</v>
      </c>
      <c r="AL792" s="60">
        <v>0</v>
      </c>
      <c r="AM792" s="60">
        <v>0</v>
      </c>
      <c r="AN792" s="60">
        <v>0</v>
      </c>
      <c r="AO792" s="60">
        <v>4956.62</v>
      </c>
      <c r="AP792" s="60">
        <v>4919.24</v>
      </c>
      <c r="AQ792" s="60">
        <v>5645</v>
      </c>
      <c r="AR792" s="61">
        <v>5645</v>
      </c>
    </row>
    <row r="793" spans="1:44" x14ac:dyDescent="0.35">
      <c r="A793" s="49" t="str">
        <f>TEXT(34,"00")</f>
        <v>34</v>
      </c>
      <c r="B793" s="27">
        <v>67314</v>
      </c>
      <c r="C793" s="25" t="str">
        <f t="shared" si="67"/>
        <v>0000000</v>
      </c>
      <c r="D793" s="26" t="s">
        <v>3663</v>
      </c>
      <c r="E793" s="25" t="s">
        <v>1793</v>
      </c>
      <c r="F793" s="25" t="s">
        <v>1794</v>
      </c>
      <c r="G793" s="59" t="s">
        <v>1794</v>
      </c>
      <c r="H793" s="60">
        <v>57218.42</v>
      </c>
      <c r="I793" s="60">
        <v>56181.93</v>
      </c>
      <c r="J793" s="60">
        <v>60769.41</v>
      </c>
      <c r="K793" s="60">
        <v>0</v>
      </c>
      <c r="L793" s="60">
        <v>0</v>
      </c>
      <c r="M793" s="60">
        <v>0</v>
      </c>
      <c r="N793" s="60">
        <v>0</v>
      </c>
      <c r="O793" s="60">
        <v>0</v>
      </c>
      <c r="P793" s="60">
        <v>0</v>
      </c>
      <c r="Q793" s="60">
        <v>0</v>
      </c>
      <c r="R793" s="60">
        <v>0</v>
      </c>
      <c r="S793" s="60">
        <v>0</v>
      </c>
      <c r="T793" s="60">
        <v>0</v>
      </c>
      <c r="U793" s="60">
        <v>0</v>
      </c>
      <c r="V793" s="60">
        <v>0</v>
      </c>
      <c r="W793" s="60">
        <v>0</v>
      </c>
      <c r="X793" s="60">
        <v>0</v>
      </c>
      <c r="Y793" s="60">
        <v>0</v>
      </c>
      <c r="Z793" s="60">
        <v>0</v>
      </c>
      <c r="AA793" s="60">
        <v>0</v>
      </c>
      <c r="AB793" s="60">
        <v>0</v>
      </c>
      <c r="AC793" s="60">
        <v>273.26</v>
      </c>
      <c r="AD793" s="60">
        <v>235.46</v>
      </c>
      <c r="AE793" s="60">
        <v>268.01</v>
      </c>
      <c r="AF793" s="60">
        <v>0</v>
      </c>
      <c r="AG793" s="60">
        <v>0</v>
      </c>
      <c r="AH793" s="60">
        <v>0</v>
      </c>
      <c r="AI793" s="60">
        <v>57491.68</v>
      </c>
      <c r="AJ793" s="60">
        <v>56417.39</v>
      </c>
      <c r="AK793" s="60">
        <v>61037.42</v>
      </c>
      <c r="AL793" s="60">
        <v>0</v>
      </c>
      <c r="AM793" s="60">
        <v>0</v>
      </c>
      <c r="AN793" s="60">
        <v>0</v>
      </c>
      <c r="AO793" s="60">
        <v>57491.68</v>
      </c>
      <c r="AP793" s="60">
        <v>56417.39</v>
      </c>
      <c r="AQ793" s="60">
        <v>61037.42</v>
      </c>
      <c r="AR793" s="61">
        <v>61037.42</v>
      </c>
    </row>
    <row r="794" spans="1:44" x14ac:dyDescent="0.35">
      <c r="A794" s="49" t="str">
        <f>TEXT(9,"00")</f>
        <v>09</v>
      </c>
      <c r="B794" s="27">
        <v>10090</v>
      </c>
      <c r="C794" s="25" t="str">
        <f t="shared" si="67"/>
        <v>0000000</v>
      </c>
      <c r="D794" s="26" t="s">
        <v>3663</v>
      </c>
      <c r="E794" s="25" t="s">
        <v>4</v>
      </c>
      <c r="F794" s="25" t="s">
        <v>5</v>
      </c>
      <c r="G794" s="59" t="s">
        <v>5</v>
      </c>
      <c r="H794" s="60">
        <v>0</v>
      </c>
      <c r="I794" s="60">
        <v>0</v>
      </c>
      <c r="J794" s="60">
        <v>0</v>
      </c>
      <c r="K794" s="60">
        <v>0</v>
      </c>
      <c r="L794" s="60">
        <v>0</v>
      </c>
      <c r="M794" s="60">
        <v>0</v>
      </c>
      <c r="N794" s="60">
        <v>0</v>
      </c>
      <c r="O794" s="60">
        <v>0</v>
      </c>
      <c r="P794" s="60">
        <v>0</v>
      </c>
      <c r="Q794" s="60">
        <v>0</v>
      </c>
      <c r="R794" s="60">
        <v>0</v>
      </c>
      <c r="S794" s="60">
        <v>0</v>
      </c>
      <c r="T794" s="60">
        <v>0</v>
      </c>
      <c r="U794" s="60">
        <v>0</v>
      </c>
      <c r="V794" s="60">
        <v>0</v>
      </c>
      <c r="W794" s="60">
        <v>0</v>
      </c>
      <c r="X794" s="60">
        <v>0</v>
      </c>
      <c r="Y794" s="60">
        <v>0</v>
      </c>
      <c r="Z794" s="60">
        <v>0</v>
      </c>
      <c r="AA794" s="60">
        <v>0</v>
      </c>
      <c r="AB794" s="60">
        <v>0</v>
      </c>
      <c r="AC794" s="60">
        <v>0</v>
      </c>
      <c r="AD794" s="60">
        <v>0</v>
      </c>
      <c r="AE794" s="60">
        <v>0</v>
      </c>
      <c r="AF794" s="60">
        <v>0</v>
      </c>
      <c r="AG794" s="60">
        <v>0</v>
      </c>
      <c r="AH794" s="60">
        <v>0</v>
      </c>
      <c r="AI794" s="60">
        <v>0</v>
      </c>
      <c r="AJ794" s="60">
        <v>0</v>
      </c>
      <c r="AK794" s="60">
        <v>0</v>
      </c>
      <c r="AL794" s="60">
        <v>0</v>
      </c>
      <c r="AM794" s="60">
        <v>0</v>
      </c>
      <c r="AN794" s="60">
        <v>0</v>
      </c>
      <c r="AO794" s="60">
        <v>0</v>
      </c>
      <c r="AP794" s="60">
        <v>0</v>
      </c>
      <c r="AQ794" s="60">
        <v>0</v>
      </c>
      <c r="AR794" s="61">
        <v>0</v>
      </c>
    </row>
    <row r="795" spans="1:44" x14ac:dyDescent="0.35">
      <c r="A795" s="49" t="str">
        <f t="shared" ref="A795:A804" si="68">TEXT(1,"00")</f>
        <v>01</v>
      </c>
      <c r="B795" s="27">
        <v>10017</v>
      </c>
      <c r="C795" s="25" t="str">
        <f>TEXT(112607,"0000000")</f>
        <v>0112607</v>
      </c>
      <c r="D795" s="26" t="s">
        <v>8</v>
      </c>
      <c r="E795" s="25" t="s">
        <v>6</v>
      </c>
      <c r="F795" s="25" t="s">
        <v>5</v>
      </c>
      <c r="G795" s="59" t="s">
        <v>7</v>
      </c>
      <c r="H795" s="60">
        <v>0</v>
      </c>
      <c r="I795" s="60">
        <v>0</v>
      </c>
      <c r="J795" s="60">
        <v>0</v>
      </c>
      <c r="K795" s="60">
        <v>0</v>
      </c>
      <c r="L795" s="60">
        <v>0</v>
      </c>
      <c r="M795" s="60">
        <v>0</v>
      </c>
      <c r="N795" s="60">
        <v>0</v>
      </c>
      <c r="O795" s="60">
        <v>0</v>
      </c>
      <c r="P795" s="60">
        <v>0</v>
      </c>
      <c r="Q795" s="60">
        <v>0</v>
      </c>
      <c r="R795" s="60">
        <v>0</v>
      </c>
      <c r="S795" s="60">
        <v>0</v>
      </c>
      <c r="T795" s="60">
        <v>0</v>
      </c>
      <c r="U795" s="60">
        <v>0</v>
      </c>
      <c r="V795" s="60">
        <v>0</v>
      </c>
      <c r="W795" s="60">
        <v>0</v>
      </c>
      <c r="X795" s="60">
        <v>0</v>
      </c>
      <c r="Y795" s="60">
        <v>0</v>
      </c>
      <c r="Z795" s="60">
        <v>0</v>
      </c>
      <c r="AA795" s="60">
        <v>0</v>
      </c>
      <c r="AB795" s="60">
        <v>0</v>
      </c>
      <c r="AC795" s="60">
        <v>231.45</v>
      </c>
      <c r="AD795" s="60">
        <v>350.54</v>
      </c>
      <c r="AE795" s="60">
        <v>388.58</v>
      </c>
      <c r="AF795" s="60">
        <v>0</v>
      </c>
      <c r="AG795" s="60">
        <v>0</v>
      </c>
      <c r="AH795" s="60">
        <v>0</v>
      </c>
      <c r="AI795" s="60">
        <v>231.45</v>
      </c>
      <c r="AJ795" s="60">
        <v>350.54</v>
      </c>
      <c r="AK795" s="60">
        <v>388.58</v>
      </c>
      <c r="AL795" s="60">
        <v>0</v>
      </c>
      <c r="AM795" s="60">
        <v>0</v>
      </c>
      <c r="AN795" s="60">
        <v>0</v>
      </c>
      <c r="AO795" s="60">
        <v>231.45</v>
      </c>
      <c r="AP795" s="60">
        <v>350.54</v>
      </c>
      <c r="AQ795" s="60">
        <v>388.58</v>
      </c>
      <c r="AR795" s="61">
        <v>388.58</v>
      </c>
    </row>
    <row r="796" spans="1:44" x14ac:dyDescent="0.35">
      <c r="A796" s="49" t="str">
        <f t="shared" si="68"/>
        <v>01</v>
      </c>
      <c r="B796" s="27">
        <v>10017</v>
      </c>
      <c r="C796" s="25" t="str">
        <f>TEXT(123968,"0000000")</f>
        <v>0123968</v>
      </c>
      <c r="D796" s="27">
        <v>1284</v>
      </c>
      <c r="E796" s="25" t="s">
        <v>9</v>
      </c>
      <c r="F796" s="25" t="s">
        <v>5</v>
      </c>
      <c r="G796" s="59" t="s">
        <v>10</v>
      </c>
      <c r="H796" s="60">
        <v>0</v>
      </c>
      <c r="I796" s="60">
        <v>0</v>
      </c>
      <c r="J796" s="60">
        <v>0</v>
      </c>
      <c r="K796" s="60">
        <v>0</v>
      </c>
      <c r="L796" s="60">
        <v>0</v>
      </c>
      <c r="M796" s="60">
        <v>0</v>
      </c>
      <c r="N796" s="60">
        <v>0</v>
      </c>
      <c r="O796" s="60">
        <v>0</v>
      </c>
      <c r="P796" s="60">
        <v>0</v>
      </c>
      <c r="Q796" s="60">
        <v>0</v>
      </c>
      <c r="R796" s="60">
        <v>0</v>
      </c>
      <c r="S796" s="60">
        <v>0</v>
      </c>
      <c r="T796" s="60">
        <v>0</v>
      </c>
      <c r="U796" s="60">
        <v>0</v>
      </c>
      <c r="V796" s="60">
        <v>0</v>
      </c>
      <c r="W796" s="60">
        <v>0</v>
      </c>
      <c r="X796" s="60">
        <v>0</v>
      </c>
      <c r="Y796" s="60">
        <v>0</v>
      </c>
      <c r="Z796" s="60">
        <v>0</v>
      </c>
      <c r="AA796" s="60">
        <v>0</v>
      </c>
      <c r="AB796" s="60">
        <v>0</v>
      </c>
      <c r="AC796" s="60">
        <v>166</v>
      </c>
      <c r="AD796" s="60">
        <v>171.4</v>
      </c>
      <c r="AE796" s="60">
        <v>244.89</v>
      </c>
      <c r="AF796" s="60">
        <v>0</v>
      </c>
      <c r="AG796" s="60">
        <v>0</v>
      </c>
      <c r="AH796" s="60">
        <v>0</v>
      </c>
      <c r="AI796" s="60">
        <v>166</v>
      </c>
      <c r="AJ796" s="60">
        <v>171.4</v>
      </c>
      <c r="AK796" s="60">
        <v>244.89</v>
      </c>
      <c r="AL796" s="60">
        <v>0</v>
      </c>
      <c r="AM796" s="60">
        <v>0</v>
      </c>
      <c r="AN796" s="60">
        <v>0</v>
      </c>
      <c r="AO796" s="60">
        <v>166</v>
      </c>
      <c r="AP796" s="60">
        <v>171.4</v>
      </c>
      <c r="AQ796" s="60">
        <v>244.89</v>
      </c>
      <c r="AR796" s="61">
        <v>244.89</v>
      </c>
    </row>
    <row r="797" spans="1:44" x14ac:dyDescent="0.35">
      <c r="A797" s="49" t="str">
        <f t="shared" si="68"/>
        <v>01</v>
      </c>
      <c r="B797" s="27">
        <v>10017</v>
      </c>
      <c r="C797" s="25" t="str">
        <f>TEXT(124172,"0000000")</f>
        <v>0124172</v>
      </c>
      <c r="D797" s="27">
        <v>1296</v>
      </c>
      <c r="E797" s="25" t="s">
        <v>11</v>
      </c>
      <c r="F797" s="25" t="s">
        <v>5</v>
      </c>
      <c r="G797" s="59" t="s">
        <v>12</v>
      </c>
      <c r="H797" s="60">
        <v>0</v>
      </c>
      <c r="I797" s="60">
        <v>0</v>
      </c>
      <c r="J797" s="60">
        <v>0</v>
      </c>
      <c r="K797" s="60">
        <v>0</v>
      </c>
      <c r="L797" s="60">
        <v>0</v>
      </c>
      <c r="M797" s="60">
        <v>0</v>
      </c>
      <c r="N797" s="60">
        <v>0</v>
      </c>
      <c r="O797" s="60">
        <v>0</v>
      </c>
      <c r="P797" s="60">
        <v>0</v>
      </c>
      <c r="Q797" s="60">
        <v>0</v>
      </c>
      <c r="R797" s="60">
        <v>0</v>
      </c>
      <c r="S797" s="60">
        <v>0</v>
      </c>
      <c r="T797" s="60">
        <v>0</v>
      </c>
      <c r="U797" s="60">
        <v>0</v>
      </c>
      <c r="V797" s="60">
        <v>0</v>
      </c>
      <c r="W797" s="60">
        <v>0</v>
      </c>
      <c r="X797" s="60">
        <v>0</v>
      </c>
      <c r="Y797" s="60">
        <v>0</v>
      </c>
      <c r="Z797" s="60">
        <v>741.66</v>
      </c>
      <c r="AA797" s="60">
        <v>652.87</v>
      </c>
      <c r="AB797" s="60">
        <v>530.6</v>
      </c>
      <c r="AC797" s="60">
        <v>0</v>
      </c>
      <c r="AD797" s="60">
        <v>0</v>
      </c>
      <c r="AE797" s="60">
        <v>0</v>
      </c>
      <c r="AF797" s="60">
        <v>0</v>
      </c>
      <c r="AG797" s="60">
        <v>0</v>
      </c>
      <c r="AH797" s="60">
        <v>0</v>
      </c>
      <c r="AI797" s="60">
        <v>741.66</v>
      </c>
      <c r="AJ797" s="60">
        <v>652.87</v>
      </c>
      <c r="AK797" s="60">
        <v>530.6</v>
      </c>
      <c r="AL797" s="60">
        <v>0</v>
      </c>
      <c r="AM797" s="60">
        <v>0</v>
      </c>
      <c r="AN797" s="60">
        <v>0</v>
      </c>
      <c r="AO797" s="60">
        <v>741.66</v>
      </c>
      <c r="AP797" s="60">
        <v>652.87</v>
      </c>
      <c r="AQ797" s="60">
        <v>530.6</v>
      </c>
      <c r="AR797" s="61">
        <v>741.66</v>
      </c>
    </row>
    <row r="798" spans="1:44" x14ac:dyDescent="0.35">
      <c r="A798" s="49" t="str">
        <f t="shared" si="68"/>
        <v>01</v>
      </c>
      <c r="B798" s="27">
        <v>10017</v>
      </c>
      <c r="C798" s="25" t="str">
        <f>TEXT(125567,"0000000")</f>
        <v>0125567</v>
      </c>
      <c r="D798" s="27">
        <v>1383</v>
      </c>
      <c r="E798" s="25" t="s">
        <v>13</v>
      </c>
      <c r="F798" s="25" t="s">
        <v>5</v>
      </c>
      <c r="G798" s="59" t="s">
        <v>14</v>
      </c>
      <c r="H798" s="60">
        <v>0</v>
      </c>
      <c r="I798" s="60">
        <v>0</v>
      </c>
      <c r="J798" s="60">
        <v>0</v>
      </c>
      <c r="K798" s="60">
        <v>0</v>
      </c>
      <c r="L798" s="60">
        <v>0</v>
      </c>
      <c r="M798" s="60">
        <v>0</v>
      </c>
      <c r="N798" s="60">
        <v>0</v>
      </c>
      <c r="O798" s="60">
        <v>0</v>
      </c>
      <c r="P798" s="60">
        <v>0</v>
      </c>
      <c r="Q798" s="60">
        <v>0</v>
      </c>
      <c r="R798" s="60">
        <v>0</v>
      </c>
      <c r="S798" s="60">
        <v>0</v>
      </c>
      <c r="T798" s="60">
        <v>0</v>
      </c>
      <c r="U798" s="60">
        <v>0</v>
      </c>
      <c r="V798" s="60">
        <v>0</v>
      </c>
      <c r="W798" s="60">
        <v>0</v>
      </c>
      <c r="X798" s="60">
        <v>0</v>
      </c>
      <c r="Y798" s="60">
        <v>0</v>
      </c>
      <c r="Z798" s="60">
        <v>0</v>
      </c>
      <c r="AA798" s="60">
        <v>0</v>
      </c>
      <c r="AB798" s="60">
        <v>0</v>
      </c>
      <c r="AC798" s="60">
        <v>296.20999999999998</v>
      </c>
      <c r="AD798" s="60">
        <v>314.52999999999997</v>
      </c>
      <c r="AE798" s="60">
        <v>376.2</v>
      </c>
      <c r="AF798" s="60">
        <v>0</v>
      </c>
      <c r="AG798" s="60">
        <v>0</v>
      </c>
      <c r="AH798" s="60">
        <v>0</v>
      </c>
      <c r="AI798" s="60">
        <v>296.20999999999998</v>
      </c>
      <c r="AJ798" s="60">
        <v>314.52999999999997</v>
      </c>
      <c r="AK798" s="60">
        <v>376.2</v>
      </c>
      <c r="AL798" s="60">
        <v>0</v>
      </c>
      <c r="AM798" s="60">
        <v>0</v>
      </c>
      <c r="AN798" s="60">
        <v>0</v>
      </c>
      <c r="AO798" s="60">
        <v>296.20999999999998</v>
      </c>
      <c r="AP798" s="60">
        <v>314.52999999999997</v>
      </c>
      <c r="AQ798" s="60">
        <v>376.2</v>
      </c>
      <c r="AR798" s="61">
        <v>376.2</v>
      </c>
    </row>
    <row r="799" spans="1:44" x14ac:dyDescent="0.35">
      <c r="A799" s="49" t="str">
        <f t="shared" si="68"/>
        <v>01</v>
      </c>
      <c r="B799" s="27">
        <v>10017</v>
      </c>
      <c r="C799" s="25" t="str">
        <f>TEXT(129403,"0000000")</f>
        <v>0129403</v>
      </c>
      <c r="D799" s="27">
        <v>1632</v>
      </c>
      <c r="E799" s="25" t="s">
        <v>15</v>
      </c>
      <c r="F799" s="25" t="s">
        <v>5</v>
      </c>
      <c r="G799" s="59" t="s">
        <v>16</v>
      </c>
      <c r="H799" s="60">
        <v>0</v>
      </c>
      <c r="I799" s="60">
        <v>0</v>
      </c>
      <c r="J799" s="60">
        <v>0</v>
      </c>
      <c r="K799" s="60">
        <v>0</v>
      </c>
      <c r="L799" s="60">
        <v>0</v>
      </c>
      <c r="M799" s="60">
        <v>0</v>
      </c>
      <c r="N799" s="60">
        <v>0</v>
      </c>
      <c r="O799" s="60">
        <v>0</v>
      </c>
      <c r="P799" s="60">
        <v>0</v>
      </c>
      <c r="Q799" s="60">
        <v>0</v>
      </c>
      <c r="R799" s="60">
        <v>0</v>
      </c>
      <c r="S799" s="60">
        <v>0</v>
      </c>
      <c r="T799" s="60">
        <v>0</v>
      </c>
      <c r="U799" s="60">
        <v>0</v>
      </c>
      <c r="V799" s="60">
        <v>0</v>
      </c>
      <c r="W799" s="60">
        <v>0</v>
      </c>
      <c r="X799" s="60">
        <v>0</v>
      </c>
      <c r="Y799" s="60">
        <v>0</v>
      </c>
      <c r="Z799" s="60">
        <v>0</v>
      </c>
      <c r="AA799" s="60">
        <v>0</v>
      </c>
      <c r="AB799" s="60">
        <v>0</v>
      </c>
      <c r="AC799" s="60">
        <v>0</v>
      </c>
      <c r="AD799" s="60">
        <v>0</v>
      </c>
      <c r="AE799" s="60">
        <v>0</v>
      </c>
      <c r="AF799" s="60">
        <v>0</v>
      </c>
      <c r="AG799" s="60">
        <v>0</v>
      </c>
      <c r="AH799" s="60">
        <v>0</v>
      </c>
      <c r="AI799" s="60">
        <v>0</v>
      </c>
      <c r="AJ799" s="60">
        <v>0</v>
      </c>
      <c r="AK799" s="60">
        <v>0</v>
      </c>
      <c r="AL799" s="60">
        <v>0</v>
      </c>
      <c r="AM799" s="60">
        <v>0</v>
      </c>
      <c r="AN799" s="60">
        <v>0</v>
      </c>
      <c r="AO799" s="60">
        <v>0</v>
      </c>
      <c r="AP799" s="60">
        <v>0</v>
      </c>
      <c r="AQ799" s="60">
        <v>0</v>
      </c>
      <c r="AR799" s="61">
        <v>0</v>
      </c>
    </row>
    <row r="800" spans="1:44" x14ac:dyDescent="0.35">
      <c r="A800" s="49" t="str">
        <f t="shared" si="68"/>
        <v>01</v>
      </c>
      <c r="B800" s="27">
        <v>10017</v>
      </c>
      <c r="C800" s="25" t="str">
        <f>TEXT(130625,"0000000")</f>
        <v>0130625</v>
      </c>
      <c r="D800" s="26" t="s">
        <v>19</v>
      </c>
      <c r="E800" s="25" t="s">
        <v>17</v>
      </c>
      <c r="F800" s="25" t="s">
        <v>5</v>
      </c>
      <c r="G800" s="59" t="s">
        <v>18</v>
      </c>
      <c r="H800" s="60">
        <v>0</v>
      </c>
      <c r="I800" s="60">
        <v>0</v>
      </c>
      <c r="J800" s="60">
        <v>0</v>
      </c>
      <c r="K800" s="60">
        <v>0</v>
      </c>
      <c r="L800" s="60">
        <v>0</v>
      </c>
      <c r="M800" s="60">
        <v>0</v>
      </c>
      <c r="N800" s="60">
        <v>0</v>
      </c>
      <c r="O800" s="60">
        <v>0</v>
      </c>
      <c r="P800" s="60">
        <v>0</v>
      </c>
      <c r="Q800" s="60">
        <v>0</v>
      </c>
      <c r="R800" s="60">
        <v>0</v>
      </c>
      <c r="S800" s="60">
        <v>0</v>
      </c>
      <c r="T800" s="60">
        <v>0</v>
      </c>
      <c r="U800" s="60">
        <v>0</v>
      </c>
      <c r="V800" s="60">
        <v>0</v>
      </c>
      <c r="W800" s="60">
        <v>0</v>
      </c>
      <c r="X800" s="60">
        <v>0</v>
      </c>
      <c r="Y800" s="60">
        <v>0</v>
      </c>
      <c r="Z800" s="60">
        <v>0</v>
      </c>
      <c r="AA800" s="60">
        <v>0</v>
      </c>
      <c r="AB800" s="60">
        <v>0</v>
      </c>
      <c r="AC800" s="60">
        <v>131.55000000000001</v>
      </c>
      <c r="AD800" s="60">
        <v>134.04</v>
      </c>
      <c r="AE800" s="60">
        <v>0</v>
      </c>
      <c r="AF800" s="60">
        <v>0</v>
      </c>
      <c r="AG800" s="60">
        <v>0</v>
      </c>
      <c r="AH800" s="60">
        <v>0</v>
      </c>
      <c r="AI800" s="60">
        <v>131.55000000000001</v>
      </c>
      <c r="AJ800" s="60">
        <v>134.04</v>
      </c>
      <c r="AK800" s="60">
        <v>0</v>
      </c>
      <c r="AL800" s="60">
        <v>0</v>
      </c>
      <c r="AM800" s="60">
        <v>0</v>
      </c>
      <c r="AN800" s="60">
        <v>0</v>
      </c>
      <c r="AO800" s="60">
        <v>131.55000000000001</v>
      </c>
      <c r="AP800" s="60">
        <v>134.04</v>
      </c>
      <c r="AQ800" s="60">
        <v>0</v>
      </c>
      <c r="AR800" s="61">
        <v>134.04</v>
      </c>
    </row>
    <row r="801" spans="1:44" x14ac:dyDescent="0.35">
      <c r="A801" s="49" t="str">
        <f t="shared" si="68"/>
        <v>01</v>
      </c>
      <c r="B801" s="27">
        <v>10017</v>
      </c>
      <c r="C801" s="25" t="str">
        <f>TEXT(136101,"0000000")</f>
        <v>0136101</v>
      </c>
      <c r="D801" s="27">
        <v>1881</v>
      </c>
      <c r="E801" s="25" t="s">
        <v>24</v>
      </c>
      <c r="F801" s="25" t="s">
        <v>5</v>
      </c>
      <c r="G801" s="59" t="s">
        <v>25</v>
      </c>
      <c r="H801" s="60">
        <v>0</v>
      </c>
      <c r="I801" s="60">
        <v>0</v>
      </c>
      <c r="J801" s="60">
        <v>0</v>
      </c>
      <c r="K801" s="60">
        <v>0</v>
      </c>
      <c r="L801" s="60">
        <v>0</v>
      </c>
      <c r="M801" s="60">
        <v>0</v>
      </c>
      <c r="N801" s="60">
        <v>0</v>
      </c>
      <c r="O801" s="60">
        <v>0</v>
      </c>
      <c r="P801" s="60">
        <v>0</v>
      </c>
      <c r="Q801" s="60">
        <v>0</v>
      </c>
      <c r="R801" s="60">
        <v>0</v>
      </c>
      <c r="S801" s="60">
        <v>0</v>
      </c>
      <c r="T801" s="60">
        <v>0</v>
      </c>
      <c r="U801" s="60">
        <v>0</v>
      </c>
      <c r="V801" s="60">
        <v>0</v>
      </c>
      <c r="W801" s="60">
        <v>0</v>
      </c>
      <c r="X801" s="60">
        <v>0</v>
      </c>
      <c r="Y801" s="60">
        <v>0</v>
      </c>
      <c r="Z801" s="60">
        <v>0</v>
      </c>
      <c r="AA801" s="60">
        <v>0</v>
      </c>
      <c r="AB801" s="60">
        <v>0</v>
      </c>
      <c r="AC801" s="60">
        <v>497.62</v>
      </c>
      <c r="AD801" s="60">
        <v>505.98</v>
      </c>
      <c r="AE801" s="60">
        <v>422.04</v>
      </c>
      <c r="AF801" s="60">
        <v>0</v>
      </c>
      <c r="AG801" s="60">
        <v>0</v>
      </c>
      <c r="AH801" s="60">
        <v>0</v>
      </c>
      <c r="AI801" s="60">
        <v>497.62</v>
      </c>
      <c r="AJ801" s="60">
        <v>505.98</v>
      </c>
      <c r="AK801" s="60">
        <v>422.04</v>
      </c>
      <c r="AL801" s="60">
        <v>0</v>
      </c>
      <c r="AM801" s="60">
        <v>0</v>
      </c>
      <c r="AN801" s="60">
        <v>0</v>
      </c>
      <c r="AO801" s="60">
        <v>497.62</v>
      </c>
      <c r="AP801" s="60">
        <v>505.98</v>
      </c>
      <c r="AQ801" s="60">
        <v>422.04</v>
      </c>
      <c r="AR801" s="61">
        <v>505.98</v>
      </c>
    </row>
    <row r="802" spans="1:44" x14ac:dyDescent="0.35">
      <c r="A802" s="49" t="str">
        <f t="shared" si="68"/>
        <v>01</v>
      </c>
      <c r="B802" s="27">
        <v>10017</v>
      </c>
      <c r="C802" s="25" t="str">
        <f>TEXT(137448,"0000000")</f>
        <v>0137448</v>
      </c>
      <c r="D802" s="27">
        <v>1908</v>
      </c>
      <c r="E802" s="25" t="s">
        <v>26</v>
      </c>
      <c r="F802" s="25" t="s">
        <v>5</v>
      </c>
      <c r="G802" s="59" t="s">
        <v>27</v>
      </c>
      <c r="H802" s="60">
        <v>0</v>
      </c>
      <c r="I802" s="60">
        <v>0</v>
      </c>
      <c r="J802" s="60">
        <v>0</v>
      </c>
      <c r="K802" s="60">
        <v>0</v>
      </c>
      <c r="L802" s="60">
        <v>0</v>
      </c>
      <c r="M802" s="60">
        <v>0</v>
      </c>
      <c r="N802" s="60">
        <v>0</v>
      </c>
      <c r="O802" s="60">
        <v>0</v>
      </c>
      <c r="P802" s="60">
        <v>0</v>
      </c>
      <c r="Q802" s="60">
        <v>0</v>
      </c>
      <c r="R802" s="60">
        <v>0</v>
      </c>
      <c r="S802" s="60">
        <v>0</v>
      </c>
      <c r="T802" s="60">
        <v>0</v>
      </c>
      <c r="U802" s="60">
        <v>0</v>
      </c>
      <c r="V802" s="60">
        <v>0</v>
      </c>
      <c r="W802" s="60">
        <v>0</v>
      </c>
      <c r="X802" s="60">
        <v>0</v>
      </c>
      <c r="Y802" s="60">
        <v>0</v>
      </c>
      <c r="Z802" s="60">
        <v>0</v>
      </c>
      <c r="AA802" s="60">
        <v>0</v>
      </c>
      <c r="AB802" s="60">
        <v>0</v>
      </c>
      <c r="AC802" s="60">
        <v>129.88</v>
      </c>
      <c r="AD802" s="60">
        <v>152.25</v>
      </c>
      <c r="AE802" s="60">
        <v>181.5</v>
      </c>
      <c r="AF802" s="60">
        <v>0</v>
      </c>
      <c r="AG802" s="60">
        <v>0</v>
      </c>
      <c r="AH802" s="60">
        <v>0</v>
      </c>
      <c r="AI802" s="60">
        <v>129.88</v>
      </c>
      <c r="AJ802" s="60">
        <v>152.25</v>
      </c>
      <c r="AK802" s="60">
        <v>181.5</v>
      </c>
      <c r="AL802" s="60">
        <v>0</v>
      </c>
      <c r="AM802" s="60">
        <v>0</v>
      </c>
      <c r="AN802" s="60">
        <v>0</v>
      </c>
      <c r="AO802" s="60">
        <v>129.88</v>
      </c>
      <c r="AP802" s="60">
        <v>152.25</v>
      </c>
      <c r="AQ802" s="60">
        <v>181.5</v>
      </c>
      <c r="AR802" s="61">
        <v>181.5</v>
      </c>
    </row>
    <row r="803" spans="1:44" x14ac:dyDescent="0.35">
      <c r="A803" s="49" t="str">
        <f t="shared" si="68"/>
        <v>01</v>
      </c>
      <c r="B803" s="27">
        <v>10017</v>
      </c>
      <c r="C803" s="25" t="str">
        <f>TEXT(138867,"0000000")</f>
        <v>0138867</v>
      </c>
      <c r="D803" s="27">
        <v>2027</v>
      </c>
      <c r="E803" s="25" t="s">
        <v>28</v>
      </c>
      <c r="F803" s="25" t="s">
        <v>5</v>
      </c>
      <c r="G803" s="59" t="s">
        <v>29</v>
      </c>
      <c r="H803" s="60">
        <v>0</v>
      </c>
      <c r="I803" s="60">
        <v>0</v>
      </c>
      <c r="J803" s="60">
        <v>0</v>
      </c>
      <c r="K803" s="60">
        <v>0</v>
      </c>
      <c r="L803" s="60">
        <v>0</v>
      </c>
      <c r="M803" s="60">
        <v>0</v>
      </c>
      <c r="N803" s="60">
        <v>0</v>
      </c>
      <c r="O803" s="60">
        <v>0</v>
      </c>
      <c r="P803" s="60">
        <v>0</v>
      </c>
      <c r="Q803" s="60">
        <v>0</v>
      </c>
      <c r="R803" s="60">
        <v>0</v>
      </c>
      <c r="S803" s="60">
        <v>0</v>
      </c>
      <c r="T803" s="60">
        <v>0</v>
      </c>
      <c r="U803" s="60">
        <v>0</v>
      </c>
      <c r="V803" s="60">
        <v>0</v>
      </c>
      <c r="W803" s="60">
        <v>0</v>
      </c>
      <c r="X803" s="60">
        <v>0</v>
      </c>
      <c r="Y803" s="60">
        <v>0</v>
      </c>
      <c r="Z803" s="60">
        <v>0</v>
      </c>
      <c r="AA803" s="60">
        <v>0</v>
      </c>
      <c r="AB803" s="60">
        <v>0</v>
      </c>
      <c r="AC803" s="60">
        <v>141.15</v>
      </c>
      <c r="AD803" s="60">
        <v>133.15</v>
      </c>
      <c r="AE803" s="60">
        <v>108.9</v>
      </c>
      <c r="AF803" s="60">
        <v>0</v>
      </c>
      <c r="AG803" s="60">
        <v>0</v>
      </c>
      <c r="AH803" s="60">
        <v>0</v>
      </c>
      <c r="AI803" s="60">
        <v>141.15</v>
      </c>
      <c r="AJ803" s="60">
        <v>133.15</v>
      </c>
      <c r="AK803" s="60">
        <v>108.9</v>
      </c>
      <c r="AL803" s="60">
        <v>0</v>
      </c>
      <c r="AM803" s="60">
        <v>0</v>
      </c>
      <c r="AN803" s="60">
        <v>0</v>
      </c>
      <c r="AO803" s="60">
        <v>141.15</v>
      </c>
      <c r="AP803" s="60">
        <v>133.15</v>
      </c>
      <c r="AQ803" s="60">
        <v>108.9</v>
      </c>
      <c r="AR803" s="61">
        <v>141.15</v>
      </c>
    </row>
    <row r="804" spans="1:44" x14ac:dyDescent="0.35">
      <c r="A804" s="49" t="str">
        <f t="shared" si="68"/>
        <v>01</v>
      </c>
      <c r="B804" s="27">
        <v>10017</v>
      </c>
      <c r="C804" s="25" t="str">
        <f>TEXT(6001788,"0000000")</f>
        <v>6001788</v>
      </c>
      <c r="D804" s="26" t="s">
        <v>32</v>
      </c>
      <c r="E804" s="25" t="s">
        <v>30</v>
      </c>
      <c r="F804" s="25" t="s">
        <v>5</v>
      </c>
      <c r="G804" s="59" t="s">
        <v>31</v>
      </c>
      <c r="H804" s="60">
        <v>0</v>
      </c>
      <c r="I804" s="60">
        <v>0</v>
      </c>
      <c r="J804" s="60">
        <v>0</v>
      </c>
      <c r="K804" s="60">
        <v>0</v>
      </c>
      <c r="L804" s="60">
        <v>0</v>
      </c>
      <c r="M804" s="60">
        <v>0</v>
      </c>
      <c r="N804" s="60">
        <v>0</v>
      </c>
      <c r="O804" s="60">
        <v>0</v>
      </c>
      <c r="P804" s="60">
        <v>0</v>
      </c>
      <c r="Q804" s="60">
        <v>0</v>
      </c>
      <c r="R804" s="60">
        <v>0</v>
      </c>
      <c r="S804" s="60">
        <v>0</v>
      </c>
      <c r="T804" s="60">
        <v>0</v>
      </c>
      <c r="U804" s="60">
        <v>0</v>
      </c>
      <c r="V804" s="60">
        <v>0</v>
      </c>
      <c r="W804" s="60">
        <v>0</v>
      </c>
      <c r="X804" s="60">
        <v>0</v>
      </c>
      <c r="Y804" s="60">
        <v>0</v>
      </c>
      <c r="Z804" s="60">
        <v>0</v>
      </c>
      <c r="AA804" s="60">
        <v>0</v>
      </c>
      <c r="AB804" s="60">
        <v>0</v>
      </c>
      <c r="AC804" s="60">
        <v>446.03</v>
      </c>
      <c r="AD804" s="60">
        <v>460.09</v>
      </c>
      <c r="AE804" s="60">
        <v>557.44000000000005</v>
      </c>
      <c r="AF804" s="60">
        <v>0</v>
      </c>
      <c r="AG804" s="60">
        <v>0</v>
      </c>
      <c r="AH804" s="60">
        <v>0</v>
      </c>
      <c r="AI804" s="60">
        <v>446.03</v>
      </c>
      <c r="AJ804" s="60">
        <v>460.09</v>
      </c>
      <c r="AK804" s="60">
        <v>557.44000000000005</v>
      </c>
      <c r="AL804" s="60">
        <v>0</v>
      </c>
      <c r="AM804" s="60">
        <v>0</v>
      </c>
      <c r="AN804" s="60">
        <v>0</v>
      </c>
      <c r="AO804" s="60">
        <v>446.03</v>
      </c>
      <c r="AP804" s="60">
        <v>460.09</v>
      </c>
      <c r="AQ804" s="60">
        <v>557.44000000000005</v>
      </c>
      <c r="AR804" s="61">
        <v>557.44000000000005</v>
      </c>
    </row>
    <row r="805" spans="1:44" x14ac:dyDescent="0.35">
      <c r="A805" s="49" t="str">
        <f t="shared" ref="A805:A814" si="69">TEXT(19,"00")</f>
        <v>19</v>
      </c>
      <c r="B805" s="27">
        <v>10199</v>
      </c>
      <c r="C805" s="25" t="str">
        <f>TEXT(132605,"0000000")</f>
        <v>0132605</v>
      </c>
      <c r="D805" s="27">
        <v>1744</v>
      </c>
      <c r="E805" s="25" t="s">
        <v>853</v>
      </c>
      <c r="F805" s="25" t="s">
        <v>5</v>
      </c>
      <c r="G805" s="59" t="s">
        <v>854</v>
      </c>
      <c r="H805" s="60">
        <v>0</v>
      </c>
      <c r="I805" s="60">
        <v>0</v>
      </c>
      <c r="J805" s="60">
        <v>0</v>
      </c>
      <c r="K805" s="60">
        <v>0</v>
      </c>
      <c r="L805" s="60">
        <v>0</v>
      </c>
      <c r="M805" s="60">
        <v>0</v>
      </c>
      <c r="N805" s="60">
        <v>0</v>
      </c>
      <c r="O805" s="60">
        <v>0</v>
      </c>
      <c r="P805" s="60">
        <v>0</v>
      </c>
      <c r="Q805" s="60">
        <v>0</v>
      </c>
      <c r="R805" s="60">
        <v>0</v>
      </c>
      <c r="S805" s="60">
        <v>0</v>
      </c>
      <c r="T805" s="60">
        <v>0</v>
      </c>
      <c r="U805" s="60">
        <v>0</v>
      </c>
      <c r="V805" s="60">
        <v>0</v>
      </c>
      <c r="W805" s="60">
        <v>0</v>
      </c>
      <c r="X805" s="60">
        <v>0</v>
      </c>
      <c r="Y805" s="60">
        <v>0</v>
      </c>
      <c r="Z805" s="60">
        <v>0</v>
      </c>
      <c r="AA805" s="60">
        <v>0</v>
      </c>
      <c r="AB805" s="60">
        <v>0</v>
      </c>
      <c r="AC805" s="60">
        <v>105.98</v>
      </c>
      <c r="AD805" s="60">
        <v>115.87</v>
      </c>
      <c r="AE805" s="60">
        <v>182.41</v>
      </c>
      <c r="AF805" s="60">
        <v>0</v>
      </c>
      <c r="AG805" s="60">
        <v>0</v>
      </c>
      <c r="AH805" s="60">
        <v>0</v>
      </c>
      <c r="AI805" s="60">
        <v>105.98</v>
      </c>
      <c r="AJ805" s="60">
        <v>115.87</v>
      </c>
      <c r="AK805" s="60">
        <v>182.41</v>
      </c>
      <c r="AL805" s="60">
        <v>0</v>
      </c>
      <c r="AM805" s="60">
        <v>0</v>
      </c>
      <c r="AN805" s="60">
        <v>0</v>
      </c>
      <c r="AO805" s="60">
        <v>105.98</v>
      </c>
      <c r="AP805" s="60">
        <v>115.87</v>
      </c>
      <c r="AQ805" s="60">
        <v>182.41</v>
      </c>
      <c r="AR805" s="61">
        <v>182.41</v>
      </c>
    </row>
    <row r="806" spans="1:44" x14ac:dyDescent="0.35">
      <c r="A806" s="49" t="str">
        <f t="shared" si="69"/>
        <v>19</v>
      </c>
      <c r="B806" s="27">
        <v>10199</v>
      </c>
      <c r="C806" s="25" t="str">
        <f>TEXT(135368,"0000000")</f>
        <v>0135368</v>
      </c>
      <c r="D806" s="27">
        <v>1859</v>
      </c>
      <c r="E806" s="25" t="s">
        <v>859</v>
      </c>
      <c r="F806" s="25" t="s">
        <v>5</v>
      </c>
      <c r="G806" s="59" t="s">
        <v>860</v>
      </c>
      <c r="H806" s="60">
        <v>0</v>
      </c>
      <c r="I806" s="60">
        <v>0</v>
      </c>
      <c r="J806" s="60">
        <v>0</v>
      </c>
      <c r="K806" s="60">
        <v>0</v>
      </c>
      <c r="L806" s="60">
        <v>0</v>
      </c>
      <c r="M806" s="60">
        <v>0</v>
      </c>
      <c r="N806" s="60">
        <v>0</v>
      </c>
      <c r="O806" s="60">
        <v>0</v>
      </c>
      <c r="P806" s="60">
        <v>0</v>
      </c>
      <c r="Q806" s="60">
        <v>0</v>
      </c>
      <c r="R806" s="60">
        <v>0</v>
      </c>
      <c r="S806" s="60">
        <v>0</v>
      </c>
      <c r="T806" s="60">
        <v>0</v>
      </c>
      <c r="U806" s="60">
        <v>0</v>
      </c>
      <c r="V806" s="60">
        <v>0</v>
      </c>
      <c r="W806" s="60">
        <v>0</v>
      </c>
      <c r="X806" s="60">
        <v>0</v>
      </c>
      <c r="Y806" s="60">
        <v>0</v>
      </c>
      <c r="Z806" s="60">
        <v>0</v>
      </c>
      <c r="AA806" s="60">
        <v>0</v>
      </c>
      <c r="AB806" s="60">
        <v>0</v>
      </c>
      <c r="AC806" s="60">
        <v>139.13999999999999</v>
      </c>
      <c r="AD806" s="60">
        <v>110.27</v>
      </c>
      <c r="AE806" s="60">
        <v>95.5</v>
      </c>
      <c r="AF806" s="60">
        <v>0</v>
      </c>
      <c r="AG806" s="60">
        <v>0</v>
      </c>
      <c r="AH806" s="60">
        <v>0</v>
      </c>
      <c r="AI806" s="60">
        <v>139.13999999999999</v>
      </c>
      <c r="AJ806" s="60">
        <v>110.27</v>
      </c>
      <c r="AK806" s="60">
        <v>95.5</v>
      </c>
      <c r="AL806" s="60">
        <v>0</v>
      </c>
      <c r="AM806" s="60">
        <v>0</v>
      </c>
      <c r="AN806" s="60">
        <v>0</v>
      </c>
      <c r="AO806" s="60">
        <v>139.13999999999999</v>
      </c>
      <c r="AP806" s="60">
        <v>110.27</v>
      </c>
      <c r="AQ806" s="60">
        <v>95.5</v>
      </c>
      <c r="AR806" s="61">
        <v>139.13999999999999</v>
      </c>
    </row>
    <row r="807" spans="1:44" x14ac:dyDescent="0.35">
      <c r="A807" s="49" t="str">
        <f t="shared" si="69"/>
        <v>19</v>
      </c>
      <c r="B807" s="27">
        <v>10199</v>
      </c>
      <c r="C807" s="25" t="str">
        <f>TEXT(136119,"0000000")</f>
        <v>0136119</v>
      </c>
      <c r="D807" s="27">
        <v>1874</v>
      </c>
      <c r="E807" s="25" t="s">
        <v>863</v>
      </c>
      <c r="F807" s="25" t="s">
        <v>5</v>
      </c>
      <c r="G807" s="59" t="s">
        <v>864</v>
      </c>
      <c r="H807" s="60">
        <v>0</v>
      </c>
      <c r="I807" s="60">
        <v>0</v>
      </c>
      <c r="J807" s="60">
        <v>0</v>
      </c>
      <c r="K807" s="60">
        <v>0</v>
      </c>
      <c r="L807" s="60">
        <v>0</v>
      </c>
      <c r="M807" s="60">
        <v>0</v>
      </c>
      <c r="N807" s="60">
        <v>0</v>
      </c>
      <c r="O807" s="60">
        <v>0</v>
      </c>
      <c r="P807" s="60">
        <v>0</v>
      </c>
      <c r="Q807" s="60">
        <v>0</v>
      </c>
      <c r="R807" s="60">
        <v>0</v>
      </c>
      <c r="S807" s="60">
        <v>0</v>
      </c>
      <c r="T807" s="60">
        <v>0</v>
      </c>
      <c r="U807" s="60">
        <v>0</v>
      </c>
      <c r="V807" s="60">
        <v>0</v>
      </c>
      <c r="W807" s="60">
        <v>0</v>
      </c>
      <c r="X807" s="60">
        <v>0</v>
      </c>
      <c r="Y807" s="60">
        <v>0</v>
      </c>
      <c r="Z807" s="60">
        <v>0</v>
      </c>
      <c r="AA807" s="60">
        <v>0</v>
      </c>
      <c r="AB807" s="60">
        <v>0</v>
      </c>
      <c r="AC807" s="60">
        <v>283.14</v>
      </c>
      <c r="AD807" s="60">
        <v>294.02999999999997</v>
      </c>
      <c r="AE807" s="60">
        <v>331.8</v>
      </c>
      <c r="AF807" s="60">
        <v>0</v>
      </c>
      <c r="AG807" s="60">
        <v>0</v>
      </c>
      <c r="AH807" s="60">
        <v>0</v>
      </c>
      <c r="AI807" s="60">
        <v>283.14</v>
      </c>
      <c r="AJ807" s="60">
        <v>294.02999999999997</v>
      </c>
      <c r="AK807" s="60">
        <v>331.8</v>
      </c>
      <c r="AL807" s="60">
        <v>0</v>
      </c>
      <c r="AM807" s="60">
        <v>0</v>
      </c>
      <c r="AN807" s="60">
        <v>0</v>
      </c>
      <c r="AO807" s="60">
        <v>283.14</v>
      </c>
      <c r="AP807" s="60">
        <v>294.02999999999997</v>
      </c>
      <c r="AQ807" s="60">
        <v>331.8</v>
      </c>
      <c r="AR807" s="61">
        <v>331.8</v>
      </c>
    </row>
    <row r="808" spans="1:44" x14ac:dyDescent="0.35">
      <c r="A808" s="49" t="str">
        <f t="shared" si="69"/>
        <v>19</v>
      </c>
      <c r="B808" s="27">
        <v>10199</v>
      </c>
      <c r="C808" s="25" t="str">
        <f>TEXT(137679,"0000000")</f>
        <v>0137679</v>
      </c>
      <c r="D808" s="26" t="s">
        <v>869</v>
      </c>
      <c r="E808" s="25" t="s">
        <v>867</v>
      </c>
      <c r="F808" s="25" t="s">
        <v>5</v>
      </c>
      <c r="G808" s="59" t="s">
        <v>868</v>
      </c>
      <c r="H808" s="60">
        <v>0</v>
      </c>
      <c r="I808" s="60">
        <v>0</v>
      </c>
      <c r="J808" s="60">
        <v>0</v>
      </c>
      <c r="K808" s="60">
        <v>0</v>
      </c>
      <c r="L808" s="60">
        <v>0</v>
      </c>
      <c r="M808" s="60">
        <v>0</v>
      </c>
      <c r="N808" s="60">
        <v>0</v>
      </c>
      <c r="O808" s="60">
        <v>0</v>
      </c>
      <c r="P808" s="60">
        <v>0</v>
      </c>
      <c r="Q808" s="60">
        <v>0</v>
      </c>
      <c r="R808" s="60">
        <v>0</v>
      </c>
      <c r="S808" s="60">
        <v>0</v>
      </c>
      <c r="T808" s="60">
        <v>0</v>
      </c>
      <c r="U808" s="60">
        <v>0</v>
      </c>
      <c r="V808" s="60">
        <v>0</v>
      </c>
      <c r="W808" s="60">
        <v>0</v>
      </c>
      <c r="X808" s="60">
        <v>0</v>
      </c>
      <c r="Y808" s="60">
        <v>0</v>
      </c>
      <c r="Z808" s="60">
        <v>0</v>
      </c>
      <c r="AA808" s="60">
        <v>0</v>
      </c>
      <c r="AB808" s="60">
        <v>0</v>
      </c>
      <c r="AC808" s="60">
        <v>211.94</v>
      </c>
      <c r="AD808" s="60">
        <v>220.08</v>
      </c>
      <c r="AE808" s="60">
        <v>274.89999999999998</v>
      </c>
      <c r="AF808" s="60">
        <v>0</v>
      </c>
      <c r="AG808" s="60">
        <v>0</v>
      </c>
      <c r="AH808" s="60">
        <v>0</v>
      </c>
      <c r="AI808" s="60">
        <v>211.94</v>
      </c>
      <c r="AJ808" s="60">
        <v>220.08</v>
      </c>
      <c r="AK808" s="60">
        <v>274.89999999999998</v>
      </c>
      <c r="AL808" s="60">
        <v>0</v>
      </c>
      <c r="AM808" s="60">
        <v>0</v>
      </c>
      <c r="AN808" s="60">
        <v>0</v>
      </c>
      <c r="AO808" s="60">
        <v>211.94</v>
      </c>
      <c r="AP808" s="60">
        <v>220.08</v>
      </c>
      <c r="AQ808" s="60">
        <v>274.89999999999998</v>
      </c>
      <c r="AR808" s="61">
        <v>274.89999999999998</v>
      </c>
    </row>
    <row r="809" spans="1:44" x14ac:dyDescent="0.35">
      <c r="A809" s="49" t="str">
        <f t="shared" si="69"/>
        <v>19</v>
      </c>
      <c r="B809" s="27">
        <v>10199</v>
      </c>
      <c r="C809" s="25" t="str">
        <f>TEXT(140681,"0000000")</f>
        <v>0140681</v>
      </c>
      <c r="D809" s="27">
        <v>2098</v>
      </c>
      <c r="E809" s="25" t="s">
        <v>876</v>
      </c>
      <c r="F809" s="25" t="s">
        <v>5</v>
      </c>
      <c r="G809" s="59" t="s">
        <v>877</v>
      </c>
      <c r="H809" s="60">
        <v>0</v>
      </c>
      <c r="I809" s="60">
        <v>0</v>
      </c>
      <c r="J809" s="60">
        <v>0</v>
      </c>
      <c r="K809" s="60">
        <v>0</v>
      </c>
      <c r="L809" s="60">
        <v>0</v>
      </c>
      <c r="M809" s="60">
        <v>0</v>
      </c>
      <c r="N809" s="60">
        <v>0</v>
      </c>
      <c r="O809" s="60">
        <v>0</v>
      </c>
      <c r="P809" s="60">
        <v>0</v>
      </c>
      <c r="Q809" s="60">
        <v>0</v>
      </c>
      <c r="R809" s="60">
        <v>0</v>
      </c>
      <c r="S809" s="60">
        <v>0</v>
      </c>
      <c r="T809" s="60">
        <v>0</v>
      </c>
      <c r="U809" s="60">
        <v>0</v>
      </c>
      <c r="V809" s="60">
        <v>0</v>
      </c>
      <c r="W809" s="60">
        <v>0</v>
      </c>
      <c r="X809" s="60">
        <v>0</v>
      </c>
      <c r="Y809" s="60">
        <v>0</v>
      </c>
      <c r="Z809" s="60">
        <v>0</v>
      </c>
      <c r="AA809" s="60">
        <v>0</v>
      </c>
      <c r="AB809" s="60">
        <v>0</v>
      </c>
      <c r="AC809" s="60">
        <v>204.17</v>
      </c>
      <c r="AD809" s="60">
        <v>107.62</v>
      </c>
      <c r="AE809" s="60">
        <v>0</v>
      </c>
      <c r="AF809" s="60">
        <v>0</v>
      </c>
      <c r="AG809" s="60">
        <v>0</v>
      </c>
      <c r="AH809" s="60">
        <v>0</v>
      </c>
      <c r="AI809" s="60">
        <v>204.17</v>
      </c>
      <c r="AJ809" s="60">
        <v>107.62</v>
      </c>
      <c r="AK809" s="60">
        <v>0</v>
      </c>
      <c r="AL809" s="60">
        <v>0</v>
      </c>
      <c r="AM809" s="60">
        <v>0</v>
      </c>
      <c r="AN809" s="60">
        <v>0</v>
      </c>
      <c r="AO809" s="60">
        <v>204.17</v>
      </c>
      <c r="AP809" s="60">
        <v>107.62</v>
      </c>
      <c r="AQ809" s="60">
        <v>0</v>
      </c>
      <c r="AR809" s="61">
        <v>204.17</v>
      </c>
    </row>
    <row r="810" spans="1:44" x14ac:dyDescent="0.35">
      <c r="A810" s="49" t="str">
        <f t="shared" si="69"/>
        <v>19</v>
      </c>
      <c r="B810" s="27">
        <v>10199</v>
      </c>
      <c r="C810" s="25" t="str">
        <f>TEXT(140772,"0000000")</f>
        <v>0140772</v>
      </c>
      <c r="D810" s="27">
        <v>2112</v>
      </c>
      <c r="E810" s="25" t="s">
        <v>880</v>
      </c>
      <c r="F810" s="25" t="s">
        <v>5</v>
      </c>
      <c r="G810" s="59" t="s">
        <v>881</v>
      </c>
      <c r="H810" s="60">
        <v>0</v>
      </c>
      <c r="I810" s="60">
        <v>0</v>
      </c>
      <c r="J810" s="60">
        <v>0</v>
      </c>
      <c r="K810" s="60">
        <v>0</v>
      </c>
      <c r="L810" s="60">
        <v>0</v>
      </c>
      <c r="M810" s="60">
        <v>0</v>
      </c>
      <c r="N810" s="60">
        <v>0</v>
      </c>
      <c r="O810" s="60">
        <v>0</v>
      </c>
      <c r="P810" s="60">
        <v>0</v>
      </c>
      <c r="Q810" s="60">
        <v>0</v>
      </c>
      <c r="R810" s="60">
        <v>0</v>
      </c>
      <c r="S810" s="60">
        <v>0</v>
      </c>
      <c r="T810" s="60">
        <v>0</v>
      </c>
      <c r="U810" s="60">
        <v>0</v>
      </c>
      <c r="V810" s="60">
        <v>0</v>
      </c>
      <c r="W810" s="60">
        <v>0</v>
      </c>
      <c r="X810" s="60">
        <v>0</v>
      </c>
      <c r="Y810" s="60">
        <v>0</v>
      </c>
      <c r="Z810" s="60">
        <v>0</v>
      </c>
      <c r="AA810" s="60">
        <v>0</v>
      </c>
      <c r="AB810" s="60">
        <v>0</v>
      </c>
      <c r="AC810" s="60">
        <v>136.76</v>
      </c>
      <c r="AD810" s="60">
        <v>90.82</v>
      </c>
      <c r="AE810" s="60">
        <v>0</v>
      </c>
      <c r="AF810" s="60">
        <v>0</v>
      </c>
      <c r="AG810" s="60">
        <v>0</v>
      </c>
      <c r="AH810" s="60">
        <v>0</v>
      </c>
      <c r="AI810" s="60">
        <v>136.76</v>
      </c>
      <c r="AJ810" s="60">
        <v>90.82</v>
      </c>
      <c r="AK810" s="60">
        <v>0</v>
      </c>
      <c r="AL810" s="60">
        <v>0</v>
      </c>
      <c r="AM810" s="60">
        <v>0</v>
      </c>
      <c r="AN810" s="60">
        <v>0</v>
      </c>
      <c r="AO810" s="60">
        <v>136.76</v>
      </c>
      <c r="AP810" s="60">
        <v>90.82</v>
      </c>
      <c r="AQ810" s="60">
        <v>0</v>
      </c>
      <c r="AR810" s="61">
        <v>136.76</v>
      </c>
    </row>
    <row r="811" spans="1:44" x14ac:dyDescent="0.35">
      <c r="A811" s="49" t="str">
        <f t="shared" si="69"/>
        <v>19</v>
      </c>
      <c r="B811" s="27">
        <v>10199</v>
      </c>
      <c r="C811" s="25" t="str">
        <f>TEXT(6119945,"0000000")</f>
        <v>6119945</v>
      </c>
      <c r="D811" s="26" t="s">
        <v>891</v>
      </c>
      <c r="E811" s="25" t="s">
        <v>889</v>
      </c>
      <c r="F811" s="25" t="s">
        <v>5</v>
      </c>
      <c r="G811" s="59" t="s">
        <v>890</v>
      </c>
      <c r="H811" s="60">
        <v>0</v>
      </c>
      <c r="I811" s="60">
        <v>0</v>
      </c>
      <c r="J811" s="60">
        <v>0</v>
      </c>
      <c r="K811" s="60">
        <v>0</v>
      </c>
      <c r="L811" s="60">
        <v>0</v>
      </c>
      <c r="M811" s="60">
        <v>0</v>
      </c>
      <c r="N811" s="60">
        <v>0</v>
      </c>
      <c r="O811" s="60">
        <v>0</v>
      </c>
      <c r="P811" s="60">
        <v>0</v>
      </c>
      <c r="Q811" s="60">
        <v>0</v>
      </c>
      <c r="R811" s="60">
        <v>0</v>
      </c>
      <c r="S811" s="60">
        <v>0</v>
      </c>
      <c r="T811" s="60">
        <v>0</v>
      </c>
      <c r="U811" s="60">
        <v>0</v>
      </c>
      <c r="V811" s="60">
        <v>0</v>
      </c>
      <c r="W811" s="60">
        <v>0</v>
      </c>
      <c r="X811" s="60">
        <v>0</v>
      </c>
      <c r="Y811" s="60">
        <v>0</v>
      </c>
      <c r="Z811" s="60">
        <v>0</v>
      </c>
      <c r="AA811" s="60">
        <v>0</v>
      </c>
      <c r="AB811" s="60">
        <v>0</v>
      </c>
      <c r="AC811" s="60">
        <v>649.11</v>
      </c>
      <c r="AD811" s="60">
        <v>670.43</v>
      </c>
      <c r="AE811" s="60">
        <v>679.9</v>
      </c>
      <c r="AF811" s="60">
        <v>0</v>
      </c>
      <c r="AG811" s="60">
        <v>0</v>
      </c>
      <c r="AH811" s="60">
        <v>0</v>
      </c>
      <c r="AI811" s="60">
        <v>649.11</v>
      </c>
      <c r="AJ811" s="60">
        <v>670.43</v>
      </c>
      <c r="AK811" s="60">
        <v>679.9</v>
      </c>
      <c r="AL811" s="60">
        <v>0</v>
      </c>
      <c r="AM811" s="60">
        <v>0</v>
      </c>
      <c r="AN811" s="60">
        <v>0</v>
      </c>
      <c r="AO811" s="60">
        <v>649.11</v>
      </c>
      <c r="AP811" s="60">
        <v>670.43</v>
      </c>
      <c r="AQ811" s="60">
        <v>679.9</v>
      </c>
      <c r="AR811" s="61">
        <v>679.9</v>
      </c>
    </row>
    <row r="812" spans="1:44" x14ac:dyDescent="0.35">
      <c r="A812" s="49" t="str">
        <f t="shared" si="69"/>
        <v>19</v>
      </c>
      <c r="B812" s="27">
        <v>64246</v>
      </c>
      <c r="C812" s="25" t="str">
        <f>TEXT(1996537,"0000000")</f>
        <v>1996537</v>
      </c>
      <c r="D812" s="26" t="s">
        <v>900</v>
      </c>
      <c r="E812" s="25" t="s">
        <v>898</v>
      </c>
      <c r="F812" s="25" t="s">
        <v>5</v>
      </c>
      <c r="G812" s="59" t="s">
        <v>899</v>
      </c>
      <c r="H812" s="60">
        <v>0</v>
      </c>
      <c r="I812" s="60">
        <v>0</v>
      </c>
      <c r="J812" s="60">
        <v>0</v>
      </c>
      <c r="K812" s="60">
        <v>0</v>
      </c>
      <c r="L812" s="60">
        <v>0</v>
      </c>
      <c r="M812" s="60">
        <v>0</v>
      </c>
      <c r="N812" s="60">
        <v>0</v>
      </c>
      <c r="O812" s="60">
        <v>0</v>
      </c>
      <c r="P812" s="60">
        <v>0</v>
      </c>
      <c r="Q812" s="60">
        <v>0</v>
      </c>
      <c r="R812" s="60">
        <v>0</v>
      </c>
      <c r="S812" s="60">
        <v>0</v>
      </c>
      <c r="T812" s="60">
        <v>0</v>
      </c>
      <c r="U812" s="60">
        <v>0</v>
      </c>
      <c r="V812" s="60">
        <v>0</v>
      </c>
      <c r="W812" s="60">
        <v>0</v>
      </c>
      <c r="X812" s="60">
        <v>0</v>
      </c>
      <c r="Y812" s="60">
        <v>0</v>
      </c>
      <c r="Z812" s="60">
        <v>0</v>
      </c>
      <c r="AA812" s="60">
        <v>0</v>
      </c>
      <c r="AB812" s="60">
        <v>0</v>
      </c>
      <c r="AC812" s="60">
        <v>1654.9</v>
      </c>
      <c r="AD812" s="60">
        <v>1817.6</v>
      </c>
      <c r="AE812" s="60">
        <v>1589.53</v>
      </c>
      <c r="AF812" s="60">
        <v>0</v>
      </c>
      <c r="AG812" s="60">
        <v>0</v>
      </c>
      <c r="AH812" s="60">
        <v>0</v>
      </c>
      <c r="AI812" s="60">
        <v>1654.9</v>
      </c>
      <c r="AJ812" s="60">
        <v>1817.6</v>
      </c>
      <c r="AK812" s="60">
        <v>1589.53</v>
      </c>
      <c r="AL812" s="60">
        <v>0</v>
      </c>
      <c r="AM812" s="60">
        <v>0</v>
      </c>
      <c r="AN812" s="60">
        <v>0</v>
      </c>
      <c r="AO812" s="60">
        <v>1654.9</v>
      </c>
      <c r="AP812" s="60">
        <v>1817.6</v>
      </c>
      <c r="AQ812" s="60">
        <v>1589.53</v>
      </c>
      <c r="AR812" s="61">
        <v>1817.6</v>
      </c>
    </row>
    <row r="813" spans="1:44" ht="31" x14ac:dyDescent="0.35">
      <c r="A813" s="49" t="str">
        <f t="shared" si="69"/>
        <v>19</v>
      </c>
      <c r="B813" s="27">
        <v>64469</v>
      </c>
      <c r="C813" s="25" t="str">
        <f>TEXT(134858,"0000000")</f>
        <v>0134858</v>
      </c>
      <c r="D813" s="27">
        <v>1838</v>
      </c>
      <c r="E813" s="25" t="s">
        <v>950</v>
      </c>
      <c r="F813" s="25" t="s">
        <v>5</v>
      </c>
      <c r="G813" s="59" t="s">
        <v>951</v>
      </c>
      <c r="H813" s="60">
        <v>0</v>
      </c>
      <c r="I813" s="60">
        <v>0</v>
      </c>
      <c r="J813" s="60">
        <v>0</v>
      </c>
      <c r="K813" s="60">
        <v>0</v>
      </c>
      <c r="L813" s="60">
        <v>0</v>
      </c>
      <c r="M813" s="60">
        <v>0</v>
      </c>
      <c r="N813" s="60">
        <v>0</v>
      </c>
      <c r="O813" s="60">
        <v>0</v>
      </c>
      <c r="P813" s="60">
        <v>0</v>
      </c>
      <c r="Q813" s="60">
        <v>0</v>
      </c>
      <c r="R813" s="60">
        <v>0</v>
      </c>
      <c r="S813" s="60">
        <v>0</v>
      </c>
      <c r="T813" s="60">
        <v>0</v>
      </c>
      <c r="U813" s="60">
        <v>0</v>
      </c>
      <c r="V813" s="60">
        <v>0</v>
      </c>
      <c r="W813" s="60">
        <v>0</v>
      </c>
      <c r="X813" s="60">
        <v>0</v>
      </c>
      <c r="Y813" s="60">
        <v>0</v>
      </c>
      <c r="Z813" s="60">
        <v>0</v>
      </c>
      <c r="AA813" s="60">
        <v>0</v>
      </c>
      <c r="AB813" s="60">
        <v>0</v>
      </c>
      <c r="AC813" s="60">
        <v>883.18</v>
      </c>
      <c r="AD813" s="60">
        <v>921.63</v>
      </c>
      <c r="AE813" s="60">
        <v>0</v>
      </c>
      <c r="AF813" s="60">
        <v>0</v>
      </c>
      <c r="AG813" s="60">
        <v>0</v>
      </c>
      <c r="AH813" s="60">
        <v>0</v>
      </c>
      <c r="AI813" s="60">
        <v>883.18</v>
      </c>
      <c r="AJ813" s="60">
        <v>921.63</v>
      </c>
      <c r="AK813" s="60">
        <v>0</v>
      </c>
      <c r="AL813" s="60">
        <v>0</v>
      </c>
      <c r="AM813" s="60">
        <v>0</v>
      </c>
      <c r="AN813" s="60">
        <v>0</v>
      </c>
      <c r="AO813" s="60">
        <v>883.18</v>
      </c>
      <c r="AP813" s="60">
        <v>921.63</v>
      </c>
      <c r="AQ813" s="60">
        <v>0</v>
      </c>
      <c r="AR813" s="61">
        <v>921.63</v>
      </c>
    </row>
    <row r="814" spans="1:44" x14ac:dyDescent="0.35">
      <c r="A814" s="49" t="str">
        <f t="shared" si="69"/>
        <v>19</v>
      </c>
      <c r="B814" s="27">
        <v>64584</v>
      </c>
      <c r="C814" s="25" t="str">
        <f>TEXT(1996305,"0000000")</f>
        <v>1996305</v>
      </c>
      <c r="D814" s="26" t="s">
        <v>974</v>
      </c>
      <c r="E814" s="25" t="s">
        <v>972</v>
      </c>
      <c r="F814" s="25" t="s">
        <v>5</v>
      </c>
      <c r="G814" s="59" t="s">
        <v>973</v>
      </c>
      <c r="H814" s="60">
        <v>0</v>
      </c>
      <c r="I814" s="60">
        <v>0</v>
      </c>
      <c r="J814" s="60">
        <v>0</v>
      </c>
      <c r="K814" s="60">
        <v>0</v>
      </c>
      <c r="L814" s="60">
        <v>0</v>
      </c>
      <c r="M814" s="60">
        <v>0</v>
      </c>
      <c r="N814" s="60">
        <v>0</v>
      </c>
      <c r="O814" s="60">
        <v>0</v>
      </c>
      <c r="P814" s="60">
        <v>0</v>
      </c>
      <c r="Q814" s="60">
        <v>0</v>
      </c>
      <c r="R814" s="60">
        <v>0</v>
      </c>
      <c r="S814" s="60">
        <v>0</v>
      </c>
      <c r="T814" s="60">
        <v>0</v>
      </c>
      <c r="U814" s="60">
        <v>0</v>
      </c>
      <c r="V814" s="60">
        <v>0</v>
      </c>
      <c r="W814" s="60">
        <v>0</v>
      </c>
      <c r="X814" s="60">
        <v>0</v>
      </c>
      <c r="Y814" s="60">
        <v>0</v>
      </c>
      <c r="Z814" s="60">
        <v>0</v>
      </c>
      <c r="AA814" s="60">
        <v>0</v>
      </c>
      <c r="AB814" s="60">
        <v>0</v>
      </c>
      <c r="AC814" s="60">
        <v>1156.6300000000001</v>
      </c>
      <c r="AD814" s="60">
        <v>1110.52</v>
      </c>
      <c r="AE814" s="60">
        <v>1095.82</v>
      </c>
      <c r="AF814" s="60">
        <v>0</v>
      </c>
      <c r="AG814" s="60">
        <v>0</v>
      </c>
      <c r="AH814" s="60">
        <v>0</v>
      </c>
      <c r="AI814" s="60">
        <v>1156.6300000000001</v>
      </c>
      <c r="AJ814" s="60">
        <v>1110.52</v>
      </c>
      <c r="AK814" s="60">
        <v>1095.82</v>
      </c>
      <c r="AL814" s="60">
        <v>0</v>
      </c>
      <c r="AM814" s="60">
        <v>0</v>
      </c>
      <c r="AN814" s="60">
        <v>0</v>
      </c>
      <c r="AO814" s="60">
        <v>1156.6300000000001</v>
      </c>
      <c r="AP814" s="60">
        <v>1110.52</v>
      </c>
      <c r="AQ814" s="60">
        <v>1095.82</v>
      </c>
      <c r="AR814" s="61">
        <v>1156.6300000000001</v>
      </c>
    </row>
    <row r="815" spans="1:44" x14ac:dyDescent="0.35">
      <c r="A815" s="49" t="str">
        <f>TEXT(1,"00")</f>
        <v>01</v>
      </c>
      <c r="B815" s="27">
        <v>10017</v>
      </c>
      <c r="C815" s="25" t="str">
        <f>TEXT(6002000,"0000000")</f>
        <v>6002000</v>
      </c>
      <c r="D815" s="27">
        <v>1464</v>
      </c>
      <c r="E815" s="25" t="s">
        <v>33</v>
      </c>
      <c r="F815" s="25" t="s">
        <v>5</v>
      </c>
      <c r="G815" s="59" t="s">
        <v>34</v>
      </c>
      <c r="H815" s="60">
        <v>0</v>
      </c>
      <c r="I815" s="60">
        <v>0</v>
      </c>
      <c r="J815" s="60">
        <v>0</v>
      </c>
      <c r="K815" s="60">
        <v>0</v>
      </c>
      <c r="L815" s="60">
        <v>0</v>
      </c>
      <c r="M815" s="60">
        <v>0</v>
      </c>
      <c r="N815" s="60">
        <v>0</v>
      </c>
      <c r="O815" s="60">
        <v>0</v>
      </c>
      <c r="P815" s="60">
        <v>0</v>
      </c>
      <c r="Q815" s="60">
        <v>0</v>
      </c>
      <c r="R815" s="60">
        <v>0</v>
      </c>
      <c r="S815" s="60">
        <v>0</v>
      </c>
      <c r="T815" s="60">
        <v>0</v>
      </c>
      <c r="U815" s="60">
        <v>0</v>
      </c>
      <c r="V815" s="60">
        <v>0</v>
      </c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434.27</v>
      </c>
      <c r="AD815" s="60">
        <v>432.63</v>
      </c>
      <c r="AE815" s="60">
        <v>462.27</v>
      </c>
      <c r="AF815" s="60">
        <v>0</v>
      </c>
      <c r="AG815" s="60">
        <v>0</v>
      </c>
      <c r="AH815" s="60">
        <v>0</v>
      </c>
      <c r="AI815" s="60">
        <v>434.27</v>
      </c>
      <c r="AJ815" s="60">
        <v>432.63</v>
      </c>
      <c r="AK815" s="60">
        <v>462.27</v>
      </c>
      <c r="AL815" s="60">
        <v>0</v>
      </c>
      <c r="AM815" s="60">
        <v>0</v>
      </c>
      <c r="AN815" s="60">
        <v>0</v>
      </c>
      <c r="AO815" s="60">
        <v>434.27</v>
      </c>
      <c r="AP815" s="60">
        <v>432.63</v>
      </c>
      <c r="AQ815" s="60">
        <v>462.27</v>
      </c>
      <c r="AR815" s="61">
        <v>462.27</v>
      </c>
    </row>
    <row r="816" spans="1:44" x14ac:dyDescent="0.35">
      <c r="A816" s="49" t="str">
        <f t="shared" ref="A816:A825" si="70">TEXT(19,"00")</f>
        <v>19</v>
      </c>
      <c r="B816" s="27">
        <v>64634</v>
      </c>
      <c r="C816" s="25" t="str">
        <f>TEXT(1996586,"0000000")</f>
        <v>1996586</v>
      </c>
      <c r="D816" s="26" t="s">
        <v>993</v>
      </c>
      <c r="E816" s="25" t="s">
        <v>991</v>
      </c>
      <c r="F816" s="25" t="s">
        <v>5</v>
      </c>
      <c r="G816" s="59" t="s">
        <v>992</v>
      </c>
      <c r="H816" s="60">
        <v>0</v>
      </c>
      <c r="I816" s="60">
        <v>0</v>
      </c>
      <c r="J816" s="60">
        <v>0</v>
      </c>
      <c r="K816" s="60">
        <v>0</v>
      </c>
      <c r="L816" s="60">
        <v>0</v>
      </c>
      <c r="M816" s="60">
        <v>0</v>
      </c>
      <c r="N816" s="60">
        <v>0</v>
      </c>
      <c r="O816" s="60">
        <v>0</v>
      </c>
      <c r="P816" s="60">
        <v>0</v>
      </c>
      <c r="Q816" s="60">
        <v>0</v>
      </c>
      <c r="R816" s="60">
        <v>0</v>
      </c>
      <c r="S816" s="60">
        <v>0</v>
      </c>
      <c r="T816" s="60">
        <v>0</v>
      </c>
      <c r="U816" s="60">
        <v>0</v>
      </c>
      <c r="V816" s="60">
        <v>0</v>
      </c>
      <c r="W816" s="60">
        <v>0</v>
      </c>
      <c r="X816" s="60">
        <v>0</v>
      </c>
      <c r="Y816" s="60">
        <v>0</v>
      </c>
      <c r="Z816" s="60">
        <v>0</v>
      </c>
      <c r="AA816" s="60">
        <v>0</v>
      </c>
      <c r="AB816" s="60">
        <v>0</v>
      </c>
      <c r="AC816" s="60">
        <v>574.97</v>
      </c>
      <c r="AD816" s="60">
        <v>576.16</v>
      </c>
      <c r="AE816" s="60">
        <v>600.73</v>
      </c>
      <c r="AF816" s="60">
        <v>0</v>
      </c>
      <c r="AG816" s="60">
        <v>0</v>
      </c>
      <c r="AH816" s="60">
        <v>0</v>
      </c>
      <c r="AI816" s="60">
        <v>574.97</v>
      </c>
      <c r="AJ816" s="60">
        <v>576.16</v>
      </c>
      <c r="AK816" s="60">
        <v>600.73</v>
      </c>
      <c r="AL816" s="60">
        <v>0</v>
      </c>
      <c r="AM816" s="60">
        <v>0</v>
      </c>
      <c r="AN816" s="60">
        <v>0</v>
      </c>
      <c r="AO816" s="60">
        <v>574.97</v>
      </c>
      <c r="AP816" s="60">
        <v>576.16</v>
      </c>
      <c r="AQ816" s="60">
        <v>600.73</v>
      </c>
      <c r="AR816" s="61">
        <v>600.73</v>
      </c>
    </row>
    <row r="817" spans="1:44" x14ac:dyDescent="0.35">
      <c r="A817" s="49" t="str">
        <f t="shared" si="70"/>
        <v>19</v>
      </c>
      <c r="B817" s="27">
        <v>64667</v>
      </c>
      <c r="C817" s="25" t="str">
        <f>TEXT(123174,"0000000")</f>
        <v>0123174</v>
      </c>
      <c r="D817" s="27">
        <v>1225</v>
      </c>
      <c r="E817" s="25" t="s">
        <v>1002</v>
      </c>
      <c r="F817" s="25" t="s">
        <v>5</v>
      </c>
      <c r="G817" s="59" t="s">
        <v>1003</v>
      </c>
      <c r="H817" s="60">
        <v>0</v>
      </c>
      <c r="I817" s="60">
        <v>0</v>
      </c>
      <c r="J817" s="60">
        <v>0</v>
      </c>
      <c r="K817" s="60">
        <v>0</v>
      </c>
      <c r="L817" s="60">
        <v>0</v>
      </c>
      <c r="M817" s="60">
        <v>0</v>
      </c>
      <c r="N817" s="60">
        <v>0</v>
      </c>
      <c r="O817" s="60">
        <v>0</v>
      </c>
      <c r="P817" s="60">
        <v>0</v>
      </c>
      <c r="Q817" s="60">
        <v>0</v>
      </c>
      <c r="R817" s="60">
        <v>0</v>
      </c>
      <c r="S817" s="60">
        <v>0</v>
      </c>
      <c r="T817" s="60">
        <v>0</v>
      </c>
      <c r="U817" s="60">
        <v>0</v>
      </c>
      <c r="V817" s="60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241.12</v>
      </c>
      <c r="AD817" s="60">
        <v>281.87</v>
      </c>
      <c r="AE817" s="60">
        <v>376.84</v>
      </c>
      <c r="AF817" s="60">
        <v>0</v>
      </c>
      <c r="AG817" s="60">
        <v>0</v>
      </c>
      <c r="AH817" s="60">
        <v>0</v>
      </c>
      <c r="AI817" s="60">
        <v>241.12</v>
      </c>
      <c r="AJ817" s="60">
        <v>281.87</v>
      </c>
      <c r="AK817" s="60">
        <v>376.84</v>
      </c>
      <c r="AL817" s="60">
        <v>0</v>
      </c>
      <c r="AM817" s="60">
        <v>0</v>
      </c>
      <c r="AN817" s="60">
        <v>0</v>
      </c>
      <c r="AO817" s="60">
        <v>241.12</v>
      </c>
      <c r="AP817" s="60">
        <v>281.87</v>
      </c>
      <c r="AQ817" s="60">
        <v>376.84</v>
      </c>
      <c r="AR817" s="61">
        <v>376.84</v>
      </c>
    </row>
    <row r="818" spans="1:44" x14ac:dyDescent="0.35">
      <c r="A818" s="49" t="str">
        <f t="shared" si="70"/>
        <v>19</v>
      </c>
      <c r="B818" s="27">
        <v>64667</v>
      </c>
      <c r="C818" s="25" t="str">
        <f>TEXT(125559,"0000000")</f>
        <v>0125559</v>
      </c>
      <c r="D818" s="27">
        <v>1376</v>
      </c>
      <c r="E818" s="25" t="s">
        <v>1004</v>
      </c>
      <c r="F818" s="25" t="s">
        <v>5</v>
      </c>
      <c r="G818" s="59" t="s">
        <v>1005</v>
      </c>
      <c r="H818" s="60">
        <v>0</v>
      </c>
      <c r="I818" s="60">
        <v>0</v>
      </c>
      <c r="J818" s="60">
        <v>0</v>
      </c>
      <c r="K818" s="60">
        <v>0</v>
      </c>
      <c r="L818" s="60">
        <v>0</v>
      </c>
      <c r="M818" s="60">
        <v>0</v>
      </c>
      <c r="N818" s="60">
        <v>0</v>
      </c>
      <c r="O818" s="60">
        <v>0</v>
      </c>
      <c r="P818" s="60">
        <v>0</v>
      </c>
      <c r="Q818" s="60">
        <v>0</v>
      </c>
      <c r="R818" s="60">
        <v>0</v>
      </c>
      <c r="S818" s="60">
        <v>0</v>
      </c>
      <c r="T818" s="60">
        <v>0</v>
      </c>
      <c r="U818" s="60">
        <v>0</v>
      </c>
      <c r="V818" s="60">
        <v>0</v>
      </c>
      <c r="W818" s="60">
        <v>0</v>
      </c>
      <c r="X818" s="60">
        <v>0</v>
      </c>
      <c r="Y818" s="60">
        <v>0</v>
      </c>
      <c r="Z818" s="60">
        <v>0</v>
      </c>
      <c r="AA818" s="60">
        <v>0</v>
      </c>
      <c r="AB818" s="60">
        <v>0</v>
      </c>
      <c r="AC818" s="60">
        <v>670.67</v>
      </c>
      <c r="AD818" s="60">
        <v>656.56</v>
      </c>
      <c r="AE818" s="60">
        <v>733</v>
      </c>
      <c r="AF818" s="60">
        <v>0</v>
      </c>
      <c r="AG818" s="60">
        <v>0</v>
      </c>
      <c r="AH818" s="60">
        <v>0</v>
      </c>
      <c r="AI818" s="60">
        <v>670.67</v>
      </c>
      <c r="AJ818" s="60">
        <v>656.56</v>
      </c>
      <c r="AK818" s="60">
        <v>733</v>
      </c>
      <c r="AL818" s="60">
        <v>0</v>
      </c>
      <c r="AM818" s="60">
        <v>0</v>
      </c>
      <c r="AN818" s="60">
        <v>0</v>
      </c>
      <c r="AO818" s="60">
        <v>670.67</v>
      </c>
      <c r="AP818" s="60">
        <v>656.56</v>
      </c>
      <c r="AQ818" s="60">
        <v>733</v>
      </c>
      <c r="AR818" s="61">
        <v>733</v>
      </c>
    </row>
    <row r="819" spans="1:44" x14ac:dyDescent="0.35">
      <c r="A819" s="49" t="str">
        <f t="shared" si="70"/>
        <v>19</v>
      </c>
      <c r="B819" s="27">
        <v>64691</v>
      </c>
      <c r="C819" s="25" t="str">
        <f>TEXT(1996438,"0000000")</f>
        <v>1996438</v>
      </c>
      <c r="D819" s="26" t="s">
        <v>1012</v>
      </c>
      <c r="E819" s="25" t="s">
        <v>1010</v>
      </c>
      <c r="F819" s="25" t="s">
        <v>5</v>
      </c>
      <c r="G819" s="59" t="s">
        <v>1011</v>
      </c>
      <c r="H819" s="60">
        <v>0</v>
      </c>
      <c r="I819" s="60">
        <v>0</v>
      </c>
      <c r="J819" s="60">
        <v>0</v>
      </c>
      <c r="K819" s="60">
        <v>0</v>
      </c>
      <c r="L819" s="60">
        <v>0</v>
      </c>
      <c r="M819" s="60">
        <v>0</v>
      </c>
      <c r="N819" s="60">
        <v>0</v>
      </c>
      <c r="O819" s="60">
        <v>0</v>
      </c>
      <c r="P819" s="60">
        <v>0</v>
      </c>
      <c r="Q819" s="60">
        <v>0</v>
      </c>
      <c r="R819" s="60">
        <v>0</v>
      </c>
      <c r="S819" s="60">
        <v>0</v>
      </c>
      <c r="T819" s="60">
        <v>0</v>
      </c>
      <c r="U819" s="60">
        <v>0</v>
      </c>
      <c r="V819" s="60">
        <v>0</v>
      </c>
      <c r="W819" s="60">
        <v>0</v>
      </c>
      <c r="X819" s="60">
        <v>0</v>
      </c>
      <c r="Y819" s="60">
        <v>0</v>
      </c>
      <c r="Z819" s="60">
        <v>0</v>
      </c>
      <c r="AA819" s="60">
        <v>0</v>
      </c>
      <c r="AB819" s="60">
        <v>0</v>
      </c>
      <c r="AC819" s="60">
        <v>475.86</v>
      </c>
      <c r="AD819" s="60">
        <v>486.35</v>
      </c>
      <c r="AE819" s="60">
        <v>499.64</v>
      </c>
      <c r="AF819" s="60">
        <v>0</v>
      </c>
      <c r="AG819" s="60">
        <v>0</v>
      </c>
      <c r="AH819" s="60">
        <v>0</v>
      </c>
      <c r="AI819" s="60">
        <v>475.86</v>
      </c>
      <c r="AJ819" s="60">
        <v>486.35</v>
      </c>
      <c r="AK819" s="60">
        <v>499.64</v>
      </c>
      <c r="AL819" s="60">
        <v>0</v>
      </c>
      <c r="AM819" s="60">
        <v>0</v>
      </c>
      <c r="AN819" s="60">
        <v>0</v>
      </c>
      <c r="AO819" s="60">
        <v>475.86</v>
      </c>
      <c r="AP819" s="60">
        <v>486.35</v>
      </c>
      <c r="AQ819" s="60">
        <v>499.64</v>
      </c>
      <c r="AR819" s="61">
        <v>499.64</v>
      </c>
    </row>
    <row r="820" spans="1:44" x14ac:dyDescent="0.35">
      <c r="A820" s="49" t="str">
        <f t="shared" si="70"/>
        <v>19</v>
      </c>
      <c r="B820" s="27">
        <v>64709</v>
      </c>
      <c r="C820" s="25" t="str">
        <f>TEXT(1996313,"0000000")</f>
        <v>1996313</v>
      </c>
      <c r="D820" s="26" t="s">
        <v>1023</v>
      </c>
      <c r="E820" s="25" t="s">
        <v>1021</v>
      </c>
      <c r="F820" s="25" t="s">
        <v>5</v>
      </c>
      <c r="G820" s="59" t="s">
        <v>1022</v>
      </c>
      <c r="H820" s="60">
        <v>0</v>
      </c>
      <c r="I820" s="60">
        <v>0</v>
      </c>
      <c r="J820" s="60">
        <v>0</v>
      </c>
      <c r="K820" s="60">
        <v>0</v>
      </c>
      <c r="L820" s="60">
        <v>0</v>
      </c>
      <c r="M820" s="60">
        <v>0</v>
      </c>
      <c r="N820" s="60">
        <v>0</v>
      </c>
      <c r="O820" s="60">
        <v>0</v>
      </c>
      <c r="P820" s="60">
        <v>0</v>
      </c>
      <c r="Q820" s="60">
        <v>0</v>
      </c>
      <c r="R820" s="60">
        <v>0</v>
      </c>
      <c r="S820" s="60">
        <v>0</v>
      </c>
      <c r="T820" s="60">
        <v>0</v>
      </c>
      <c r="U820" s="60">
        <v>0</v>
      </c>
      <c r="V820" s="60">
        <v>0</v>
      </c>
      <c r="W820" s="60">
        <v>0</v>
      </c>
      <c r="X820" s="60">
        <v>0</v>
      </c>
      <c r="Y820" s="60">
        <v>0</v>
      </c>
      <c r="Z820" s="60">
        <v>0</v>
      </c>
      <c r="AA820" s="60">
        <v>0</v>
      </c>
      <c r="AB820" s="60">
        <v>0</v>
      </c>
      <c r="AC820" s="60">
        <v>605.5</v>
      </c>
      <c r="AD820" s="60">
        <v>609.41999999999996</v>
      </c>
      <c r="AE820" s="60">
        <v>610.91999999999996</v>
      </c>
      <c r="AF820" s="60">
        <v>0</v>
      </c>
      <c r="AG820" s="60">
        <v>0</v>
      </c>
      <c r="AH820" s="60">
        <v>0</v>
      </c>
      <c r="AI820" s="60">
        <v>605.5</v>
      </c>
      <c r="AJ820" s="60">
        <v>609.41999999999996</v>
      </c>
      <c r="AK820" s="60">
        <v>610.91999999999996</v>
      </c>
      <c r="AL820" s="60">
        <v>0</v>
      </c>
      <c r="AM820" s="60">
        <v>0</v>
      </c>
      <c r="AN820" s="60">
        <v>0</v>
      </c>
      <c r="AO820" s="60">
        <v>605.5</v>
      </c>
      <c r="AP820" s="60">
        <v>609.41999999999996</v>
      </c>
      <c r="AQ820" s="60">
        <v>610.91999999999996</v>
      </c>
      <c r="AR820" s="61">
        <v>610.91999999999996</v>
      </c>
    </row>
    <row r="821" spans="1:44" x14ac:dyDescent="0.35">
      <c r="A821" s="49" t="str">
        <f t="shared" si="70"/>
        <v>19</v>
      </c>
      <c r="B821" s="27">
        <v>64733</v>
      </c>
      <c r="C821" s="25" t="str">
        <f>TEXT(101444,"0000000")</f>
        <v>0101444</v>
      </c>
      <c r="D821" s="26" t="s">
        <v>1032</v>
      </c>
      <c r="E821" s="25" t="s">
        <v>1030</v>
      </c>
      <c r="F821" s="25" t="s">
        <v>5</v>
      </c>
      <c r="G821" s="59" t="s">
        <v>1031</v>
      </c>
      <c r="H821" s="60">
        <v>0</v>
      </c>
      <c r="I821" s="60">
        <v>0</v>
      </c>
      <c r="J821" s="60">
        <v>0</v>
      </c>
      <c r="K821" s="60">
        <v>0</v>
      </c>
      <c r="L821" s="60">
        <v>0</v>
      </c>
      <c r="M821" s="60">
        <v>0</v>
      </c>
      <c r="N821" s="60">
        <v>0</v>
      </c>
      <c r="O821" s="60">
        <v>0</v>
      </c>
      <c r="P821" s="60">
        <v>0</v>
      </c>
      <c r="Q821" s="60">
        <v>0</v>
      </c>
      <c r="R821" s="60">
        <v>0</v>
      </c>
      <c r="S821" s="60">
        <v>0</v>
      </c>
      <c r="T821" s="60">
        <v>0</v>
      </c>
      <c r="U821" s="60">
        <v>0</v>
      </c>
      <c r="V821" s="60">
        <v>0</v>
      </c>
      <c r="W821" s="60">
        <v>0</v>
      </c>
      <c r="X821" s="60">
        <v>0</v>
      </c>
      <c r="Y821" s="60">
        <v>0</v>
      </c>
      <c r="Z821" s="60">
        <v>0</v>
      </c>
      <c r="AA821" s="60">
        <v>0</v>
      </c>
      <c r="AB821" s="60">
        <v>0</v>
      </c>
      <c r="AC821" s="60">
        <v>417.95</v>
      </c>
      <c r="AD821" s="60">
        <v>394</v>
      </c>
      <c r="AE821" s="60">
        <v>426</v>
      </c>
      <c r="AF821" s="60">
        <v>0</v>
      </c>
      <c r="AG821" s="60">
        <v>0</v>
      </c>
      <c r="AH821" s="60">
        <v>0</v>
      </c>
      <c r="AI821" s="60">
        <v>417.95</v>
      </c>
      <c r="AJ821" s="60">
        <v>394</v>
      </c>
      <c r="AK821" s="60">
        <v>426</v>
      </c>
      <c r="AL821" s="60">
        <v>0</v>
      </c>
      <c r="AM821" s="60">
        <v>0</v>
      </c>
      <c r="AN821" s="60">
        <v>0</v>
      </c>
      <c r="AO821" s="60">
        <v>417.95</v>
      </c>
      <c r="AP821" s="60">
        <v>394</v>
      </c>
      <c r="AQ821" s="60">
        <v>426</v>
      </c>
      <c r="AR821" s="61">
        <v>426</v>
      </c>
    </row>
    <row r="822" spans="1:44" x14ac:dyDescent="0.35">
      <c r="A822" s="49" t="str">
        <f t="shared" si="70"/>
        <v>19</v>
      </c>
      <c r="B822" s="27">
        <v>64733</v>
      </c>
      <c r="C822" s="25" t="str">
        <f>TEXT(117903,"0000000")</f>
        <v>0117903</v>
      </c>
      <c r="D822" s="27">
        <v>1010</v>
      </c>
      <c r="E822" s="25" t="s">
        <v>1033</v>
      </c>
      <c r="F822" s="25" t="s">
        <v>5</v>
      </c>
      <c r="G822" s="59" t="s">
        <v>1034</v>
      </c>
      <c r="H822" s="60">
        <v>0</v>
      </c>
      <c r="I822" s="60">
        <v>0</v>
      </c>
      <c r="J822" s="60">
        <v>0</v>
      </c>
      <c r="K822" s="60">
        <v>0</v>
      </c>
      <c r="L822" s="60">
        <v>0</v>
      </c>
      <c r="M822" s="60">
        <v>0</v>
      </c>
      <c r="N822" s="60">
        <v>0</v>
      </c>
      <c r="O822" s="60">
        <v>0</v>
      </c>
      <c r="P822" s="60">
        <v>0</v>
      </c>
      <c r="Q822" s="60">
        <v>0</v>
      </c>
      <c r="R822" s="60">
        <v>0</v>
      </c>
      <c r="S822" s="60">
        <v>0</v>
      </c>
      <c r="T822" s="60">
        <v>0</v>
      </c>
      <c r="U822" s="60">
        <v>0</v>
      </c>
      <c r="V822" s="60">
        <v>0</v>
      </c>
      <c r="W822" s="60">
        <v>0</v>
      </c>
      <c r="X822" s="60">
        <v>0</v>
      </c>
      <c r="Y822" s="60">
        <v>0</v>
      </c>
      <c r="Z822" s="60">
        <v>0</v>
      </c>
      <c r="AA822" s="60">
        <v>0</v>
      </c>
      <c r="AB822" s="60">
        <v>0</v>
      </c>
      <c r="AC822" s="60">
        <v>501.17</v>
      </c>
      <c r="AD822" s="60">
        <v>503.85</v>
      </c>
      <c r="AE822" s="60">
        <v>563.66999999999996</v>
      </c>
      <c r="AF822" s="60">
        <v>0</v>
      </c>
      <c r="AG822" s="60">
        <v>0</v>
      </c>
      <c r="AH822" s="60">
        <v>0</v>
      </c>
      <c r="AI822" s="60">
        <v>501.17</v>
      </c>
      <c r="AJ822" s="60">
        <v>503.85</v>
      </c>
      <c r="AK822" s="60">
        <v>563.66999999999996</v>
      </c>
      <c r="AL822" s="60">
        <v>0</v>
      </c>
      <c r="AM822" s="60">
        <v>0</v>
      </c>
      <c r="AN822" s="60">
        <v>0</v>
      </c>
      <c r="AO822" s="60">
        <v>501.17</v>
      </c>
      <c r="AP822" s="60">
        <v>503.85</v>
      </c>
      <c r="AQ822" s="60">
        <v>563.66999999999996</v>
      </c>
      <c r="AR822" s="61">
        <v>563.66999999999996</v>
      </c>
    </row>
    <row r="823" spans="1:44" x14ac:dyDescent="0.35">
      <c r="A823" s="49" t="str">
        <f t="shared" si="70"/>
        <v>19</v>
      </c>
      <c r="B823" s="27">
        <v>64733</v>
      </c>
      <c r="C823" s="25" t="str">
        <f>TEXT(121707,"0000000")</f>
        <v>0121707</v>
      </c>
      <c r="D823" s="27">
        <v>1196</v>
      </c>
      <c r="E823" s="25" t="s">
        <v>1037</v>
      </c>
      <c r="F823" s="25" t="s">
        <v>5</v>
      </c>
      <c r="G823" s="59" t="s">
        <v>1038</v>
      </c>
      <c r="H823" s="60">
        <v>0</v>
      </c>
      <c r="I823" s="60">
        <v>0</v>
      </c>
      <c r="J823" s="60">
        <v>0</v>
      </c>
      <c r="K823" s="60">
        <v>0</v>
      </c>
      <c r="L823" s="60">
        <v>0</v>
      </c>
      <c r="M823" s="60">
        <v>0</v>
      </c>
      <c r="N823" s="60">
        <v>0</v>
      </c>
      <c r="O823" s="60">
        <v>0</v>
      </c>
      <c r="P823" s="60">
        <v>0</v>
      </c>
      <c r="Q823" s="60">
        <v>0</v>
      </c>
      <c r="R823" s="60">
        <v>0</v>
      </c>
      <c r="S823" s="60">
        <v>0</v>
      </c>
      <c r="T823" s="60">
        <v>0</v>
      </c>
      <c r="U823" s="60">
        <v>0</v>
      </c>
      <c r="V823" s="60">
        <v>0</v>
      </c>
      <c r="W823" s="60">
        <v>0</v>
      </c>
      <c r="X823" s="60">
        <v>0</v>
      </c>
      <c r="Y823" s="60">
        <v>0</v>
      </c>
      <c r="Z823" s="60">
        <v>0</v>
      </c>
      <c r="AA823" s="60">
        <v>0</v>
      </c>
      <c r="AB823" s="60">
        <v>0</v>
      </c>
      <c r="AC823" s="60">
        <v>973.14</v>
      </c>
      <c r="AD823" s="60">
        <v>910.14</v>
      </c>
      <c r="AE823" s="60">
        <v>995.2</v>
      </c>
      <c r="AF823" s="60">
        <v>0</v>
      </c>
      <c r="AG823" s="60">
        <v>0</v>
      </c>
      <c r="AH823" s="60">
        <v>0</v>
      </c>
      <c r="AI823" s="60">
        <v>973.14</v>
      </c>
      <c r="AJ823" s="60">
        <v>910.14</v>
      </c>
      <c r="AK823" s="60">
        <v>995.2</v>
      </c>
      <c r="AL823" s="60">
        <v>0</v>
      </c>
      <c r="AM823" s="60">
        <v>0</v>
      </c>
      <c r="AN823" s="60">
        <v>0</v>
      </c>
      <c r="AO823" s="60">
        <v>973.14</v>
      </c>
      <c r="AP823" s="60">
        <v>910.14</v>
      </c>
      <c r="AQ823" s="60">
        <v>995.2</v>
      </c>
      <c r="AR823" s="61">
        <v>995.2</v>
      </c>
    </row>
    <row r="824" spans="1:44" x14ac:dyDescent="0.35">
      <c r="A824" s="49" t="str">
        <f t="shared" si="70"/>
        <v>19</v>
      </c>
      <c r="B824" s="27">
        <v>64733</v>
      </c>
      <c r="C824" s="25" t="str">
        <f>TEXT(125625,"0000000")</f>
        <v>0125625</v>
      </c>
      <c r="D824" s="27">
        <v>1377</v>
      </c>
      <c r="E824" s="25" t="s">
        <v>1039</v>
      </c>
      <c r="F824" s="25" t="s">
        <v>5</v>
      </c>
      <c r="G824" s="59" t="s">
        <v>1040</v>
      </c>
      <c r="H824" s="60">
        <v>0</v>
      </c>
      <c r="I824" s="60">
        <v>0</v>
      </c>
      <c r="J824" s="60">
        <v>0</v>
      </c>
      <c r="K824" s="60">
        <v>0</v>
      </c>
      <c r="L824" s="60">
        <v>0</v>
      </c>
      <c r="M824" s="60">
        <v>0</v>
      </c>
      <c r="N824" s="60">
        <v>0</v>
      </c>
      <c r="O824" s="60">
        <v>0</v>
      </c>
      <c r="P824" s="60">
        <v>0</v>
      </c>
      <c r="Q824" s="60">
        <v>0</v>
      </c>
      <c r="R824" s="60">
        <v>0</v>
      </c>
      <c r="S824" s="60">
        <v>0</v>
      </c>
      <c r="T824" s="60">
        <v>0</v>
      </c>
      <c r="U824" s="60">
        <v>0</v>
      </c>
      <c r="V824" s="60">
        <v>0</v>
      </c>
      <c r="W824" s="60">
        <v>0</v>
      </c>
      <c r="X824" s="60">
        <v>0</v>
      </c>
      <c r="Y824" s="60">
        <v>0</v>
      </c>
      <c r="Z824" s="60">
        <v>0</v>
      </c>
      <c r="AA824" s="60">
        <v>0</v>
      </c>
      <c r="AB824" s="60">
        <v>0</v>
      </c>
      <c r="AC824" s="60">
        <v>323.05</v>
      </c>
      <c r="AD824" s="60">
        <v>342.74</v>
      </c>
      <c r="AE824" s="60">
        <v>382</v>
      </c>
      <c r="AF824" s="60">
        <v>0</v>
      </c>
      <c r="AG824" s="60">
        <v>0</v>
      </c>
      <c r="AH824" s="60">
        <v>0</v>
      </c>
      <c r="AI824" s="60">
        <v>323.05</v>
      </c>
      <c r="AJ824" s="60">
        <v>342.74</v>
      </c>
      <c r="AK824" s="60">
        <v>382</v>
      </c>
      <c r="AL824" s="60">
        <v>0</v>
      </c>
      <c r="AM824" s="60">
        <v>0</v>
      </c>
      <c r="AN824" s="60">
        <v>0</v>
      </c>
      <c r="AO824" s="60">
        <v>323.05</v>
      </c>
      <c r="AP824" s="60">
        <v>342.74</v>
      </c>
      <c r="AQ824" s="60">
        <v>382</v>
      </c>
      <c r="AR824" s="61">
        <v>382</v>
      </c>
    </row>
    <row r="825" spans="1:44" x14ac:dyDescent="0.35">
      <c r="A825" s="49" t="str">
        <f t="shared" si="70"/>
        <v>19</v>
      </c>
      <c r="B825" s="27">
        <v>64733</v>
      </c>
      <c r="C825" s="25" t="str">
        <f>TEXT(125641,"0000000")</f>
        <v>0125641</v>
      </c>
      <c r="D825" s="27">
        <v>1379</v>
      </c>
      <c r="E825" s="25" t="s">
        <v>1041</v>
      </c>
      <c r="F825" s="25" t="s">
        <v>5</v>
      </c>
      <c r="G825" s="59" t="s">
        <v>1042</v>
      </c>
      <c r="H825" s="60">
        <v>0</v>
      </c>
      <c r="I825" s="60">
        <v>0</v>
      </c>
      <c r="J825" s="60">
        <v>0</v>
      </c>
      <c r="K825" s="60">
        <v>0</v>
      </c>
      <c r="L825" s="60">
        <v>0</v>
      </c>
      <c r="M825" s="60">
        <v>0</v>
      </c>
      <c r="N825" s="60">
        <v>0</v>
      </c>
      <c r="O825" s="60">
        <v>0</v>
      </c>
      <c r="P825" s="60">
        <v>0</v>
      </c>
      <c r="Q825" s="60">
        <v>0</v>
      </c>
      <c r="R825" s="60">
        <v>0</v>
      </c>
      <c r="S825" s="60">
        <v>0</v>
      </c>
      <c r="T825" s="60">
        <v>0</v>
      </c>
      <c r="U825" s="60">
        <v>0</v>
      </c>
      <c r="V825" s="60">
        <v>0</v>
      </c>
      <c r="W825" s="60">
        <v>0</v>
      </c>
      <c r="X825" s="60">
        <v>0</v>
      </c>
      <c r="Y825" s="60">
        <v>0</v>
      </c>
      <c r="Z825" s="60">
        <v>0</v>
      </c>
      <c r="AA825" s="60">
        <v>0</v>
      </c>
      <c r="AB825" s="60">
        <v>0</v>
      </c>
      <c r="AC825" s="60">
        <v>446.88</v>
      </c>
      <c r="AD825" s="60">
        <v>448.02</v>
      </c>
      <c r="AE825" s="60">
        <v>489.79</v>
      </c>
      <c r="AF825" s="60">
        <v>0</v>
      </c>
      <c r="AG825" s="60">
        <v>0</v>
      </c>
      <c r="AH825" s="60">
        <v>0</v>
      </c>
      <c r="AI825" s="60">
        <v>446.88</v>
      </c>
      <c r="AJ825" s="60">
        <v>448.02</v>
      </c>
      <c r="AK825" s="60">
        <v>489.79</v>
      </c>
      <c r="AL825" s="60">
        <v>0</v>
      </c>
      <c r="AM825" s="60">
        <v>0</v>
      </c>
      <c r="AN825" s="60">
        <v>0</v>
      </c>
      <c r="AO825" s="60">
        <v>446.88</v>
      </c>
      <c r="AP825" s="60">
        <v>448.02</v>
      </c>
      <c r="AQ825" s="60">
        <v>489.79</v>
      </c>
      <c r="AR825" s="61">
        <v>489.79</v>
      </c>
    </row>
    <row r="826" spans="1:44" x14ac:dyDescent="0.35">
      <c r="A826" s="49" t="str">
        <f>TEXT(1,"00")</f>
        <v>01</v>
      </c>
      <c r="B826" s="27">
        <v>61119</v>
      </c>
      <c r="C826" s="25" t="str">
        <f>TEXT(119222,"0000000")</f>
        <v>0119222</v>
      </c>
      <c r="D826" s="27">
        <v>1066</v>
      </c>
      <c r="E826" s="25" t="s">
        <v>39</v>
      </c>
      <c r="F826" s="25" t="s">
        <v>5</v>
      </c>
      <c r="G826" s="59" t="s">
        <v>40</v>
      </c>
      <c r="H826" s="60">
        <v>0</v>
      </c>
      <c r="I826" s="60">
        <v>0</v>
      </c>
      <c r="J826" s="60">
        <v>0</v>
      </c>
      <c r="K826" s="60">
        <v>0</v>
      </c>
      <c r="L826" s="60">
        <v>0</v>
      </c>
      <c r="M826" s="60">
        <v>0</v>
      </c>
      <c r="N826" s="60">
        <v>0</v>
      </c>
      <c r="O826" s="60">
        <v>0</v>
      </c>
      <c r="P826" s="60">
        <v>0</v>
      </c>
      <c r="Q826" s="60">
        <v>0</v>
      </c>
      <c r="R826" s="60">
        <v>0</v>
      </c>
      <c r="S826" s="60">
        <v>0</v>
      </c>
      <c r="T826" s="60">
        <v>0</v>
      </c>
      <c r="U826" s="60">
        <v>0</v>
      </c>
      <c r="V826" s="60">
        <v>0</v>
      </c>
      <c r="W826" s="60">
        <v>0</v>
      </c>
      <c r="X826" s="60">
        <v>0</v>
      </c>
      <c r="Y826" s="60">
        <v>0</v>
      </c>
      <c r="Z826" s="60">
        <v>0</v>
      </c>
      <c r="AA826" s="60">
        <v>0</v>
      </c>
      <c r="AB826" s="60">
        <v>0</v>
      </c>
      <c r="AC826" s="60">
        <v>481.72</v>
      </c>
      <c r="AD826" s="60">
        <v>501.77</v>
      </c>
      <c r="AE826" s="60">
        <v>585.79999999999995</v>
      </c>
      <c r="AF826" s="60">
        <v>0</v>
      </c>
      <c r="AG826" s="60">
        <v>0</v>
      </c>
      <c r="AH826" s="60">
        <v>0</v>
      </c>
      <c r="AI826" s="60">
        <v>481.72</v>
      </c>
      <c r="AJ826" s="60">
        <v>501.77</v>
      </c>
      <c r="AK826" s="60">
        <v>585.79999999999995</v>
      </c>
      <c r="AL826" s="60">
        <v>0</v>
      </c>
      <c r="AM826" s="60">
        <v>0</v>
      </c>
      <c r="AN826" s="60">
        <v>0</v>
      </c>
      <c r="AO826" s="60">
        <v>481.72</v>
      </c>
      <c r="AP826" s="60">
        <v>501.77</v>
      </c>
      <c r="AQ826" s="60">
        <v>585.79999999999995</v>
      </c>
      <c r="AR826" s="61">
        <v>585.79999999999995</v>
      </c>
    </row>
    <row r="827" spans="1:44" x14ac:dyDescent="0.35">
      <c r="A827" s="49" t="str">
        <f t="shared" ref="A827:A836" si="71">TEXT(19,"00")</f>
        <v>19</v>
      </c>
      <c r="B827" s="27">
        <v>64733</v>
      </c>
      <c r="C827" s="25" t="str">
        <f>TEXT(127670,"0000000")</f>
        <v>0127670</v>
      </c>
      <c r="D827" s="27">
        <v>1508</v>
      </c>
      <c r="E827" s="25" t="s">
        <v>1043</v>
      </c>
      <c r="F827" s="25" t="s">
        <v>5</v>
      </c>
      <c r="G827" s="59" t="s">
        <v>1044</v>
      </c>
      <c r="H827" s="60">
        <v>0</v>
      </c>
      <c r="I827" s="60">
        <v>0</v>
      </c>
      <c r="J827" s="60">
        <v>0</v>
      </c>
      <c r="K827" s="60">
        <v>0</v>
      </c>
      <c r="L827" s="60">
        <v>0</v>
      </c>
      <c r="M827" s="60">
        <v>0</v>
      </c>
      <c r="N827" s="60">
        <v>0</v>
      </c>
      <c r="O827" s="60">
        <v>0</v>
      </c>
      <c r="P827" s="60">
        <v>0</v>
      </c>
      <c r="Q827" s="60">
        <v>0</v>
      </c>
      <c r="R827" s="60">
        <v>0</v>
      </c>
      <c r="S827" s="60">
        <v>0</v>
      </c>
      <c r="T827" s="60">
        <v>0</v>
      </c>
      <c r="U827" s="60">
        <v>0</v>
      </c>
      <c r="V827" s="60">
        <v>0</v>
      </c>
      <c r="W827" s="60">
        <v>0</v>
      </c>
      <c r="X827" s="60">
        <v>0</v>
      </c>
      <c r="Y827" s="60">
        <v>0</v>
      </c>
      <c r="Z827" s="60">
        <v>0</v>
      </c>
      <c r="AA827" s="60">
        <v>0</v>
      </c>
      <c r="AB827" s="60">
        <v>0</v>
      </c>
      <c r="AC827" s="60">
        <v>488.83</v>
      </c>
      <c r="AD827" s="60">
        <v>489.2</v>
      </c>
      <c r="AE827" s="60">
        <v>547.01</v>
      </c>
      <c r="AF827" s="60">
        <v>0</v>
      </c>
      <c r="AG827" s="60">
        <v>0</v>
      </c>
      <c r="AH827" s="60">
        <v>0</v>
      </c>
      <c r="AI827" s="60">
        <v>488.83</v>
      </c>
      <c r="AJ827" s="60">
        <v>489.2</v>
      </c>
      <c r="AK827" s="60">
        <v>547.01</v>
      </c>
      <c r="AL827" s="60">
        <v>0</v>
      </c>
      <c r="AM827" s="60">
        <v>0</v>
      </c>
      <c r="AN827" s="60">
        <v>0</v>
      </c>
      <c r="AO827" s="60">
        <v>488.83</v>
      </c>
      <c r="AP827" s="60">
        <v>489.2</v>
      </c>
      <c r="AQ827" s="60">
        <v>547.01</v>
      </c>
      <c r="AR827" s="61">
        <v>547.01</v>
      </c>
    </row>
    <row r="828" spans="1:44" x14ac:dyDescent="0.35">
      <c r="A828" s="49" t="str">
        <f t="shared" si="71"/>
        <v>19</v>
      </c>
      <c r="B828" s="27">
        <v>64733</v>
      </c>
      <c r="C828" s="25" t="str">
        <f>TEXT(131797,"0000000")</f>
        <v>0131797</v>
      </c>
      <c r="D828" s="27">
        <v>1721</v>
      </c>
      <c r="E828" s="25" t="s">
        <v>1049</v>
      </c>
      <c r="F828" s="25" t="s">
        <v>5</v>
      </c>
      <c r="G828" s="59" t="s">
        <v>1050</v>
      </c>
      <c r="H828" s="60">
        <v>0</v>
      </c>
      <c r="I828" s="60">
        <v>0</v>
      </c>
      <c r="J828" s="60">
        <v>0</v>
      </c>
      <c r="K828" s="60">
        <v>0</v>
      </c>
      <c r="L828" s="60">
        <v>0</v>
      </c>
      <c r="M828" s="60">
        <v>0</v>
      </c>
      <c r="N828" s="60">
        <v>0</v>
      </c>
      <c r="O828" s="60">
        <v>0</v>
      </c>
      <c r="P828" s="60">
        <v>0</v>
      </c>
      <c r="Q828" s="60">
        <v>0</v>
      </c>
      <c r="R828" s="60">
        <v>0</v>
      </c>
      <c r="S828" s="60">
        <v>0</v>
      </c>
      <c r="T828" s="60">
        <v>0</v>
      </c>
      <c r="U828" s="60">
        <v>0</v>
      </c>
      <c r="V828" s="60">
        <v>0</v>
      </c>
      <c r="W828" s="60">
        <v>0</v>
      </c>
      <c r="X828" s="60">
        <v>0</v>
      </c>
      <c r="Y828" s="60">
        <v>0</v>
      </c>
      <c r="Z828" s="60">
        <v>0</v>
      </c>
      <c r="AA828" s="60">
        <v>0</v>
      </c>
      <c r="AB828" s="60">
        <v>0</v>
      </c>
      <c r="AC828" s="60">
        <v>422.85</v>
      </c>
      <c r="AD828" s="60">
        <v>448.56</v>
      </c>
      <c r="AE828" s="60">
        <v>534.9</v>
      </c>
      <c r="AF828" s="60">
        <v>0</v>
      </c>
      <c r="AG828" s="60">
        <v>0</v>
      </c>
      <c r="AH828" s="60">
        <v>0</v>
      </c>
      <c r="AI828" s="60">
        <v>422.85</v>
      </c>
      <c r="AJ828" s="60">
        <v>448.56</v>
      </c>
      <c r="AK828" s="60">
        <v>534.9</v>
      </c>
      <c r="AL828" s="60">
        <v>0</v>
      </c>
      <c r="AM828" s="60">
        <v>0</v>
      </c>
      <c r="AN828" s="60">
        <v>0</v>
      </c>
      <c r="AO828" s="60">
        <v>422.85</v>
      </c>
      <c r="AP828" s="60">
        <v>448.56</v>
      </c>
      <c r="AQ828" s="60">
        <v>534.9</v>
      </c>
      <c r="AR828" s="61">
        <v>534.9</v>
      </c>
    </row>
    <row r="829" spans="1:44" ht="31" x14ac:dyDescent="0.35">
      <c r="A829" s="49" t="str">
        <f t="shared" si="71"/>
        <v>19</v>
      </c>
      <c r="B829" s="27">
        <v>64733</v>
      </c>
      <c r="C829" s="25" t="str">
        <f>TEXT(132928,"0000000")</f>
        <v>0132928</v>
      </c>
      <c r="D829" s="27">
        <v>1685</v>
      </c>
      <c r="E829" s="25" t="s">
        <v>1051</v>
      </c>
      <c r="F829" s="25" t="s">
        <v>5</v>
      </c>
      <c r="G829" s="59" t="s">
        <v>1052</v>
      </c>
      <c r="H829" s="60">
        <v>0</v>
      </c>
      <c r="I829" s="60">
        <v>0</v>
      </c>
      <c r="J829" s="60">
        <v>0</v>
      </c>
      <c r="K829" s="60">
        <v>0</v>
      </c>
      <c r="L829" s="60">
        <v>0</v>
      </c>
      <c r="M829" s="60">
        <v>0</v>
      </c>
      <c r="N829" s="60">
        <v>0</v>
      </c>
      <c r="O829" s="60">
        <v>0</v>
      </c>
      <c r="P829" s="60">
        <v>0</v>
      </c>
      <c r="Q829" s="60">
        <v>0</v>
      </c>
      <c r="R829" s="60">
        <v>0</v>
      </c>
      <c r="S829" s="60">
        <v>0</v>
      </c>
      <c r="T829" s="60">
        <v>0</v>
      </c>
      <c r="U829" s="60">
        <v>0</v>
      </c>
      <c r="V829" s="60">
        <v>0</v>
      </c>
      <c r="W829" s="60">
        <v>0</v>
      </c>
      <c r="X829" s="60">
        <v>0</v>
      </c>
      <c r="Y829" s="60">
        <v>0</v>
      </c>
      <c r="Z829" s="60">
        <v>0</v>
      </c>
      <c r="AA829" s="60">
        <v>0</v>
      </c>
      <c r="AB829" s="60">
        <v>0</v>
      </c>
      <c r="AC829" s="60">
        <v>232.44</v>
      </c>
      <c r="AD829" s="60">
        <v>242.44</v>
      </c>
      <c r="AE829" s="60">
        <v>262.7</v>
      </c>
      <c r="AF829" s="60">
        <v>0</v>
      </c>
      <c r="AG829" s="60">
        <v>0</v>
      </c>
      <c r="AH829" s="60">
        <v>0</v>
      </c>
      <c r="AI829" s="60">
        <v>232.44</v>
      </c>
      <c r="AJ829" s="60">
        <v>242.44</v>
      </c>
      <c r="AK829" s="60">
        <v>262.7</v>
      </c>
      <c r="AL829" s="60">
        <v>0</v>
      </c>
      <c r="AM829" s="60">
        <v>0</v>
      </c>
      <c r="AN829" s="60">
        <v>0</v>
      </c>
      <c r="AO829" s="60">
        <v>232.44</v>
      </c>
      <c r="AP829" s="60">
        <v>242.44</v>
      </c>
      <c r="AQ829" s="60">
        <v>262.7</v>
      </c>
      <c r="AR829" s="61">
        <v>262.7</v>
      </c>
    </row>
    <row r="830" spans="1:44" x14ac:dyDescent="0.35">
      <c r="A830" s="49" t="str">
        <f t="shared" si="71"/>
        <v>19</v>
      </c>
      <c r="B830" s="27">
        <v>64733</v>
      </c>
      <c r="C830" s="25" t="str">
        <f>TEXT(135517,"0000000")</f>
        <v>0135517</v>
      </c>
      <c r="D830" s="27">
        <v>1855</v>
      </c>
      <c r="E830" s="25" t="s">
        <v>1053</v>
      </c>
      <c r="F830" s="25" t="s">
        <v>5</v>
      </c>
      <c r="G830" s="59" t="s">
        <v>1054</v>
      </c>
      <c r="H830" s="60">
        <v>0</v>
      </c>
      <c r="I830" s="60">
        <v>0</v>
      </c>
      <c r="J830" s="60">
        <v>0</v>
      </c>
      <c r="K830" s="60">
        <v>0</v>
      </c>
      <c r="L830" s="60">
        <v>0</v>
      </c>
      <c r="M830" s="60">
        <v>0</v>
      </c>
      <c r="N830" s="60">
        <v>0</v>
      </c>
      <c r="O830" s="60">
        <v>0</v>
      </c>
      <c r="P830" s="60">
        <v>0</v>
      </c>
      <c r="Q830" s="60">
        <v>0</v>
      </c>
      <c r="R830" s="60">
        <v>0</v>
      </c>
      <c r="S830" s="60">
        <v>0</v>
      </c>
      <c r="T830" s="60">
        <v>0</v>
      </c>
      <c r="U830" s="60">
        <v>0</v>
      </c>
      <c r="V830" s="60">
        <v>0</v>
      </c>
      <c r="W830" s="60">
        <v>0</v>
      </c>
      <c r="X830" s="60">
        <v>0</v>
      </c>
      <c r="Y830" s="60">
        <v>0</v>
      </c>
      <c r="Z830" s="60">
        <v>0</v>
      </c>
      <c r="AA830" s="60">
        <v>0</v>
      </c>
      <c r="AB830" s="60">
        <v>0</v>
      </c>
      <c r="AC830" s="60">
        <v>949.94</v>
      </c>
      <c r="AD830" s="60">
        <v>916.39</v>
      </c>
      <c r="AE830" s="60">
        <v>912.1</v>
      </c>
      <c r="AF830" s="60">
        <v>0</v>
      </c>
      <c r="AG830" s="60">
        <v>0</v>
      </c>
      <c r="AH830" s="60">
        <v>0</v>
      </c>
      <c r="AI830" s="60">
        <v>949.94</v>
      </c>
      <c r="AJ830" s="60">
        <v>916.39</v>
      </c>
      <c r="AK830" s="60">
        <v>912.1</v>
      </c>
      <c r="AL830" s="60">
        <v>0</v>
      </c>
      <c r="AM830" s="60">
        <v>0</v>
      </c>
      <c r="AN830" s="60">
        <v>0</v>
      </c>
      <c r="AO830" s="60">
        <v>949.94</v>
      </c>
      <c r="AP830" s="60">
        <v>916.39</v>
      </c>
      <c r="AQ830" s="60">
        <v>912.1</v>
      </c>
      <c r="AR830" s="61">
        <v>949.94</v>
      </c>
    </row>
    <row r="831" spans="1:44" x14ac:dyDescent="0.35">
      <c r="A831" s="49" t="str">
        <f t="shared" si="71"/>
        <v>19</v>
      </c>
      <c r="B831" s="27">
        <v>64733</v>
      </c>
      <c r="C831" s="25" t="str">
        <f>TEXT(140111,"0000000")</f>
        <v>0140111</v>
      </c>
      <c r="D831" s="27">
        <v>2088</v>
      </c>
      <c r="E831" s="25" t="s">
        <v>1055</v>
      </c>
      <c r="F831" s="25" t="s">
        <v>5</v>
      </c>
      <c r="G831" s="59" t="s">
        <v>1056</v>
      </c>
      <c r="H831" s="60">
        <v>0</v>
      </c>
      <c r="I831" s="60">
        <v>0</v>
      </c>
      <c r="J831" s="60">
        <v>0</v>
      </c>
      <c r="K831" s="60">
        <v>0</v>
      </c>
      <c r="L831" s="60">
        <v>0</v>
      </c>
      <c r="M831" s="60">
        <v>0</v>
      </c>
      <c r="N831" s="60">
        <v>0</v>
      </c>
      <c r="O831" s="60">
        <v>0</v>
      </c>
      <c r="P831" s="60">
        <v>0</v>
      </c>
      <c r="Q831" s="60">
        <v>0</v>
      </c>
      <c r="R831" s="60">
        <v>0</v>
      </c>
      <c r="S831" s="60">
        <v>0</v>
      </c>
      <c r="T831" s="60">
        <v>0</v>
      </c>
      <c r="U831" s="60">
        <v>0</v>
      </c>
      <c r="V831" s="60">
        <v>0</v>
      </c>
      <c r="W831" s="60">
        <v>0</v>
      </c>
      <c r="X831" s="60">
        <v>0</v>
      </c>
      <c r="Y831" s="60">
        <v>0</v>
      </c>
      <c r="Z831" s="60">
        <v>0</v>
      </c>
      <c r="AA831" s="60">
        <v>0</v>
      </c>
      <c r="AB831" s="60">
        <v>0</v>
      </c>
      <c r="AC831" s="60">
        <v>78.03</v>
      </c>
      <c r="AD831" s="60">
        <v>0</v>
      </c>
      <c r="AE831" s="60">
        <v>0</v>
      </c>
      <c r="AF831" s="60">
        <v>0</v>
      </c>
      <c r="AG831" s="60">
        <v>0</v>
      </c>
      <c r="AH831" s="60">
        <v>0</v>
      </c>
      <c r="AI831" s="60">
        <v>78.03</v>
      </c>
      <c r="AJ831" s="60">
        <v>0</v>
      </c>
      <c r="AK831" s="60">
        <v>0</v>
      </c>
      <c r="AL831" s="60">
        <v>0</v>
      </c>
      <c r="AM831" s="60">
        <v>72.849999999999994</v>
      </c>
      <c r="AN831" s="60">
        <v>21.9</v>
      </c>
      <c r="AO831" s="60">
        <v>78.03</v>
      </c>
      <c r="AP831" s="60">
        <v>72.849999999999994</v>
      </c>
      <c r="AQ831" s="60">
        <v>21.9</v>
      </c>
      <c r="AR831" s="61">
        <v>78.03</v>
      </c>
    </row>
    <row r="832" spans="1:44" x14ac:dyDescent="0.35">
      <c r="A832" s="49" t="str">
        <f t="shared" si="71"/>
        <v>19</v>
      </c>
      <c r="B832" s="27">
        <v>64857</v>
      </c>
      <c r="C832" s="25" t="str">
        <f>TEXT(112714,"0000000")</f>
        <v>0112714</v>
      </c>
      <c r="D832" s="26" t="s">
        <v>1073</v>
      </c>
      <c r="E832" s="25" t="s">
        <v>1071</v>
      </c>
      <c r="F832" s="25" t="s">
        <v>5</v>
      </c>
      <c r="G832" s="59" t="s">
        <v>1072</v>
      </c>
      <c r="H832" s="60">
        <v>0</v>
      </c>
      <c r="I832" s="60">
        <v>0</v>
      </c>
      <c r="J832" s="60">
        <v>0</v>
      </c>
      <c r="K832" s="60">
        <v>0</v>
      </c>
      <c r="L832" s="60">
        <v>0</v>
      </c>
      <c r="M832" s="60">
        <v>0</v>
      </c>
      <c r="N832" s="60">
        <v>0</v>
      </c>
      <c r="O832" s="60">
        <v>0</v>
      </c>
      <c r="P832" s="60">
        <v>0</v>
      </c>
      <c r="Q832" s="60">
        <v>0</v>
      </c>
      <c r="R832" s="60">
        <v>0</v>
      </c>
      <c r="S832" s="60">
        <v>0</v>
      </c>
      <c r="T832" s="60">
        <v>0</v>
      </c>
      <c r="U832" s="60">
        <v>0</v>
      </c>
      <c r="V832" s="60">
        <v>0</v>
      </c>
      <c r="W832" s="60">
        <v>0</v>
      </c>
      <c r="X832" s="60">
        <v>0</v>
      </c>
      <c r="Y832" s="60">
        <v>0</v>
      </c>
      <c r="Z832" s="60">
        <v>0</v>
      </c>
      <c r="AA832" s="60">
        <v>0</v>
      </c>
      <c r="AB832" s="60">
        <v>0</v>
      </c>
      <c r="AC832" s="60">
        <v>1351.62</v>
      </c>
      <c r="AD832" s="60">
        <v>1483.9</v>
      </c>
      <c r="AE832" s="60">
        <v>2952.97</v>
      </c>
      <c r="AF832" s="60">
        <v>0</v>
      </c>
      <c r="AG832" s="60">
        <v>0</v>
      </c>
      <c r="AH832" s="60">
        <v>0</v>
      </c>
      <c r="AI832" s="60">
        <v>1351.62</v>
      </c>
      <c r="AJ832" s="60">
        <v>1483.9</v>
      </c>
      <c r="AK832" s="60">
        <v>2952.97</v>
      </c>
      <c r="AL832" s="60">
        <v>0</v>
      </c>
      <c r="AM832" s="60">
        <v>0</v>
      </c>
      <c r="AN832" s="60">
        <v>0</v>
      </c>
      <c r="AO832" s="60">
        <v>1351.62</v>
      </c>
      <c r="AP832" s="60">
        <v>1483.9</v>
      </c>
      <c r="AQ832" s="60">
        <v>2952.97</v>
      </c>
      <c r="AR832" s="61">
        <v>2952.97</v>
      </c>
    </row>
    <row r="833" spans="1:44" x14ac:dyDescent="0.35">
      <c r="A833" s="49" t="str">
        <f t="shared" si="71"/>
        <v>19</v>
      </c>
      <c r="B833" s="27">
        <v>64857</v>
      </c>
      <c r="C833" s="25" t="str">
        <f>TEXT(125377,"0000000")</f>
        <v>0125377</v>
      </c>
      <c r="D833" s="27">
        <v>1367</v>
      </c>
      <c r="E833" s="25" t="s">
        <v>1074</v>
      </c>
      <c r="F833" s="25" t="s">
        <v>5</v>
      </c>
      <c r="G833" s="59" t="s">
        <v>1075</v>
      </c>
      <c r="H833" s="60">
        <v>0</v>
      </c>
      <c r="I833" s="60">
        <v>0</v>
      </c>
      <c r="J833" s="60">
        <v>0</v>
      </c>
      <c r="K833" s="60">
        <v>0</v>
      </c>
      <c r="L833" s="60">
        <v>0</v>
      </c>
      <c r="M833" s="60">
        <v>0</v>
      </c>
      <c r="N833" s="60">
        <v>0</v>
      </c>
      <c r="O833" s="60">
        <v>0</v>
      </c>
      <c r="P833" s="60">
        <v>0</v>
      </c>
      <c r="Q833" s="60">
        <v>0</v>
      </c>
      <c r="R833" s="60">
        <v>0</v>
      </c>
      <c r="S833" s="60">
        <v>0</v>
      </c>
      <c r="T833" s="60">
        <v>0</v>
      </c>
      <c r="U833" s="60">
        <v>0</v>
      </c>
      <c r="V833" s="60">
        <v>0</v>
      </c>
      <c r="W833" s="60">
        <v>0</v>
      </c>
      <c r="X833" s="60">
        <v>0</v>
      </c>
      <c r="Y833" s="60">
        <v>0</v>
      </c>
      <c r="Z833" s="60">
        <v>0</v>
      </c>
      <c r="AA833" s="60">
        <v>0</v>
      </c>
      <c r="AB833" s="60">
        <v>0</v>
      </c>
      <c r="AC833" s="60">
        <v>2096.36</v>
      </c>
      <c r="AD833" s="60">
        <v>2056.65</v>
      </c>
      <c r="AE833" s="60">
        <v>2231.91</v>
      </c>
      <c r="AF833" s="60">
        <v>0</v>
      </c>
      <c r="AG833" s="60">
        <v>0</v>
      </c>
      <c r="AH833" s="60">
        <v>0</v>
      </c>
      <c r="AI833" s="60">
        <v>2096.36</v>
      </c>
      <c r="AJ833" s="60">
        <v>2056.65</v>
      </c>
      <c r="AK833" s="60">
        <v>2231.91</v>
      </c>
      <c r="AL833" s="60">
        <v>0</v>
      </c>
      <c r="AM833" s="60">
        <v>0</v>
      </c>
      <c r="AN833" s="60">
        <v>0</v>
      </c>
      <c r="AO833" s="60">
        <v>2096.36</v>
      </c>
      <c r="AP833" s="60">
        <v>2056.65</v>
      </c>
      <c r="AQ833" s="60">
        <v>2231.91</v>
      </c>
      <c r="AR833" s="61">
        <v>2231.91</v>
      </c>
    </row>
    <row r="834" spans="1:44" x14ac:dyDescent="0.35">
      <c r="A834" s="49" t="str">
        <f t="shared" si="71"/>
        <v>19</v>
      </c>
      <c r="B834" s="27">
        <v>64907</v>
      </c>
      <c r="C834" s="25" t="str">
        <f>TEXT(1996693,"0000000")</f>
        <v>1996693</v>
      </c>
      <c r="D834" s="26" t="s">
        <v>1097</v>
      </c>
      <c r="E834" s="25" t="s">
        <v>1095</v>
      </c>
      <c r="F834" s="25" t="s">
        <v>5</v>
      </c>
      <c r="G834" s="59" t="s">
        <v>1096</v>
      </c>
      <c r="H834" s="60">
        <v>0</v>
      </c>
      <c r="I834" s="60">
        <v>0</v>
      </c>
      <c r="J834" s="60">
        <v>0</v>
      </c>
      <c r="K834" s="60">
        <v>0</v>
      </c>
      <c r="L834" s="60">
        <v>0</v>
      </c>
      <c r="M834" s="60">
        <v>0</v>
      </c>
      <c r="N834" s="60">
        <v>0</v>
      </c>
      <c r="O834" s="60">
        <v>0</v>
      </c>
      <c r="P834" s="60">
        <v>0</v>
      </c>
      <c r="Q834" s="60">
        <v>0</v>
      </c>
      <c r="R834" s="60">
        <v>0</v>
      </c>
      <c r="S834" s="60">
        <v>0</v>
      </c>
      <c r="T834" s="60">
        <v>0</v>
      </c>
      <c r="U834" s="60">
        <v>0</v>
      </c>
      <c r="V834" s="60">
        <v>0</v>
      </c>
      <c r="W834" s="60">
        <v>0</v>
      </c>
      <c r="X834" s="60">
        <v>0</v>
      </c>
      <c r="Y834" s="60">
        <v>0</v>
      </c>
      <c r="Z834" s="60">
        <v>0</v>
      </c>
      <c r="AA834" s="60">
        <v>0</v>
      </c>
      <c r="AB834" s="60">
        <v>0</v>
      </c>
      <c r="AC834" s="60">
        <v>598.42999999999995</v>
      </c>
      <c r="AD834" s="60">
        <v>630.39</v>
      </c>
      <c r="AE834" s="60">
        <v>710.76</v>
      </c>
      <c r="AF834" s="60">
        <v>0</v>
      </c>
      <c r="AG834" s="60">
        <v>0</v>
      </c>
      <c r="AH834" s="60">
        <v>0</v>
      </c>
      <c r="AI834" s="60">
        <v>598.42999999999995</v>
      </c>
      <c r="AJ834" s="60">
        <v>630.39</v>
      </c>
      <c r="AK834" s="60">
        <v>710.76</v>
      </c>
      <c r="AL834" s="60">
        <v>0</v>
      </c>
      <c r="AM834" s="60">
        <v>0</v>
      </c>
      <c r="AN834" s="60">
        <v>0</v>
      </c>
      <c r="AO834" s="60">
        <v>598.42999999999995</v>
      </c>
      <c r="AP834" s="60">
        <v>630.39</v>
      </c>
      <c r="AQ834" s="60">
        <v>710.76</v>
      </c>
      <c r="AR834" s="61">
        <v>710.76</v>
      </c>
    </row>
    <row r="835" spans="1:44" x14ac:dyDescent="0.35">
      <c r="A835" s="49" t="str">
        <f t="shared" si="71"/>
        <v>19</v>
      </c>
      <c r="B835" s="27">
        <v>65136</v>
      </c>
      <c r="C835" s="25" t="str">
        <f>TEXT(114439,"0000000")</f>
        <v>0114439</v>
      </c>
      <c r="D835" s="26" t="s">
        <v>1132</v>
      </c>
      <c r="E835" s="25" t="s">
        <v>1130</v>
      </c>
      <c r="F835" s="25" t="s">
        <v>5</v>
      </c>
      <c r="G835" s="59" t="s">
        <v>1131</v>
      </c>
      <c r="H835" s="60">
        <v>0</v>
      </c>
      <c r="I835" s="60">
        <v>0</v>
      </c>
      <c r="J835" s="60">
        <v>0</v>
      </c>
      <c r="K835" s="60">
        <v>0</v>
      </c>
      <c r="L835" s="60">
        <v>0</v>
      </c>
      <c r="M835" s="60">
        <v>0</v>
      </c>
      <c r="N835" s="60">
        <v>0</v>
      </c>
      <c r="O835" s="60">
        <v>0</v>
      </c>
      <c r="P835" s="60">
        <v>0</v>
      </c>
      <c r="Q835" s="60">
        <v>0</v>
      </c>
      <c r="R835" s="60">
        <v>0</v>
      </c>
      <c r="S835" s="60">
        <v>0</v>
      </c>
      <c r="T835" s="60">
        <v>0</v>
      </c>
      <c r="U835" s="60">
        <v>0</v>
      </c>
      <c r="V835" s="60">
        <v>0</v>
      </c>
      <c r="W835" s="60">
        <v>0</v>
      </c>
      <c r="X835" s="60">
        <v>0</v>
      </c>
      <c r="Y835" s="60">
        <v>0</v>
      </c>
      <c r="Z835" s="60">
        <v>0</v>
      </c>
      <c r="AA835" s="60">
        <v>0</v>
      </c>
      <c r="AB835" s="60">
        <v>0</v>
      </c>
      <c r="AC835" s="60">
        <v>395.24</v>
      </c>
      <c r="AD835" s="60">
        <v>304.04000000000002</v>
      </c>
      <c r="AE835" s="60">
        <v>317.58999999999997</v>
      </c>
      <c r="AF835" s="60">
        <v>0</v>
      </c>
      <c r="AG835" s="60">
        <v>0</v>
      </c>
      <c r="AH835" s="60">
        <v>0</v>
      </c>
      <c r="AI835" s="60">
        <v>395.24</v>
      </c>
      <c r="AJ835" s="60">
        <v>304.04000000000002</v>
      </c>
      <c r="AK835" s="60">
        <v>317.58999999999997</v>
      </c>
      <c r="AL835" s="60">
        <v>0</v>
      </c>
      <c r="AM835" s="60">
        <v>0</v>
      </c>
      <c r="AN835" s="60">
        <v>0</v>
      </c>
      <c r="AO835" s="60">
        <v>395.24</v>
      </c>
      <c r="AP835" s="60">
        <v>304.04000000000002</v>
      </c>
      <c r="AQ835" s="60">
        <v>317.58999999999997</v>
      </c>
      <c r="AR835" s="61">
        <v>395.24</v>
      </c>
    </row>
    <row r="836" spans="1:44" x14ac:dyDescent="0.35">
      <c r="A836" s="49" t="str">
        <f t="shared" si="71"/>
        <v>19</v>
      </c>
      <c r="B836" s="27">
        <v>65136</v>
      </c>
      <c r="C836" s="25" t="str">
        <f>TEXT(117234,"0000000")</f>
        <v>0117234</v>
      </c>
      <c r="D836" s="26" t="s">
        <v>1135</v>
      </c>
      <c r="E836" s="25" t="s">
        <v>1133</v>
      </c>
      <c r="F836" s="25" t="s">
        <v>5</v>
      </c>
      <c r="G836" s="59" t="s">
        <v>1134</v>
      </c>
      <c r="H836" s="60">
        <v>0</v>
      </c>
      <c r="I836" s="60">
        <v>0</v>
      </c>
      <c r="J836" s="60">
        <v>0</v>
      </c>
      <c r="K836" s="60">
        <v>0</v>
      </c>
      <c r="L836" s="60">
        <v>0</v>
      </c>
      <c r="M836" s="60">
        <v>0</v>
      </c>
      <c r="N836" s="60">
        <v>0</v>
      </c>
      <c r="O836" s="60">
        <v>0</v>
      </c>
      <c r="P836" s="60">
        <v>0</v>
      </c>
      <c r="Q836" s="60">
        <v>0</v>
      </c>
      <c r="R836" s="60">
        <v>0</v>
      </c>
      <c r="S836" s="60">
        <v>0</v>
      </c>
      <c r="T836" s="60">
        <v>0</v>
      </c>
      <c r="U836" s="60">
        <v>0</v>
      </c>
      <c r="V836" s="60">
        <v>0</v>
      </c>
      <c r="W836" s="60">
        <v>0</v>
      </c>
      <c r="X836" s="60">
        <v>0</v>
      </c>
      <c r="Y836" s="60">
        <v>0</v>
      </c>
      <c r="Z836" s="60">
        <v>0</v>
      </c>
      <c r="AA836" s="60">
        <v>0</v>
      </c>
      <c r="AB836" s="60">
        <v>0</v>
      </c>
      <c r="AC836" s="60">
        <v>678.81</v>
      </c>
      <c r="AD836" s="60">
        <v>747.11</v>
      </c>
      <c r="AE836" s="60">
        <v>901.57</v>
      </c>
      <c r="AF836" s="60">
        <v>0</v>
      </c>
      <c r="AG836" s="60">
        <v>0</v>
      </c>
      <c r="AH836" s="60">
        <v>0</v>
      </c>
      <c r="AI836" s="60">
        <v>678.81</v>
      </c>
      <c r="AJ836" s="60">
        <v>747.11</v>
      </c>
      <c r="AK836" s="60">
        <v>901.57</v>
      </c>
      <c r="AL836" s="60">
        <v>0</v>
      </c>
      <c r="AM836" s="60">
        <v>0</v>
      </c>
      <c r="AN836" s="60">
        <v>0</v>
      </c>
      <c r="AO836" s="60">
        <v>678.81</v>
      </c>
      <c r="AP836" s="60">
        <v>747.11</v>
      </c>
      <c r="AQ836" s="60">
        <v>901.57</v>
      </c>
      <c r="AR836" s="61">
        <v>901.57</v>
      </c>
    </row>
    <row r="837" spans="1:44" x14ac:dyDescent="0.35">
      <c r="A837" s="49" t="str">
        <f>TEXT(1,"00")</f>
        <v>01</v>
      </c>
      <c r="B837" s="27">
        <v>61119</v>
      </c>
      <c r="C837" s="25" t="str">
        <f>TEXT(130609,"0000000")</f>
        <v>0130609</v>
      </c>
      <c r="D837" s="26" t="s">
        <v>45</v>
      </c>
      <c r="E837" s="25" t="s">
        <v>43</v>
      </c>
      <c r="F837" s="25" t="s">
        <v>5</v>
      </c>
      <c r="G837" s="59" t="s">
        <v>44</v>
      </c>
      <c r="H837" s="60">
        <v>0</v>
      </c>
      <c r="I837" s="60">
        <v>0</v>
      </c>
      <c r="J837" s="60">
        <v>0</v>
      </c>
      <c r="K837" s="60">
        <v>0</v>
      </c>
      <c r="L837" s="60">
        <v>0</v>
      </c>
      <c r="M837" s="60">
        <v>0</v>
      </c>
      <c r="N837" s="60">
        <v>0</v>
      </c>
      <c r="O837" s="60">
        <v>0</v>
      </c>
      <c r="P837" s="60">
        <v>0</v>
      </c>
      <c r="Q837" s="60">
        <v>0</v>
      </c>
      <c r="R837" s="60">
        <v>0</v>
      </c>
      <c r="S837" s="60">
        <v>0</v>
      </c>
      <c r="T837" s="60">
        <v>0</v>
      </c>
      <c r="U837" s="60">
        <v>0</v>
      </c>
      <c r="V837" s="60">
        <v>0</v>
      </c>
      <c r="W837" s="60">
        <v>0</v>
      </c>
      <c r="X837" s="60">
        <v>0</v>
      </c>
      <c r="Y837" s="60">
        <v>0</v>
      </c>
      <c r="Z837" s="60">
        <v>0</v>
      </c>
      <c r="AA837" s="60">
        <v>0</v>
      </c>
      <c r="AB837" s="60">
        <v>0</v>
      </c>
      <c r="AC837" s="60">
        <v>369.2</v>
      </c>
      <c r="AD837" s="60">
        <v>333.78</v>
      </c>
      <c r="AE837" s="60">
        <v>339.83</v>
      </c>
      <c r="AF837" s="60">
        <v>0</v>
      </c>
      <c r="AG837" s="60">
        <v>0</v>
      </c>
      <c r="AH837" s="60">
        <v>0</v>
      </c>
      <c r="AI837" s="60">
        <v>369.2</v>
      </c>
      <c r="AJ837" s="60">
        <v>333.78</v>
      </c>
      <c r="AK837" s="60">
        <v>339.83</v>
      </c>
      <c r="AL837" s="60">
        <v>0</v>
      </c>
      <c r="AM837" s="60">
        <v>0</v>
      </c>
      <c r="AN837" s="60">
        <v>0</v>
      </c>
      <c r="AO837" s="60">
        <v>369.2</v>
      </c>
      <c r="AP837" s="60">
        <v>333.78</v>
      </c>
      <c r="AQ837" s="60">
        <v>339.83</v>
      </c>
      <c r="AR837" s="61">
        <v>369.2</v>
      </c>
    </row>
    <row r="838" spans="1:44" x14ac:dyDescent="0.35">
      <c r="A838" s="49" t="str">
        <f t="shared" ref="A838:A847" si="72">TEXT(19,"00")</f>
        <v>19</v>
      </c>
      <c r="B838" s="27">
        <v>73437</v>
      </c>
      <c r="C838" s="25" t="str">
        <f>TEXT(115725,"0000000")</f>
        <v>0115725</v>
      </c>
      <c r="D838" s="26" t="s">
        <v>1145</v>
      </c>
      <c r="E838" s="25" t="s">
        <v>1143</v>
      </c>
      <c r="F838" s="25" t="s">
        <v>5</v>
      </c>
      <c r="G838" s="59" t="s">
        <v>1144</v>
      </c>
      <c r="H838" s="60">
        <v>0</v>
      </c>
      <c r="I838" s="60">
        <v>0</v>
      </c>
      <c r="J838" s="60">
        <v>0</v>
      </c>
      <c r="K838" s="60">
        <v>0</v>
      </c>
      <c r="L838" s="60">
        <v>0</v>
      </c>
      <c r="M838" s="60">
        <v>0</v>
      </c>
      <c r="N838" s="60">
        <v>0</v>
      </c>
      <c r="O838" s="60">
        <v>0</v>
      </c>
      <c r="P838" s="60">
        <v>0</v>
      </c>
      <c r="Q838" s="60">
        <v>0</v>
      </c>
      <c r="R838" s="60">
        <v>0</v>
      </c>
      <c r="S838" s="60">
        <v>0</v>
      </c>
      <c r="T838" s="60">
        <v>0</v>
      </c>
      <c r="U838" s="60">
        <v>0</v>
      </c>
      <c r="V838" s="60">
        <v>0</v>
      </c>
      <c r="W838" s="60">
        <v>0</v>
      </c>
      <c r="X838" s="60">
        <v>0</v>
      </c>
      <c r="Y838" s="60">
        <v>0</v>
      </c>
      <c r="Z838" s="60">
        <v>0</v>
      </c>
      <c r="AA838" s="60">
        <v>0</v>
      </c>
      <c r="AB838" s="60">
        <v>0</v>
      </c>
      <c r="AC838" s="60">
        <v>667.41</v>
      </c>
      <c r="AD838" s="60">
        <v>666.26</v>
      </c>
      <c r="AE838" s="60">
        <v>668.62</v>
      </c>
      <c r="AF838" s="60">
        <v>0</v>
      </c>
      <c r="AG838" s="60">
        <v>0</v>
      </c>
      <c r="AH838" s="60">
        <v>0</v>
      </c>
      <c r="AI838" s="60">
        <v>667.41</v>
      </c>
      <c r="AJ838" s="60">
        <v>666.26</v>
      </c>
      <c r="AK838" s="60">
        <v>668.62</v>
      </c>
      <c r="AL838" s="60">
        <v>0</v>
      </c>
      <c r="AM838" s="60">
        <v>0</v>
      </c>
      <c r="AN838" s="60">
        <v>0</v>
      </c>
      <c r="AO838" s="60">
        <v>667.41</v>
      </c>
      <c r="AP838" s="60">
        <v>666.26</v>
      </c>
      <c r="AQ838" s="60">
        <v>668.62</v>
      </c>
      <c r="AR838" s="61">
        <v>668.62</v>
      </c>
    </row>
    <row r="839" spans="1:44" x14ac:dyDescent="0.35">
      <c r="A839" s="49" t="str">
        <f t="shared" si="72"/>
        <v>19</v>
      </c>
      <c r="B839" s="27">
        <v>73437</v>
      </c>
      <c r="C839" s="25" t="str">
        <f>TEXT(118760,"0000000")</f>
        <v>0118760</v>
      </c>
      <c r="D839" s="27">
        <v>1062</v>
      </c>
      <c r="E839" s="25" t="s">
        <v>1146</v>
      </c>
      <c r="F839" s="25" t="s">
        <v>5</v>
      </c>
      <c r="G839" s="59" t="s">
        <v>1147</v>
      </c>
      <c r="H839" s="60">
        <v>0</v>
      </c>
      <c r="I839" s="60">
        <v>0</v>
      </c>
      <c r="J839" s="60">
        <v>0</v>
      </c>
      <c r="K839" s="60">
        <v>0</v>
      </c>
      <c r="L839" s="60">
        <v>0</v>
      </c>
      <c r="M839" s="60">
        <v>0</v>
      </c>
      <c r="N839" s="60">
        <v>0</v>
      </c>
      <c r="O839" s="60">
        <v>0</v>
      </c>
      <c r="P839" s="60">
        <v>0</v>
      </c>
      <c r="Q839" s="60">
        <v>0</v>
      </c>
      <c r="R839" s="60">
        <v>0</v>
      </c>
      <c r="S839" s="60">
        <v>0</v>
      </c>
      <c r="T839" s="60">
        <v>0</v>
      </c>
      <c r="U839" s="60">
        <v>0</v>
      </c>
      <c r="V839" s="60">
        <v>0</v>
      </c>
      <c r="W839" s="60">
        <v>0</v>
      </c>
      <c r="X839" s="60">
        <v>0</v>
      </c>
      <c r="Y839" s="60">
        <v>0</v>
      </c>
      <c r="Z839" s="60">
        <v>0</v>
      </c>
      <c r="AA839" s="60">
        <v>0</v>
      </c>
      <c r="AB839" s="60">
        <v>0</v>
      </c>
      <c r="AC839" s="60">
        <v>351.24</v>
      </c>
      <c r="AD839" s="60">
        <v>343.58</v>
      </c>
      <c r="AE839" s="60">
        <v>383.65</v>
      </c>
      <c r="AF839" s="60">
        <v>0</v>
      </c>
      <c r="AG839" s="60">
        <v>0</v>
      </c>
      <c r="AH839" s="60">
        <v>0</v>
      </c>
      <c r="AI839" s="60">
        <v>351.24</v>
      </c>
      <c r="AJ839" s="60">
        <v>343.58</v>
      </c>
      <c r="AK839" s="60">
        <v>383.65</v>
      </c>
      <c r="AL839" s="60">
        <v>0</v>
      </c>
      <c r="AM839" s="60">
        <v>0</v>
      </c>
      <c r="AN839" s="60">
        <v>0</v>
      </c>
      <c r="AO839" s="60">
        <v>351.24</v>
      </c>
      <c r="AP839" s="60">
        <v>343.58</v>
      </c>
      <c r="AQ839" s="60">
        <v>383.65</v>
      </c>
      <c r="AR839" s="61">
        <v>383.65</v>
      </c>
    </row>
    <row r="840" spans="1:44" x14ac:dyDescent="0.35">
      <c r="A840" s="49" t="str">
        <f t="shared" si="72"/>
        <v>19</v>
      </c>
      <c r="B840" s="27">
        <v>73437</v>
      </c>
      <c r="C840" s="25" t="str">
        <f>TEXT(132845,"0000000")</f>
        <v>0132845</v>
      </c>
      <c r="D840" s="27">
        <v>1772</v>
      </c>
      <c r="E840" s="25" t="s">
        <v>1148</v>
      </c>
      <c r="F840" s="25" t="s">
        <v>5</v>
      </c>
      <c r="G840" s="59" t="s">
        <v>1149</v>
      </c>
      <c r="H840" s="60">
        <v>0</v>
      </c>
      <c r="I840" s="60">
        <v>0</v>
      </c>
      <c r="J840" s="60">
        <v>0</v>
      </c>
      <c r="K840" s="60">
        <v>0</v>
      </c>
      <c r="L840" s="60">
        <v>0</v>
      </c>
      <c r="M840" s="60">
        <v>0</v>
      </c>
      <c r="N840" s="60">
        <v>0</v>
      </c>
      <c r="O840" s="60">
        <v>0</v>
      </c>
      <c r="P840" s="60">
        <v>0</v>
      </c>
      <c r="Q840" s="60">
        <v>0</v>
      </c>
      <c r="R840" s="60">
        <v>0</v>
      </c>
      <c r="S840" s="60">
        <v>0</v>
      </c>
      <c r="T840" s="60">
        <v>0</v>
      </c>
      <c r="U840" s="60">
        <v>0</v>
      </c>
      <c r="V840" s="60">
        <v>0</v>
      </c>
      <c r="W840" s="60">
        <v>0</v>
      </c>
      <c r="X840" s="60">
        <v>0</v>
      </c>
      <c r="Y840" s="60">
        <v>0</v>
      </c>
      <c r="Z840" s="60">
        <v>0</v>
      </c>
      <c r="AA840" s="60">
        <v>0</v>
      </c>
      <c r="AB840" s="60">
        <v>0</v>
      </c>
      <c r="AC840" s="60">
        <v>377.82</v>
      </c>
      <c r="AD840" s="60">
        <v>439.32</v>
      </c>
      <c r="AE840" s="60">
        <v>633</v>
      </c>
      <c r="AF840" s="60">
        <v>0</v>
      </c>
      <c r="AG840" s="60">
        <v>0</v>
      </c>
      <c r="AH840" s="60">
        <v>0</v>
      </c>
      <c r="AI840" s="60">
        <v>377.82</v>
      </c>
      <c r="AJ840" s="60">
        <v>439.32</v>
      </c>
      <c r="AK840" s="60">
        <v>633</v>
      </c>
      <c r="AL840" s="60">
        <v>0</v>
      </c>
      <c r="AM840" s="60">
        <v>0</v>
      </c>
      <c r="AN840" s="60">
        <v>0</v>
      </c>
      <c r="AO840" s="60">
        <v>377.82</v>
      </c>
      <c r="AP840" s="60">
        <v>439.32</v>
      </c>
      <c r="AQ840" s="60">
        <v>633</v>
      </c>
      <c r="AR840" s="61">
        <v>633</v>
      </c>
    </row>
    <row r="841" spans="1:44" x14ac:dyDescent="0.35">
      <c r="A841" s="49" t="str">
        <f t="shared" si="72"/>
        <v>19</v>
      </c>
      <c r="B841" s="27">
        <v>73437</v>
      </c>
      <c r="C841" s="25" t="str">
        <f>TEXT(137240,"0000000")</f>
        <v>0137240</v>
      </c>
      <c r="D841" s="27">
        <v>1952</v>
      </c>
      <c r="E841" s="25" t="s">
        <v>1152</v>
      </c>
      <c r="F841" s="25" t="s">
        <v>5</v>
      </c>
      <c r="G841" s="59" t="s">
        <v>1153</v>
      </c>
      <c r="H841" s="60">
        <v>0</v>
      </c>
      <c r="I841" s="60">
        <v>0</v>
      </c>
      <c r="J841" s="60">
        <v>0</v>
      </c>
      <c r="K841" s="60">
        <v>0</v>
      </c>
      <c r="L841" s="60">
        <v>0</v>
      </c>
      <c r="M841" s="60">
        <v>0</v>
      </c>
      <c r="N841" s="60">
        <v>0</v>
      </c>
      <c r="O841" s="60">
        <v>0</v>
      </c>
      <c r="P841" s="60">
        <v>0</v>
      </c>
      <c r="Q841" s="60">
        <v>0</v>
      </c>
      <c r="R841" s="60">
        <v>0</v>
      </c>
      <c r="S841" s="60">
        <v>0</v>
      </c>
      <c r="T841" s="60">
        <v>0</v>
      </c>
      <c r="U841" s="60">
        <v>0</v>
      </c>
      <c r="V841" s="60">
        <v>0</v>
      </c>
      <c r="W841" s="60">
        <v>0</v>
      </c>
      <c r="X841" s="60">
        <v>0</v>
      </c>
      <c r="Y841" s="60">
        <v>0</v>
      </c>
      <c r="Z841" s="60">
        <v>0</v>
      </c>
      <c r="AA841" s="60">
        <v>0</v>
      </c>
      <c r="AB841" s="60">
        <v>0</v>
      </c>
      <c r="AC841" s="60">
        <v>136.09</v>
      </c>
      <c r="AD841" s="60">
        <v>149.34</v>
      </c>
      <c r="AE841" s="60">
        <v>143.19999999999999</v>
      </c>
      <c r="AF841" s="60">
        <v>0</v>
      </c>
      <c r="AG841" s="60">
        <v>0</v>
      </c>
      <c r="AH841" s="60">
        <v>0</v>
      </c>
      <c r="AI841" s="60">
        <v>136.09</v>
      </c>
      <c r="AJ841" s="60">
        <v>149.34</v>
      </c>
      <c r="AK841" s="60">
        <v>143.19999999999999</v>
      </c>
      <c r="AL841" s="60">
        <v>0</v>
      </c>
      <c r="AM841" s="60">
        <v>0</v>
      </c>
      <c r="AN841" s="60">
        <v>0</v>
      </c>
      <c r="AO841" s="60">
        <v>136.09</v>
      </c>
      <c r="AP841" s="60">
        <v>149.34</v>
      </c>
      <c r="AQ841" s="60">
        <v>143.19999999999999</v>
      </c>
      <c r="AR841" s="61">
        <v>149.34</v>
      </c>
    </row>
    <row r="842" spans="1:44" x14ac:dyDescent="0.35">
      <c r="A842" s="49" t="str">
        <f t="shared" si="72"/>
        <v>19</v>
      </c>
      <c r="B842" s="27">
        <v>73437</v>
      </c>
      <c r="C842" s="25" t="str">
        <f>TEXT(137893,"0000000")</f>
        <v>0137893</v>
      </c>
      <c r="D842" s="27">
        <v>1996</v>
      </c>
      <c r="E842" s="25" t="s">
        <v>1154</v>
      </c>
      <c r="F842" s="25" t="s">
        <v>5</v>
      </c>
      <c r="G842" s="59" t="s">
        <v>1155</v>
      </c>
      <c r="H842" s="60">
        <v>0</v>
      </c>
      <c r="I842" s="60">
        <v>0</v>
      </c>
      <c r="J842" s="60">
        <v>0</v>
      </c>
      <c r="K842" s="60">
        <v>0</v>
      </c>
      <c r="L842" s="60">
        <v>0</v>
      </c>
      <c r="M842" s="60">
        <v>0</v>
      </c>
      <c r="N842" s="60">
        <v>0</v>
      </c>
      <c r="O842" s="60">
        <v>0</v>
      </c>
      <c r="P842" s="60">
        <v>0</v>
      </c>
      <c r="Q842" s="60">
        <v>0</v>
      </c>
      <c r="R842" s="60">
        <v>0</v>
      </c>
      <c r="S842" s="60">
        <v>0</v>
      </c>
      <c r="T842" s="60">
        <v>0</v>
      </c>
      <c r="U842" s="60">
        <v>0</v>
      </c>
      <c r="V842" s="60">
        <v>0</v>
      </c>
      <c r="W842" s="60">
        <v>0</v>
      </c>
      <c r="X842" s="60">
        <v>0</v>
      </c>
      <c r="Y842" s="60">
        <v>0</v>
      </c>
      <c r="Z842" s="60">
        <v>0</v>
      </c>
      <c r="AA842" s="60">
        <v>0</v>
      </c>
      <c r="AB842" s="60">
        <v>0</v>
      </c>
      <c r="AC842" s="60">
        <v>468.49</v>
      </c>
      <c r="AD842" s="60">
        <v>361.12</v>
      </c>
      <c r="AE842" s="60">
        <v>328.6</v>
      </c>
      <c r="AF842" s="60">
        <v>0</v>
      </c>
      <c r="AG842" s="60">
        <v>0</v>
      </c>
      <c r="AH842" s="60">
        <v>0</v>
      </c>
      <c r="AI842" s="60">
        <v>468.49</v>
      </c>
      <c r="AJ842" s="60">
        <v>361.12</v>
      </c>
      <c r="AK842" s="60">
        <v>328.6</v>
      </c>
      <c r="AL842" s="60">
        <v>0</v>
      </c>
      <c r="AM842" s="60">
        <v>0</v>
      </c>
      <c r="AN842" s="60">
        <v>0</v>
      </c>
      <c r="AO842" s="60">
        <v>468.49</v>
      </c>
      <c r="AP842" s="60">
        <v>361.12</v>
      </c>
      <c r="AQ842" s="60">
        <v>328.6</v>
      </c>
      <c r="AR842" s="61">
        <v>468.49</v>
      </c>
    </row>
    <row r="843" spans="1:44" x14ac:dyDescent="0.35">
      <c r="A843" s="49" t="str">
        <f t="shared" si="72"/>
        <v>19</v>
      </c>
      <c r="B843" s="27">
        <v>73437</v>
      </c>
      <c r="C843" s="25" t="str">
        <f>TEXT(137984,"0000000")</f>
        <v>0137984</v>
      </c>
      <c r="D843" s="27">
        <v>1990</v>
      </c>
      <c r="E843" s="25" t="s">
        <v>1156</v>
      </c>
      <c r="F843" s="25" t="s">
        <v>5</v>
      </c>
      <c r="G843" s="59" t="s">
        <v>1157</v>
      </c>
      <c r="H843" s="60">
        <v>0</v>
      </c>
      <c r="I843" s="60">
        <v>0</v>
      </c>
      <c r="J843" s="60">
        <v>0</v>
      </c>
      <c r="K843" s="60">
        <v>0</v>
      </c>
      <c r="L843" s="60">
        <v>0</v>
      </c>
      <c r="M843" s="60">
        <v>0</v>
      </c>
      <c r="N843" s="60">
        <v>0</v>
      </c>
      <c r="O843" s="60">
        <v>0</v>
      </c>
      <c r="P843" s="60">
        <v>0</v>
      </c>
      <c r="Q843" s="60">
        <v>0</v>
      </c>
      <c r="R843" s="60">
        <v>0</v>
      </c>
      <c r="S843" s="60">
        <v>0</v>
      </c>
      <c r="T843" s="60">
        <v>0</v>
      </c>
      <c r="U843" s="60">
        <v>0</v>
      </c>
      <c r="V843" s="60">
        <v>0</v>
      </c>
      <c r="W843" s="60">
        <v>0</v>
      </c>
      <c r="X843" s="60">
        <v>0</v>
      </c>
      <c r="Y843" s="60">
        <v>0</v>
      </c>
      <c r="Z843" s="60">
        <v>0</v>
      </c>
      <c r="AA843" s="60">
        <v>0</v>
      </c>
      <c r="AB843" s="60">
        <v>0</v>
      </c>
      <c r="AC843" s="60">
        <v>294.63</v>
      </c>
      <c r="AD843" s="60">
        <v>248.29</v>
      </c>
      <c r="AE843" s="60">
        <v>211.1</v>
      </c>
      <c r="AF843" s="60">
        <v>0</v>
      </c>
      <c r="AG843" s="60">
        <v>0</v>
      </c>
      <c r="AH843" s="60">
        <v>0</v>
      </c>
      <c r="AI843" s="60">
        <v>294.63</v>
      </c>
      <c r="AJ843" s="60">
        <v>248.29</v>
      </c>
      <c r="AK843" s="60">
        <v>211.1</v>
      </c>
      <c r="AL843" s="60">
        <v>0</v>
      </c>
      <c r="AM843" s="60">
        <v>0</v>
      </c>
      <c r="AN843" s="60">
        <v>0</v>
      </c>
      <c r="AO843" s="60">
        <v>294.63</v>
      </c>
      <c r="AP843" s="60">
        <v>248.29</v>
      </c>
      <c r="AQ843" s="60">
        <v>211.1</v>
      </c>
      <c r="AR843" s="61">
        <v>294.63</v>
      </c>
    </row>
    <row r="844" spans="1:44" x14ac:dyDescent="0.35">
      <c r="A844" s="49" t="str">
        <f t="shared" si="72"/>
        <v>19</v>
      </c>
      <c r="B844" s="27">
        <v>75309</v>
      </c>
      <c r="C844" s="25" t="str">
        <f>TEXT(127100,"0000000")</f>
        <v>0127100</v>
      </c>
      <c r="D844" s="27">
        <v>1458</v>
      </c>
      <c r="E844" s="25" t="s">
        <v>1170</v>
      </c>
      <c r="F844" s="25" t="s">
        <v>5</v>
      </c>
      <c r="G844" s="59" t="s">
        <v>1171</v>
      </c>
      <c r="H844" s="60">
        <v>0</v>
      </c>
      <c r="I844" s="60">
        <v>0</v>
      </c>
      <c r="J844" s="60">
        <v>0</v>
      </c>
      <c r="K844" s="60">
        <v>0</v>
      </c>
      <c r="L844" s="60">
        <v>0</v>
      </c>
      <c r="M844" s="60">
        <v>0</v>
      </c>
      <c r="N844" s="60">
        <v>0</v>
      </c>
      <c r="O844" s="60">
        <v>0</v>
      </c>
      <c r="P844" s="60">
        <v>0</v>
      </c>
      <c r="Q844" s="60">
        <v>0</v>
      </c>
      <c r="R844" s="60">
        <v>0</v>
      </c>
      <c r="S844" s="60">
        <v>0</v>
      </c>
      <c r="T844" s="60">
        <v>0</v>
      </c>
      <c r="U844" s="60">
        <v>0</v>
      </c>
      <c r="V844" s="60">
        <v>0</v>
      </c>
      <c r="W844" s="60">
        <v>0</v>
      </c>
      <c r="X844" s="60">
        <v>0</v>
      </c>
      <c r="Y844" s="60">
        <v>0</v>
      </c>
      <c r="Z844" s="60">
        <v>0</v>
      </c>
      <c r="AA844" s="60">
        <v>0</v>
      </c>
      <c r="AB844" s="60">
        <v>0</v>
      </c>
      <c r="AC844" s="60">
        <v>3344.92</v>
      </c>
      <c r="AD844" s="60">
        <v>3277.19</v>
      </c>
      <c r="AE844" s="60">
        <v>3340.65</v>
      </c>
      <c r="AF844" s="60">
        <v>0</v>
      </c>
      <c r="AG844" s="60">
        <v>0</v>
      </c>
      <c r="AH844" s="60">
        <v>0</v>
      </c>
      <c r="AI844" s="60">
        <v>3344.92</v>
      </c>
      <c r="AJ844" s="60">
        <v>3277.19</v>
      </c>
      <c r="AK844" s="60">
        <v>3340.65</v>
      </c>
      <c r="AL844" s="60">
        <v>0</v>
      </c>
      <c r="AM844" s="60">
        <v>0</v>
      </c>
      <c r="AN844" s="60">
        <v>0</v>
      </c>
      <c r="AO844" s="60">
        <v>3344.92</v>
      </c>
      <c r="AP844" s="60">
        <v>3277.19</v>
      </c>
      <c r="AQ844" s="60">
        <v>3340.65</v>
      </c>
      <c r="AR844" s="61">
        <v>3344.92</v>
      </c>
    </row>
    <row r="845" spans="1:44" x14ac:dyDescent="0.35">
      <c r="A845" s="49" t="str">
        <f t="shared" si="72"/>
        <v>19</v>
      </c>
      <c r="B845" s="27">
        <v>75309</v>
      </c>
      <c r="C845" s="25" t="str">
        <f>TEXT(131987,"0000000")</f>
        <v>0131987</v>
      </c>
      <c r="D845" s="27">
        <v>1699</v>
      </c>
      <c r="E845" s="25" t="s">
        <v>1172</v>
      </c>
      <c r="F845" s="25" t="s">
        <v>5</v>
      </c>
      <c r="G845" s="59" t="s">
        <v>1173</v>
      </c>
      <c r="H845" s="60">
        <v>0</v>
      </c>
      <c r="I845" s="60">
        <v>0</v>
      </c>
      <c r="J845" s="60">
        <v>0</v>
      </c>
      <c r="K845" s="60">
        <v>0</v>
      </c>
      <c r="L845" s="60">
        <v>0</v>
      </c>
      <c r="M845" s="60">
        <v>0</v>
      </c>
      <c r="N845" s="60">
        <v>0</v>
      </c>
      <c r="O845" s="60">
        <v>0</v>
      </c>
      <c r="P845" s="60">
        <v>0</v>
      </c>
      <c r="Q845" s="60">
        <v>0</v>
      </c>
      <c r="R845" s="60">
        <v>0</v>
      </c>
      <c r="S845" s="60">
        <v>0</v>
      </c>
      <c r="T845" s="60">
        <v>0</v>
      </c>
      <c r="U845" s="60">
        <v>0</v>
      </c>
      <c r="V845" s="60">
        <v>0</v>
      </c>
      <c r="W845" s="60">
        <v>0</v>
      </c>
      <c r="X845" s="60">
        <v>0</v>
      </c>
      <c r="Y845" s="60">
        <v>0</v>
      </c>
      <c r="Z845" s="60">
        <v>0</v>
      </c>
      <c r="AA845" s="60">
        <v>0</v>
      </c>
      <c r="AB845" s="60">
        <v>0</v>
      </c>
      <c r="AC845" s="60">
        <v>3504.31</v>
      </c>
      <c r="AD845" s="60">
        <v>3830.06</v>
      </c>
      <c r="AE845" s="60">
        <v>3546.84</v>
      </c>
      <c r="AF845" s="60">
        <v>0</v>
      </c>
      <c r="AG845" s="60">
        <v>0</v>
      </c>
      <c r="AH845" s="60">
        <v>0</v>
      </c>
      <c r="AI845" s="60">
        <v>3504.31</v>
      </c>
      <c r="AJ845" s="60">
        <v>3830.06</v>
      </c>
      <c r="AK845" s="60">
        <v>3546.84</v>
      </c>
      <c r="AL845" s="60">
        <v>0</v>
      </c>
      <c r="AM845" s="60">
        <v>0</v>
      </c>
      <c r="AN845" s="60">
        <v>0</v>
      </c>
      <c r="AO845" s="60">
        <v>3504.31</v>
      </c>
      <c r="AP845" s="60">
        <v>3830.06</v>
      </c>
      <c r="AQ845" s="60">
        <v>3546.84</v>
      </c>
      <c r="AR845" s="61">
        <v>3830.06</v>
      </c>
    </row>
    <row r="846" spans="1:44" x14ac:dyDescent="0.35">
      <c r="A846" s="49" t="str">
        <f t="shared" si="72"/>
        <v>19</v>
      </c>
      <c r="B846" s="27">
        <v>75309</v>
      </c>
      <c r="C846" s="25" t="str">
        <f>TEXT(134619,"0000000")</f>
        <v>0134619</v>
      </c>
      <c r="D846" s="27">
        <v>1836</v>
      </c>
      <c r="E846" s="25" t="s">
        <v>1176</v>
      </c>
      <c r="F846" s="25" t="s">
        <v>5</v>
      </c>
      <c r="G846" s="59" t="s">
        <v>1177</v>
      </c>
      <c r="H846" s="60">
        <v>0</v>
      </c>
      <c r="I846" s="60">
        <v>0</v>
      </c>
      <c r="J846" s="60">
        <v>0</v>
      </c>
      <c r="K846" s="60">
        <v>0</v>
      </c>
      <c r="L846" s="60">
        <v>0</v>
      </c>
      <c r="M846" s="60">
        <v>0</v>
      </c>
      <c r="N846" s="60">
        <v>0</v>
      </c>
      <c r="O846" s="60">
        <v>0</v>
      </c>
      <c r="P846" s="60">
        <v>0</v>
      </c>
      <c r="Q846" s="60">
        <v>0</v>
      </c>
      <c r="R846" s="60">
        <v>0</v>
      </c>
      <c r="S846" s="60">
        <v>0</v>
      </c>
      <c r="T846" s="60">
        <v>0</v>
      </c>
      <c r="U846" s="60">
        <v>0</v>
      </c>
      <c r="V846" s="60">
        <v>0</v>
      </c>
      <c r="W846" s="60">
        <v>0</v>
      </c>
      <c r="X846" s="60">
        <v>0</v>
      </c>
      <c r="Y846" s="60">
        <v>0</v>
      </c>
      <c r="Z846" s="60">
        <v>0</v>
      </c>
      <c r="AA846" s="60">
        <v>0</v>
      </c>
      <c r="AB846" s="60">
        <v>0</v>
      </c>
      <c r="AC846" s="60">
        <v>59.73</v>
      </c>
      <c r="AD846" s="60">
        <v>63.21</v>
      </c>
      <c r="AE846" s="60">
        <v>90.96</v>
      </c>
      <c r="AF846" s="60">
        <v>0</v>
      </c>
      <c r="AG846" s="60">
        <v>0</v>
      </c>
      <c r="AH846" s="60">
        <v>0</v>
      </c>
      <c r="AI846" s="60">
        <v>59.73</v>
      </c>
      <c r="AJ846" s="60">
        <v>63.21</v>
      </c>
      <c r="AK846" s="60">
        <v>90.96</v>
      </c>
      <c r="AL846" s="60">
        <v>0</v>
      </c>
      <c r="AM846" s="60">
        <v>0</v>
      </c>
      <c r="AN846" s="60">
        <v>0</v>
      </c>
      <c r="AO846" s="60">
        <v>59.73</v>
      </c>
      <c r="AP846" s="60">
        <v>63.21</v>
      </c>
      <c r="AQ846" s="60">
        <v>90.96</v>
      </c>
      <c r="AR846" s="61">
        <v>90.96</v>
      </c>
    </row>
    <row r="847" spans="1:44" x14ac:dyDescent="0.35">
      <c r="A847" s="49" t="str">
        <f t="shared" si="72"/>
        <v>19</v>
      </c>
      <c r="B847" s="27">
        <v>75309</v>
      </c>
      <c r="C847" s="25" t="str">
        <f>TEXT(135145,"0000000")</f>
        <v>0135145</v>
      </c>
      <c r="D847" s="27">
        <v>1651</v>
      </c>
      <c r="E847" s="25" t="s">
        <v>1178</v>
      </c>
      <c r="F847" s="25" t="s">
        <v>5</v>
      </c>
      <c r="G847" s="59" t="s">
        <v>1179</v>
      </c>
      <c r="H847" s="60">
        <v>0</v>
      </c>
      <c r="I847" s="60">
        <v>0</v>
      </c>
      <c r="J847" s="60">
        <v>0</v>
      </c>
      <c r="K847" s="60">
        <v>0</v>
      </c>
      <c r="L847" s="60">
        <v>0</v>
      </c>
      <c r="M847" s="60">
        <v>0</v>
      </c>
      <c r="N847" s="60">
        <v>0</v>
      </c>
      <c r="O847" s="60">
        <v>0</v>
      </c>
      <c r="P847" s="60">
        <v>0</v>
      </c>
      <c r="Q847" s="60">
        <v>0</v>
      </c>
      <c r="R847" s="60">
        <v>0</v>
      </c>
      <c r="S847" s="60">
        <v>0</v>
      </c>
      <c r="T847" s="60">
        <v>0</v>
      </c>
      <c r="U847" s="60">
        <v>0</v>
      </c>
      <c r="V847" s="60">
        <v>0</v>
      </c>
      <c r="W847" s="60">
        <v>0</v>
      </c>
      <c r="X847" s="60">
        <v>0</v>
      </c>
      <c r="Y847" s="60">
        <v>0</v>
      </c>
      <c r="Z847" s="60">
        <v>0</v>
      </c>
      <c r="AA847" s="60">
        <v>0</v>
      </c>
      <c r="AB847" s="60">
        <v>0</v>
      </c>
      <c r="AC847" s="60">
        <v>845.41</v>
      </c>
      <c r="AD847" s="60">
        <v>878.72</v>
      </c>
      <c r="AE847" s="60">
        <v>847.95</v>
      </c>
      <c r="AF847" s="60">
        <v>0</v>
      </c>
      <c r="AG847" s="60">
        <v>0</v>
      </c>
      <c r="AH847" s="60">
        <v>0</v>
      </c>
      <c r="AI847" s="60">
        <v>845.41</v>
      </c>
      <c r="AJ847" s="60">
        <v>878.72</v>
      </c>
      <c r="AK847" s="60">
        <v>847.95</v>
      </c>
      <c r="AL847" s="60">
        <v>0</v>
      </c>
      <c r="AM847" s="60">
        <v>0</v>
      </c>
      <c r="AN847" s="60">
        <v>0</v>
      </c>
      <c r="AO847" s="60">
        <v>845.41</v>
      </c>
      <c r="AP847" s="60">
        <v>878.72</v>
      </c>
      <c r="AQ847" s="60">
        <v>847.95</v>
      </c>
      <c r="AR847" s="61">
        <v>878.72</v>
      </c>
    </row>
    <row r="848" spans="1:44" x14ac:dyDescent="0.35">
      <c r="A848" s="49" t="str">
        <f>TEXT(1,"00")</f>
        <v>01</v>
      </c>
      <c r="B848" s="27">
        <v>61192</v>
      </c>
      <c r="C848" s="25" t="str">
        <f>TEXT(108670,"0000000")</f>
        <v>0108670</v>
      </c>
      <c r="D848" s="26" t="s">
        <v>58</v>
      </c>
      <c r="E848" s="25" t="s">
        <v>56</v>
      </c>
      <c r="F848" s="25" t="s">
        <v>5</v>
      </c>
      <c r="G848" s="59" t="s">
        <v>57</v>
      </c>
      <c r="H848" s="60">
        <v>0</v>
      </c>
      <c r="I848" s="60">
        <v>0</v>
      </c>
      <c r="J848" s="60">
        <v>0</v>
      </c>
      <c r="K848" s="60">
        <v>0</v>
      </c>
      <c r="L848" s="60">
        <v>0</v>
      </c>
      <c r="M848" s="60">
        <v>0</v>
      </c>
      <c r="N848" s="60">
        <v>0</v>
      </c>
      <c r="O848" s="60">
        <v>0</v>
      </c>
      <c r="P848" s="60">
        <v>0</v>
      </c>
      <c r="Q848" s="60">
        <v>0</v>
      </c>
      <c r="R848" s="60">
        <v>0</v>
      </c>
      <c r="S848" s="60">
        <v>0</v>
      </c>
      <c r="T848" s="60">
        <v>0</v>
      </c>
      <c r="U848" s="60">
        <v>0</v>
      </c>
      <c r="V848" s="60">
        <v>0</v>
      </c>
      <c r="W848" s="60">
        <v>0</v>
      </c>
      <c r="X848" s="60">
        <v>0</v>
      </c>
      <c r="Y848" s="60">
        <v>0</v>
      </c>
      <c r="Z848" s="60">
        <v>0</v>
      </c>
      <c r="AA848" s="60">
        <v>0</v>
      </c>
      <c r="AB848" s="60">
        <v>0</v>
      </c>
      <c r="AC848" s="60">
        <v>536.17999999999995</v>
      </c>
      <c r="AD848" s="60">
        <v>539.09</v>
      </c>
      <c r="AE848" s="60">
        <v>572.96</v>
      </c>
      <c r="AF848" s="60">
        <v>0</v>
      </c>
      <c r="AG848" s="60">
        <v>0</v>
      </c>
      <c r="AH848" s="60">
        <v>0</v>
      </c>
      <c r="AI848" s="60">
        <v>536.17999999999995</v>
      </c>
      <c r="AJ848" s="60">
        <v>539.09</v>
      </c>
      <c r="AK848" s="60">
        <v>572.96</v>
      </c>
      <c r="AL848" s="60">
        <v>0</v>
      </c>
      <c r="AM848" s="60">
        <v>0</v>
      </c>
      <c r="AN848" s="60">
        <v>0</v>
      </c>
      <c r="AO848" s="60">
        <v>536.17999999999995</v>
      </c>
      <c r="AP848" s="60">
        <v>539.09</v>
      </c>
      <c r="AQ848" s="60">
        <v>572.96</v>
      </c>
      <c r="AR848" s="61">
        <v>572.96</v>
      </c>
    </row>
    <row r="849" spans="1:44" x14ac:dyDescent="0.35">
      <c r="A849" s="49" t="str">
        <f t="shared" ref="A849:A857" si="73">TEXT(19,"00")</f>
        <v>19</v>
      </c>
      <c r="B849" s="27">
        <v>75309</v>
      </c>
      <c r="C849" s="25" t="str">
        <f>TEXT(136531,"0000000")</f>
        <v>0136531</v>
      </c>
      <c r="D849" s="27">
        <v>1902</v>
      </c>
      <c r="E849" s="25" t="s">
        <v>1180</v>
      </c>
      <c r="F849" s="25" t="s">
        <v>5</v>
      </c>
      <c r="G849" s="59" t="s">
        <v>1181</v>
      </c>
      <c r="H849" s="60">
        <v>0</v>
      </c>
      <c r="I849" s="60">
        <v>0</v>
      </c>
      <c r="J849" s="60">
        <v>0</v>
      </c>
      <c r="K849" s="60">
        <v>0</v>
      </c>
      <c r="L849" s="60">
        <v>0</v>
      </c>
      <c r="M849" s="60">
        <v>0</v>
      </c>
      <c r="N849" s="60">
        <v>0</v>
      </c>
      <c r="O849" s="60">
        <v>0</v>
      </c>
      <c r="P849" s="60">
        <v>0</v>
      </c>
      <c r="Q849" s="60">
        <v>0</v>
      </c>
      <c r="R849" s="60">
        <v>0</v>
      </c>
      <c r="S849" s="60">
        <v>0</v>
      </c>
      <c r="T849" s="60">
        <v>0</v>
      </c>
      <c r="U849" s="60">
        <v>0</v>
      </c>
      <c r="V849" s="60">
        <v>0</v>
      </c>
      <c r="W849" s="60">
        <v>0</v>
      </c>
      <c r="X849" s="60">
        <v>0</v>
      </c>
      <c r="Y849" s="60">
        <v>0</v>
      </c>
      <c r="Z849" s="60">
        <v>0</v>
      </c>
      <c r="AA849" s="60">
        <v>0</v>
      </c>
      <c r="AB849" s="60">
        <v>0</v>
      </c>
      <c r="AC849" s="60">
        <v>297.52999999999997</v>
      </c>
      <c r="AD849" s="60">
        <v>351.61</v>
      </c>
      <c r="AE849" s="60">
        <v>206.89</v>
      </c>
      <c r="AF849" s="60">
        <v>0</v>
      </c>
      <c r="AG849" s="60">
        <v>0</v>
      </c>
      <c r="AH849" s="60">
        <v>0</v>
      </c>
      <c r="AI849" s="60">
        <v>297.52999999999997</v>
      </c>
      <c r="AJ849" s="60">
        <v>351.61</v>
      </c>
      <c r="AK849" s="60">
        <v>206.89</v>
      </c>
      <c r="AL849" s="60">
        <v>0</v>
      </c>
      <c r="AM849" s="60">
        <v>0</v>
      </c>
      <c r="AN849" s="60">
        <v>0</v>
      </c>
      <c r="AO849" s="60">
        <v>297.52999999999997</v>
      </c>
      <c r="AP849" s="60">
        <v>351.61</v>
      </c>
      <c r="AQ849" s="60">
        <v>206.89</v>
      </c>
      <c r="AR849" s="61">
        <v>351.61</v>
      </c>
    </row>
    <row r="850" spans="1:44" x14ac:dyDescent="0.35">
      <c r="A850" s="49" t="str">
        <f t="shared" si="73"/>
        <v>19</v>
      </c>
      <c r="B850" s="27">
        <v>75309</v>
      </c>
      <c r="C850" s="25" t="str">
        <f>TEXT(137703,"0000000")</f>
        <v>0137703</v>
      </c>
      <c r="D850" s="27">
        <v>1697</v>
      </c>
      <c r="E850" s="25" t="s">
        <v>1184</v>
      </c>
      <c r="F850" s="25" t="s">
        <v>5</v>
      </c>
      <c r="G850" s="59" t="s">
        <v>1185</v>
      </c>
      <c r="H850" s="60">
        <v>0</v>
      </c>
      <c r="I850" s="60">
        <v>0</v>
      </c>
      <c r="J850" s="60">
        <v>0</v>
      </c>
      <c r="K850" s="60">
        <v>0</v>
      </c>
      <c r="L850" s="60">
        <v>0</v>
      </c>
      <c r="M850" s="60">
        <v>0</v>
      </c>
      <c r="N850" s="60">
        <v>0</v>
      </c>
      <c r="O850" s="60">
        <v>0</v>
      </c>
      <c r="P850" s="60">
        <v>0</v>
      </c>
      <c r="Q850" s="60">
        <v>0</v>
      </c>
      <c r="R850" s="60">
        <v>0</v>
      </c>
      <c r="S850" s="60">
        <v>0</v>
      </c>
      <c r="T850" s="60">
        <v>0</v>
      </c>
      <c r="U850" s="60">
        <v>0</v>
      </c>
      <c r="V850" s="60">
        <v>0</v>
      </c>
      <c r="W850" s="60">
        <v>0</v>
      </c>
      <c r="X850" s="60">
        <v>0</v>
      </c>
      <c r="Y850" s="60">
        <v>0</v>
      </c>
      <c r="Z850" s="60">
        <v>0</v>
      </c>
      <c r="AA850" s="60">
        <v>0</v>
      </c>
      <c r="AB850" s="60">
        <v>0</v>
      </c>
      <c r="AC850" s="60">
        <v>457.24</v>
      </c>
      <c r="AD850" s="60">
        <v>0</v>
      </c>
      <c r="AE850" s="60">
        <v>0</v>
      </c>
      <c r="AF850" s="60">
        <v>0</v>
      </c>
      <c r="AG850" s="60">
        <v>0</v>
      </c>
      <c r="AH850" s="60">
        <v>0</v>
      </c>
      <c r="AI850" s="60">
        <v>457.24</v>
      </c>
      <c r="AJ850" s="60">
        <v>0</v>
      </c>
      <c r="AK850" s="60">
        <v>0</v>
      </c>
      <c r="AL850" s="60">
        <v>0</v>
      </c>
      <c r="AM850" s="60">
        <v>198.37</v>
      </c>
      <c r="AN850" s="60">
        <v>1290.1600000000001</v>
      </c>
      <c r="AO850" s="60">
        <v>457.24</v>
      </c>
      <c r="AP850" s="60">
        <v>198.37</v>
      </c>
      <c r="AQ850" s="60">
        <v>1290.1600000000001</v>
      </c>
      <c r="AR850" s="61">
        <v>1290.1600000000001</v>
      </c>
    </row>
    <row r="851" spans="1:44" x14ac:dyDescent="0.35">
      <c r="A851" s="49" t="str">
        <f t="shared" si="73"/>
        <v>19</v>
      </c>
      <c r="B851" s="27">
        <v>75309</v>
      </c>
      <c r="C851" s="25" t="str">
        <f>TEXT(137786,"0000000")</f>
        <v>0137786</v>
      </c>
      <c r="D851" s="27">
        <v>1972</v>
      </c>
      <c r="E851" s="25" t="s">
        <v>1186</v>
      </c>
      <c r="F851" s="25" t="s">
        <v>5</v>
      </c>
      <c r="G851" s="59" t="s">
        <v>1187</v>
      </c>
      <c r="H851" s="60">
        <v>0</v>
      </c>
      <c r="I851" s="60">
        <v>0</v>
      </c>
      <c r="J851" s="60">
        <v>0</v>
      </c>
      <c r="K851" s="60">
        <v>0</v>
      </c>
      <c r="L851" s="60">
        <v>0</v>
      </c>
      <c r="M851" s="60">
        <v>0</v>
      </c>
      <c r="N851" s="60">
        <v>0</v>
      </c>
      <c r="O851" s="60">
        <v>0</v>
      </c>
      <c r="P851" s="60">
        <v>0</v>
      </c>
      <c r="Q851" s="60">
        <v>0</v>
      </c>
      <c r="R851" s="60">
        <v>0</v>
      </c>
      <c r="S851" s="60">
        <v>0</v>
      </c>
      <c r="T851" s="60">
        <v>0</v>
      </c>
      <c r="U851" s="60">
        <v>0</v>
      </c>
      <c r="V851" s="60">
        <v>0</v>
      </c>
      <c r="W851" s="60">
        <v>0</v>
      </c>
      <c r="X851" s="60">
        <v>0</v>
      </c>
      <c r="Y851" s="60">
        <v>0</v>
      </c>
      <c r="Z851" s="60">
        <v>0</v>
      </c>
      <c r="AA851" s="60">
        <v>0</v>
      </c>
      <c r="AB851" s="60">
        <v>0</v>
      </c>
      <c r="AC851" s="60">
        <v>1107.1500000000001</v>
      </c>
      <c r="AD851" s="60">
        <v>522.97</v>
      </c>
      <c r="AE851" s="60">
        <v>519.34</v>
      </c>
      <c r="AF851" s="60">
        <v>0</v>
      </c>
      <c r="AG851" s="60">
        <v>0</v>
      </c>
      <c r="AH851" s="60">
        <v>0</v>
      </c>
      <c r="AI851" s="60">
        <v>1107.1500000000001</v>
      </c>
      <c r="AJ851" s="60">
        <v>522.97</v>
      </c>
      <c r="AK851" s="60">
        <v>519.34</v>
      </c>
      <c r="AL851" s="60">
        <v>0</v>
      </c>
      <c r="AM851" s="60">
        <v>0</v>
      </c>
      <c r="AN851" s="60">
        <v>0</v>
      </c>
      <c r="AO851" s="60">
        <v>1107.1500000000001</v>
      </c>
      <c r="AP851" s="60">
        <v>522.97</v>
      </c>
      <c r="AQ851" s="60">
        <v>519.34</v>
      </c>
      <c r="AR851" s="61">
        <v>1107.1500000000001</v>
      </c>
    </row>
    <row r="852" spans="1:44" x14ac:dyDescent="0.35">
      <c r="A852" s="49" t="str">
        <f t="shared" si="73"/>
        <v>19</v>
      </c>
      <c r="B852" s="27">
        <v>75309</v>
      </c>
      <c r="C852" s="25" t="str">
        <f>TEXT(138297,"0000000")</f>
        <v>0138297</v>
      </c>
      <c r="D852" s="27">
        <v>2003</v>
      </c>
      <c r="E852" s="25" t="s">
        <v>1188</v>
      </c>
      <c r="F852" s="25" t="s">
        <v>5</v>
      </c>
      <c r="G852" s="59" t="s">
        <v>1189</v>
      </c>
      <c r="H852" s="60">
        <v>0</v>
      </c>
      <c r="I852" s="60">
        <v>0</v>
      </c>
      <c r="J852" s="60">
        <v>0</v>
      </c>
      <c r="K852" s="60">
        <v>0</v>
      </c>
      <c r="L852" s="60">
        <v>0</v>
      </c>
      <c r="M852" s="60">
        <v>0</v>
      </c>
      <c r="N852" s="60">
        <v>0</v>
      </c>
      <c r="O852" s="60">
        <v>0</v>
      </c>
      <c r="P852" s="60">
        <v>0</v>
      </c>
      <c r="Q852" s="60">
        <v>0</v>
      </c>
      <c r="R852" s="60">
        <v>0</v>
      </c>
      <c r="S852" s="60">
        <v>0</v>
      </c>
      <c r="T852" s="60">
        <v>0</v>
      </c>
      <c r="U852" s="60">
        <v>0</v>
      </c>
      <c r="V852" s="60">
        <v>0</v>
      </c>
      <c r="W852" s="60">
        <v>0</v>
      </c>
      <c r="X852" s="60">
        <v>0</v>
      </c>
      <c r="Y852" s="60">
        <v>0</v>
      </c>
      <c r="Z852" s="60">
        <v>0</v>
      </c>
      <c r="AA852" s="60">
        <v>0</v>
      </c>
      <c r="AB852" s="60">
        <v>0</v>
      </c>
      <c r="AC852" s="60">
        <v>279.47000000000003</v>
      </c>
      <c r="AD852" s="60">
        <v>293.12</v>
      </c>
      <c r="AE852" s="60">
        <v>264.60000000000002</v>
      </c>
      <c r="AF852" s="60">
        <v>0</v>
      </c>
      <c r="AG852" s="60">
        <v>0</v>
      </c>
      <c r="AH852" s="60">
        <v>0</v>
      </c>
      <c r="AI852" s="60">
        <v>279.47000000000003</v>
      </c>
      <c r="AJ852" s="60">
        <v>293.12</v>
      </c>
      <c r="AK852" s="60">
        <v>264.60000000000002</v>
      </c>
      <c r="AL852" s="60">
        <v>0</v>
      </c>
      <c r="AM852" s="60">
        <v>0</v>
      </c>
      <c r="AN852" s="60">
        <v>0</v>
      </c>
      <c r="AO852" s="60">
        <v>279.47000000000003</v>
      </c>
      <c r="AP852" s="60">
        <v>293.12</v>
      </c>
      <c r="AQ852" s="60">
        <v>264.60000000000002</v>
      </c>
      <c r="AR852" s="61">
        <v>293.12</v>
      </c>
    </row>
    <row r="853" spans="1:44" x14ac:dyDescent="0.35">
      <c r="A853" s="49" t="str">
        <f t="shared" si="73"/>
        <v>19</v>
      </c>
      <c r="B853" s="27">
        <v>75663</v>
      </c>
      <c r="C853" s="25" t="str">
        <f>TEXT(6120158,"0000000")</f>
        <v>6120158</v>
      </c>
      <c r="D853" s="26" t="s">
        <v>1196</v>
      </c>
      <c r="E853" s="25" t="s">
        <v>1194</v>
      </c>
      <c r="F853" s="25" t="s">
        <v>5</v>
      </c>
      <c r="G853" s="59" t="s">
        <v>1195</v>
      </c>
      <c r="H853" s="60">
        <v>0</v>
      </c>
      <c r="I853" s="60">
        <v>0</v>
      </c>
      <c r="J853" s="60">
        <v>0</v>
      </c>
      <c r="K853" s="60">
        <v>0</v>
      </c>
      <c r="L853" s="60">
        <v>0</v>
      </c>
      <c r="M853" s="60">
        <v>0</v>
      </c>
      <c r="N853" s="60">
        <v>0</v>
      </c>
      <c r="O853" s="60">
        <v>0</v>
      </c>
      <c r="P853" s="60">
        <v>0</v>
      </c>
      <c r="Q853" s="60">
        <v>0</v>
      </c>
      <c r="R853" s="60">
        <v>0</v>
      </c>
      <c r="S853" s="60">
        <v>0</v>
      </c>
      <c r="T853" s="60">
        <v>0</v>
      </c>
      <c r="U853" s="60">
        <v>0</v>
      </c>
      <c r="V853" s="60">
        <v>0</v>
      </c>
      <c r="W853" s="60">
        <v>0</v>
      </c>
      <c r="X853" s="60">
        <v>0</v>
      </c>
      <c r="Y853" s="60">
        <v>0</v>
      </c>
      <c r="Z853" s="60">
        <v>0</v>
      </c>
      <c r="AA853" s="60">
        <v>0</v>
      </c>
      <c r="AB853" s="60">
        <v>0</v>
      </c>
      <c r="AC853" s="60">
        <v>938.88</v>
      </c>
      <c r="AD853" s="60">
        <v>983.8</v>
      </c>
      <c r="AE853" s="60">
        <v>986.8</v>
      </c>
      <c r="AF853" s="60">
        <v>0</v>
      </c>
      <c r="AG853" s="60">
        <v>0</v>
      </c>
      <c r="AH853" s="60">
        <v>0</v>
      </c>
      <c r="AI853" s="60">
        <v>938.88</v>
      </c>
      <c r="AJ853" s="60">
        <v>983.8</v>
      </c>
      <c r="AK853" s="60">
        <v>986.8</v>
      </c>
      <c r="AL853" s="60">
        <v>0</v>
      </c>
      <c r="AM853" s="60">
        <v>0</v>
      </c>
      <c r="AN853" s="60">
        <v>0</v>
      </c>
      <c r="AO853" s="60">
        <v>938.88</v>
      </c>
      <c r="AP853" s="60">
        <v>983.8</v>
      </c>
      <c r="AQ853" s="60">
        <v>986.8</v>
      </c>
      <c r="AR853" s="61">
        <v>986.8</v>
      </c>
    </row>
    <row r="854" spans="1:44" x14ac:dyDescent="0.35">
      <c r="A854" s="49" t="str">
        <f t="shared" si="73"/>
        <v>19</v>
      </c>
      <c r="B854" s="27">
        <v>76869</v>
      </c>
      <c r="C854" s="25" t="str">
        <f>TEXT(119016,"0000000")</f>
        <v>0119016</v>
      </c>
      <c r="D854" s="27">
        <v>1060</v>
      </c>
      <c r="E854" s="25" t="s">
        <v>1199</v>
      </c>
      <c r="F854" s="25" t="s">
        <v>5</v>
      </c>
      <c r="G854" s="59" t="s">
        <v>1200</v>
      </c>
      <c r="H854" s="60">
        <v>0</v>
      </c>
      <c r="I854" s="60">
        <v>0</v>
      </c>
      <c r="J854" s="60">
        <v>0</v>
      </c>
      <c r="K854" s="60">
        <v>0</v>
      </c>
      <c r="L854" s="60">
        <v>0</v>
      </c>
      <c r="M854" s="60">
        <v>0</v>
      </c>
      <c r="N854" s="60">
        <v>0</v>
      </c>
      <c r="O854" s="60">
        <v>0</v>
      </c>
      <c r="P854" s="60">
        <v>0</v>
      </c>
      <c r="Q854" s="60">
        <v>0</v>
      </c>
      <c r="R854" s="60">
        <v>0</v>
      </c>
      <c r="S854" s="60">
        <v>0</v>
      </c>
      <c r="T854" s="60">
        <v>0</v>
      </c>
      <c r="U854" s="60">
        <v>0</v>
      </c>
      <c r="V854" s="60">
        <v>0</v>
      </c>
      <c r="W854" s="60">
        <v>0</v>
      </c>
      <c r="X854" s="60">
        <v>0</v>
      </c>
      <c r="Y854" s="60">
        <v>0</v>
      </c>
      <c r="Z854" s="60">
        <v>0</v>
      </c>
      <c r="AA854" s="60">
        <v>0</v>
      </c>
      <c r="AB854" s="60">
        <v>0</v>
      </c>
      <c r="AC854" s="60">
        <v>521.65</v>
      </c>
      <c r="AD854" s="60">
        <v>534.59</v>
      </c>
      <c r="AE854" s="60">
        <v>558.66999999999996</v>
      </c>
      <c r="AF854" s="60">
        <v>0</v>
      </c>
      <c r="AG854" s="60">
        <v>0</v>
      </c>
      <c r="AH854" s="60">
        <v>0</v>
      </c>
      <c r="AI854" s="60">
        <v>521.65</v>
      </c>
      <c r="AJ854" s="60">
        <v>534.59</v>
      </c>
      <c r="AK854" s="60">
        <v>558.66999999999996</v>
      </c>
      <c r="AL854" s="60">
        <v>0</v>
      </c>
      <c r="AM854" s="60">
        <v>0</v>
      </c>
      <c r="AN854" s="60">
        <v>0</v>
      </c>
      <c r="AO854" s="60">
        <v>521.65</v>
      </c>
      <c r="AP854" s="60">
        <v>534.59</v>
      </c>
      <c r="AQ854" s="60">
        <v>558.66999999999996</v>
      </c>
      <c r="AR854" s="61">
        <v>558.66999999999996</v>
      </c>
    </row>
    <row r="855" spans="1:44" x14ac:dyDescent="0.35">
      <c r="A855" s="49" t="str">
        <f t="shared" si="73"/>
        <v>19</v>
      </c>
      <c r="B855" s="27">
        <v>76869</v>
      </c>
      <c r="C855" s="25" t="str">
        <f>TEXT(119636,"0000000")</f>
        <v>0119636</v>
      </c>
      <c r="D855" s="27">
        <v>1081</v>
      </c>
      <c r="E855" s="25" t="s">
        <v>1201</v>
      </c>
      <c r="F855" s="25" t="s">
        <v>5</v>
      </c>
      <c r="G855" s="59" t="s">
        <v>1202</v>
      </c>
      <c r="H855" s="60">
        <v>0</v>
      </c>
      <c r="I855" s="60">
        <v>0</v>
      </c>
      <c r="J855" s="60">
        <v>0</v>
      </c>
      <c r="K855" s="60">
        <v>0</v>
      </c>
      <c r="L855" s="60">
        <v>0</v>
      </c>
      <c r="M855" s="60">
        <v>0</v>
      </c>
      <c r="N855" s="60">
        <v>0</v>
      </c>
      <c r="O855" s="60">
        <v>0</v>
      </c>
      <c r="P855" s="60">
        <v>0</v>
      </c>
      <c r="Q855" s="60">
        <v>0</v>
      </c>
      <c r="R855" s="60">
        <v>0</v>
      </c>
      <c r="S855" s="60">
        <v>0</v>
      </c>
      <c r="T855" s="60">
        <v>0</v>
      </c>
      <c r="U855" s="60">
        <v>0</v>
      </c>
      <c r="V855" s="60">
        <v>0</v>
      </c>
      <c r="W855" s="60">
        <v>0</v>
      </c>
      <c r="X855" s="60">
        <v>0</v>
      </c>
      <c r="Y855" s="60">
        <v>0</v>
      </c>
      <c r="Z855" s="60">
        <v>0</v>
      </c>
      <c r="AA855" s="60">
        <v>0</v>
      </c>
      <c r="AB855" s="60">
        <v>0</v>
      </c>
      <c r="AC855" s="60">
        <v>500.79</v>
      </c>
      <c r="AD855" s="60">
        <v>505.95</v>
      </c>
      <c r="AE855" s="60">
        <v>577.17999999999995</v>
      </c>
      <c r="AF855" s="60">
        <v>0</v>
      </c>
      <c r="AG855" s="60">
        <v>0</v>
      </c>
      <c r="AH855" s="60">
        <v>0</v>
      </c>
      <c r="AI855" s="60">
        <v>500.79</v>
      </c>
      <c r="AJ855" s="60">
        <v>505.95</v>
      </c>
      <c r="AK855" s="60">
        <v>577.17999999999995</v>
      </c>
      <c r="AL855" s="60">
        <v>0</v>
      </c>
      <c r="AM855" s="60">
        <v>0</v>
      </c>
      <c r="AN855" s="60">
        <v>0</v>
      </c>
      <c r="AO855" s="60">
        <v>500.79</v>
      </c>
      <c r="AP855" s="60">
        <v>505.95</v>
      </c>
      <c r="AQ855" s="60">
        <v>577.17999999999995</v>
      </c>
      <c r="AR855" s="61">
        <v>577.17999999999995</v>
      </c>
    </row>
    <row r="856" spans="1:44" x14ac:dyDescent="0.35">
      <c r="A856" s="49" t="str">
        <f t="shared" si="73"/>
        <v>19</v>
      </c>
      <c r="B856" s="27">
        <v>76869</v>
      </c>
      <c r="C856" s="25" t="str">
        <f>TEXT(128728,"0000000")</f>
        <v>0128728</v>
      </c>
      <c r="D856" s="27">
        <v>1597</v>
      </c>
      <c r="E856" s="25" t="s">
        <v>1203</v>
      </c>
      <c r="F856" s="25" t="s">
        <v>5</v>
      </c>
      <c r="G856" s="59" t="s">
        <v>1204</v>
      </c>
      <c r="H856" s="60">
        <v>0</v>
      </c>
      <c r="I856" s="60">
        <v>0</v>
      </c>
      <c r="J856" s="60">
        <v>0</v>
      </c>
      <c r="K856" s="60">
        <v>0</v>
      </c>
      <c r="L856" s="60">
        <v>0</v>
      </c>
      <c r="M856" s="60">
        <v>0</v>
      </c>
      <c r="N856" s="60">
        <v>0</v>
      </c>
      <c r="O856" s="60">
        <v>0</v>
      </c>
      <c r="P856" s="60">
        <v>0</v>
      </c>
      <c r="Q856" s="60">
        <v>0</v>
      </c>
      <c r="R856" s="60">
        <v>0</v>
      </c>
      <c r="S856" s="60">
        <v>0</v>
      </c>
      <c r="T856" s="60">
        <v>0</v>
      </c>
      <c r="U856" s="60">
        <v>0</v>
      </c>
      <c r="V856" s="60">
        <v>0</v>
      </c>
      <c r="W856" s="60">
        <v>0</v>
      </c>
      <c r="X856" s="60">
        <v>0</v>
      </c>
      <c r="Y856" s="60">
        <v>0</v>
      </c>
      <c r="Z856" s="60">
        <v>0</v>
      </c>
      <c r="AA856" s="60">
        <v>0</v>
      </c>
      <c r="AB856" s="60">
        <v>0</v>
      </c>
      <c r="AC856" s="60">
        <v>774.42</v>
      </c>
      <c r="AD856" s="60">
        <v>635.97</v>
      </c>
      <c r="AE856" s="60">
        <v>0</v>
      </c>
      <c r="AF856" s="60">
        <v>0</v>
      </c>
      <c r="AG856" s="60">
        <v>0</v>
      </c>
      <c r="AH856" s="60">
        <v>0</v>
      </c>
      <c r="AI856" s="60">
        <v>774.42</v>
      </c>
      <c r="AJ856" s="60">
        <v>635.97</v>
      </c>
      <c r="AK856" s="60">
        <v>0</v>
      </c>
      <c r="AL856" s="60">
        <v>0</v>
      </c>
      <c r="AM856" s="60">
        <v>0</v>
      </c>
      <c r="AN856" s="60">
        <v>0</v>
      </c>
      <c r="AO856" s="60">
        <v>774.42</v>
      </c>
      <c r="AP856" s="60">
        <v>635.97</v>
      </c>
      <c r="AQ856" s="60">
        <v>0</v>
      </c>
      <c r="AR856" s="61">
        <v>774.42</v>
      </c>
    </row>
    <row r="857" spans="1:44" x14ac:dyDescent="0.35">
      <c r="A857" s="49" t="str">
        <f t="shared" si="73"/>
        <v>19</v>
      </c>
      <c r="B857" s="27">
        <v>76869</v>
      </c>
      <c r="C857" s="25" t="str">
        <f>TEXT(131128,"0000000")</f>
        <v>0131128</v>
      </c>
      <c r="D857" s="27">
        <v>1689</v>
      </c>
      <c r="E857" s="25" t="s">
        <v>1205</v>
      </c>
      <c r="F857" s="25" t="s">
        <v>5</v>
      </c>
      <c r="G857" s="59" t="s">
        <v>1206</v>
      </c>
      <c r="H857" s="60">
        <v>0</v>
      </c>
      <c r="I857" s="60">
        <v>0</v>
      </c>
      <c r="J857" s="60">
        <v>0</v>
      </c>
      <c r="K857" s="60">
        <v>0</v>
      </c>
      <c r="L857" s="60">
        <v>0</v>
      </c>
      <c r="M857" s="60">
        <v>0</v>
      </c>
      <c r="N857" s="60">
        <v>0</v>
      </c>
      <c r="O857" s="60">
        <v>0</v>
      </c>
      <c r="P857" s="60">
        <v>0</v>
      </c>
      <c r="Q857" s="60">
        <v>0</v>
      </c>
      <c r="R857" s="60">
        <v>0</v>
      </c>
      <c r="S857" s="60">
        <v>0</v>
      </c>
      <c r="T857" s="60">
        <v>0</v>
      </c>
      <c r="U857" s="60">
        <v>0</v>
      </c>
      <c r="V857" s="60">
        <v>0</v>
      </c>
      <c r="W857" s="60">
        <v>0</v>
      </c>
      <c r="X857" s="60">
        <v>0</v>
      </c>
      <c r="Y857" s="60">
        <v>0</v>
      </c>
      <c r="Z857" s="60">
        <v>0</v>
      </c>
      <c r="AA857" s="60">
        <v>0</v>
      </c>
      <c r="AB857" s="60">
        <v>0</v>
      </c>
      <c r="AC857" s="60">
        <v>497.11</v>
      </c>
      <c r="AD857" s="60">
        <v>480.11</v>
      </c>
      <c r="AE857" s="60">
        <v>555</v>
      </c>
      <c r="AF857" s="60">
        <v>0</v>
      </c>
      <c r="AG857" s="60">
        <v>0</v>
      </c>
      <c r="AH857" s="60">
        <v>0</v>
      </c>
      <c r="AI857" s="60">
        <v>497.11</v>
      </c>
      <c r="AJ857" s="60">
        <v>480.11</v>
      </c>
      <c r="AK857" s="60">
        <v>555</v>
      </c>
      <c r="AL857" s="60">
        <v>0</v>
      </c>
      <c r="AM857" s="60">
        <v>0</v>
      </c>
      <c r="AN857" s="60">
        <v>0</v>
      </c>
      <c r="AO857" s="60">
        <v>497.11</v>
      </c>
      <c r="AP857" s="60">
        <v>480.11</v>
      </c>
      <c r="AQ857" s="60">
        <v>555</v>
      </c>
      <c r="AR857" s="61">
        <v>555</v>
      </c>
    </row>
    <row r="858" spans="1:44" x14ac:dyDescent="0.35">
      <c r="A858" s="49" t="str">
        <f>TEXT(21,"00")</f>
        <v>21</v>
      </c>
      <c r="B858" s="27">
        <v>10215</v>
      </c>
      <c r="C858" s="25" t="str">
        <f>TEXT(135350,"0000000")</f>
        <v>0135350</v>
      </c>
      <c r="D858" s="27">
        <v>1790</v>
      </c>
      <c r="E858" s="25" t="s">
        <v>1251</v>
      </c>
      <c r="F858" s="25" t="s">
        <v>5</v>
      </c>
      <c r="G858" s="59" t="s">
        <v>1252</v>
      </c>
      <c r="H858" s="60">
        <v>0</v>
      </c>
      <c r="I858" s="60">
        <v>0</v>
      </c>
      <c r="J858" s="60">
        <v>0</v>
      </c>
      <c r="K858" s="60">
        <v>0</v>
      </c>
      <c r="L858" s="60">
        <v>0</v>
      </c>
      <c r="M858" s="60">
        <v>0</v>
      </c>
      <c r="N858" s="60">
        <v>0</v>
      </c>
      <c r="O858" s="60">
        <v>0</v>
      </c>
      <c r="P858" s="60">
        <v>0</v>
      </c>
      <c r="Q858" s="60">
        <v>0</v>
      </c>
      <c r="R858" s="60">
        <v>0</v>
      </c>
      <c r="S858" s="60">
        <v>0</v>
      </c>
      <c r="T858" s="60">
        <v>0</v>
      </c>
      <c r="U858" s="60">
        <v>0</v>
      </c>
      <c r="V858" s="60">
        <v>0</v>
      </c>
      <c r="W858" s="60">
        <v>0</v>
      </c>
      <c r="X858" s="60">
        <v>0</v>
      </c>
      <c r="Y858" s="60">
        <v>0</v>
      </c>
      <c r="Z858" s="60">
        <v>0</v>
      </c>
      <c r="AA858" s="60">
        <v>0</v>
      </c>
      <c r="AB858" s="60">
        <v>0</v>
      </c>
      <c r="AC858" s="60">
        <v>191.87</v>
      </c>
      <c r="AD858" s="60">
        <v>193.14</v>
      </c>
      <c r="AE858" s="60">
        <v>194.2</v>
      </c>
      <c r="AF858" s="60">
        <v>0</v>
      </c>
      <c r="AG858" s="60">
        <v>0</v>
      </c>
      <c r="AH858" s="60">
        <v>0</v>
      </c>
      <c r="AI858" s="60">
        <v>191.87</v>
      </c>
      <c r="AJ858" s="60">
        <v>193.14</v>
      </c>
      <c r="AK858" s="60">
        <v>194.2</v>
      </c>
      <c r="AL858" s="60">
        <v>0</v>
      </c>
      <c r="AM858" s="60">
        <v>0</v>
      </c>
      <c r="AN858" s="60">
        <v>0</v>
      </c>
      <c r="AO858" s="60">
        <v>191.87</v>
      </c>
      <c r="AP858" s="60">
        <v>193.14</v>
      </c>
      <c r="AQ858" s="60">
        <v>194.2</v>
      </c>
      <c r="AR858" s="61">
        <v>194.2</v>
      </c>
    </row>
    <row r="859" spans="1:44" x14ac:dyDescent="0.35">
      <c r="A859" s="49" t="str">
        <f>TEXT(1,"00")</f>
        <v>01</v>
      </c>
      <c r="B859" s="27">
        <v>61192</v>
      </c>
      <c r="C859" s="25" t="str">
        <f>TEXT(127696,"0000000")</f>
        <v>0127696</v>
      </c>
      <c r="D859" s="27">
        <v>1514</v>
      </c>
      <c r="E859" s="25" t="s">
        <v>59</v>
      </c>
      <c r="F859" s="25" t="s">
        <v>5</v>
      </c>
      <c r="G859" s="59" t="s">
        <v>60</v>
      </c>
      <c r="H859" s="60">
        <v>0</v>
      </c>
      <c r="I859" s="60">
        <v>0</v>
      </c>
      <c r="J859" s="60">
        <v>0</v>
      </c>
      <c r="K859" s="60">
        <v>0</v>
      </c>
      <c r="L859" s="60">
        <v>0</v>
      </c>
      <c r="M859" s="60">
        <v>0</v>
      </c>
      <c r="N859" s="60">
        <v>0</v>
      </c>
      <c r="O859" s="60">
        <v>0</v>
      </c>
      <c r="P859" s="60">
        <v>0</v>
      </c>
      <c r="Q859" s="60">
        <v>0</v>
      </c>
      <c r="R859" s="60">
        <v>0</v>
      </c>
      <c r="S859" s="60">
        <v>0</v>
      </c>
      <c r="T859" s="60">
        <v>0</v>
      </c>
      <c r="U859" s="60">
        <v>0</v>
      </c>
      <c r="V859" s="60">
        <v>0</v>
      </c>
      <c r="W859" s="60">
        <v>0</v>
      </c>
      <c r="X859" s="60">
        <v>0</v>
      </c>
      <c r="Y859" s="60">
        <v>0</v>
      </c>
      <c r="Z859" s="60">
        <v>0</v>
      </c>
      <c r="AA859" s="60">
        <v>0</v>
      </c>
      <c r="AB859" s="60">
        <v>0</v>
      </c>
      <c r="AC859" s="60">
        <v>557.73</v>
      </c>
      <c r="AD859" s="60">
        <v>540</v>
      </c>
      <c r="AE859" s="60">
        <v>564.1</v>
      </c>
      <c r="AF859" s="60">
        <v>0</v>
      </c>
      <c r="AG859" s="60">
        <v>0</v>
      </c>
      <c r="AH859" s="60">
        <v>0</v>
      </c>
      <c r="AI859" s="60">
        <v>557.73</v>
      </c>
      <c r="AJ859" s="60">
        <v>540</v>
      </c>
      <c r="AK859" s="60">
        <v>564.1</v>
      </c>
      <c r="AL859" s="60">
        <v>0</v>
      </c>
      <c r="AM859" s="60">
        <v>0</v>
      </c>
      <c r="AN859" s="60">
        <v>0</v>
      </c>
      <c r="AO859" s="60">
        <v>557.73</v>
      </c>
      <c r="AP859" s="60">
        <v>540</v>
      </c>
      <c r="AQ859" s="60">
        <v>564.1</v>
      </c>
      <c r="AR859" s="61">
        <v>564.1</v>
      </c>
    </row>
    <row r="860" spans="1:44" x14ac:dyDescent="0.35">
      <c r="A860" s="49" t="str">
        <f>TEXT(21,"00")</f>
        <v>21</v>
      </c>
      <c r="B860" s="27">
        <v>65417</v>
      </c>
      <c r="C860" s="25" t="str">
        <f>TEXT(6113229,"0000000")</f>
        <v>6113229</v>
      </c>
      <c r="D860" s="26" t="s">
        <v>1273</v>
      </c>
      <c r="E860" s="25" t="s">
        <v>1271</v>
      </c>
      <c r="F860" s="25" t="s">
        <v>5</v>
      </c>
      <c r="G860" s="59" t="s">
        <v>1272</v>
      </c>
      <c r="H860" s="60">
        <v>0</v>
      </c>
      <c r="I860" s="60">
        <v>0</v>
      </c>
      <c r="J860" s="60">
        <v>0</v>
      </c>
      <c r="K860" s="60">
        <v>0</v>
      </c>
      <c r="L860" s="60">
        <v>0</v>
      </c>
      <c r="M860" s="60">
        <v>0</v>
      </c>
      <c r="N860" s="60">
        <v>0</v>
      </c>
      <c r="O860" s="60">
        <v>0</v>
      </c>
      <c r="P860" s="60">
        <v>0</v>
      </c>
      <c r="Q860" s="60">
        <v>0</v>
      </c>
      <c r="R860" s="60">
        <v>0</v>
      </c>
      <c r="S860" s="60">
        <v>0</v>
      </c>
      <c r="T860" s="60">
        <v>0</v>
      </c>
      <c r="U860" s="60">
        <v>0</v>
      </c>
      <c r="V860" s="60">
        <v>0</v>
      </c>
      <c r="W860" s="60">
        <v>0</v>
      </c>
      <c r="X860" s="60">
        <v>0</v>
      </c>
      <c r="Y860" s="60">
        <v>0</v>
      </c>
      <c r="Z860" s="60">
        <v>0</v>
      </c>
      <c r="AA860" s="60">
        <v>0</v>
      </c>
      <c r="AB860" s="60">
        <v>0</v>
      </c>
      <c r="AC860" s="60">
        <v>256.94</v>
      </c>
      <c r="AD860" s="60">
        <v>259.07</v>
      </c>
      <c r="AE860" s="60">
        <v>263.26</v>
      </c>
      <c r="AF860" s="60">
        <v>0</v>
      </c>
      <c r="AG860" s="60">
        <v>0</v>
      </c>
      <c r="AH860" s="60">
        <v>0</v>
      </c>
      <c r="AI860" s="60">
        <v>256.94</v>
      </c>
      <c r="AJ860" s="60">
        <v>259.07</v>
      </c>
      <c r="AK860" s="60">
        <v>263.26</v>
      </c>
      <c r="AL860" s="60">
        <v>0</v>
      </c>
      <c r="AM860" s="60">
        <v>0</v>
      </c>
      <c r="AN860" s="60">
        <v>0</v>
      </c>
      <c r="AO860" s="60">
        <v>256.94</v>
      </c>
      <c r="AP860" s="60">
        <v>259.07</v>
      </c>
      <c r="AQ860" s="60">
        <v>263.26</v>
      </c>
      <c r="AR860" s="61">
        <v>263.26</v>
      </c>
    </row>
    <row r="861" spans="1:44" x14ac:dyDescent="0.35">
      <c r="A861" s="49" t="str">
        <f>TEXT(23,"00")</f>
        <v>23</v>
      </c>
      <c r="B861" s="27">
        <v>65615</v>
      </c>
      <c r="C861" s="25" t="str">
        <f>TEXT(6117386,"0000000")</f>
        <v>6117386</v>
      </c>
      <c r="D861" s="26" t="s">
        <v>1314</v>
      </c>
      <c r="E861" s="25" t="s">
        <v>1312</v>
      </c>
      <c r="F861" s="25" t="s">
        <v>5</v>
      </c>
      <c r="G861" s="59" t="s">
        <v>1313</v>
      </c>
      <c r="H861" s="60">
        <v>0</v>
      </c>
      <c r="I861" s="60">
        <v>0</v>
      </c>
      <c r="J861" s="60">
        <v>0</v>
      </c>
      <c r="K861" s="60">
        <v>0</v>
      </c>
      <c r="L861" s="60">
        <v>0</v>
      </c>
      <c r="M861" s="60">
        <v>0</v>
      </c>
      <c r="N861" s="60">
        <v>0</v>
      </c>
      <c r="O861" s="60">
        <v>0</v>
      </c>
      <c r="P861" s="60">
        <v>0</v>
      </c>
      <c r="Q861" s="60">
        <v>0</v>
      </c>
      <c r="R861" s="60">
        <v>0</v>
      </c>
      <c r="S861" s="60">
        <v>0</v>
      </c>
      <c r="T861" s="60">
        <v>0</v>
      </c>
      <c r="U861" s="60">
        <v>0</v>
      </c>
      <c r="V861" s="60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74.930000000000007</v>
      </c>
      <c r="AD861" s="60">
        <v>71.36</v>
      </c>
      <c r="AE861" s="60">
        <v>72.72</v>
      </c>
      <c r="AF861" s="60">
        <v>0</v>
      </c>
      <c r="AG861" s="60">
        <v>0</v>
      </c>
      <c r="AH861" s="60">
        <v>0</v>
      </c>
      <c r="AI861" s="60">
        <v>74.930000000000007</v>
      </c>
      <c r="AJ861" s="60">
        <v>71.36</v>
      </c>
      <c r="AK861" s="60">
        <v>72.72</v>
      </c>
      <c r="AL861" s="60">
        <v>0</v>
      </c>
      <c r="AM861" s="60">
        <v>0</v>
      </c>
      <c r="AN861" s="60">
        <v>0</v>
      </c>
      <c r="AO861" s="60">
        <v>74.930000000000007</v>
      </c>
      <c r="AP861" s="60">
        <v>71.36</v>
      </c>
      <c r="AQ861" s="60">
        <v>72.72</v>
      </c>
      <c r="AR861" s="61">
        <v>74.930000000000007</v>
      </c>
    </row>
    <row r="862" spans="1:44" x14ac:dyDescent="0.35">
      <c r="A862" s="49" t="str">
        <f>TEXT(27,"00")</f>
        <v>27</v>
      </c>
      <c r="B862" s="27">
        <v>66092</v>
      </c>
      <c r="C862" s="25" t="str">
        <f>TEXT(6118962,"0000000")</f>
        <v>6118962</v>
      </c>
      <c r="D862" s="26" t="s">
        <v>1416</v>
      </c>
      <c r="E862" s="25" t="s">
        <v>1414</v>
      </c>
      <c r="F862" s="25" t="s">
        <v>5</v>
      </c>
      <c r="G862" s="59" t="s">
        <v>1415</v>
      </c>
      <c r="H862" s="60">
        <v>0</v>
      </c>
      <c r="I862" s="60">
        <v>0</v>
      </c>
      <c r="J862" s="60">
        <v>0</v>
      </c>
      <c r="K862" s="60">
        <v>0</v>
      </c>
      <c r="L862" s="60">
        <v>0</v>
      </c>
      <c r="M862" s="60">
        <v>0</v>
      </c>
      <c r="N862" s="60">
        <v>0</v>
      </c>
      <c r="O862" s="60">
        <v>0</v>
      </c>
      <c r="P862" s="60">
        <v>0</v>
      </c>
      <c r="Q862" s="60">
        <v>0</v>
      </c>
      <c r="R862" s="60">
        <v>0</v>
      </c>
      <c r="S862" s="60">
        <v>0</v>
      </c>
      <c r="T862" s="60">
        <v>0</v>
      </c>
      <c r="U862" s="60">
        <v>0</v>
      </c>
      <c r="V862" s="60">
        <v>0</v>
      </c>
      <c r="W862" s="60">
        <v>0</v>
      </c>
      <c r="X862" s="60">
        <v>0</v>
      </c>
      <c r="Y862" s="60">
        <v>0</v>
      </c>
      <c r="Z862" s="60">
        <v>0</v>
      </c>
      <c r="AA862" s="60">
        <v>0</v>
      </c>
      <c r="AB862" s="60">
        <v>0</v>
      </c>
      <c r="AC862" s="60">
        <v>402.43</v>
      </c>
      <c r="AD862" s="60">
        <v>400.42</v>
      </c>
      <c r="AE862" s="60">
        <v>0</v>
      </c>
      <c r="AF862" s="60">
        <v>0</v>
      </c>
      <c r="AG862" s="60">
        <v>0</v>
      </c>
      <c r="AH862" s="60">
        <v>0</v>
      </c>
      <c r="AI862" s="60">
        <v>402.43</v>
      </c>
      <c r="AJ862" s="60">
        <v>400.42</v>
      </c>
      <c r="AK862" s="60">
        <v>0</v>
      </c>
      <c r="AL862" s="60">
        <v>0</v>
      </c>
      <c r="AM862" s="60">
        <v>0</v>
      </c>
      <c r="AN862" s="60">
        <v>0</v>
      </c>
      <c r="AO862" s="60">
        <v>402.43</v>
      </c>
      <c r="AP862" s="60">
        <v>400.42</v>
      </c>
      <c r="AQ862" s="60">
        <v>0</v>
      </c>
      <c r="AR862" s="61">
        <v>402.43</v>
      </c>
    </row>
    <row r="863" spans="1:44" x14ac:dyDescent="0.35">
      <c r="A863" s="49" t="str">
        <f>TEXT(29,"00")</f>
        <v>29</v>
      </c>
      <c r="B863" s="27">
        <v>66357</v>
      </c>
      <c r="C863" s="25" t="str">
        <f>TEXT(124834,"0000000")</f>
        <v>0124834</v>
      </c>
      <c r="D863" s="27">
        <v>1336</v>
      </c>
      <c r="E863" s="25" t="s">
        <v>1482</v>
      </c>
      <c r="F863" s="25" t="s">
        <v>5</v>
      </c>
      <c r="G863" s="59" t="s">
        <v>1483</v>
      </c>
      <c r="H863" s="60">
        <v>0</v>
      </c>
      <c r="I863" s="60">
        <v>0</v>
      </c>
      <c r="J863" s="60">
        <v>0</v>
      </c>
      <c r="K863" s="60">
        <v>0</v>
      </c>
      <c r="L863" s="60">
        <v>0</v>
      </c>
      <c r="M863" s="60">
        <v>0</v>
      </c>
      <c r="N863" s="60">
        <v>0</v>
      </c>
      <c r="O863" s="60">
        <v>0</v>
      </c>
      <c r="P863" s="60">
        <v>0</v>
      </c>
      <c r="Q863" s="60">
        <v>0</v>
      </c>
      <c r="R863" s="60">
        <v>0</v>
      </c>
      <c r="S863" s="60">
        <v>0</v>
      </c>
      <c r="T863" s="60">
        <v>0</v>
      </c>
      <c r="U863" s="60">
        <v>0</v>
      </c>
      <c r="V863" s="60">
        <v>0</v>
      </c>
      <c r="W863" s="60">
        <v>0</v>
      </c>
      <c r="X863" s="60">
        <v>0</v>
      </c>
      <c r="Y863" s="60">
        <v>0</v>
      </c>
      <c r="Z863" s="60">
        <v>0</v>
      </c>
      <c r="AA863" s="60">
        <v>0</v>
      </c>
      <c r="AB863" s="60">
        <v>0</v>
      </c>
      <c r="AC863" s="60">
        <v>148.5</v>
      </c>
      <c r="AD863" s="60">
        <v>168.69</v>
      </c>
      <c r="AE863" s="60">
        <v>178.6</v>
      </c>
      <c r="AF863" s="60">
        <v>0</v>
      </c>
      <c r="AG863" s="60">
        <v>0</v>
      </c>
      <c r="AH863" s="60">
        <v>0</v>
      </c>
      <c r="AI863" s="60">
        <v>148.5</v>
      </c>
      <c r="AJ863" s="60">
        <v>168.69</v>
      </c>
      <c r="AK863" s="60">
        <v>178.6</v>
      </c>
      <c r="AL863" s="60">
        <v>0</v>
      </c>
      <c r="AM863" s="60">
        <v>0</v>
      </c>
      <c r="AN863" s="60">
        <v>0</v>
      </c>
      <c r="AO863" s="60">
        <v>148.5</v>
      </c>
      <c r="AP863" s="60">
        <v>168.69</v>
      </c>
      <c r="AQ863" s="60">
        <v>178.6</v>
      </c>
      <c r="AR863" s="61">
        <v>178.6</v>
      </c>
    </row>
    <row r="864" spans="1:44" x14ac:dyDescent="0.35">
      <c r="A864" s="49" t="str">
        <f t="shared" ref="A864:A869" si="74">TEXT(30,"00")</f>
        <v>30</v>
      </c>
      <c r="B864" s="27">
        <v>10306</v>
      </c>
      <c r="C864" s="25" t="str">
        <f>TEXT(126037,"0000000")</f>
        <v>0126037</v>
      </c>
      <c r="D864" s="27">
        <v>1419</v>
      </c>
      <c r="E864" s="25" t="s">
        <v>1494</v>
      </c>
      <c r="F864" s="25" t="s">
        <v>5</v>
      </c>
      <c r="G864" s="59" t="s">
        <v>1495</v>
      </c>
      <c r="H864" s="60">
        <v>0</v>
      </c>
      <c r="I864" s="60">
        <v>0</v>
      </c>
      <c r="J864" s="60">
        <v>0</v>
      </c>
      <c r="K864" s="60">
        <v>0</v>
      </c>
      <c r="L864" s="60">
        <v>0</v>
      </c>
      <c r="M864" s="60">
        <v>0</v>
      </c>
      <c r="N864" s="60">
        <v>0</v>
      </c>
      <c r="O864" s="60">
        <v>0</v>
      </c>
      <c r="P864" s="60">
        <v>0</v>
      </c>
      <c r="Q864" s="60">
        <v>0</v>
      </c>
      <c r="R864" s="60">
        <v>0</v>
      </c>
      <c r="S864" s="60">
        <v>0</v>
      </c>
      <c r="T864" s="60">
        <v>0</v>
      </c>
      <c r="U864" s="60">
        <v>0</v>
      </c>
      <c r="V864" s="60">
        <v>0</v>
      </c>
      <c r="W864" s="60">
        <v>0</v>
      </c>
      <c r="X864" s="60">
        <v>0</v>
      </c>
      <c r="Y864" s="60">
        <v>0</v>
      </c>
      <c r="Z864" s="60">
        <v>753.38</v>
      </c>
      <c r="AA864" s="60">
        <v>755.3</v>
      </c>
      <c r="AB864" s="60">
        <v>612.4</v>
      </c>
      <c r="AC864" s="60">
        <v>0</v>
      </c>
      <c r="AD864" s="60">
        <v>0</v>
      </c>
      <c r="AE864" s="60">
        <v>0</v>
      </c>
      <c r="AF864" s="60">
        <v>0</v>
      </c>
      <c r="AG864" s="60">
        <v>0</v>
      </c>
      <c r="AH864" s="60">
        <v>0</v>
      </c>
      <c r="AI864" s="60">
        <v>753.38</v>
      </c>
      <c r="AJ864" s="60">
        <v>755.3</v>
      </c>
      <c r="AK864" s="60">
        <v>612.4</v>
      </c>
      <c r="AL864" s="60">
        <v>0</v>
      </c>
      <c r="AM864" s="60">
        <v>0</v>
      </c>
      <c r="AN864" s="60">
        <v>0</v>
      </c>
      <c r="AO864" s="60">
        <v>753.38</v>
      </c>
      <c r="AP864" s="60">
        <v>755.3</v>
      </c>
      <c r="AQ864" s="60">
        <v>612.4</v>
      </c>
      <c r="AR864" s="61">
        <v>755.3</v>
      </c>
    </row>
    <row r="865" spans="1:44" x14ac:dyDescent="0.35">
      <c r="A865" s="49" t="str">
        <f t="shared" si="74"/>
        <v>30</v>
      </c>
      <c r="B865" s="27">
        <v>10306</v>
      </c>
      <c r="C865" s="25" t="str">
        <f>TEXT(132613,"0000000")</f>
        <v>0132613</v>
      </c>
      <c r="D865" s="27">
        <v>1752</v>
      </c>
      <c r="E865" s="25" t="s">
        <v>1496</v>
      </c>
      <c r="F865" s="25" t="s">
        <v>5</v>
      </c>
      <c r="G865" s="59" t="s">
        <v>1497</v>
      </c>
      <c r="H865" s="60">
        <v>0</v>
      </c>
      <c r="I865" s="60">
        <v>0</v>
      </c>
      <c r="J865" s="60">
        <v>0</v>
      </c>
      <c r="K865" s="60">
        <v>0</v>
      </c>
      <c r="L865" s="60">
        <v>0</v>
      </c>
      <c r="M865" s="60">
        <v>0</v>
      </c>
      <c r="N865" s="60">
        <v>0</v>
      </c>
      <c r="O865" s="60">
        <v>0</v>
      </c>
      <c r="P865" s="60">
        <v>0</v>
      </c>
      <c r="Q865" s="60">
        <v>0</v>
      </c>
      <c r="R865" s="60">
        <v>0</v>
      </c>
      <c r="S865" s="60">
        <v>0</v>
      </c>
      <c r="T865" s="60">
        <v>0</v>
      </c>
      <c r="U865" s="60">
        <v>0</v>
      </c>
      <c r="V865" s="60">
        <v>0</v>
      </c>
      <c r="W865" s="60">
        <v>0</v>
      </c>
      <c r="X865" s="60">
        <v>0</v>
      </c>
      <c r="Y865" s="60">
        <v>0</v>
      </c>
      <c r="Z865" s="60">
        <v>0</v>
      </c>
      <c r="AA865" s="60">
        <v>0</v>
      </c>
      <c r="AB865" s="60">
        <v>0</v>
      </c>
      <c r="AC865" s="60">
        <v>394.35</v>
      </c>
      <c r="AD865" s="60">
        <v>323.66000000000003</v>
      </c>
      <c r="AE865" s="60">
        <v>271.67</v>
      </c>
      <c r="AF865" s="60">
        <v>0</v>
      </c>
      <c r="AG865" s="60">
        <v>0</v>
      </c>
      <c r="AH865" s="60">
        <v>0</v>
      </c>
      <c r="AI865" s="60">
        <v>394.35</v>
      </c>
      <c r="AJ865" s="60">
        <v>323.66000000000003</v>
      </c>
      <c r="AK865" s="60">
        <v>271.67</v>
      </c>
      <c r="AL865" s="60">
        <v>0</v>
      </c>
      <c r="AM865" s="60">
        <v>0</v>
      </c>
      <c r="AN865" s="60">
        <v>0</v>
      </c>
      <c r="AO865" s="60">
        <v>394.35</v>
      </c>
      <c r="AP865" s="60">
        <v>323.66000000000003</v>
      </c>
      <c r="AQ865" s="60">
        <v>271.67</v>
      </c>
      <c r="AR865" s="61">
        <v>394.35</v>
      </c>
    </row>
    <row r="866" spans="1:44" ht="31" x14ac:dyDescent="0.35">
      <c r="A866" s="49" t="str">
        <f t="shared" si="74"/>
        <v>30</v>
      </c>
      <c r="B866" s="27">
        <v>10306</v>
      </c>
      <c r="C866" s="25" t="str">
        <f>TEXT(133785,"0000000")</f>
        <v>0133785</v>
      </c>
      <c r="D866" s="27">
        <v>1784</v>
      </c>
      <c r="E866" s="25" t="s">
        <v>1498</v>
      </c>
      <c r="F866" s="25" t="s">
        <v>5</v>
      </c>
      <c r="G866" s="59" t="s">
        <v>1499</v>
      </c>
      <c r="H866" s="60">
        <v>0</v>
      </c>
      <c r="I866" s="60">
        <v>0</v>
      </c>
      <c r="J866" s="60">
        <v>0</v>
      </c>
      <c r="K866" s="60">
        <v>0</v>
      </c>
      <c r="L866" s="60">
        <v>0</v>
      </c>
      <c r="M866" s="60">
        <v>0</v>
      </c>
      <c r="N866" s="60">
        <v>0</v>
      </c>
      <c r="O866" s="60">
        <v>0</v>
      </c>
      <c r="P866" s="60">
        <v>0</v>
      </c>
      <c r="Q866" s="60">
        <v>0</v>
      </c>
      <c r="R866" s="60">
        <v>0</v>
      </c>
      <c r="S866" s="60">
        <v>0</v>
      </c>
      <c r="T866" s="60">
        <v>0</v>
      </c>
      <c r="U866" s="60">
        <v>0</v>
      </c>
      <c r="V866" s="60">
        <v>0</v>
      </c>
      <c r="W866" s="60">
        <v>0</v>
      </c>
      <c r="X866" s="60">
        <v>0</v>
      </c>
      <c r="Y866" s="60">
        <v>0</v>
      </c>
      <c r="Z866" s="60">
        <v>0</v>
      </c>
      <c r="AA866" s="60">
        <v>0</v>
      </c>
      <c r="AB866" s="60">
        <v>0</v>
      </c>
      <c r="AC866" s="60">
        <v>644.77</v>
      </c>
      <c r="AD866" s="60">
        <v>657.12</v>
      </c>
      <c r="AE866" s="60">
        <v>647.6</v>
      </c>
      <c r="AF866" s="60">
        <v>0</v>
      </c>
      <c r="AG866" s="60">
        <v>0</v>
      </c>
      <c r="AH866" s="60">
        <v>0</v>
      </c>
      <c r="AI866" s="60">
        <v>644.77</v>
      </c>
      <c r="AJ866" s="60">
        <v>657.12</v>
      </c>
      <c r="AK866" s="60">
        <v>647.6</v>
      </c>
      <c r="AL866" s="60">
        <v>0</v>
      </c>
      <c r="AM866" s="60">
        <v>0</v>
      </c>
      <c r="AN866" s="60">
        <v>0</v>
      </c>
      <c r="AO866" s="60">
        <v>644.77</v>
      </c>
      <c r="AP866" s="60">
        <v>657.12</v>
      </c>
      <c r="AQ866" s="60">
        <v>647.6</v>
      </c>
      <c r="AR866" s="61">
        <v>657.12</v>
      </c>
    </row>
    <row r="867" spans="1:44" x14ac:dyDescent="0.35">
      <c r="A867" s="49" t="str">
        <f t="shared" si="74"/>
        <v>30</v>
      </c>
      <c r="B867" s="27">
        <v>10306</v>
      </c>
      <c r="C867" s="25" t="str">
        <f>TEXT(133959,"0000000")</f>
        <v>0133959</v>
      </c>
      <c r="D867" s="27">
        <v>1800</v>
      </c>
      <c r="E867" s="25" t="s">
        <v>1500</v>
      </c>
      <c r="F867" s="25" t="s">
        <v>5</v>
      </c>
      <c r="G867" s="59" t="s">
        <v>1501</v>
      </c>
      <c r="H867" s="60">
        <v>0</v>
      </c>
      <c r="I867" s="60">
        <v>0</v>
      </c>
      <c r="J867" s="60">
        <v>0</v>
      </c>
      <c r="K867" s="60">
        <v>0</v>
      </c>
      <c r="L867" s="60">
        <v>0</v>
      </c>
      <c r="M867" s="60">
        <v>0</v>
      </c>
      <c r="N867" s="60">
        <v>0</v>
      </c>
      <c r="O867" s="60">
        <v>0</v>
      </c>
      <c r="P867" s="60">
        <v>0</v>
      </c>
      <c r="Q867" s="60">
        <v>0</v>
      </c>
      <c r="R867" s="60">
        <v>0</v>
      </c>
      <c r="S867" s="60">
        <v>0</v>
      </c>
      <c r="T867" s="60">
        <v>0</v>
      </c>
      <c r="U867" s="60">
        <v>0</v>
      </c>
      <c r="V867" s="60">
        <v>0</v>
      </c>
      <c r="W867" s="60">
        <v>0</v>
      </c>
      <c r="X867" s="60">
        <v>0</v>
      </c>
      <c r="Y867" s="60">
        <v>0</v>
      </c>
      <c r="Z867" s="60">
        <v>0</v>
      </c>
      <c r="AA867" s="60">
        <v>0</v>
      </c>
      <c r="AB867" s="60">
        <v>0</v>
      </c>
      <c r="AC867" s="60">
        <v>70.099999999999994</v>
      </c>
      <c r="AD867" s="60">
        <v>87.28</v>
      </c>
      <c r="AE867" s="60">
        <v>92.97</v>
      </c>
      <c r="AF867" s="60">
        <v>0</v>
      </c>
      <c r="AG867" s="60">
        <v>0</v>
      </c>
      <c r="AH867" s="60">
        <v>0</v>
      </c>
      <c r="AI867" s="60">
        <v>70.099999999999994</v>
      </c>
      <c r="AJ867" s="60">
        <v>87.28</v>
      </c>
      <c r="AK867" s="60">
        <v>92.97</v>
      </c>
      <c r="AL867" s="60">
        <v>0</v>
      </c>
      <c r="AM867" s="60">
        <v>0</v>
      </c>
      <c r="AN867" s="60">
        <v>0</v>
      </c>
      <c r="AO867" s="60">
        <v>70.099999999999994</v>
      </c>
      <c r="AP867" s="60">
        <v>87.28</v>
      </c>
      <c r="AQ867" s="60">
        <v>92.97</v>
      </c>
      <c r="AR867" s="61">
        <v>92.97</v>
      </c>
    </row>
    <row r="868" spans="1:44" x14ac:dyDescent="0.35">
      <c r="A868" s="49" t="str">
        <f t="shared" si="74"/>
        <v>30</v>
      </c>
      <c r="B868" s="27">
        <v>10306</v>
      </c>
      <c r="C868" s="25" t="str">
        <f>TEXT(133983,"0000000")</f>
        <v>0133983</v>
      </c>
      <c r="D868" s="27">
        <v>1798</v>
      </c>
      <c r="E868" s="25" t="s">
        <v>1502</v>
      </c>
      <c r="F868" s="25" t="s">
        <v>5</v>
      </c>
      <c r="G868" s="59" t="s">
        <v>1503</v>
      </c>
      <c r="H868" s="60">
        <v>0</v>
      </c>
      <c r="I868" s="60">
        <v>0</v>
      </c>
      <c r="J868" s="60">
        <v>0</v>
      </c>
      <c r="K868" s="60">
        <v>0</v>
      </c>
      <c r="L868" s="60">
        <v>0</v>
      </c>
      <c r="M868" s="60">
        <v>0</v>
      </c>
      <c r="N868" s="60">
        <v>0</v>
      </c>
      <c r="O868" s="60">
        <v>0</v>
      </c>
      <c r="P868" s="60">
        <v>0</v>
      </c>
      <c r="Q868" s="60">
        <v>0</v>
      </c>
      <c r="R868" s="60">
        <v>0</v>
      </c>
      <c r="S868" s="60">
        <v>0</v>
      </c>
      <c r="T868" s="60">
        <v>0</v>
      </c>
      <c r="U868" s="60">
        <v>0</v>
      </c>
      <c r="V868" s="60">
        <v>0</v>
      </c>
      <c r="W868" s="60">
        <v>0</v>
      </c>
      <c r="X868" s="60">
        <v>0</v>
      </c>
      <c r="Y868" s="60">
        <v>0</v>
      </c>
      <c r="Z868" s="60">
        <v>0</v>
      </c>
      <c r="AA868" s="60">
        <v>0</v>
      </c>
      <c r="AB868" s="60">
        <v>0</v>
      </c>
      <c r="AC868" s="60">
        <v>350.08</v>
      </c>
      <c r="AD868" s="60">
        <v>325.64</v>
      </c>
      <c r="AE868" s="60">
        <v>311.18</v>
      </c>
      <c r="AF868" s="60">
        <v>0</v>
      </c>
      <c r="AG868" s="60">
        <v>0</v>
      </c>
      <c r="AH868" s="60">
        <v>0</v>
      </c>
      <c r="AI868" s="60">
        <v>350.08</v>
      </c>
      <c r="AJ868" s="60">
        <v>325.64</v>
      </c>
      <c r="AK868" s="60">
        <v>311.18</v>
      </c>
      <c r="AL868" s="60">
        <v>0</v>
      </c>
      <c r="AM868" s="60">
        <v>0</v>
      </c>
      <c r="AN868" s="60">
        <v>0</v>
      </c>
      <c r="AO868" s="60">
        <v>350.08</v>
      </c>
      <c r="AP868" s="60">
        <v>325.64</v>
      </c>
      <c r="AQ868" s="60">
        <v>311.18</v>
      </c>
      <c r="AR868" s="61">
        <v>350.08</v>
      </c>
    </row>
    <row r="869" spans="1:44" x14ac:dyDescent="0.35">
      <c r="A869" s="49" t="str">
        <f t="shared" si="74"/>
        <v>30</v>
      </c>
      <c r="B869" s="27">
        <v>10306</v>
      </c>
      <c r="C869" s="25" t="str">
        <f>TEXT(134056,"0000000")</f>
        <v>0134056</v>
      </c>
      <c r="D869" s="27">
        <v>1799</v>
      </c>
      <c r="E869" s="25" t="s">
        <v>1504</v>
      </c>
      <c r="F869" s="25" t="s">
        <v>5</v>
      </c>
      <c r="G869" s="59" t="s">
        <v>1505</v>
      </c>
      <c r="H869" s="60">
        <v>0</v>
      </c>
      <c r="I869" s="60">
        <v>0</v>
      </c>
      <c r="J869" s="60">
        <v>0</v>
      </c>
      <c r="K869" s="60">
        <v>0</v>
      </c>
      <c r="L869" s="60">
        <v>0</v>
      </c>
      <c r="M869" s="60">
        <v>0</v>
      </c>
      <c r="N869" s="60">
        <v>0</v>
      </c>
      <c r="O869" s="60">
        <v>0</v>
      </c>
      <c r="P869" s="60">
        <v>0</v>
      </c>
      <c r="Q869" s="60">
        <v>0</v>
      </c>
      <c r="R869" s="60">
        <v>0</v>
      </c>
      <c r="S869" s="60">
        <v>0</v>
      </c>
      <c r="T869" s="60">
        <v>0</v>
      </c>
      <c r="U869" s="60">
        <v>0</v>
      </c>
      <c r="V869" s="60">
        <v>0</v>
      </c>
      <c r="W869" s="60">
        <v>0</v>
      </c>
      <c r="X869" s="60">
        <v>0</v>
      </c>
      <c r="Y869" s="60">
        <v>0</v>
      </c>
      <c r="Z869" s="60">
        <v>0</v>
      </c>
      <c r="AA869" s="60">
        <v>0</v>
      </c>
      <c r="AB869" s="60">
        <v>0</v>
      </c>
      <c r="AC869" s="60">
        <v>232.51</v>
      </c>
      <c r="AD869" s="60">
        <v>236.99</v>
      </c>
      <c r="AE869" s="60">
        <v>343.91</v>
      </c>
      <c r="AF869" s="60">
        <v>0</v>
      </c>
      <c r="AG869" s="60">
        <v>0</v>
      </c>
      <c r="AH869" s="60">
        <v>0</v>
      </c>
      <c r="AI869" s="60">
        <v>232.51</v>
      </c>
      <c r="AJ869" s="60">
        <v>236.99</v>
      </c>
      <c r="AK869" s="60">
        <v>343.91</v>
      </c>
      <c r="AL869" s="60">
        <v>0</v>
      </c>
      <c r="AM869" s="60">
        <v>0</v>
      </c>
      <c r="AN869" s="60">
        <v>0</v>
      </c>
      <c r="AO869" s="60">
        <v>232.51</v>
      </c>
      <c r="AP869" s="60">
        <v>236.99</v>
      </c>
      <c r="AQ869" s="60">
        <v>343.91</v>
      </c>
      <c r="AR869" s="61">
        <v>343.91</v>
      </c>
    </row>
    <row r="870" spans="1:44" x14ac:dyDescent="0.35">
      <c r="A870" s="49" t="str">
        <f>TEXT(1,"00")</f>
        <v>01</v>
      </c>
      <c r="B870" s="27">
        <v>61192</v>
      </c>
      <c r="C870" s="25" t="str">
        <f>TEXT(137646,"0000000")</f>
        <v>0137646</v>
      </c>
      <c r="D870" s="26" t="s">
        <v>65</v>
      </c>
      <c r="E870" s="25" t="s">
        <v>63</v>
      </c>
      <c r="F870" s="25" t="s">
        <v>5</v>
      </c>
      <c r="G870" s="59" t="s">
        <v>64</v>
      </c>
      <c r="H870" s="60">
        <v>0</v>
      </c>
      <c r="I870" s="60">
        <v>0</v>
      </c>
      <c r="J870" s="60">
        <v>0</v>
      </c>
      <c r="K870" s="60">
        <v>0</v>
      </c>
      <c r="L870" s="60">
        <v>0</v>
      </c>
      <c r="M870" s="60">
        <v>0</v>
      </c>
      <c r="N870" s="60">
        <v>0</v>
      </c>
      <c r="O870" s="60">
        <v>0</v>
      </c>
      <c r="P870" s="60">
        <v>0</v>
      </c>
      <c r="Q870" s="60">
        <v>0</v>
      </c>
      <c r="R870" s="60">
        <v>0</v>
      </c>
      <c r="S870" s="60">
        <v>0</v>
      </c>
      <c r="T870" s="60">
        <v>0</v>
      </c>
      <c r="U870" s="60">
        <v>0</v>
      </c>
      <c r="V870" s="60">
        <v>0</v>
      </c>
      <c r="W870" s="60">
        <v>0</v>
      </c>
      <c r="X870" s="60">
        <v>0</v>
      </c>
      <c r="Y870" s="60">
        <v>0</v>
      </c>
      <c r="Z870" s="60">
        <v>0</v>
      </c>
      <c r="AA870" s="60">
        <v>0</v>
      </c>
      <c r="AB870" s="60">
        <v>0</v>
      </c>
      <c r="AC870" s="60">
        <v>711.52</v>
      </c>
      <c r="AD870" s="60">
        <v>737.44</v>
      </c>
      <c r="AE870" s="60">
        <v>802.93</v>
      </c>
      <c r="AF870" s="60">
        <v>0</v>
      </c>
      <c r="AG870" s="60">
        <v>0</v>
      </c>
      <c r="AH870" s="60">
        <v>0</v>
      </c>
      <c r="AI870" s="60">
        <v>711.52</v>
      </c>
      <c r="AJ870" s="60">
        <v>737.44</v>
      </c>
      <c r="AK870" s="60">
        <v>802.93</v>
      </c>
      <c r="AL870" s="60">
        <v>0</v>
      </c>
      <c r="AM870" s="60">
        <v>0</v>
      </c>
      <c r="AN870" s="60">
        <v>0</v>
      </c>
      <c r="AO870" s="60">
        <v>711.52</v>
      </c>
      <c r="AP870" s="60">
        <v>737.44</v>
      </c>
      <c r="AQ870" s="60">
        <v>802.93</v>
      </c>
      <c r="AR870" s="61">
        <v>802.93</v>
      </c>
    </row>
    <row r="871" spans="1:44" ht="31" x14ac:dyDescent="0.35">
      <c r="A871" s="49" t="str">
        <f t="shared" ref="A871:A880" si="75">TEXT(30,"00")</f>
        <v>30</v>
      </c>
      <c r="B871" s="27">
        <v>10306</v>
      </c>
      <c r="C871" s="25" t="str">
        <f>TEXT(134239,"0000000")</f>
        <v>0134239</v>
      </c>
      <c r="D871" s="27">
        <v>1807</v>
      </c>
      <c r="E871" s="25" t="s">
        <v>1506</v>
      </c>
      <c r="F871" s="25" t="s">
        <v>5</v>
      </c>
      <c r="G871" s="59" t="s">
        <v>1507</v>
      </c>
      <c r="H871" s="60">
        <v>0</v>
      </c>
      <c r="I871" s="60">
        <v>0</v>
      </c>
      <c r="J871" s="60">
        <v>0</v>
      </c>
      <c r="K871" s="60">
        <v>0</v>
      </c>
      <c r="L871" s="60">
        <v>0</v>
      </c>
      <c r="M871" s="60">
        <v>0</v>
      </c>
      <c r="N871" s="60">
        <v>0</v>
      </c>
      <c r="O871" s="60">
        <v>0</v>
      </c>
      <c r="P871" s="60">
        <v>0</v>
      </c>
      <c r="Q871" s="60">
        <v>0</v>
      </c>
      <c r="R871" s="60">
        <v>0</v>
      </c>
      <c r="S871" s="60">
        <v>0</v>
      </c>
      <c r="T871" s="60">
        <v>0</v>
      </c>
      <c r="U871" s="60">
        <v>0</v>
      </c>
      <c r="V871" s="60">
        <v>0</v>
      </c>
      <c r="W871" s="60">
        <v>0</v>
      </c>
      <c r="X871" s="60">
        <v>0</v>
      </c>
      <c r="Y871" s="60">
        <v>0</v>
      </c>
      <c r="Z871" s="60">
        <v>0</v>
      </c>
      <c r="AA871" s="60">
        <v>0</v>
      </c>
      <c r="AB871" s="60">
        <v>0</v>
      </c>
      <c r="AC871" s="60">
        <v>948.88</v>
      </c>
      <c r="AD871" s="60">
        <v>1034.3499999999999</v>
      </c>
      <c r="AE871" s="60">
        <v>752.2</v>
      </c>
      <c r="AF871" s="60">
        <v>0</v>
      </c>
      <c r="AG871" s="60">
        <v>0</v>
      </c>
      <c r="AH871" s="60">
        <v>0</v>
      </c>
      <c r="AI871" s="60">
        <v>948.88</v>
      </c>
      <c r="AJ871" s="60">
        <v>1034.3499999999999</v>
      </c>
      <c r="AK871" s="60">
        <v>752.2</v>
      </c>
      <c r="AL871" s="60">
        <v>0</v>
      </c>
      <c r="AM871" s="60">
        <v>0</v>
      </c>
      <c r="AN871" s="60">
        <v>0</v>
      </c>
      <c r="AO871" s="60">
        <v>948.88</v>
      </c>
      <c r="AP871" s="60">
        <v>1034.3499999999999</v>
      </c>
      <c r="AQ871" s="60">
        <v>752.2</v>
      </c>
      <c r="AR871" s="61">
        <v>1034.3499999999999</v>
      </c>
    </row>
    <row r="872" spans="1:44" x14ac:dyDescent="0.35">
      <c r="A872" s="49" t="str">
        <f t="shared" si="75"/>
        <v>30</v>
      </c>
      <c r="B872" s="27">
        <v>10306</v>
      </c>
      <c r="C872" s="25" t="str">
        <f>TEXT(134288,"0000000")</f>
        <v>0134288</v>
      </c>
      <c r="D872" s="27">
        <v>1808</v>
      </c>
      <c r="E872" s="25" t="s">
        <v>1508</v>
      </c>
      <c r="F872" s="25" t="s">
        <v>5</v>
      </c>
      <c r="G872" s="59" t="s">
        <v>1509</v>
      </c>
      <c r="H872" s="60">
        <v>0</v>
      </c>
      <c r="I872" s="60">
        <v>0</v>
      </c>
      <c r="J872" s="60">
        <v>0</v>
      </c>
      <c r="K872" s="60">
        <v>0</v>
      </c>
      <c r="L872" s="60">
        <v>0</v>
      </c>
      <c r="M872" s="60">
        <v>0</v>
      </c>
      <c r="N872" s="60">
        <v>0</v>
      </c>
      <c r="O872" s="60">
        <v>0</v>
      </c>
      <c r="P872" s="60">
        <v>0</v>
      </c>
      <c r="Q872" s="60">
        <v>0</v>
      </c>
      <c r="R872" s="60">
        <v>0</v>
      </c>
      <c r="S872" s="60">
        <v>0</v>
      </c>
      <c r="T872" s="60">
        <v>0</v>
      </c>
      <c r="U872" s="60">
        <v>0</v>
      </c>
      <c r="V872" s="60">
        <v>0</v>
      </c>
      <c r="W872" s="60">
        <v>0</v>
      </c>
      <c r="X872" s="60">
        <v>0</v>
      </c>
      <c r="Y872" s="60">
        <v>0</v>
      </c>
      <c r="Z872" s="60">
        <v>594.28</v>
      </c>
      <c r="AA872" s="60">
        <v>485.52</v>
      </c>
      <c r="AB872" s="60">
        <v>476.7</v>
      </c>
      <c r="AC872" s="60">
        <v>0</v>
      </c>
      <c r="AD872" s="60">
        <v>0</v>
      </c>
      <c r="AE872" s="60">
        <v>0</v>
      </c>
      <c r="AF872" s="60">
        <v>0</v>
      </c>
      <c r="AG872" s="60">
        <v>0</v>
      </c>
      <c r="AH872" s="60">
        <v>0</v>
      </c>
      <c r="AI872" s="60">
        <v>594.28</v>
      </c>
      <c r="AJ872" s="60">
        <v>485.52</v>
      </c>
      <c r="AK872" s="60">
        <v>476.7</v>
      </c>
      <c r="AL872" s="60">
        <v>0</v>
      </c>
      <c r="AM872" s="60">
        <v>0</v>
      </c>
      <c r="AN872" s="60">
        <v>0</v>
      </c>
      <c r="AO872" s="60">
        <v>594.28</v>
      </c>
      <c r="AP872" s="60">
        <v>485.52</v>
      </c>
      <c r="AQ872" s="60">
        <v>476.7</v>
      </c>
      <c r="AR872" s="61">
        <v>594.28</v>
      </c>
    </row>
    <row r="873" spans="1:44" x14ac:dyDescent="0.35">
      <c r="A873" s="49" t="str">
        <f t="shared" si="75"/>
        <v>30</v>
      </c>
      <c r="B873" s="27">
        <v>10306</v>
      </c>
      <c r="C873" s="25" t="str">
        <f>TEXT(134841,"0000000")</f>
        <v>0134841</v>
      </c>
      <c r="D873" s="27">
        <v>1833</v>
      </c>
      <c r="E873" s="25" t="s">
        <v>1510</v>
      </c>
      <c r="F873" s="25" t="s">
        <v>5</v>
      </c>
      <c r="G873" s="59" t="s">
        <v>1511</v>
      </c>
      <c r="H873" s="60">
        <v>0</v>
      </c>
      <c r="I873" s="60">
        <v>0</v>
      </c>
      <c r="J873" s="60">
        <v>0</v>
      </c>
      <c r="K873" s="60">
        <v>0</v>
      </c>
      <c r="L873" s="60">
        <v>0</v>
      </c>
      <c r="M873" s="60">
        <v>0</v>
      </c>
      <c r="N873" s="60">
        <v>0</v>
      </c>
      <c r="O873" s="60">
        <v>0</v>
      </c>
      <c r="P873" s="60">
        <v>0</v>
      </c>
      <c r="Q873" s="60">
        <v>0</v>
      </c>
      <c r="R873" s="60">
        <v>0</v>
      </c>
      <c r="S873" s="60">
        <v>0</v>
      </c>
      <c r="T873" s="60">
        <v>0</v>
      </c>
      <c r="U873" s="60">
        <v>0</v>
      </c>
      <c r="V873" s="60">
        <v>0</v>
      </c>
      <c r="W873" s="60">
        <v>0</v>
      </c>
      <c r="X873" s="60">
        <v>0</v>
      </c>
      <c r="Y873" s="60">
        <v>0</v>
      </c>
      <c r="Z873" s="60">
        <v>227.51</v>
      </c>
      <c r="AA873" s="60">
        <v>229.2</v>
      </c>
      <c r="AB873" s="60">
        <v>300.14999999999998</v>
      </c>
      <c r="AC873" s="60">
        <v>0</v>
      </c>
      <c r="AD873" s="60">
        <v>0</v>
      </c>
      <c r="AE873" s="60">
        <v>0</v>
      </c>
      <c r="AF873" s="60">
        <v>0</v>
      </c>
      <c r="AG873" s="60">
        <v>0</v>
      </c>
      <c r="AH873" s="60">
        <v>0</v>
      </c>
      <c r="AI873" s="60">
        <v>227.51</v>
      </c>
      <c r="AJ873" s="60">
        <v>229.2</v>
      </c>
      <c r="AK873" s="60">
        <v>300.14999999999998</v>
      </c>
      <c r="AL873" s="60">
        <v>0</v>
      </c>
      <c r="AM873" s="60">
        <v>0</v>
      </c>
      <c r="AN873" s="60">
        <v>0</v>
      </c>
      <c r="AO873" s="60">
        <v>227.51</v>
      </c>
      <c r="AP873" s="60">
        <v>229.2</v>
      </c>
      <c r="AQ873" s="60">
        <v>300.14999999999998</v>
      </c>
      <c r="AR873" s="61">
        <v>300.14999999999998</v>
      </c>
    </row>
    <row r="874" spans="1:44" x14ac:dyDescent="0.35">
      <c r="A874" s="49" t="str">
        <f t="shared" si="75"/>
        <v>30</v>
      </c>
      <c r="B874" s="27">
        <v>10306</v>
      </c>
      <c r="C874" s="25" t="str">
        <f>TEXT(134940,"0000000")</f>
        <v>0134940</v>
      </c>
      <c r="D874" s="27">
        <v>1831</v>
      </c>
      <c r="E874" s="25" t="s">
        <v>1512</v>
      </c>
      <c r="F874" s="25" t="s">
        <v>5</v>
      </c>
      <c r="G874" s="59" t="s">
        <v>1513</v>
      </c>
      <c r="H874" s="60">
        <v>0</v>
      </c>
      <c r="I874" s="60">
        <v>0</v>
      </c>
      <c r="J874" s="60">
        <v>0</v>
      </c>
      <c r="K874" s="60">
        <v>0</v>
      </c>
      <c r="L874" s="60">
        <v>0</v>
      </c>
      <c r="M874" s="60">
        <v>0</v>
      </c>
      <c r="N874" s="60">
        <v>0</v>
      </c>
      <c r="O874" s="60">
        <v>0</v>
      </c>
      <c r="P874" s="60">
        <v>0</v>
      </c>
      <c r="Q874" s="60">
        <v>0</v>
      </c>
      <c r="R874" s="60">
        <v>0</v>
      </c>
      <c r="S874" s="60">
        <v>0</v>
      </c>
      <c r="T874" s="60">
        <v>0</v>
      </c>
      <c r="U874" s="60">
        <v>0</v>
      </c>
      <c r="V874" s="60">
        <v>0</v>
      </c>
      <c r="W874" s="60">
        <v>0</v>
      </c>
      <c r="X874" s="60">
        <v>0</v>
      </c>
      <c r="Y874" s="60">
        <v>0</v>
      </c>
      <c r="Z874" s="60">
        <v>0</v>
      </c>
      <c r="AA874" s="60">
        <v>0</v>
      </c>
      <c r="AB874" s="60">
        <v>0</v>
      </c>
      <c r="AC874" s="60">
        <v>395.3</v>
      </c>
      <c r="AD874" s="60">
        <v>385.2</v>
      </c>
      <c r="AE874" s="60">
        <v>277.48</v>
      </c>
      <c r="AF874" s="60">
        <v>0</v>
      </c>
      <c r="AG874" s="60">
        <v>0</v>
      </c>
      <c r="AH874" s="60">
        <v>0</v>
      </c>
      <c r="AI874" s="60">
        <v>395.3</v>
      </c>
      <c r="AJ874" s="60">
        <v>385.2</v>
      </c>
      <c r="AK874" s="60">
        <v>277.48</v>
      </c>
      <c r="AL874" s="60">
        <v>0</v>
      </c>
      <c r="AM874" s="60">
        <v>0</v>
      </c>
      <c r="AN874" s="60">
        <v>0</v>
      </c>
      <c r="AO874" s="60">
        <v>395.3</v>
      </c>
      <c r="AP874" s="60">
        <v>385.2</v>
      </c>
      <c r="AQ874" s="60">
        <v>277.48</v>
      </c>
      <c r="AR874" s="61">
        <v>395.3</v>
      </c>
    </row>
    <row r="875" spans="1:44" x14ac:dyDescent="0.35">
      <c r="A875" s="49" t="str">
        <f t="shared" si="75"/>
        <v>30</v>
      </c>
      <c r="B875" s="27">
        <v>10306</v>
      </c>
      <c r="C875" s="25" t="str">
        <f>TEXT(137000,"0000000")</f>
        <v>0137000</v>
      </c>
      <c r="D875" s="27">
        <v>1930</v>
      </c>
      <c r="E875" s="25" t="s">
        <v>1514</v>
      </c>
      <c r="F875" s="25" t="s">
        <v>5</v>
      </c>
      <c r="G875" s="59" t="s">
        <v>1515</v>
      </c>
      <c r="H875" s="60">
        <v>0</v>
      </c>
      <c r="I875" s="60">
        <v>0</v>
      </c>
      <c r="J875" s="60">
        <v>0</v>
      </c>
      <c r="K875" s="60">
        <v>0</v>
      </c>
      <c r="L875" s="60">
        <v>0</v>
      </c>
      <c r="M875" s="60">
        <v>0</v>
      </c>
      <c r="N875" s="60">
        <v>0</v>
      </c>
      <c r="O875" s="60">
        <v>0</v>
      </c>
      <c r="P875" s="60">
        <v>0</v>
      </c>
      <c r="Q875" s="60">
        <v>0</v>
      </c>
      <c r="R875" s="60">
        <v>0</v>
      </c>
      <c r="S875" s="60">
        <v>0</v>
      </c>
      <c r="T875" s="60">
        <v>0</v>
      </c>
      <c r="U875" s="60">
        <v>0</v>
      </c>
      <c r="V875" s="60">
        <v>0</v>
      </c>
      <c r="W875" s="60">
        <v>0</v>
      </c>
      <c r="X875" s="60">
        <v>0</v>
      </c>
      <c r="Y875" s="60">
        <v>0</v>
      </c>
      <c r="Z875" s="60">
        <v>0</v>
      </c>
      <c r="AA875" s="60">
        <v>0</v>
      </c>
      <c r="AB875" s="60">
        <v>0</v>
      </c>
      <c r="AC875" s="60">
        <v>305.08999999999997</v>
      </c>
      <c r="AD875" s="60">
        <v>297.11</v>
      </c>
      <c r="AE875" s="60">
        <v>213</v>
      </c>
      <c r="AF875" s="60">
        <v>0</v>
      </c>
      <c r="AG875" s="60">
        <v>0</v>
      </c>
      <c r="AH875" s="60">
        <v>0</v>
      </c>
      <c r="AI875" s="60">
        <v>305.08999999999997</v>
      </c>
      <c r="AJ875" s="60">
        <v>297.11</v>
      </c>
      <c r="AK875" s="60">
        <v>213</v>
      </c>
      <c r="AL875" s="60">
        <v>0</v>
      </c>
      <c r="AM875" s="60">
        <v>0</v>
      </c>
      <c r="AN875" s="60">
        <v>0</v>
      </c>
      <c r="AO875" s="60">
        <v>305.08999999999997</v>
      </c>
      <c r="AP875" s="60">
        <v>297.11</v>
      </c>
      <c r="AQ875" s="60">
        <v>213</v>
      </c>
      <c r="AR875" s="61">
        <v>305.08999999999997</v>
      </c>
    </row>
    <row r="876" spans="1:44" ht="31" x14ac:dyDescent="0.35">
      <c r="A876" s="49" t="str">
        <f t="shared" si="75"/>
        <v>30</v>
      </c>
      <c r="B876" s="27">
        <v>10306</v>
      </c>
      <c r="C876" s="25" t="str">
        <f>TEXT(137976,"0000000")</f>
        <v>0137976</v>
      </c>
      <c r="D876" s="27">
        <v>1987</v>
      </c>
      <c r="E876" s="25" t="s">
        <v>1516</v>
      </c>
      <c r="F876" s="25" t="s">
        <v>5</v>
      </c>
      <c r="G876" s="59" t="s">
        <v>1517</v>
      </c>
      <c r="H876" s="60">
        <v>0</v>
      </c>
      <c r="I876" s="60">
        <v>0</v>
      </c>
      <c r="J876" s="60">
        <v>0</v>
      </c>
      <c r="K876" s="60">
        <v>0</v>
      </c>
      <c r="L876" s="60">
        <v>0</v>
      </c>
      <c r="M876" s="60">
        <v>0</v>
      </c>
      <c r="N876" s="60">
        <v>0</v>
      </c>
      <c r="O876" s="60">
        <v>0</v>
      </c>
      <c r="P876" s="60">
        <v>0</v>
      </c>
      <c r="Q876" s="60">
        <v>0</v>
      </c>
      <c r="R876" s="60">
        <v>0</v>
      </c>
      <c r="S876" s="60">
        <v>0</v>
      </c>
      <c r="T876" s="60">
        <v>0</v>
      </c>
      <c r="U876" s="60">
        <v>0</v>
      </c>
      <c r="V876" s="60">
        <v>0</v>
      </c>
      <c r="W876" s="60">
        <v>0</v>
      </c>
      <c r="X876" s="60">
        <v>0</v>
      </c>
      <c r="Y876" s="60">
        <v>0</v>
      </c>
      <c r="Z876" s="60">
        <v>0</v>
      </c>
      <c r="AA876" s="60">
        <v>0</v>
      </c>
      <c r="AB876" s="60">
        <v>0</v>
      </c>
      <c r="AC876" s="60">
        <v>166.92</v>
      </c>
      <c r="AD876" s="60">
        <v>148.19999999999999</v>
      </c>
      <c r="AE876" s="60">
        <v>141.30000000000001</v>
      </c>
      <c r="AF876" s="60">
        <v>0</v>
      </c>
      <c r="AG876" s="60">
        <v>0</v>
      </c>
      <c r="AH876" s="60">
        <v>0</v>
      </c>
      <c r="AI876" s="60">
        <v>166.92</v>
      </c>
      <c r="AJ876" s="60">
        <v>148.19999999999999</v>
      </c>
      <c r="AK876" s="60">
        <v>141.30000000000001</v>
      </c>
      <c r="AL876" s="60">
        <v>0</v>
      </c>
      <c r="AM876" s="60">
        <v>0</v>
      </c>
      <c r="AN876" s="60">
        <v>0</v>
      </c>
      <c r="AO876" s="60">
        <v>166.92</v>
      </c>
      <c r="AP876" s="60">
        <v>148.19999999999999</v>
      </c>
      <c r="AQ876" s="60">
        <v>141.30000000000001</v>
      </c>
      <c r="AR876" s="61">
        <v>166.92</v>
      </c>
    </row>
    <row r="877" spans="1:44" x14ac:dyDescent="0.35">
      <c r="A877" s="49" t="str">
        <f t="shared" si="75"/>
        <v>30</v>
      </c>
      <c r="B877" s="27">
        <v>10306</v>
      </c>
      <c r="C877" s="25" t="str">
        <f>TEXT(138800,"0000000")</f>
        <v>0138800</v>
      </c>
      <c r="D877" s="27">
        <v>2025</v>
      </c>
      <c r="E877" s="25" t="s">
        <v>1518</v>
      </c>
      <c r="F877" s="25" t="s">
        <v>5</v>
      </c>
      <c r="G877" s="59" t="s">
        <v>1519</v>
      </c>
      <c r="H877" s="60">
        <v>0</v>
      </c>
      <c r="I877" s="60">
        <v>0</v>
      </c>
      <c r="J877" s="60">
        <v>0</v>
      </c>
      <c r="K877" s="60">
        <v>0</v>
      </c>
      <c r="L877" s="60">
        <v>0</v>
      </c>
      <c r="M877" s="60">
        <v>0</v>
      </c>
      <c r="N877" s="60">
        <v>0</v>
      </c>
      <c r="O877" s="60">
        <v>0</v>
      </c>
      <c r="P877" s="60">
        <v>0</v>
      </c>
      <c r="Q877" s="60">
        <v>0</v>
      </c>
      <c r="R877" s="60">
        <v>0</v>
      </c>
      <c r="S877" s="60">
        <v>0</v>
      </c>
      <c r="T877" s="60">
        <v>0</v>
      </c>
      <c r="U877" s="60">
        <v>0</v>
      </c>
      <c r="V877" s="60">
        <v>0</v>
      </c>
      <c r="W877" s="60">
        <v>0</v>
      </c>
      <c r="X877" s="60">
        <v>0</v>
      </c>
      <c r="Y877" s="60">
        <v>0</v>
      </c>
      <c r="Z877" s="60">
        <v>0</v>
      </c>
      <c r="AA877" s="60">
        <v>0</v>
      </c>
      <c r="AB877" s="60">
        <v>0</v>
      </c>
      <c r="AC877" s="60">
        <v>152.07</v>
      </c>
      <c r="AD877" s="60">
        <v>111.56</v>
      </c>
      <c r="AE877" s="60">
        <v>105.19</v>
      </c>
      <c r="AF877" s="60">
        <v>0</v>
      </c>
      <c r="AG877" s="60">
        <v>0</v>
      </c>
      <c r="AH877" s="60">
        <v>0</v>
      </c>
      <c r="AI877" s="60">
        <v>152.07</v>
      </c>
      <c r="AJ877" s="60">
        <v>111.56</v>
      </c>
      <c r="AK877" s="60">
        <v>105.19</v>
      </c>
      <c r="AL877" s="60">
        <v>0</v>
      </c>
      <c r="AM877" s="60">
        <v>0</v>
      </c>
      <c r="AN877" s="60">
        <v>0</v>
      </c>
      <c r="AO877" s="60">
        <v>152.07</v>
      </c>
      <c r="AP877" s="60">
        <v>111.56</v>
      </c>
      <c r="AQ877" s="60">
        <v>105.19</v>
      </c>
      <c r="AR877" s="61">
        <v>152.07</v>
      </c>
    </row>
    <row r="878" spans="1:44" x14ac:dyDescent="0.35">
      <c r="A878" s="49" t="str">
        <f t="shared" si="75"/>
        <v>30</v>
      </c>
      <c r="B878" s="27">
        <v>10306</v>
      </c>
      <c r="C878" s="25" t="str">
        <f>TEXT(139964,"0000000")</f>
        <v>0139964</v>
      </c>
      <c r="D878" s="27">
        <v>2127</v>
      </c>
      <c r="E878" s="25" t="s">
        <v>1524</v>
      </c>
      <c r="F878" s="25" t="s">
        <v>5</v>
      </c>
      <c r="G878" s="59" t="s">
        <v>1525</v>
      </c>
      <c r="H878" s="60">
        <v>0</v>
      </c>
      <c r="I878" s="60">
        <v>0</v>
      </c>
      <c r="J878" s="60">
        <v>0</v>
      </c>
      <c r="K878" s="60">
        <v>0</v>
      </c>
      <c r="L878" s="60">
        <v>0</v>
      </c>
      <c r="M878" s="60">
        <v>0</v>
      </c>
      <c r="N878" s="60">
        <v>0</v>
      </c>
      <c r="O878" s="60">
        <v>0</v>
      </c>
      <c r="P878" s="60">
        <v>0</v>
      </c>
      <c r="Q878" s="60">
        <v>0</v>
      </c>
      <c r="R878" s="60">
        <v>0</v>
      </c>
      <c r="S878" s="60">
        <v>0</v>
      </c>
      <c r="T878" s="60">
        <v>0</v>
      </c>
      <c r="U878" s="60">
        <v>0</v>
      </c>
      <c r="V878" s="60">
        <v>0</v>
      </c>
      <c r="W878" s="60">
        <v>0</v>
      </c>
      <c r="X878" s="60">
        <v>0</v>
      </c>
      <c r="Y878" s="60">
        <v>0</v>
      </c>
      <c r="Z878" s="60">
        <v>512.34</v>
      </c>
      <c r="AA878" s="60">
        <v>0</v>
      </c>
      <c r="AB878" s="60">
        <v>0</v>
      </c>
      <c r="AC878" s="60">
        <v>0</v>
      </c>
      <c r="AD878" s="60">
        <v>0</v>
      </c>
      <c r="AE878" s="60">
        <v>0</v>
      </c>
      <c r="AF878" s="60">
        <v>0</v>
      </c>
      <c r="AG878" s="60">
        <v>0</v>
      </c>
      <c r="AH878" s="60">
        <v>0</v>
      </c>
      <c r="AI878" s="60">
        <v>512.34</v>
      </c>
      <c r="AJ878" s="60">
        <v>0</v>
      </c>
      <c r="AK878" s="60">
        <v>0</v>
      </c>
      <c r="AL878" s="60">
        <v>0</v>
      </c>
      <c r="AM878" s="60">
        <v>0</v>
      </c>
      <c r="AN878" s="60">
        <v>0</v>
      </c>
      <c r="AO878" s="60">
        <v>512.34</v>
      </c>
      <c r="AP878" s="60">
        <v>0</v>
      </c>
      <c r="AQ878" s="60">
        <v>0</v>
      </c>
      <c r="AR878" s="61">
        <v>512.34</v>
      </c>
    </row>
    <row r="879" spans="1:44" x14ac:dyDescent="0.35">
      <c r="A879" s="49" t="str">
        <f t="shared" si="75"/>
        <v>30</v>
      </c>
      <c r="B879" s="27">
        <v>10306</v>
      </c>
      <c r="C879" s="25" t="str">
        <f>TEXT(3030723,"0000000")</f>
        <v>3030723</v>
      </c>
      <c r="D879" s="26" t="s">
        <v>1530</v>
      </c>
      <c r="E879" s="25" t="s">
        <v>1528</v>
      </c>
      <c r="F879" s="25" t="s">
        <v>5</v>
      </c>
      <c r="G879" s="59" t="s">
        <v>1529</v>
      </c>
      <c r="H879" s="60">
        <v>0</v>
      </c>
      <c r="I879" s="60">
        <v>0</v>
      </c>
      <c r="J879" s="60">
        <v>0</v>
      </c>
      <c r="K879" s="60">
        <v>0</v>
      </c>
      <c r="L879" s="60">
        <v>0</v>
      </c>
      <c r="M879" s="60">
        <v>0</v>
      </c>
      <c r="N879" s="60">
        <v>0</v>
      </c>
      <c r="O879" s="60">
        <v>0</v>
      </c>
      <c r="P879" s="60">
        <v>0</v>
      </c>
      <c r="Q879" s="60">
        <v>0</v>
      </c>
      <c r="R879" s="60">
        <v>0</v>
      </c>
      <c r="S879" s="60">
        <v>0</v>
      </c>
      <c r="T879" s="60">
        <v>0</v>
      </c>
      <c r="U879" s="60">
        <v>0</v>
      </c>
      <c r="V879" s="60">
        <v>0</v>
      </c>
      <c r="W879" s="60">
        <v>0</v>
      </c>
      <c r="X879" s="60">
        <v>0</v>
      </c>
      <c r="Y879" s="60">
        <v>0</v>
      </c>
      <c r="Z879" s="60">
        <v>0</v>
      </c>
      <c r="AA879" s="60">
        <v>0</v>
      </c>
      <c r="AB879" s="60">
        <v>0</v>
      </c>
      <c r="AC879" s="60">
        <v>2125.63</v>
      </c>
      <c r="AD879" s="60">
        <v>2106.31</v>
      </c>
      <c r="AE879" s="60">
        <v>2148.4</v>
      </c>
      <c r="AF879" s="60">
        <v>0</v>
      </c>
      <c r="AG879" s="60">
        <v>0</v>
      </c>
      <c r="AH879" s="60">
        <v>0</v>
      </c>
      <c r="AI879" s="60">
        <v>2125.63</v>
      </c>
      <c r="AJ879" s="60">
        <v>2106.31</v>
      </c>
      <c r="AK879" s="60">
        <v>2148.4</v>
      </c>
      <c r="AL879" s="60">
        <v>0</v>
      </c>
      <c r="AM879" s="60">
        <v>0</v>
      </c>
      <c r="AN879" s="60">
        <v>0</v>
      </c>
      <c r="AO879" s="60">
        <v>2125.63</v>
      </c>
      <c r="AP879" s="60">
        <v>2106.31</v>
      </c>
      <c r="AQ879" s="60">
        <v>2148.4</v>
      </c>
      <c r="AR879" s="61">
        <v>2148.4</v>
      </c>
    </row>
    <row r="880" spans="1:44" x14ac:dyDescent="0.35">
      <c r="A880" s="49" t="str">
        <f t="shared" si="75"/>
        <v>30</v>
      </c>
      <c r="B880" s="27">
        <v>66423</v>
      </c>
      <c r="C880" s="25" t="str">
        <f>TEXT(131417,"0000000")</f>
        <v>0131417</v>
      </c>
      <c r="D880" s="27">
        <v>1701</v>
      </c>
      <c r="E880" s="25" t="s">
        <v>1535</v>
      </c>
      <c r="F880" s="25" t="s">
        <v>5</v>
      </c>
      <c r="G880" s="59" t="s">
        <v>1536</v>
      </c>
      <c r="H880" s="60">
        <v>0</v>
      </c>
      <c r="I880" s="60">
        <v>0</v>
      </c>
      <c r="J880" s="60">
        <v>0</v>
      </c>
      <c r="K880" s="60">
        <v>0</v>
      </c>
      <c r="L880" s="60">
        <v>0</v>
      </c>
      <c r="M880" s="60">
        <v>0</v>
      </c>
      <c r="N880" s="60">
        <v>0</v>
      </c>
      <c r="O880" s="60">
        <v>0</v>
      </c>
      <c r="P880" s="60">
        <v>0</v>
      </c>
      <c r="Q880" s="60">
        <v>0</v>
      </c>
      <c r="R880" s="60">
        <v>0</v>
      </c>
      <c r="S880" s="60">
        <v>0</v>
      </c>
      <c r="T880" s="60">
        <v>0</v>
      </c>
      <c r="U880" s="60">
        <v>0</v>
      </c>
      <c r="V880" s="60">
        <v>0</v>
      </c>
      <c r="W880" s="60">
        <v>0</v>
      </c>
      <c r="X880" s="60">
        <v>0</v>
      </c>
      <c r="Y880" s="60">
        <v>0</v>
      </c>
      <c r="Z880" s="60">
        <v>0</v>
      </c>
      <c r="AA880" s="60">
        <v>0</v>
      </c>
      <c r="AB880" s="60">
        <v>0</v>
      </c>
      <c r="AC880" s="60">
        <v>223.72</v>
      </c>
      <c r="AD880" s="60">
        <v>220.15</v>
      </c>
      <c r="AE880" s="60">
        <v>239.8</v>
      </c>
      <c r="AF880" s="60">
        <v>0</v>
      </c>
      <c r="AG880" s="60">
        <v>0</v>
      </c>
      <c r="AH880" s="60">
        <v>0</v>
      </c>
      <c r="AI880" s="60">
        <v>223.72</v>
      </c>
      <c r="AJ880" s="60">
        <v>220.15</v>
      </c>
      <c r="AK880" s="60">
        <v>239.8</v>
      </c>
      <c r="AL880" s="60">
        <v>0</v>
      </c>
      <c r="AM880" s="60">
        <v>0</v>
      </c>
      <c r="AN880" s="60">
        <v>0</v>
      </c>
      <c r="AO880" s="60">
        <v>223.72</v>
      </c>
      <c r="AP880" s="60">
        <v>220.15</v>
      </c>
      <c r="AQ880" s="60">
        <v>239.8</v>
      </c>
      <c r="AR880" s="61">
        <v>239.8</v>
      </c>
    </row>
    <row r="881" spans="1:44" x14ac:dyDescent="0.35">
      <c r="A881" s="49" t="str">
        <f>TEXT(1,"00")</f>
        <v>01</v>
      </c>
      <c r="B881" s="27">
        <v>61259</v>
      </c>
      <c r="C881" s="25" t="str">
        <f>TEXT(106906,"0000000")</f>
        <v>0106906</v>
      </c>
      <c r="D881" s="26" t="s">
        <v>81</v>
      </c>
      <c r="E881" s="25" t="s">
        <v>79</v>
      </c>
      <c r="F881" s="25" t="s">
        <v>5</v>
      </c>
      <c r="G881" s="59" t="s">
        <v>80</v>
      </c>
      <c r="H881" s="60">
        <v>0</v>
      </c>
      <c r="I881" s="60">
        <v>0</v>
      </c>
      <c r="J881" s="60">
        <v>0</v>
      </c>
      <c r="K881" s="60">
        <v>0</v>
      </c>
      <c r="L881" s="60">
        <v>0</v>
      </c>
      <c r="M881" s="60">
        <v>0</v>
      </c>
      <c r="N881" s="60">
        <v>0</v>
      </c>
      <c r="O881" s="60">
        <v>0</v>
      </c>
      <c r="P881" s="60">
        <v>0</v>
      </c>
      <c r="Q881" s="60">
        <v>0</v>
      </c>
      <c r="R881" s="60">
        <v>0</v>
      </c>
      <c r="S881" s="60">
        <v>0</v>
      </c>
      <c r="T881" s="60">
        <v>0</v>
      </c>
      <c r="U881" s="60">
        <v>0</v>
      </c>
      <c r="V881" s="60">
        <v>0</v>
      </c>
      <c r="W881" s="60">
        <v>0</v>
      </c>
      <c r="X881" s="60">
        <v>0</v>
      </c>
      <c r="Y881" s="60">
        <v>0</v>
      </c>
      <c r="Z881" s="60">
        <v>0</v>
      </c>
      <c r="AA881" s="60">
        <v>0</v>
      </c>
      <c r="AB881" s="60">
        <v>0</v>
      </c>
      <c r="AC881" s="60">
        <v>302.5</v>
      </c>
      <c r="AD881" s="60">
        <v>295.93</v>
      </c>
      <c r="AE881" s="60">
        <v>298.5</v>
      </c>
      <c r="AF881" s="60">
        <v>0</v>
      </c>
      <c r="AG881" s="60">
        <v>0</v>
      </c>
      <c r="AH881" s="60">
        <v>0</v>
      </c>
      <c r="AI881" s="60">
        <v>302.5</v>
      </c>
      <c r="AJ881" s="60">
        <v>295.93</v>
      </c>
      <c r="AK881" s="60">
        <v>298.5</v>
      </c>
      <c r="AL881" s="60">
        <v>0</v>
      </c>
      <c r="AM881" s="60">
        <v>0</v>
      </c>
      <c r="AN881" s="60">
        <v>0</v>
      </c>
      <c r="AO881" s="60">
        <v>302.5</v>
      </c>
      <c r="AP881" s="60">
        <v>295.93</v>
      </c>
      <c r="AQ881" s="60">
        <v>298.5</v>
      </c>
      <c r="AR881" s="61">
        <v>302.5</v>
      </c>
    </row>
    <row r="882" spans="1:44" x14ac:dyDescent="0.35">
      <c r="A882" s="49" t="str">
        <f t="shared" ref="A882:A891" si="76">TEXT(30,"00")</f>
        <v>30</v>
      </c>
      <c r="B882" s="27">
        <v>66423</v>
      </c>
      <c r="C882" s="25" t="str">
        <f>TEXT(6027379,"0000000")</f>
        <v>6027379</v>
      </c>
      <c r="D882" s="27">
        <v>1932</v>
      </c>
      <c r="E882" s="25" t="s">
        <v>1537</v>
      </c>
      <c r="F882" s="25" t="s">
        <v>5</v>
      </c>
      <c r="G882" s="59" t="s">
        <v>1538</v>
      </c>
      <c r="H882" s="60">
        <v>0</v>
      </c>
      <c r="I882" s="60">
        <v>0</v>
      </c>
      <c r="J882" s="60">
        <v>0</v>
      </c>
      <c r="K882" s="60">
        <v>0</v>
      </c>
      <c r="L882" s="60">
        <v>0</v>
      </c>
      <c r="M882" s="60">
        <v>0</v>
      </c>
      <c r="N882" s="60">
        <v>0</v>
      </c>
      <c r="O882" s="60">
        <v>0</v>
      </c>
      <c r="P882" s="60">
        <v>0</v>
      </c>
      <c r="Q882" s="60">
        <v>0</v>
      </c>
      <c r="R882" s="60">
        <v>0</v>
      </c>
      <c r="S882" s="60">
        <v>0</v>
      </c>
      <c r="T882" s="60">
        <v>0</v>
      </c>
      <c r="U882" s="60">
        <v>0</v>
      </c>
      <c r="V882" s="60">
        <v>0</v>
      </c>
      <c r="W882" s="60">
        <v>0</v>
      </c>
      <c r="X882" s="60">
        <v>0</v>
      </c>
      <c r="Y882" s="60">
        <v>0</v>
      </c>
      <c r="Z882" s="60">
        <v>0</v>
      </c>
      <c r="AA882" s="60">
        <v>0</v>
      </c>
      <c r="AB882" s="60">
        <v>0</v>
      </c>
      <c r="AC882" s="60">
        <v>244.43</v>
      </c>
      <c r="AD882" s="60">
        <v>258.01</v>
      </c>
      <c r="AE882" s="60">
        <v>291.42</v>
      </c>
      <c r="AF882" s="60">
        <v>0</v>
      </c>
      <c r="AG882" s="60">
        <v>0</v>
      </c>
      <c r="AH882" s="60">
        <v>0</v>
      </c>
      <c r="AI882" s="60">
        <v>244.43</v>
      </c>
      <c r="AJ882" s="60">
        <v>258.01</v>
      </c>
      <c r="AK882" s="60">
        <v>291.42</v>
      </c>
      <c r="AL882" s="60">
        <v>0</v>
      </c>
      <c r="AM882" s="60">
        <v>0</v>
      </c>
      <c r="AN882" s="60">
        <v>0</v>
      </c>
      <c r="AO882" s="60">
        <v>244.43</v>
      </c>
      <c r="AP882" s="60">
        <v>258.01</v>
      </c>
      <c r="AQ882" s="60">
        <v>291.42</v>
      </c>
      <c r="AR882" s="61">
        <v>291.42</v>
      </c>
    </row>
    <row r="883" spans="1:44" ht="31" x14ac:dyDescent="0.35">
      <c r="A883" s="49" t="str">
        <f t="shared" si="76"/>
        <v>30</v>
      </c>
      <c r="B883" s="27">
        <v>66464</v>
      </c>
      <c r="C883" s="25" t="str">
        <f>TEXT(106765,"0000000")</f>
        <v>0106765</v>
      </c>
      <c r="D883" s="26" t="s">
        <v>1551</v>
      </c>
      <c r="E883" s="25" t="s">
        <v>1549</v>
      </c>
      <c r="F883" s="25" t="s">
        <v>5</v>
      </c>
      <c r="G883" s="59" t="s">
        <v>1550</v>
      </c>
      <c r="H883" s="60">
        <v>0</v>
      </c>
      <c r="I883" s="60">
        <v>0</v>
      </c>
      <c r="J883" s="60">
        <v>0</v>
      </c>
      <c r="K883" s="60">
        <v>0</v>
      </c>
      <c r="L883" s="60">
        <v>0</v>
      </c>
      <c r="M883" s="60">
        <v>0</v>
      </c>
      <c r="N883" s="60">
        <v>0</v>
      </c>
      <c r="O883" s="60">
        <v>0</v>
      </c>
      <c r="P883" s="60">
        <v>0</v>
      </c>
      <c r="Q883" s="60">
        <v>0</v>
      </c>
      <c r="R883" s="60">
        <v>0</v>
      </c>
      <c r="S883" s="60">
        <v>0</v>
      </c>
      <c r="T883" s="60">
        <v>0</v>
      </c>
      <c r="U883" s="60">
        <v>0</v>
      </c>
      <c r="V883" s="60">
        <v>0</v>
      </c>
      <c r="W883" s="60">
        <v>0</v>
      </c>
      <c r="X883" s="60">
        <v>0</v>
      </c>
      <c r="Y883" s="60">
        <v>0</v>
      </c>
      <c r="Z883" s="60">
        <v>0</v>
      </c>
      <c r="AA883" s="60">
        <v>0</v>
      </c>
      <c r="AB883" s="60">
        <v>0</v>
      </c>
      <c r="AC883" s="60">
        <v>4829.88</v>
      </c>
      <c r="AD883" s="60">
        <v>4631.26</v>
      </c>
      <c r="AE883" s="60">
        <v>3822.49</v>
      </c>
      <c r="AF883" s="60">
        <v>0</v>
      </c>
      <c r="AG883" s="60">
        <v>0</v>
      </c>
      <c r="AH883" s="60">
        <v>0</v>
      </c>
      <c r="AI883" s="60">
        <v>4829.88</v>
      </c>
      <c r="AJ883" s="60">
        <v>4631.26</v>
      </c>
      <c r="AK883" s="60">
        <v>3822.49</v>
      </c>
      <c r="AL883" s="60">
        <v>0</v>
      </c>
      <c r="AM883" s="60">
        <v>0</v>
      </c>
      <c r="AN883" s="60">
        <v>0</v>
      </c>
      <c r="AO883" s="60">
        <v>4829.88</v>
      </c>
      <c r="AP883" s="60">
        <v>4631.26</v>
      </c>
      <c r="AQ883" s="60">
        <v>3822.49</v>
      </c>
      <c r="AR883" s="61">
        <v>4829.88</v>
      </c>
    </row>
    <row r="884" spans="1:44" x14ac:dyDescent="0.35">
      <c r="A884" s="49" t="str">
        <f t="shared" si="76"/>
        <v>30</v>
      </c>
      <c r="B884" s="27">
        <v>66464</v>
      </c>
      <c r="C884" s="25" t="str">
        <f>TEXT(123729,"0000000")</f>
        <v>0123729</v>
      </c>
      <c r="D884" s="27">
        <v>1274</v>
      </c>
      <c r="E884" s="25" t="s">
        <v>1552</v>
      </c>
      <c r="F884" s="25" t="s">
        <v>5</v>
      </c>
      <c r="G884" s="59" t="s">
        <v>1553</v>
      </c>
      <c r="H884" s="60">
        <v>0</v>
      </c>
      <c r="I884" s="60">
        <v>0</v>
      </c>
      <c r="J884" s="60">
        <v>0</v>
      </c>
      <c r="K884" s="60">
        <v>0</v>
      </c>
      <c r="L884" s="60">
        <v>0</v>
      </c>
      <c r="M884" s="60">
        <v>0</v>
      </c>
      <c r="N884" s="60">
        <v>0</v>
      </c>
      <c r="O884" s="60">
        <v>0</v>
      </c>
      <c r="P884" s="60">
        <v>0</v>
      </c>
      <c r="Q884" s="60">
        <v>0</v>
      </c>
      <c r="R884" s="60">
        <v>0</v>
      </c>
      <c r="S884" s="60">
        <v>0</v>
      </c>
      <c r="T884" s="60">
        <v>0</v>
      </c>
      <c r="U884" s="60">
        <v>0</v>
      </c>
      <c r="V884" s="60">
        <v>0</v>
      </c>
      <c r="W884" s="60">
        <v>0</v>
      </c>
      <c r="X884" s="60">
        <v>0</v>
      </c>
      <c r="Y884" s="60">
        <v>0</v>
      </c>
      <c r="Z884" s="60">
        <v>0</v>
      </c>
      <c r="AA884" s="60">
        <v>0</v>
      </c>
      <c r="AB884" s="60">
        <v>0</v>
      </c>
      <c r="AC884" s="60">
        <v>743.35</v>
      </c>
      <c r="AD884" s="60">
        <v>695.43</v>
      </c>
      <c r="AE884" s="60">
        <v>722</v>
      </c>
      <c r="AF884" s="60">
        <v>0</v>
      </c>
      <c r="AG884" s="60">
        <v>0</v>
      </c>
      <c r="AH884" s="60">
        <v>0</v>
      </c>
      <c r="AI884" s="60">
        <v>743.35</v>
      </c>
      <c r="AJ884" s="60">
        <v>695.43</v>
      </c>
      <c r="AK884" s="60">
        <v>722</v>
      </c>
      <c r="AL884" s="60">
        <v>0</v>
      </c>
      <c r="AM884" s="60">
        <v>0</v>
      </c>
      <c r="AN884" s="60">
        <v>0</v>
      </c>
      <c r="AO884" s="60">
        <v>743.35</v>
      </c>
      <c r="AP884" s="60">
        <v>695.43</v>
      </c>
      <c r="AQ884" s="60">
        <v>722</v>
      </c>
      <c r="AR884" s="61">
        <v>743.35</v>
      </c>
    </row>
    <row r="885" spans="1:44" ht="31" x14ac:dyDescent="0.35">
      <c r="A885" s="49" t="str">
        <f t="shared" si="76"/>
        <v>30</v>
      </c>
      <c r="B885" s="27">
        <v>66464</v>
      </c>
      <c r="C885" s="25" t="str">
        <f>TEXT(124743,"0000000")</f>
        <v>0124743</v>
      </c>
      <c r="D885" s="27">
        <v>1324</v>
      </c>
      <c r="E885" s="25" t="s">
        <v>1554</v>
      </c>
      <c r="F885" s="25" t="s">
        <v>5</v>
      </c>
      <c r="G885" s="59" t="s">
        <v>1555</v>
      </c>
      <c r="H885" s="60">
        <v>0</v>
      </c>
      <c r="I885" s="60">
        <v>0</v>
      </c>
      <c r="J885" s="60">
        <v>0</v>
      </c>
      <c r="K885" s="60">
        <v>0</v>
      </c>
      <c r="L885" s="60">
        <v>0</v>
      </c>
      <c r="M885" s="60">
        <v>0</v>
      </c>
      <c r="N885" s="60">
        <v>0</v>
      </c>
      <c r="O885" s="60">
        <v>0</v>
      </c>
      <c r="P885" s="60">
        <v>0</v>
      </c>
      <c r="Q885" s="60">
        <v>0</v>
      </c>
      <c r="R885" s="60">
        <v>0</v>
      </c>
      <c r="S885" s="60">
        <v>0</v>
      </c>
      <c r="T885" s="60">
        <v>0</v>
      </c>
      <c r="U885" s="60">
        <v>0</v>
      </c>
      <c r="V885" s="60">
        <v>0</v>
      </c>
      <c r="W885" s="60">
        <v>0</v>
      </c>
      <c r="X885" s="60">
        <v>0</v>
      </c>
      <c r="Y885" s="60">
        <v>0</v>
      </c>
      <c r="Z885" s="60">
        <v>0</v>
      </c>
      <c r="AA885" s="60">
        <v>0</v>
      </c>
      <c r="AB885" s="60">
        <v>0</v>
      </c>
      <c r="AC885" s="60">
        <v>801.84</v>
      </c>
      <c r="AD885" s="60">
        <v>831.9</v>
      </c>
      <c r="AE885" s="60">
        <v>789.9</v>
      </c>
      <c r="AF885" s="60">
        <v>0</v>
      </c>
      <c r="AG885" s="60">
        <v>0</v>
      </c>
      <c r="AH885" s="60">
        <v>0</v>
      </c>
      <c r="AI885" s="60">
        <v>801.84</v>
      </c>
      <c r="AJ885" s="60">
        <v>831.9</v>
      </c>
      <c r="AK885" s="60">
        <v>789.9</v>
      </c>
      <c r="AL885" s="60">
        <v>0</v>
      </c>
      <c r="AM885" s="60">
        <v>0</v>
      </c>
      <c r="AN885" s="60">
        <v>0</v>
      </c>
      <c r="AO885" s="60">
        <v>801.84</v>
      </c>
      <c r="AP885" s="60">
        <v>831.9</v>
      </c>
      <c r="AQ885" s="60">
        <v>789.9</v>
      </c>
      <c r="AR885" s="61">
        <v>831.9</v>
      </c>
    </row>
    <row r="886" spans="1:44" x14ac:dyDescent="0.35">
      <c r="A886" s="49" t="str">
        <f t="shared" si="76"/>
        <v>30</v>
      </c>
      <c r="B886" s="27">
        <v>66464</v>
      </c>
      <c r="C886" s="25" t="str">
        <f>TEXT(140061,"0000000")</f>
        <v>0140061</v>
      </c>
      <c r="D886" s="27">
        <v>2084</v>
      </c>
      <c r="E886" s="25" t="s">
        <v>1556</v>
      </c>
      <c r="F886" s="25" t="s">
        <v>5</v>
      </c>
      <c r="G886" s="59" t="s">
        <v>1557</v>
      </c>
      <c r="H886" s="60">
        <v>0</v>
      </c>
      <c r="I886" s="60">
        <v>0</v>
      </c>
      <c r="J886" s="60">
        <v>0</v>
      </c>
      <c r="K886" s="60">
        <v>0</v>
      </c>
      <c r="L886" s="60">
        <v>0</v>
      </c>
      <c r="M886" s="60">
        <v>0</v>
      </c>
      <c r="N886" s="60">
        <v>0</v>
      </c>
      <c r="O886" s="60">
        <v>0</v>
      </c>
      <c r="P886" s="60">
        <v>0</v>
      </c>
      <c r="Q886" s="60">
        <v>0</v>
      </c>
      <c r="R886" s="60">
        <v>0</v>
      </c>
      <c r="S886" s="60">
        <v>0</v>
      </c>
      <c r="T886" s="60">
        <v>0</v>
      </c>
      <c r="U886" s="60">
        <v>0</v>
      </c>
      <c r="V886" s="60">
        <v>0</v>
      </c>
      <c r="W886" s="60">
        <v>0</v>
      </c>
      <c r="X886" s="60">
        <v>0</v>
      </c>
      <c r="Y886" s="60">
        <v>0</v>
      </c>
      <c r="Z886" s="60">
        <v>0</v>
      </c>
      <c r="AA886" s="60">
        <v>0</v>
      </c>
      <c r="AB886" s="60">
        <v>0</v>
      </c>
      <c r="AC886" s="60">
        <v>96.04</v>
      </c>
      <c r="AD886" s="60">
        <v>119.6</v>
      </c>
      <c r="AE886" s="60">
        <v>111.6</v>
      </c>
      <c r="AF886" s="60">
        <v>0</v>
      </c>
      <c r="AG886" s="60">
        <v>0</v>
      </c>
      <c r="AH886" s="60">
        <v>0</v>
      </c>
      <c r="AI886" s="60">
        <v>96.04</v>
      </c>
      <c r="AJ886" s="60">
        <v>119.6</v>
      </c>
      <c r="AK886" s="60">
        <v>111.6</v>
      </c>
      <c r="AL886" s="60">
        <v>0</v>
      </c>
      <c r="AM886" s="60">
        <v>0</v>
      </c>
      <c r="AN886" s="60">
        <v>0</v>
      </c>
      <c r="AO886" s="60">
        <v>96.04</v>
      </c>
      <c r="AP886" s="60">
        <v>119.6</v>
      </c>
      <c r="AQ886" s="60">
        <v>111.6</v>
      </c>
      <c r="AR886" s="61">
        <v>119.6</v>
      </c>
    </row>
    <row r="887" spans="1:44" x14ac:dyDescent="0.35">
      <c r="A887" s="49" t="str">
        <f t="shared" si="76"/>
        <v>30</v>
      </c>
      <c r="B887" s="27">
        <v>66530</v>
      </c>
      <c r="C887" s="25" t="str">
        <f>TEXT(134221,"0000000")</f>
        <v>0134221</v>
      </c>
      <c r="D887" s="27">
        <v>1812</v>
      </c>
      <c r="E887" s="25" t="s">
        <v>1577</v>
      </c>
      <c r="F887" s="25" t="s">
        <v>5</v>
      </c>
      <c r="G887" s="59" t="s">
        <v>1578</v>
      </c>
      <c r="H887" s="60">
        <v>0</v>
      </c>
      <c r="I887" s="60">
        <v>0</v>
      </c>
      <c r="J887" s="60">
        <v>0</v>
      </c>
      <c r="K887" s="60">
        <v>0</v>
      </c>
      <c r="L887" s="60">
        <v>0</v>
      </c>
      <c r="M887" s="60">
        <v>0</v>
      </c>
      <c r="N887" s="60">
        <v>0</v>
      </c>
      <c r="O887" s="60">
        <v>0</v>
      </c>
      <c r="P887" s="60">
        <v>0</v>
      </c>
      <c r="Q887" s="60">
        <v>0</v>
      </c>
      <c r="R887" s="60">
        <v>0</v>
      </c>
      <c r="S887" s="60">
        <v>0</v>
      </c>
      <c r="T887" s="60">
        <v>0</v>
      </c>
      <c r="U887" s="60">
        <v>0</v>
      </c>
      <c r="V887" s="60">
        <v>0</v>
      </c>
      <c r="W887" s="60">
        <v>0</v>
      </c>
      <c r="X887" s="60">
        <v>0</v>
      </c>
      <c r="Y887" s="60">
        <v>0</v>
      </c>
      <c r="Z887" s="60">
        <v>0</v>
      </c>
      <c r="AA887" s="60">
        <v>0</v>
      </c>
      <c r="AB887" s="60">
        <v>0</v>
      </c>
      <c r="AC887" s="60">
        <v>307.43</v>
      </c>
      <c r="AD887" s="60">
        <v>299.93</v>
      </c>
      <c r="AE887" s="60">
        <v>275.68</v>
      </c>
      <c r="AF887" s="60">
        <v>0</v>
      </c>
      <c r="AG887" s="60">
        <v>0</v>
      </c>
      <c r="AH887" s="60">
        <v>0</v>
      </c>
      <c r="AI887" s="60">
        <v>307.43</v>
      </c>
      <c r="AJ887" s="60">
        <v>299.93</v>
      </c>
      <c r="AK887" s="60">
        <v>275.68</v>
      </c>
      <c r="AL887" s="60">
        <v>0</v>
      </c>
      <c r="AM887" s="60">
        <v>0</v>
      </c>
      <c r="AN887" s="60">
        <v>0</v>
      </c>
      <c r="AO887" s="60">
        <v>307.43</v>
      </c>
      <c r="AP887" s="60">
        <v>299.93</v>
      </c>
      <c r="AQ887" s="60">
        <v>275.68</v>
      </c>
      <c r="AR887" s="61">
        <v>307.43</v>
      </c>
    </row>
    <row r="888" spans="1:44" x14ac:dyDescent="0.35">
      <c r="A888" s="49" t="str">
        <f t="shared" si="76"/>
        <v>30</v>
      </c>
      <c r="B888" s="27">
        <v>66621</v>
      </c>
      <c r="C888" s="25" t="str">
        <f>TEXT(6094874,"0000000")</f>
        <v>6094874</v>
      </c>
      <c r="D888" s="26" t="s">
        <v>1598</v>
      </c>
      <c r="E888" s="25" t="s">
        <v>1596</v>
      </c>
      <c r="F888" s="25" t="s">
        <v>5</v>
      </c>
      <c r="G888" s="59" t="s">
        <v>1597</v>
      </c>
      <c r="H888" s="60">
        <v>0</v>
      </c>
      <c r="I888" s="60">
        <v>0</v>
      </c>
      <c r="J888" s="60">
        <v>0</v>
      </c>
      <c r="K888" s="60">
        <v>0</v>
      </c>
      <c r="L888" s="60">
        <v>0</v>
      </c>
      <c r="M888" s="60">
        <v>0</v>
      </c>
      <c r="N888" s="60">
        <v>0</v>
      </c>
      <c r="O888" s="60">
        <v>0</v>
      </c>
      <c r="P888" s="60">
        <v>0</v>
      </c>
      <c r="Q888" s="60">
        <v>0</v>
      </c>
      <c r="R888" s="60">
        <v>0</v>
      </c>
      <c r="S888" s="60">
        <v>0</v>
      </c>
      <c r="T888" s="60">
        <v>0</v>
      </c>
      <c r="U888" s="60">
        <v>0</v>
      </c>
      <c r="V888" s="60">
        <v>0</v>
      </c>
      <c r="W888" s="60">
        <v>0</v>
      </c>
      <c r="X888" s="60">
        <v>0</v>
      </c>
      <c r="Y888" s="60">
        <v>0</v>
      </c>
      <c r="Z888" s="60">
        <v>0</v>
      </c>
      <c r="AA888" s="60">
        <v>0</v>
      </c>
      <c r="AB888" s="60">
        <v>0</v>
      </c>
      <c r="AC888" s="60">
        <v>1054.57</v>
      </c>
      <c r="AD888" s="60">
        <v>1058.05</v>
      </c>
      <c r="AE888" s="60">
        <v>1162.98</v>
      </c>
      <c r="AF888" s="60">
        <v>0</v>
      </c>
      <c r="AG888" s="60">
        <v>0</v>
      </c>
      <c r="AH888" s="60">
        <v>0</v>
      </c>
      <c r="AI888" s="60">
        <v>1054.57</v>
      </c>
      <c r="AJ888" s="60">
        <v>1058.05</v>
      </c>
      <c r="AK888" s="60">
        <v>1162.98</v>
      </c>
      <c r="AL888" s="60">
        <v>0</v>
      </c>
      <c r="AM888" s="60">
        <v>0</v>
      </c>
      <c r="AN888" s="60">
        <v>0</v>
      </c>
      <c r="AO888" s="60">
        <v>1054.57</v>
      </c>
      <c r="AP888" s="60">
        <v>1058.05</v>
      </c>
      <c r="AQ888" s="60">
        <v>1162.98</v>
      </c>
      <c r="AR888" s="61">
        <v>1162.98</v>
      </c>
    </row>
    <row r="889" spans="1:44" x14ac:dyDescent="0.35">
      <c r="A889" s="49" t="str">
        <f t="shared" si="76"/>
        <v>30</v>
      </c>
      <c r="B889" s="27">
        <v>66621</v>
      </c>
      <c r="C889" s="25" t="str">
        <f>TEXT(6085328,"0000000")</f>
        <v>6085328</v>
      </c>
      <c r="D889" s="26" t="s">
        <v>1595</v>
      </c>
      <c r="E889" s="25" t="s">
        <v>1593</v>
      </c>
      <c r="F889" s="25" t="s">
        <v>5</v>
      </c>
      <c r="G889" s="59" t="s">
        <v>1594</v>
      </c>
      <c r="H889" s="60">
        <v>0</v>
      </c>
      <c r="I889" s="60">
        <v>0</v>
      </c>
      <c r="J889" s="60">
        <v>0</v>
      </c>
      <c r="K889" s="60">
        <v>0</v>
      </c>
      <c r="L889" s="60">
        <v>0</v>
      </c>
      <c r="M889" s="60">
        <v>0</v>
      </c>
      <c r="N889" s="60">
        <v>0</v>
      </c>
      <c r="O889" s="60">
        <v>0</v>
      </c>
      <c r="P889" s="60">
        <v>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0</v>
      </c>
      <c r="W889" s="60">
        <v>0</v>
      </c>
      <c r="X889" s="60">
        <v>0</v>
      </c>
      <c r="Y889" s="60">
        <v>0</v>
      </c>
      <c r="Z889" s="60">
        <v>0</v>
      </c>
      <c r="AA889" s="60">
        <v>0</v>
      </c>
      <c r="AB889" s="60">
        <v>0</v>
      </c>
      <c r="AC889" s="60">
        <v>1000.82</v>
      </c>
      <c r="AD889" s="60">
        <v>1049.82</v>
      </c>
      <c r="AE889" s="60">
        <v>981.8</v>
      </c>
      <c r="AF889" s="60">
        <v>0</v>
      </c>
      <c r="AG889" s="60">
        <v>0</v>
      </c>
      <c r="AH889" s="60">
        <v>0</v>
      </c>
      <c r="AI889" s="60">
        <v>1000.82</v>
      </c>
      <c r="AJ889" s="60">
        <v>1049.82</v>
      </c>
      <c r="AK889" s="60">
        <v>981.8</v>
      </c>
      <c r="AL889" s="60">
        <v>0</v>
      </c>
      <c r="AM889" s="60">
        <v>0</v>
      </c>
      <c r="AN889" s="60">
        <v>0</v>
      </c>
      <c r="AO889" s="60">
        <v>1000.82</v>
      </c>
      <c r="AP889" s="60">
        <v>1049.82</v>
      </c>
      <c r="AQ889" s="60">
        <v>981.8</v>
      </c>
      <c r="AR889" s="61">
        <v>1049.82</v>
      </c>
    </row>
    <row r="890" spans="1:44" x14ac:dyDescent="0.35">
      <c r="A890" s="49" t="str">
        <f t="shared" si="76"/>
        <v>30</v>
      </c>
      <c r="B890" s="27">
        <v>66670</v>
      </c>
      <c r="C890" s="25" t="str">
        <f>TEXT(106567,"0000000")</f>
        <v>0106567</v>
      </c>
      <c r="D890" s="26" t="s">
        <v>1606</v>
      </c>
      <c r="E890" s="25" t="s">
        <v>1604</v>
      </c>
      <c r="F890" s="25" t="s">
        <v>5</v>
      </c>
      <c r="G890" s="59" t="s">
        <v>1605</v>
      </c>
      <c r="H890" s="60">
        <v>0</v>
      </c>
      <c r="I890" s="60">
        <v>0</v>
      </c>
      <c r="J890" s="60">
        <v>0</v>
      </c>
      <c r="K890" s="60">
        <v>0</v>
      </c>
      <c r="L890" s="60">
        <v>0</v>
      </c>
      <c r="M890" s="60">
        <v>0</v>
      </c>
      <c r="N890" s="60">
        <v>0</v>
      </c>
      <c r="O890" s="60">
        <v>0</v>
      </c>
      <c r="P890" s="60">
        <v>0</v>
      </c>
      <c r="Q890" s="60">
        <v>0</v>
      </c>
      <c r="R890" s="60">
        <v>0</v>
      </c>
      <c r="S890" s="60">
        <v>0</v>
      </c>
      <c r="T890" s="60">
        <v>0</v>
      </c>
      <c r="U890" s="60">
        <v>0</v>
      </c>
      <c r="V890" s="60">
        <v>0</v>
      </c>
      <c r="W890" s="60">
        <v>0</v>
      </c>
      <c r="X890" s="60">
        <v>0</v>
      </c>
      <c r="Y890" s="60">
        <v>0</v>
      </c>
      <c r="Z890" s="60">
        <v>0</v>
      </c>
      <c r="AA890" s="60">
        <v>0</v>
      </c>
      <c r="AB890" s="60">
        <v>0</v>
      </c>
      <c r="AC890" s="60">
        <v>279.64</v>
      </c>
      <c r="AD890" s="60">
        <v>290.89999999999998</v>
      </c>
      <c r="AE890" s="60">
        <v>386.73</v>
      </c>
      <c r="AF890" s="60">
        <v>0</v>
      </c>
      <c r="AG890" s="60">
        <v>0</v>
      </c>
      <c r="AH890" s="60">
        <v>0</v>
      </c>
      <c r="AI890" s="60">
        <v>279.64</v>
      </c>
      <c r="AJ890" s="60">
        <v>290.89999999999998</v>
      </c>
      <c r="AK890" s="60">
        <v>386.73</v>
      </c>
      <c r="AL890" s="60">
        <v>0</v>
      </c>
      <c r="AM890" s="60">
        <v>0</v>
      </c>
      <c r="AN890" s="60">
        <v>0</v>
      </c>
      <c r="AO890" s="60">
        <v>279.64</v>
      </c>
      <c r="AP890" s="60">
        <v>290.89999999999998</v>
      </c>
      <c r="AQ890" s="60">
        <v>386.73</v>
      </c>
      <c r="AR890" s="61">
        <v>386.73</v>
      </c>
    </row>
    <row r="891" spans="1:44" x14ac:dyDescent="0.35">
      <c r="A891" s="49" t="str">
        <f t="shared" si="76"/>
        <v>30</v>
      </c>
      <c r="B891" s="27">
        <v>66670</v>
      </c>
      <c r="C891" s="25" t="str">
        <f>TEXT(109066,"0000000")</f>
        <v>0109066</v>
      </c>
      <c r="D891" s="26" t="s">
        <v>1609</v>
      </c>
      <c r="E891" s="25" t="s">
        <v>1607</v>
      </c>
      <c r="F891" s="25" t="s">
        <v>5</v>
      </c>
      <c r="G891" s="59" t="s">
        <v>1608</v>
      </c>
      <c r="H891" s="60">
        <v>0</v>
      </c>
      <c r="I891" s="60">
        <v>0</v>
      </c>
      <c r="J891" s="60">
        <v>0</v>
      </c>
      <c r="K891" s="60">
        <v>0</v>
      </c>
      <c r="L891" s="60">
        <v>0</v>
      </c>
      <c r="M891" s="60">
        <v>0</v>
      </c>
      <c r="N891" s="60">
        <v>0</v>
      </c>
      <c r="O891" s="60">
        <v>0</v>
      </c>
      <c r="P891" s="60">
        <v>0</v>
      </c>
      <c r="Q891" s="60">
        <v>0</v>
      </c>
      <c r="R891" s="60">
        <v>0</v>
      </c>
      <c r="S891" s="60">
        <v>0</v>
      </c>
      <c r="T891" s="60">
        <v>0</v>
      </c>
      <c r="U891" s="60">
        <v>0</v>
      </c>
      <c r="V891" s="60">
        <v>0</v>
      </c>
      <c r="W891" s="60">
        <v>0</v>
      </c>
      <c r="X891" s="60">
        <v>0</v>
      </c>
      <c r="Y891" s="60">
        <v>0</v>
      </c>
      <c r="Z891" s="60">
        <v>0</v>
      </c>
      <c r="AA891" s="60">
        <v>0</v>
      </c>
      <c r="AB891" s="60">
        <v>0</v>
      </c>
      <c r="AC891" s="60">
        <v>527.69000000000005</v>
      </c>
      <c r="AD891" s="60">
        <v>508.62</v>
      </c>
      <c r="AE891" s="60">
        <v>600.27</v>
      </c>
      <c r="AF891" s="60">
        <v>0</v>
      </c>
      <c r="AG891" s="60">
        <v>0</v>
      </c>
      <c r="AH891" s="60">
        <v>0</v>
      </c>
      <c r="AI891" s="60">
        <v>527.69000000000005</v>
      </c>
      <c r="AJ891" s="60">
        <v>508.62</v>
      </c>
      <c r="AK891" s="60">
        <v>600.27</v>
      </c>
      <c r="AL891" s="60">
        <v>0</v>
      </c>
      <c r="AM891" s="60">
        <v>0</v>
      </c>
      <c r="AN891" s="60">
        <v>0</v>
      </c>
      <c r="AO891" s="60">
        <v>527.69000000000005</v>
      </c>
      <c r="AP891" s="60">
        <v>508.62</v>
      </c>
      <c r="AQ891" s="60">
        <v>600.27</v>
      </c>
      <c r="AR891" s="61">
        <v>600.27</v>
      </c>
    </row>
    <row r="892" spans="1:44" x14ac:dyDescent="0.35">
      <c r="A892" s="49" t="str">
        <f>TEXT(1,"00")</f>
        <v>01</v>
      </c>
      <c r="B892" s="27">
        <v>61259</v>
      </c>
      <c r="C892" s="25" t="str">
        <f>TEXT(108944,"0000000")</f>
        <v>0108944</v>
      </c>
      <c r="D892" s="26" t="s">
        <v>84</v>
      </c>
      <c r="E892" s="25" t="s">
        <v>82</v>
      </c>
      <c r="F892" s="25" t="s">
        <v>5</v>
      </c>
      <c r="G892" s="59" t="s">
        <v>83</v>
      </c>
      <c r="H892" s="60">
        <v>0</v>
      </c>
      <c r="I892" s="60">
        <v>0</v>
      </c>
      <c r="J892" s="60">
        <v>0</v>
      </c>
      <c r="K892" s="60">
        <v>0</v>
      </c>
      <c r="L892" s="60">
        <v>0</v>
      </c>
      <c r="M892" s="60">
        <v>0</v>
      </c>
      <c r="N892" s="60">
        <v>0</v>
      </c>
      <c r="O892" s="60">
        <v>0</v>
      </c>
      <c r="P892" s="60">
        <v>0</v>
      </c>
      <c r="Q892" s="60">
        <v>0</v>
      </c>
      <c r="R892" s="60">
        <v>0</v>
      </c>
      <c r="S892" s="60">
        <v>0</v>
      </c>
      <c r="T892" s="60">
        <v>0</v>
      </c>
      <c r="U892" s="60">
        <v>0</v>
      </c>
      <c r="V892" s="60">
        <v>0</v>
      </c>
      <c r="W892" s="60">
        <v>0</v>
      </c>
      <c r="X892" s="60">
        <v>0</v>
      </c>
      <c r="Y892" s="60">
        <v>0</v>
      </c>
      <c r="Z892" s="60">
        <v>0</v>
      </c>
      <c r="AA892" s="60">
        <v>0</v>
      </c>
      <c r="AB892" s="60">
        <v>0</v>
      </c>
      <c r="AC892" s="60">
        <v>269.63</v>
      </c>
      <c r="AD892" s="60">
        <v>275.83999999999997</v>
      </c>
      <c r="AE892" s="60">
        <v>280.58</v>
      </c>
      <c r="AF892" s="60">
        <v>0</v>
      </c>
      <c r="AG892" s="60">
        <v>0</v>
      </c>
      <c r="AH892" s="60">
        <v>0</v>
      </c>
      <c r="AI892" s="60">
        <v>269.63</v>
      </c>
      <c r="AJ892" s="60">
        <v>275.83999999999997</v>
      </c>
      <c r="AK892" s="60">
        <v>280.58</v>
      </c>
      <c r="AL892" s="60">
        <v>0</v>
      </c>
      <c r="AM892" s="60">
        <v>0</v>
      </c>
      <c r="AN892" s="60">
        <v>0</v>
      </c>
      <c r="AO892" s="60">
        <v>269.63</v>
      </c>
      <c r="AP892" s="60">
        <v>275.83999999999997</v>
      </c>
      <c r="AQ892" s="60">
        <v>280.58</v>
      </c>
      <c r="AR892" s="61">
        <v>280.58</v>
      </c>
    </row>
    <row r="893" spans="1:44" x14ac:dyDescent="0.35">
      <c r="A893" s="49" t="str">
        <f>TEXT(30,"00")</f>
        <v>30</v>
      </c>
      <c r="B893" s="27">
        <v>66670</v>
      </c>
      <c r="C893" s="25" t="str">
        <f>TEXT(6119127,"0000000")</f>
        <v>6119127</v>
      </c>
      <c r="D893" s="26" t="s">
        <v>1612</v>
      </c>
      <c r="E893" s="25" t="s">
        <v>1610</v>
      </c>
      <c r="F893" s="25" t="s">
        <v>5</v>
      </c>
      <c r="G893" s="59" t="s">
        <v>1611</v>
      </c>
      <c r="H893" s="60">
        <v>0</v>
      </c>
      <c r="I893" s="60">
        <v>0</v>
      </c>
      <c r="J893" s="60">
        <v>0</v>
      </c>
      <c r="K893" s="60">
        <v>0</v>
      </c>
      <c r="L893" s="60">
        <v>0</v>
      </c>
      <c r="M893" s="60">
        <v>0</v>
      </c>
      <c r="N893" s="60">
        <v>0</v>
      </c>
      <c r="O893" s="60">
        <v>0</v>
      </c>
      <c r="P893" s="60">
        <v>0</v>
      </c>
      <c r="Q893" s="60">
        <v>0</v>
      </c>
      <c r="R893" s="60">
        <v>0</v>
      </c>
      <c r="S893" s="60">
        <v>0</v>
      </c>
      <c r="T893" s="60">
        <v>0</v>
      </c>
      <c r="U893" s="60">
        <v>0</v>
      </c>
      <c r="V893" s="60">
        <v>0</v>
      </c>
      <c r="W893" s="60">
        <v>0</v>
      </c>
      <c r="X893" s="60">
        <v>0</v>
      </c>
      <c r="Y893" s="60">
        <v>0</v>
      </c>
      <c r="Z893" s="60">
        <v>0</v>
      </c>
      <c r="AA893" s="60">
        <v>0</v>
      </c>
      <c r="AB893" s="60">
        <v>0</v>
      </c>
      <c r="AC893" s="60">
        <v>900.12</v>
      </c>
      <c r="AD893" s="60">
        <v>885.91</v>
      </c>
      <c r="AE893" s="60">
        <v>896.6</v>
      </c>
      <c r="AF893" s="60">
        <v>0</v>
      </c>
      <c r="AG893" s="60">
        <v>0</v>
      </c>
      <c r="AH893" s="60">
        <v>0</v>
      </c>
      <c r="AI893" s="60">
        <v>900.12</v>
      </c>
      <c r="AJ893" s="60">
        <v>885.91</v>
      </c>
      <c r="AK893" s="60">
        <v>896.6</v>
      </c>
      <c r="AL893" s="60">
        <v>0</v>
      </c>
      <c r="AM893" s="60">
        <v>0</v>
      </c>
      <c r="AN893" s="60">
        <v>0</v>
      </c>
      <c r="AO893" s="60">
        <v>900.12</v>
      </c>
      <c r="AP893" s="60">
        <v>885.91</v>
      </c>
      <c r="AQ893" s="60">
        <v>896.6</v>
      </c>
      <c r="AR893" s="61">
        <v>900.12</v>
      </c>
    </row>
    <row r="894" spans="1:44" x14ac:dyDescent="0.35">
      <c r="A894" s="49" t="str">
        <f>TEXT(30,"00")</f>
        <v>30</v>
      </c>
      <c r="B894" s="27">
        <v>76893</v>
      </c>
      <c r="C894" s="25" t="str">
        <f>TEXT(130765,"0000000")</f>
        <v>0130765</v>
      </c>
      <c r="D894" s="27">
        <v>1686</v>
      </c>
      <c r="E894" s="25" t="s">
        <v>1623</v>
      </c>
      <c r="F894" s="25" t="s">
        <v>5</v>
      </c>
      <c r="G894" s="59" t="s">
        <v>1624</v>
      </c>
      <c r="H894" s="60">
        <v>0</v>
      </c>
      <c r="I894" s="60">
        <v>0</v>
      </c>
      <c r="J894" s="60">
        <v>0</v>
      </c>
      <c r="K894" s="60">
        <v>0</v>
      </c>
      <c r="L894" s="60">
        <v>0</v>
      </c>
      <c r="M894" s="60">
        <v>0</v>
      </c>
      <c r="N894" s="60">
        <v>0</v>
      </c>
      <c r="O894" s="60">
        <v>0</v>
      </c>
      <c r="P894" s="60">
        <v>0</v>
      </c>
      <c r="Q894" s="60">
        <v>0</v>
      </c>
      <c r="R894" s="60">
        <v>0</v>
      </c>
      <c r="S894" s="60">
        <v>0</v>
      </c>
      <c r="T894" s="60">
        <v>0</v>
      </c>
      <c r="U894" s="60">
        <v>0</v>
      </c>
      <c r="V894" s="60">
        <v>0</v>
      </c>
      <c r="W894" s="60">
        <v>0</v>
      </c>
      <c r="X894" s="60">
        <v>0</v>
      </c>
      <c r="Y894" s="60">
        <v>0</v>
      </c>
      <c r="Z894" s="60">
        <v>0</v>
      </c>
      <c r="AA894" s="60">
        <v>0</v>
      </c>
      <c r="AB894" s="60">
        <v>0</v>
      </c>
      <c r="AC894" s="60">
        <v>466.72</v>
      </c>
      <c r="AD894" s="60">
        <v>482.76</v>
      </c>
      <c r="AE894" s="60">
        <v>526.51</v>
      </c>
      <c r="AF894" s="60">
        <v>0</v>
      </c>
      <c r="AG894" s="60">
        <v>0</v>
      </c>
      <c r="AH894" s="60">
        <v>0</v>
      </c>
      <c r="AI894" s="60">
        <v>466.72</v>
      </c>
      <c r="AJ894" s="60">
        <v>482.76</v>
      </c>
      <c r="AK894" s="60">
        <v>526.51</v>
      </c>
      <c r="AL894" s="60">
        <v>0</v>
      </c>
      <c r="AM894" s="60">
        <v>0</v>
      </c>
      <c r="AN894" s="60">
        <v>0</v>
      </c>
      <c r="AO894" s="60">
        <v>466.72</v>
      </c>
      <c r="AP894" s="60">
        <v>482.76</v>
      </c>
      <c r="AQ894" s="60">
        <v>526.51</v>
      </c>
      <c r="AR894" s="61">
        <v>526.51</v>
      </c>
    </row>
    <row r="895" spans="1:44" x14ac:dyDescent="0.35">
      <c r="A895" s="49" t="str">
        <f t="shared" ref="A895:A901" si="77">TEXT(31,"00")</f>
        <v>31</v>
      </c>
      <c r="B895" s="27">
        <v>66852</v>
      </c>
      <c r="C895" s="25" t="str">
        <f>TEXT(127928,"0000000")</f>
        <v>0127928</v>
      </c>
      <c r="D895" s="27">
        <v>1528</v>
      </c>
      <c r="E895" s="25" t="s">
        <v>1645</v>
      </c>
      <c r="F895" s="25" t="s">
        <v>5</v>
      </c>
      <c r="G895" s="59" t="s">
        <v>1646</v>
      </c>
      <c r="H895" s="60">
        <v>0</v>
      </c>
      <c r="I895" s="60">
        <v>0</v>
      </c>
      <c r="J895" s="60">
        <v>0</v>
      </c>
      <c r="K895" s="60">
        <v>0</v>
      </c>
      <c r="L895" s="60">
        <v>0</v>
      </c>
      <c r="M895" s="60">
        <v>0</v>
      </c>
      <c r="N895" s="60">
        <v>0</v>
      </c>
      <c r="O895" s="60">
        <v>0</v>
      </c>
      <c r="P895" s="60">
        <v>0</v>
      </c>
      <c r="Q895" s="60">
        <v>0</v>
      </c>
      <c r="R895" s="60">
        <v>0</v>
      </c>
      <c r="S895" s="60">
        <v>0</v>
      </c>
      <c r="T895" s="60">
        <v>0</v>
      </c>
      <c r="U895" s="60">
        <v>0</v>
      </c>
      <c r="V895" s="60">
        <v>0</v>
      </c>
      <c r="W895" s="60">
        <v>0</v>
      </c>
      <c r="X895" s="60">
        <v>0</v>
      </c>
      <c r="Y895" s="60">
        <v>0</v>
      </c>
      <c r="Z895" s="60">
        <v>0</v>
      </c>
      <c r="AA895" s="60">
        <v>0</v>
      </c>
      <c r="AB895" s="60">
        <v>0</v>
      </c>
      <c r="AC895" s="60">
        <v>1129.22</v>
      </c>
      <c r="AD895" s="60">
        <v>1104.02</v>
      </c>
      <c r="AE895" s="60">
        <v>1173.6600000000001</v>
      </c>
      <c r="AF895" s="60">
        <v>0</v>
      </c>
      <c r="AG895" s="60">
        <v>0</v>
      </c>
      <c r="AH895" s="60">
        <v>0</v>
      </c>
      <c r="AI895" s="60">
        <v>1129.22</v>
      </c>
      <c r="AJ895" s="60">
        <v>1104.02</v>
      </c>
      <c r="AK895" s="60">
        <v>1173.6600000000001</v>
      </c>
      <c r="AL895" s="60">
        <v>0</v>
      </c>
      <c r="AM895" s="60">
        <v>0</v>
      </c>
      <c r="AN895" s="60">
        <v>0</v>
      </c>
      <c r="AO895" s="60">
        <v>1129.22</v>
      </c>
      <c r="AP895" s="60">
        <v>1104.02</v>
      </c>
      <c r="AQ895" s="60">
        <v>1173.6600000000001</v>
      </c>
      <c r="AR895" s="61">
        <v>1173.6600000000001</v>
      </c>
    </row>
    <row r="896" spans="1:44" x14ac:dyDescent="0.35">
      <c r="A896" s="49" t="str">
        <f t="shared" si="77"/>
        <v>31</v>
      </c>
      <c r="B896" s="27">
        <v>66928</v>
      </c>
      <c r="C896" s="25" t="str">
        <f>TEXT(121418,"0000000")</f>
        <v>0121418</v>
      </c>
      <c r="D896" s="27">
        <v>2061</v>
      </c>
      <c r="E896" s="25" t="s">
        <v>1655</v>
      </c>
      <c r="F896" s="25" t="s">
        <v>5</v>
      </c>
      <c r="G896" s="59" t="s">
        <v>1656</v>
      </c>
      <c r="H896" s="60">
        <v>0</v>
      </c>
      <c r="I896" s="60">
        <v>0</v>
      </c>
      <c r="J896" s="60">
        <v>0</v>
      </c>
      <c r="K896" s="60">
        <v>0</v>
      </c>
      <c r="L896" s="60">
        <v>0</v>
      </c>
      <c r="M896" s="60">
        <v>0</v>
      </c>
      <c r="N896" s="60">
        <v>0</v>
      </c>
      <c r="O896" s="60">
        <v>0</v>
      </c>
      <c r="P896" s="60">
        <v>0</v>
      </c>
      <c r="Q896" s="60">
        <v>0</v>
      </c>
      <c r="R896" s="60">
        <v>0</v>
      </c>
      <c r="S896" s="60">
        <v>0</v>
      </c>
      <c r="T896" s="60">
        <v>0</v>
      </c>
      <c r="U896" s="60">
        <v>0</v>
      </c>
      <c r="V896" s="60">
        <v>0</v>
      </c>
      <c r="W896" s="60">
        <v>0</v>
      </c>
      <c r="X896" s="60">
        <v>0</v>
      </c>
      <c r="Y896" s="60">
        <v>0</v>
      </c>
      <c r="Z896" s="60">
        <v>0</v>
      </c>
      <c r="AA896" s="60">
        <v>0</v>
      </c>
      <c r="AB896" s="60">
        <v>0</v>
      </c>
      <c r="AC896" s="60">
        <v>1466.12</v>
      </c>
      <c r="AD896" s="60">
        <v>1457.86</v>
      </c>
      <c r="AE896" s="60">
        <v>1413.83</v>
      </c>
      <c r="AF896" s="60">
        <v>0</v>
      </c>
      <c r="AG896" s="60">
        <v>0</v>
      </c>
      <c r="AH896" s="60">
        <v>0</v>
      </c>
      <c r="AI896" s="60">
        <v>1466.12</v>
      </c>
      <c r="AJ896" s="60">
        <v>1457.86</v>
      </c>
      <c r="AK896" s="60">
        <v>1413.83</v>
      </c>
      <c r="AL896" s="60">
        <v>0</v>
      </c>
      <c r="AM896" s="60">
        <v>0</v>
      </c>
      <c r="AN896" s="60">
        <v>0</v>
      </c>
      <c r="AO896" s="60">
        <v>1466.12</v>
      </c>
      <c r="AP896" s="60">
        <v>1457.86</v>
      </c>
      <c r="AQ896" s="60">
        <v>1413.83</v>
      </c>
      <c r="AR896" s="61">
        <v>1466.12</v>
      </c>
    </row>
    <row r="897" spans="1:44" x14ac:dyDescent="0.35">
      <c r="A897" s="49" t="str">
        <f t="shared" si="77"/>
        <v>31</v>
      </c>
      <c r="B897" s="27">
        <v>66928</v>
      </c>
      <c r="C897" s="25" t="str">
        <f>TEXT(141622,"0000000")</f>
        <v>0141622</v>
      </c>
      <c r="D897" s="27">
        <v>2128</v>
      </c>
      <c r="E897" s="25" t="s">
        <v>1657</v>
      </c>
      <c r="F897" s="25" t="s">
        <v>5</v>
      </c>
      <c r="G897" s="59" t="s">
        <v>1658</v>
      </c>
      <c r="H897" s="60">
        <v>0</v>
      </c>
      <c r="I897" s="60">
        <v>0</v>
      </c>
      <c r="J897" s="60">
        <v>0</v>
      </c>
      <c r="K897" s="60">
        <v>0</v>
      </c>
      <c r="L897" s="60">
        <v>0</v>
      </c>
      <c r="M897" s="60">
        <v>0</v>
      </c>
      <c r="N897" s="60">
        <v>0</v>
      </c>
      <c r="O897" s="60">
        <v>0</v>
      </c>
      <c r="P897" s="60">
        <v>0</v>
      </c>
      <c r="Q897" s="60">
        <v>0</v>
      </c>
      <c r="R897" s="60">
        <v>0</v>
      </c>
      <c r="S897" s="60">
        <v>0</v>
      </c>
      <c r="T897" s="60">
        <v>0</v>
      </c>
      <c r="U897" s="60">
        <v>0</v>
      </c>
      <c r="V897" s="60">
        <v>0</v>
      </c>
      <c r="W897" s="60">
        <v>0</v>
      </c>
      <c r="X897" s="60">
        <v>0</v>
      </c>
      <c r="Y897" s="60">
        <v>0</v>
      </c>
      <c r="Z897" s="60">
        <v>0</v>
      </c>
      <c r="AA897" s="60">
        <v>0</v>
      </c>
      <c r="AB897" s="60">
        <v>0</v>
      </c>
      <c r="AC897" s="60">
        <v>86.17</v>
      </c>
      <c r="AD897" s="60">
        <v>0</v>
      </c>
      <c r="AE897" s="60">
        <v>0</v>
      </c>
      <c r="AF897" s="60">
        <v>0</v>
      </c>
      <c r="AG897" s="60">
        <v>0</v>
      </c>
      <c r="AH897" s="60">
        <v>0</v>
      </c>
      <c r="AI897" s="60">
        <v>86.17</v>
      </c>
      <c r="AJ897" s="60">
        <v>0</v>
      </c>
      <c r="AK897" s="60">
        <v>0</v>
      </c>
      <c r="AL897" s="60">
        <v>0</v>
      </c>
      <c r="AM897" s="60">
        <v>0</v>
      </c>
      <c r="AN897" s="60">
        <v>0</v>
      </c>
      <c r="AO897" s="60">
        <v>86.17</v>
      </c>
      <c r="AP897" s="60">
        <v>0</v>
      </c>
      <c r="AQ897" s="60">
        <v>0</v>
      </c>
      <c r="AR897" s="61">
        <v>86.17</v>
      </c>
    </row>
    <row r="898" spans="1:44" x14ac:dyDescent="0.35">
      <c r="A898" s="49" t="str">
        <f t="shared" si="77"/>
        <v>31</v>
      </c>
      <c r="B898" s="27">
        <v>66951</v>
      </c>
      <c r="C898" s="25" t="str">
        <f>TEXT(135871,"0000000")</f>
        <v>0135871</v>
      </c>
      <c r="D898" s="27">
        <v>1715</v>
      </c>
      <c r="E898" s="25" t="s">
        <v>1663</v>
      </c>
      <c r="F898" s="25" t="s">
        <v>5</v>
      </c>
      <c r="G898" s="59" t="s">
        <v>1664</v>
      </c>
      <c r="H898" s="60">
        <v>0</v>
      </c>
      <c r="I898" s="60">
        <v>0</v>
      </c>
      <c r="J898" s="60">
        <v>0</v>
      </c>
      <c r="K898" s="60">
        <v>0</v>
      </c>
      <c r="L898" s="60">
        <v>0</v>
      </c>
      <c r="M898" s="60">
        <v>0</v>
      </c>
      <c r="N898" s="60">
        <v>0</v>
      </c>
      <c r="O898" s="60">
        <v>0</v>
      </c>
      <c r="P898" s="60">
        <v>0</v>
      </c>
      <c r="Q898" s="60">
        <v>0</v>
      </c>
      <c r="R898" s="60">
        <v>0</v>
      </c>
      <c r="S898" s="60">
        <v>0</v>
      </c>
      <c r="T898" s="60">
        <v>0</v>
      </c>
      <c r="U898" s="60">
        <v>0</v>
      </c>
      <c r="V898" s="60">
        <v>0</v>
      </c>
      <c r="W898" s="60">
        <v>0</v>
      </c>
      <c r="X898" s="60">
        <v>0</v>
      </c>
      <c r="Y898" s="60">
        <v>0</v>
      </c>
      <c r="Z898" s="60">
        <v>0</v>
      </c>
      <c r="AA898" s="60">
        <v>0</v>
      </c>
      <c r="AB898" s="60">
        <v>0</v>
      </c>
      <c r="AC898" s="60">
        <v>1280.45</v>
      </c>
      <c r="AD898" s="60">
        <v>1201.57</v>
      </c>
      <c r="AE898" s="60">
        <v>777.5</v>
      </c>
      <c r="AF898" s="60">
        <v>0</v>
      </c>
      <c r="AG898" s="60">
        <v>0</v>
      </c>
      <c r="AH898" s="60">
        <v>0</v>
      </c>
      <c r="AI898" s="60">
        <v>1280.45</v>
      </c>
      <c r="AJ898" s="60">
        <v>1201.57</v>
      </c>
      <c r="AK898" s="60">
        <v>777.5</v>
      </c>
      <c r="AL898" s="60">
        <v>0</v>
      </c>
      <c r="AM898" s="60">
        <v>0</v>
      </c>
      <c r="AN898" s="60">
        <v>0</v>
      </c>
      <c r="AO898" s="60">
        <v>1280.45</v>
      </c>
      <c r="AP898" s="60">
        <v>1201.57</v>
      </c>
      <c r="AQ898" s="60">
        <v>777.5</v>
      </c>
      <c r="AR898" s="61">
        <v>1280.45</v>
      </c>
    </row>
    <row r="899" spans="1:44" x14ac:dyDescent="0.35">
      <c r="A899" s="49" t="str">
        <f t="shared" si="77"/>
        <v>31</v>
      </c>
      <c r="B899" s="27">
        <v>75085</v>
      </c>
      <c r="C899" s="25" t="str">
        <f>TEXT(114371,"0000000")</f>
        <v>0114371</v>
      </c>
      <c r="D899" s="26" t="s">
        <v>1672</v>
      </c>
      <c r="E899" s="25" t="s">
        <v>1670</v>
      </c>
      <c r="F899" s="25" t="s">
        <v>5</v>
      </c>
      <c r="G899" s="59" t="s">
        <v>1671</v>
      </c>
      <c r="H899" s="60">
        <v>0</v>
      </c>
      <c r="I899" s="60">
        <v>0</v>
      </c>
      <c r="J899" s="60">
        <v>0</v>
      </c>
      <c r="K899" s="60">
        <v>0</v>
      </c>
      <c r="L899" s="60">
        <v>0</v>
      </c>
      <c r="M899" s="60">
        <v>0</v>
      </c>
      <c r="N899" s="60">
        <v>0</v>
      </c>
      <c r="O899" s="60">
        <v>0</v>
      </c>
      <c r="P899" s="60">
        <v>0</v>
      </c>
      <c r="Q899" s="60">
        <v>0</v>
      </c>
      <c r="R899" s="60">
        <v>0</v>
      </c>
      <c r="S899" s="60">
        <v>0</v>
      </c>
      <c r="T899" s="60">
        <v>0</v>
      </c>
      <c r="U899" s="60">
        <v>0</v>
      </c>
      <c r="V899" s="60">
        <v>0</v>
      </c>
      <c r="W899" s="60">
        <v>0</v>
      </c>
      <c r="X899" s="60">
        <v>0</v>
      </c>
      <c r="Y899" s="60">
        <v>0</v>
      </c>
      <c r="Z899" s="60">
        <v>0</v>
      </c>
      <c r="AA899" s="60">
        <v>0</v>
      </c>
      <c r="AB899" s="60">
        <v>0</v>
      </c>
      <c r="AC899" s="60">
        <v>75.78</v>
      </c>
      <c r="AD899" s="60">
        <v>100.45</v>
      </c>
      <c r="AE899" s="60">
        <v>177.49</v>
      </c>
      <c r="AF899" s="60">
        <v>0</v>
      </c>
      <c r="AG899" s="60">
        <v>0</v>
      </c>
      <c r="AH899" s="60">
        <v>0</v>
      </c>
      <c r="AI899" s="60">
        <v>75.78</v>
      </c>
      <c r="AJ899" s="60">
        <v>100.45</v>
      </c>
      <c r="AK899" s="60">
        <v>177.49</v>
      </c>
      <c r="AL899" s="60">
        <v>0</v>
      </c>
      <c r="AM899" s="60">
        <v>0</v>
      </c>
      <c r="AN899" s="60">
        <v>0</v>
      </c>
      <c r="AO899" s="60">
        <v>75.78</v>
      </c>
      <c r="AP899" s="60">
        <v>100.45</v>
      </c>
      <c r="AQ899" s="60">
        <v>177.49</v>
      </c>
      <c r="AR899" s="61">
        <v>177.49</v>
      </c>
    </row>
    <row r="900" spans="1:44" x14ac:dyDescent="0.35">
      <c r="A900" s="49" t="str">
        <f t="shared" si="77"/>
        <v>31</v>
      </c>
      <c r="B900" s="27">
        <v>75085</v>
      </c>
      <c r="C900" s="25" t="str">
        <f>TEXT(119487,"0000000")</f>
        <v>0119487</v>
      </c>
      <c r="D900" s="27">
        <v>1071</v>
      </c>
      <c r="E900" s="25" t="s">
        <v>1675</v>
      </c>
      <c r="F900" s="25" t="s">
        <v>5</v>
      </c>
      <c r="G900" s="59" t="s">
        <v>1676</v>
      </c>
      <c r="H900" s="60">
        <v>0</v>
      </c>
      <c r="I900" s="60">
        <v>0</v>
      </c>
      <c r="J900" s="60">
        <v>0</v>
      </c>
      <c r="K900" s="60">
        <v>0</v>
      </c>
      <c r="L900" s="60">
        <v>0</v>
      </c>
      <c r="M900" s="60">
        <v>0</v>
      </c>
      <c r="N900" s="60">
        <v>0</v>
      </c>
      <c r="O900" s="60">
        <v>0</v>
      </c>
      <c r="P900" s="60">
        <v>0</v>
      </c>
      <c r="Q900" s="60">
        <v>0</v>
      </c>
      <c r="R900" s="60">
        <v>0</v>
      </c>
      <c r="S900" s="60">
        <v>0</v>
      </c>
      <c r="T900" s="60">
        <v>0</v>
      </c>
      <c r="U900" s="60">
        <v>0</v>
      </c>
      <c r="V900" s="60">
        <v>0</v>
      </c>
      <c r="W900" s="60">
        <v>0</v>
      </c>
      <c r="X900" s="60">
        <v>0</v>
      </c>
      <c r="Y900" s="60">
        <v>0</v>
      </c>
      <c r="Z900" s="60">
        <v>0</v>
      </c>
      <c r="AA900" s="60">
        <v>0</v>
      </c>
      <c r="AB900" s="60">
        <v>0</v>
      </c>
      <c r="AC900" s="60">
        <v>727.29</v>
      </c>
      <c r="AD900" s="60">
        <v>730.24</v>
      </c>
      <c r="AE900" s="60">
        <v>778.63</v>
      </c>
      <c r="AF900" s="60">
        <v>0</v>
      </c>
      <c r="AG900" s="60">
        <v>0</v>
      </c>
      <c r="AH900" s="60">
        <v>0</v>
      </c>
      <c r="AI900" s="60">
        <v>727.29</v>
      </c>
      <c r="AJ900" s="60">
        <v>730.24</v>
      </c>
      <c r="AK900" s="60">
        <v>778.63</v>
      </c>
      <c r="AL900" s="60">
        <v>0</v>
      </c>
      <c r="AM900" s="60">
        <v>0</v>
      </c>
      <c r="AN900" s="60">
        <v>0</v>
      </c>
      <c r="AO900" s="60">
        <v>727.29</v>
      </c>
      <c r="AP900" s="60">
        <v>730.24</v>
      </c>
      <c r="AQ900" s="60">
        <v>778.63</v>
      </c>
      <c r="AR900" s="61">
        <v>778.63</v>
      </c>
    </row>
    <row r="901" spans="1:44" x14ac:dyDescent="0.35">
      <c r="A901" s="49" t="str">
        <f t="shared" si="77"/>
        <v>31</v>
      </c>
      <c r="B901" s="27">
        <v>75085</v>
      </c>
      <c r="C901" s="25" t="str">
        <f>TEXT(6118392,"0000000")</f>
        <v>6118392</v>
      </c>
      <c r="D901" s="26" t="s">
        <v>1681</v>
      </c>
      <c r="E901" s="25" t="s">
        <v>1679</v>
      </c>
      <c r="F901" s="25" t="s">
        <v>5</v>
      </c>
      <c r="G901" s="59" t="s">
        <v>1680</v>
      </c>
      <c r="H901" s="60">
        <v>0</v>
      </c>
      <c r="I901" s="60">
        <v>0</v>
      </c>
      <c r="J901" s="60">
        <v>0</v>
      </c>
      <c r="K901" s="60">
        <v>0</v>
      </c>
      <c r="L901" s="60">
        <v>0</v>
      </c>
      <c r="M901" s="60">
        <v>0</v>
      </c>
      <c r="N901" s="60">
        <v>0</v>
      </c>
      <c r="O901" s="60">
        <v>0</v>
      </c>
      <c r="P901" s="60">
        <v>0</v>
      </c>
      <c r="Q901" s="60">
        <v>0</v>
      </c>
      <c r="R901" s="60">
        <v>0</v>
      </c>
      <c r="S901" s="60">
        <v>0</v>
      </c>
      <c r="T901" s="60">
        <v>0</v>
      </c>
      <c r="U901" s="60">
        <v>0</v>
      </c>
      <c r="V901" s="60">
        <v>0</v>
      </c>
      <c r="W901" s="60">
        <v>0</v>
      </c>
      <c r="X901" s="60">
        <v>0</v>
      </c>
      <c r="Y901" s="60">
        <v>0</v>
      </c>
      <c r="Z901" s="60">
        <v>0</v>
      </c>
      <c r="AA901" s="60">
        <v>0</v>
      </c>
      <c r="AB901" s="60">
        <v>0</v>
      </c>
      <c r="AC901" s="60">
        <v>464.88</v>
      </c>
      <c r="AD901" s="60">
        <v>404.05</v>
      </c>
      <c r="AE901" s="60">
        <v>367.65</v>
      </c>
      <c r="AF901" s="60">
        <v>0</v>
      </c>
      <c r="AG901" s="60">
        <v>0</v>
      </c>
      <c r="AH901" s="60">
        <v>0</v>
      </c>
      <c r="AI901" s="60">
        <v>464.88</v>
      </c>
      <c r="AJ901" s="60">
        <v>404.05</v>
      </c>
      <c r="AK901" s="60">
        <v>367.65</v>
      </c>
      <c r="AL901" s="60">
        <v>0</v>
      </c>
      <c r="AM901" s="60">
        <v>0</v>
      </c>
      <c r="AN901" s="60">
        <v>0</v>
      </c>
      <c r="AO901" s="60">
        <v>464.88</v>
      </c>
      <c r="AP901" s="60">
        <v>404.05</v>
      </c>
      <c r="AQ901" s="60">
        <v>367.65</v>
      </c>
      <c r="AR901" s="61">
        <v>464.88</v>
      </c>
    </row>
    <row r="902" spans="1:44" x14ac:dyDescent="0.35">
      <c r="A902" s="49" t="str">
        <f>TEXT(32,"00")</f>
        <v>32</v>
      </c>
      <c r="B902" s="27">
        <v>66969</v>
      </c>
      <c r="C902" s="25" t="str">
        <f>TEXT(3230083,"0000000")</f>
        <v>3230083</v>
      </c>
      <c r="D902" s="26" t="s">
        <v>1688</v>
      </c>
      <c r="E902" s="25" t="s">
        <v>1686</v>
      </c>
      <c r="F902" s="25" t="s">
        <v>5</v>
      </c>
      <c r="G902" s="59" t="s">
        <v>1687</v>
      </c>
      <c r="H902" s="60">
        <v>0</v>
      </c>
      <c r="I902" s="60">
        <v>0</v>
      </c>
      <c r="J902" s="60">
        <v>0</v>
      </c>
      <c r="K902" s="60">
        <v>0</v>
      </c>
      <c r="L902" s="60">
        <v>0</v>
      </c>
      <c r="M902" s="60">
        <v>0</v>
      </c>
      <c r="N902" s="60">
        <v>0</v>
      </c>
      <c r="O902" s="60">
        <v>0</v>
      </c>
      <c r="P902" s="60">
        <v>0</v>
      </c>
      <c r="Q902" s="60">
        <v>0</v>
      </c>
      <c r="R902" s="60">
        <v>0</v>
      </c>
      <c r="S902" s="60">
        <v>0</v>
      </c>
      <c r="T902" s="60">
        <v>0</v>
      </c>
      <c r="U902" s="60">
        <v>0</v>
      </c>
      <c r="V902" s="60">
        <v>0</v>
      </c>
      <c r="W902" s="60">
        <v>0</v>
      </c>
      <c r="X902" s="60">
        <v>0</v>
      </c>
      <c r="Y902" s="60">
        <v>0</v>
      </c>
      <c r="Z902" s="60">
        <v>0</v>
      </c>
      <c r="AA902" s="60">
        <v>0</v>
      </c>
      <c r="AB902" s="60">
        <v>0</v>
      </c>
      <c r="AC902" s="60">
        <v>329.46</v>
      </c>
      <c r="AD902" s="60">
        <v>322.67</v>
      </c>
      <c r="AE902" s="60">
        <v>320.62</v>
      </c>
      <c r="AF902" s="60">
        <v>0</v>
      </c>
      <c r="AG902" s="60">
        <v>0</v>
      </c>
      <c r="AH902" s="60">
        <v>0</v>
      </c>
      <c r="AI902" s="60">
        <v>329.46</v>
      </c>
      <c r="AJ902" s="60">
        <v>322.67</v>
      </c>
      <c r="AK902" s="60">
        <v>320.62</v>
      </c>
      <c r="AL902" s="60">
        <v>0</v>
      </c>
      <c r="AM902" s="60">
        <v>0</v>
      </c>
      <c r="AN902" s="60">
        <v>0</v>
      </c>
      <c r="AO902" s="60">
        <v>329.46</v>
      </c>
      <c r="AP902" s="60">
        <v>322.67</v>
      </c>
      <c r="AQ902" s="60">
        <v>320.62</v>
      </c>
      <c r="AR902" s="61">
        <v>329.46</v>
      </c>
    </row>
    <row r="903" spans="1:44" x14ac:dyDescent="0.35">
      <c r="A903" s="49" t="str">
        <f>TEXT(1,"00")</f>
        <v>01</v>
      </c>
      <c r="B903" s="27">
        <v>61259</v>
      </c>
      <c r="C903" s="25" t="str">
        <f>TEXT(109819,"0000000")</f>
        <v>0109819</v>
      </c>
      <c r="D903" s="26" t="s">
        <v>87</v>
      </c>
      <c r="E903" s="25" t="s">
        <v>85</v>
      </c>
      <c r="F903" s="25" t="s">
        <v>5</v>
      </c>
      <c r="G903" s="59" t="s">
        <v>86</v>
      </c>
      <c r="H903" s="60">
        <v>0</v>
      </c>
      <c r="I903" s="60">
        <v>0</v>
      </c>
      <c r="J903" s="60">
        <v>0</v>
      </c>
      <c r="K903" s="60">
        <v>0</v>
      </c>
      <c r="L903" s="60">
        <v>0</v>
      </c>
      <c r="M903" s="60">
        <v>0</v>
      </c>
      <c r="N903" s="60">
        <v>0</v>
      </c>
      <c r="O903" s="60">
        <v>0</v>
      </c>
      <c r="P903" s="60">
        <v>0</v>
      </c>
      <c r="Q903" s="60">
        <v>0</v>
      </c>
      <c r="R903" s="60">
        <v>0</v>
      </c>
      <c r="S903" s="60">
        <v>0</v>
      </c>
      <c r="T903" s="60">
        <v>0</v>
      </c>
      <c r="U903" s="60">
        <v>0</v>
      </c>
      <c r="V903" s="60">
        <v>0</v>
      </c>
      <c r="W903" s="60">
        <v>0</v>
      </c>
      <c r="X903" s="60">
        <v>0</v>
      </c>
      <c r="Y903" s="60">
        <v>0</v>
      </c>
      <c r="Z903" s="60">
        <v>0</v>
      </c>
      <c r="AA903" s="60">
        <v>0</v>
      </c>
      <c r="AB903" s="60">
        <v>0</v>
      </c>
      <c r="AC903" s="60">
        <v>467.11</v>
      </c>
      <c r="AD903" s="60">
        <v>487.86</v>
      </c>
      <c r="AE903" s="60">
        <v>542.30999999999995</v>
      </c>
      <c r="AF903" s="60">
        <v>0</v>
      </c>
      <c r="AG903" s="60">
        <v>0</v>
      </c>
      <c r="AH903" s="60">
        <v>0</v>
      </c>
      <c r="AI903" s="60">
        <v>467.11</v>
      </c>
      <c r="AJ903" s="60">
        <v>487.86</v>
      </c>
      <c r="AK903" s="60">
        <v>542.30999999999995</v>
      </c>
      <c r="AL903" s="60">
        <v>0</v>
      </c>
      <c r="AM903" s="60">
        <v>0</v>
      </c>
      <c r="AN903" s="60">
        <v>0</v>
      </c>
      <c r="AO903" s="60">
        <v>467.11</v>
      </c>
      <c r="AP903" s="60">
        <v>487.86</v>
      </c>
      <c r="AQ903" s="60">
        <v>542.30999999999995</v>
      </c>
      <c r="AR903" s="61">
        <v>542.30999999999995</v>
      </c>
    </row>
    <row r="904" spans="1:44" x14ac:dyDescent="0.35">
      <c r="A904" s="49" t="str">
        <f t="shared" ref="A904:A913" si="78">TEXT(33,"00")</f>
        <v>33</v>
      </c>
      <c r="B904" s="27">
        <v>10330</v>
      </c>
      <c r="C904" s="25" t="str">
        <f>TEXT(125385,"0000000")</f>
        <v>0125385</v>
      </c>
      <c r="D904" s="27">
        <v>1369</v>
      </c>
      <c r="E904" s="25" t="s">
        <v>1698</v>
      </c>
      <c r="F904" s="25" t="s">
        <v>5</v>
      </c>
      <c r="G904" s="59" t="s">
        <v>1699</v>
      </c>
      <c r="H904" s="60">
        <v>0</v>
      </c>
      <c r="I904" s="60">
        <v>0</v>
      </c>
      <c r="J904" s="60">
        <v>0</v>
      </c>
      <c r="K904" s="60">
        <v>0</v>
      </c>
      <c r="L904" s="60">
        <v>0</v>
      </c>
      <c r="M904" s="60">
        <v>0</v>
      </c>
      <c r="N904" s="60">
        <v>0</v>
      </c>
      <c r="O904" s="60">
        <v>0</v>
      </c>
      <c r="P904" s="60">
        <v>0</v>
      </c>
      <c r="Q904" s="60">
        <v>0</v>
      </c>
      <c r="R904" s="60">
        <v>0</v>
      </c>
      <c r="S904" s="60">
        <v>0</v>
      </c>
      <c r="T904" s="60">
        <v>0</v>
      </c>
      <c r="U904" s="60">
        <v>0</v>
      </c>
      <c r="V904" s="60">
        <v>0</v>
      </c>
      <c r="W904" s="60">
        <v>0</v>
      </c>
      <c r="X904" s="60">
        <v>0</v>
      </c>
      <c r="Y904" s="60">
        <v>0</v>
      </c>
      <c r="Z904" s="60">
        <v>1185.1300000000001</v>
      </c>
      <c r="AA904" s="60">
        <v>1034.82</v>
      </c>
      <c r="AB904" s="60">
        <v>889.3</v>
      </c>
      <c r="AC904" s="60">
        <v>0</v>
      </c>
      <c r="AD904" s="60">
        <v>0</v>
      </c>
      <c r="AE904" s="60">
        <v>0</v>
      </c>
      <c r="AF904" s="60">
        <v>0</v>
      </c>
      <c r="AG904" s="60">
        <v>0</v>
      </c>
      <c r="AH904" s="60">
        <v>0</v>
      </c>
      <c r="AI904" s="60">
        <v>1185.1300000000001</v>
      </c>
      <c r="AJ904" s="60">
        <v>1034.82</v>
      </c>
      <c r="AK904" s="60">
        <v>889.3</v>
      </c>
      <c r="AL904" s="60">
        <v>0</v>
      </c>
      <c r="AM904" s="60">
        <v>0</v>
      </c>
      <c r="AN904" s="60">
        <v>0</v>
      </c>
      <c r="AO904" s="60">
        <v>1185.1300000000001</v>
      </c>
      <c r="AP904" s="60">
        <v>1034.82</v>
      </c>
      <c r="AQ904" s="60">
        <v>889.3</v>
      </c>
      <c r="AR904" s="61">
        <v>1185.1300000000001</v>
      </c>
    </row>
    <row r="905" spans="1:44" x14ac:dyDescent="0.35">
      <c r="A905" s="49" t="str">
        <f t="shared" si="78"/>
        <v>33</v>
      </c>
      <c r="B905" s="27">
        <v>10330</v>
      </c>
      <c r="C905" s="25" t="str">
        <f>TEXT(128777,"0000000")</f>
        <v>0128777</v>
      </c>
      <c r="D905" s="27">
        <v>1602</v>
      </c>
      <c r="E905" s="25" t="s">
        <v>1700</v>
      </c>
      <c r="F905" s="25" t="s">
        <v>5</v>
      </c>
      <c r="G905" s="59" t="s">
        <v>1701</v>
      </c>
      <c r="H905" s="60">
        <v>0</v>
      </c>
      <c r="I905" s="60">
        <v>0</v>
      </c>
      <c r="J905" s="60">
        <v>0</v>
      </c>
      <c r="K905" s="60">
        <v>0</v>
      </c>
      <c r="L905" s="60">
        <v>0</v>
      </c>
      <c r="M905" s="60">
        <v>0</v>
      </c>
      <c r="N905" s="60">
        <v>0</v>
      </c>
      <c r="O905" s="60">
        <v>0</v>
      </c>
      <c r="P905" s="60">
        <v>0</v>
      </c>
      <c r="Q905" s="60">
        <v>0</v>
      </c>
      <c r="R905" s="60">
        <v>0</v>
      </c>
      <c r="S905" s="60">
        <v>0</v>
      </c>
      <c r="T905" s="60">
        <v>0</v>
      </c>
      <c r="U905" s="60">
        <v>0</v>
      </c>
      <c r="V905" s="60">
        <v>0</v>
      </c>
      <c r="W905" s="60">
        <v>0</v>
      </c>
      <c r="X905" s="60">
        <v>0</v>
      </c>
      <c r="Y905" s="60">
        <v>0</v>
      </c>
      <c r="Z905" s="60">
        <v>155.06</v>
      </c>
      <c r="AA905" s="60">
        <v>77.67</v>
      </c>
      <c r="AB905" s="60">
        <v>114.75</v>
      </c>
      <c r="AC905" s="60">
        <v>0</v>
      </c>
      <c r="AD905" s="60">
        <v>0</v>
      </c>
      <c r="AE905" s="60">
        <v>0</v>
      </c>
      <c r="AF905" s="60">
        <v>0</v>
      </c>
      <c r="AG905" s="60">
        <v>0</v>
      </c>
      <c r="AH905" s="60">
        <v>0</v>
      </c>
      <c r="AI905" s="60">
        <v>155.06</v>
      </c>
      <c r="AJ905" s="60">
        <v>77.67</v>
      </c>
      <c r="AK905" s="60">
        <v>114.75</v>
      </c>
      <c r="AL905" s="60">
        <v>0</v>
      </c>
      <c r="AM905" s="60">
        <v>0</v>
      </c>
      <c r="AN905" s="60">
        <v>0</v>
      </c>
      <c r="AO905" s="60">
        <v>155.06</v>
      </c>
      <c r="AP905" s="60">
        <v>77.67</v>
      </c>
      <c r="AQ905" s="60">
        <v>114.75</v>
      </c>
      <c r="AR905" s="61">
        <v>155.06</v>
      </c>
    </row>
    <row r="906" spans="1:44" x14ac:dyDescent="0.35">
      <c r="A906" s="49" t="str">
        <f t="shared" si="78"/>
        <v>33</v>
      </c>
      <c r="B906" s="27">
        <v>10330</v>
      </c>
      <c r="C906" s="25" t="str">
        <f>TEXT(136168,"0000000")</f>
        <v>0136168</v>
      </c>
      <c r="D906" s="27">
        <v>1873</v>
      </c>
      <c r="E906" s="25" t="s">
        <v>1702</v>
      </c>
      <c r="F906" s="25" t="s">
        <v>5</v>
      </c>
      <c r="G906" s="59" t="s">
        <v>1703</v>
      </c>
      <c r="H906" s="60">
        <v>0</v>
      </c>
      <c r="I906" s="60">
        <v>0</v>
      </c>
      <c r="J906" s="60">
        <v>0</v>
      </c>
      <c r="K906" s="60">
        <v>0</v>
      </c>
      <c r="L906" s="60">
        <v>0</v>
      </c>
      <c r="M906" s="60">
        <v>0</v>
      </c>
      <c r="N906" s="60">
        <v>0</v>
      </c>
      <c r="O906" s="60">
        <v>0</v>
      </c>
      <c r="P906" s="60">
        <v>0</v>
      </c>
      <c r="Q906" s="60">
        <v>0</v>
      </c>
      <c r="R906" s="60">
        <v>0</v>
      </c>
      <c r="S906" s="60">
        <v>0</v>
      </c>
      <c r="T906" s="60">
        <v>0</v>
      </c>
      <c r="U906" s="60">
        <v>0</v>
      </c>
      <c r="V906" s="60">
        <v>0</v>
      </c>
      <c r="W906" s="60">
        <v>0</v>
      </c>
      <c r="X906" s="60">
        <v>0</v>
      </c>
      <c r="Y906" s="60">
        <v>0</v>
      </c>
      <c r="Z906" s="60">
        <v>0</v>
      </c>
      <c r="AA906" s="60">
        <v>0</v>
      </c>
      <c r="AB906" s="60">
        <v>0</v>
      </c>
      <c r="AC906" s="60">
        <v>274</v>
      </c>
      <c r="AD906" s="60">
        <v>253.05</v>
      </c>
      <c r="AE906" s="60">
        <v>257.8</v>
      </c>
      <c r="AF906" s="60">
        <v>0</v>
      </c>
      <c r="AG906" s="60">
        <v>0</v>
      </c>
      <c r="AH906" s="60">
        <v>0</v>
      </c>
      <c r="AI906" s="60">
        <v>274</v>
      </c>
      <c r="AJ906" s="60">
        <v>253.05</v>
      </c>
      <c r="AK906" s="60">
        <v>257.8</v>
      </c>
      <c r="AL906" s="60">
        <v>0</v>
      </c>
      <c r="AM906" s="60">
        <v>0</v>
      </c>
      <c r="AN906" s="60">
        <v>0</v>
      </c>
      <c r="AO906" s="60">
        <v>274</v>
      </c>
      <c r="AP906" s="60">
        <v>253.05</v>
      </c>
      <c r="AQ906" s="60">
        <v>257.8</v>
      </c>
      <c r="AR906" s="61">
        <v>274</v>
      </c>
    </row>
    <row r="907" spans="1:44" x14ac:dyDescent="0.35">
      <c r="A907" s="49" t="str">
        <f t="shared" si="78"/>
        <v>33</v>
      </c>
      <c r="B907" s="27">
        <v>10330</v>
      </c>
      <c r="C907" s="25" t="str">
        <f>TEXT(137836,"0000000")</f>
        <v>0137836</v>
      </c>
      <c r="D907" s="27">
        <v>1984</v>
      </c>
      <c r="E907" s="25" t="s">
        <v>1704</v>
      </c>
      <c r="F907" s="25" t="s">
        <v>5</v>
      </c>
      <c r="G907" s="59" t="s">
        <v>1705</v>
      </c>
      <c r="H907" s="60">
        <v>0</v>
      </c>
      <c r="I907" s="60">
        <v>0</v>
      </c>
      <c r="J907" s="60">
        <v>0</v>
      </c>
      <c r="K907" s="60">
        <v>0</v>
      </c>
      <c r="L907" s="60">
        <v>0</v>
      </c>
      <c r="M907" s="60">
        <v>0</v>
      </c>
      <c r="N907" s="60">
        <v>0</v>
      </c>
      <c r="O907" s="60">
        <v>0</v>
      </c>
      <c r="P907" s="60">
        <v>0</v>
      </c>
      <c r="Q907" s="60">
        <v>0</v>
      </c>
      <c r="R907" s="60">
        <v>0</v>
      </c>
      <c r="S907" s="60">
        <v>0</v>
      </c>
      <c r="T907" s="60">
        <v>0</v>
      </c>
      <c r="U907" s="60">
        <v>0</v>
      </c>
      <c r="V907" s="60">
        <v>0</v>
      </c>
      <c r="W907" s="60">
        <v>0</v>
      </c>
      <c r="X907" s="60">
        <v>0</v>
      </c>
      <c r="Y907" s="60">
        <v>0</v>
      </c>
      <c r="Z907" s="60">
        <v>0</v>
      </c>
      <c r="AA907" s="60">
        <v>0</v>
      </c>
      <c r="AB907" s="60">
        <v>0</v>
      </c>
      <c r="AC907" s="60">
        <v>133.76</v>
      </c>
      <c r="AD907" s="60">
        <v>127.9</v>
      </c>
      <c r="AE907" s="60">
        <v>121.39</v>
      </c>
      <c r="AF907" s="60">
        <v>0</v>
      </c>
      <c r="AG907" s="60">
        <v>0</v>
      </c>
      <c r="AH907" s="60">
        <v>0</v>
      </c>
      <c r="AI907" s="60">
        <v>133.76</v>
      </c>
      <c r="AJ907" s="60">
        <v>127.9</v>
      </c>
      <c r="AK907" s="60">
        <v>121.39</v>
      </c>
      <c r="AL907" s="60">
        <v>0</v>
      </c>
      <c r="AM907" s="60">
        <v>0</v>
      </c>
      <c r="AN907" s="60">
        <v>0</v>
      </c>
      <c r="AO907" s="60">
        <v>133.76</v>
      </c>
      <c r="AP907" s="60">
        <v>127.9</v>
      </c>
      <c r="AQ907" s="60">
        <v>121.39</v>
      </c>
      <c r="AR907" s="61">
        <v>133.76</v>
      </c>
    </row>
    <row r="908" spans="1:44" x14ac:dyDescent="0.35">
      <c r="A908" s="49" t="str">
        <f t="shared" si="78"/>
        <v>33</v>
      </c>
      <c r="B908" s="27">
        <v>10330</v>
      </c>
      <c r="C908" s="25" t="str">
        <f>TEXT(138024,"0000000")</f>
        <v>0138024</v>
      </c>
      <c r="D908" s="27">
        <v>1974</v>
      </c>
      <c r="E908" s="25" t="s">
        <v>1712</v>
      </c>
      <c r="F908" s="25" t="s">
        <v>5</v>
      </c>
      <c r="G908" s="59" t="s">
        <v>1713</v>
      </c>
      <c r="H908" s="60">
        <v>0</v>
      </c>
      <c r="I908" s="60">
        <v>0</v>
      </c>
      <c r="J908" s="60">
        <v>0</v>
      </c>
      <c r="K908" s="60">
        <v>0</v>
      </c>
      <c r="L908" s="60">
        <v>0</v>
      </c>
      <c r="M908" s="60">
        <v>0</v>
      </c>
      <c r="N908" s="60">
        <v>0</v>
      </c>
      <c r="O908" s="60">
        <v>0</v>
      </c>
      <c r="P908" s="60">
        <v>0</v>
      </c>
      <c r="Q908" s="60">
        <v>0</v>
      </c>
      <c r="R908" s="60">
        <v>0</v>
      </c>
      <c r="S908" s="60">
        <v>0</v>
      </c>
      <c r="T908" s="60">
        <v>0</v>
      </c>
      <c r="U908" s="60">
        <v>0</v>
      </c>
      <c r="V908" s="60">
        <v>0</v>
      </c>
      <c r="W908" s="60">
        <v>0</v>
      </c>
      <c r="X908" s="60">
        <v>0</v>
      </c>
      <c r="Y908" s="60">
        <v>0</v>
      </c>
      <c r="Z908" s="60">
        <v>0</v>
      </c>
      <c r="AA908" s="60">
        <v>0</v>
      </c>
      <c r="AB908" s="60">
        <v>0</v>
      </c>
      <c r="AC908" s="60">
        <v>485.09</v>
      </c>
      <c r="AD908" s="60">
        <v>458.66</v>
      </c>
      <c r="AE908" s="60">
        <v>540.5</v>
      </c>
      <c r="AF908" s="60">
        <v>0</v>
      </c>
      <c r="AG908" s="60">
        <v>0</v>
      </c>
      <c r="AH908" s="60">
        <v>0</v>
      </c>
      <c r="AI908" s="60">
        <v>485.09</v>
      </c>
      <c r="AJ908" s="60">
        <v>458.66</v>
      </c>
      <c r="AK908" s="60">
        <v>540.5</v>
      </c>
      <c r="AL908" s="60">
        <v>0</v>
      </c>
      <c r="AM908" s="60">
        <v>0</v>
      </c>
      <c r="AN908" s="60">
        <v>0</v>
      </c>
      <c r="AO908" s="60">
        <v>485.09</v>
      </c>
      <c r="AP908" s="60">
        <v>458.66</v>
      </c>
      <c r="AQ908" s="60">
        <v>540.5</v>
      </c>
      <c r="AR908" s="61">
        <v>540.5</v>
      </c>
    </row>
    <row r="909" spans="1:44" x14ac:dyDescent="0.35">
      <c r="A909" s="49" t="str">
        <f t="shared" si="78"/>
        <v>33</v>
      </c>
      <c r="B909" s="27">
        <v>10330</v>
      </c>
      <c r="C909" s="25" t="str">
        <f>TEXT(138602,"0000000")</f>
        <v>0138602</v>
      </c>
      <c r="D909" s="27">
        <v>2018</v>
      </c>
      <c r="E909" s="25" t="s">
        <v>1714</v>
      </c>
      <c r="F909" s="25" t="s">
        <v>5</v>
      </c>
      <c r="G909" s="59" t="s">
        <v>1715</v>
      </c>
      <c r="H909" s="60">
        <v>0</v>
      </c>
      <c r="I909" s="60">
        <v>0</v>
      </c>
      <c r="J909" s="60">
        <v>0</v>
      </c>
      <c r="K909" s="60">
        <v>0</v>
      </c>
      <c r="L909" s="60">
        <v>0</v>
      </c>
      <c r="M909" s="60">
        <v>0</v>
      </c>
      <c r="N909" s="60">
        <v>0</v>
      </c>
      <c r="O909" s="60">
        <v>0</v>
      </c>
      <c r="P909" s="60">
        <v>0</v>
      </c>
      <c r="Q909" s="60">
        <v>0</v>
      </c>
      <c r="R909" s="60">
        <v>0</v>
      </c>
      <c r="S909" s="60">
        <v>0</v>
      </c>
      <c r="T909" s="60">
        <v>0</v>
      </c>
      <c r="U909" s="60">
        <v>0</v>
      </c>
      <c r="V909" s="60">
        <v>0</v>
      </c>
      <c r="W909" s="60">
        <v>0</v>
      </c>
      <c r="X909" s="60">
        <v>0</v>
      </c>
      <c r="Y909" s="60">
        <v>0</v>
      </c>
      <c r="Z909" s="60">
        <v>733.56</v>
      </c>
      <c r="AA909" s="60">
        <v>786.05</v>
      </c>
      <c r="AB909" s="60">
        <v>765.06</v>
      </c>
      <c r="AC909" s="60">
        <v>0</v>
      </c>
      <c r="AD909" s="60">
        <v>0</v>
      </c>
      <c r="AE909" s="60">
        <v>0</v>
      </c>
      <c r="AF909" s="60">
        <v>0</v>
      </c>
      <c r="AG909" s="60">
        <v>0</v>
      </c>
      <c r="AH909" s="60">
        <v>0</v>
      </c>
      <c r="AI909" s="60">
        <v>733.56</v>
      </c>
      <c r="AJ909" s="60">
        <v>786.05</v>
      </c>
      <c r="AK909" s="60">
        <v>765.06</v>
      </c>
      <c r="AL909" s="60">
        <v>0</v>
      </c>
      <c r="AM909" s="60">
        <v>0</v>
      </c>
      <c r="AN909" s="60">
        <v>0</v>
      </c>
      <c r="AO909" s="60">
        <v>733.56</v>
      </c>
      <c r="AP909" s="60">
        <v>786.05</v>
      </c>
      <c r="AQ909" s="60">
        <v>765.06</v>
      </c>
      <c r="AR909" s="61">
        <v>786.05</v>
      </c>
    </row>
    <row r="910" spans="1:44" ht="31" x14ac:dyDescent="0.35">
      <c r="A910" s="49" t="str">
        <f t="shared" si="78"/>
        <v>33</v>
      </c>
      <c r="B910" s="27">
        <v>10330</v>
      </c>
      <c r="C910" s="25" t="str">
        <f>TEXT(139428,"0000000")</f>
        <v>0139428</v>
      </c>
      <c r="D910" s="27">
        <v>2058</v>
      </c>
      <c r="E910" s="25" t="s">
        <v>1716</v>
      </c>
      <c r="F910" s="25" t="s">
        <v>5</v>
      </c>
      <c r="G910" s="59" t="s">
        <v>1717</v>
      </c>
      <c r="H910" s="60">
        <v>0</v>
      </c>
      <c r="I910" s="60">
        <v>0</v>
      </c>
      <c r="J910" s="60">
        <v>0</v>
      </c>
      <c r="K910" s="60">
        <v>0</v>
      </c>
      <c r="L910" s="60">
        <v>0</v>
      </c>
      <c r="M910" s="60">
        <v>0</v>
      </c>
      <c r="N910" s="60">
        <v>0</v>
      </c>
      <c r="O910" s="60">
        <v>0</v>
      </c>
      <c r="P910" s="60">
        <v>0</v>
      </c>
      <c r="Q910" s="60">
        <v>0</v>
      </c>
      <c r="R910" s="60">
        <v>0</v>
      </c>
      <c r="S910" s="60">
        <v>0</v>
      </c>
      <c r="T910" s="60">
        <v>0</v>
      </c>
      <c r="U910" s="60">
        <v>0</v>
      </c>
      <c r="V910" s="60">
        <v>0</v>
      </c>
      <c r="W910" s="60">
        <v>0</v>
      </c>
      <c r="X910" s="60">
        <v>0</v>
      </c>
      <c r="Y910" s="60">
        <v>0</v>
      </c>
      <c r="Z910" s="60">
        <v>0</v>
      </c>
      <c r="AA910" s="60">
        <v>0</v>
      </c>
      <c r="AB910" s="60">
        <v>0</v>
      </c>
      <c r="AC910" s="60">
        <v>140.13999999999999</v>
      </c>
      <c r="AD910" s="60">
        <v>107.72</v>
      </c>
      <c r="AE910" s="60">
        <v>116.6</v>
      </c>
      <c r="AF910" s="60">
        <v>0</v>
      </c>
      <c r="AG910" s="60">
        <v>0</v>
      </c>
      <c r="AH910" s="60">
        <v>0</v>
      </c>
      <c r="AI910" s="60">
        <v>140.13999999999999</v>
      </c>
      <c r="AJ910" s="60">
        <v>107.72</v>
      </c>
      <c r="AK910" s="60">
        <v>116.6</v>
      </c>
      <c r="AL910" s="60">
        <v>0</v>
      </c>
      <c r="AM910" s="60">
        <v>0</v>
      </c>
      <c r="AN910" s="60">
        <v>0</v>
      </c>
      <c r="AO910" s="60">
        <v>140.13999999999999</v>
      </c>
      <c r="AP910" s="60">
        <v>107.72</v>
      </c>
      <c r="AQ910" s="60">
        <v>116.6</v>
      </c>
      <c r="AR910" s="61">
        <v>140.13999999999999</v>
      </c>
    </row>
    <row r="911" spans="1:44" x14ac:dyDescent="0.35">
      <c r="A911" s="49" t="str">
        <f t="shared" si="78"/>
        <v>33</v>
      </c>
      <c r="B911" s="27">
        <v>10330</v>
      </c>
      <c r="C911" s="25" t="str">
        <f>TEXT(140780,"0000000")</f>
        <v>0140780</v>
      </c>
      <c r="D911" s="27">
        <v>2118</v>
      </c>
      <c r="E911" s="25" t="s">
        <v>1718</v>
      </c>
      <c r="F911" s="25" t="s">
        <v>5</v>
      </c>
      <c r="G911" s="59" t="s">
        <v>1719</v>
      </c>
      <c r="H911" s="60">
        <v>0</v>
      </c>
      <c r="I911" s="60">
        <v>0</v>
      </c>
      <c r="J911" s="60">
        <v>0</v>
      </c>
      <c r="K911" s="60">
        <v>0</v>
      </c>
      <c r="L911" s="60">
        <v>0</v>
      </c>
      <c r="M911" s="60">
        <v>0</v>
      </c>
      <c r="N911" s="60">
        <v>0</v>
      </c>
      <c r="O911" s="60">
        <v>0</v>
      </c>
      <c r="P911" s="60">
        <v>0</v>
      </c>
      <c r="Q911" s="60">
        <v>0</v>
      </c>
      <c r="R911" s="60">
        <v>0</v>
      </c>
      <c r="S911" s="60">
        <v>0</v>
      </c>
      <c r="T911" s="60">
        <v>0</v>
      </c>
      <c r="U911" s="60">
        <v>0</v>
      </c>
      <c r="V911" s="60">
        <v>0</v>
      </c>
      <c r="W911" s="60">
        <v>0</v>
      </c>
      <c r="X911" s="60">
        <v>0</v>
      </c>
      <c r="Y911" s="60">
        <v>0</v>
      </c>
      <c r="Z911" s="60">
        <v>0</v>
      </c>
      <c r="AA911" s="60">
        <v>0</v>
      </c>
      <c r="AB911" s="60">
        <v>0</v>
      </c>
      <c r="AC911" s="60">
        <v>248.18</v>
      </c>
      <c r="AD911" s="60">
        <v>245.79</v>
      </c>
      <c r="AE911" s="60">
        <v>0</v>
      </c>
      <c r="AF911" s="60">
        <v>0</v>
      </c>
      <c r="AG911" s="60">
        <v>0</v>
      </c>
      <c r="AH911" s="60">
        <v>0</v>
      </c>
      <c r="AI911" s="60">
        <v>248.18</v>
      </c>
      <c r="AJ911" s="60">
        <v>245.79</v>
      </c>
      <c r="AK911" s="60">
        <v>0</v>
      </c>
      <c r="AL911" s="60">
        <v>0</v>
      </c>
      <c r="AM911" s="60">
        <v>0</v>
      </c>
      <c r="AN911" s="60">
        <v>0</v>
      </c>
      <c r="AO911" s="60">
        <v>248.18</v>
      </c>
      <c r="AP911" s="60">
        <v>245.79</v>
      </c>
      <c r="AQ911" s="60">
        <v>0</v>
      </c>
      <c r="AR911" s="61">
        <v>248.18</v>
      </c>
    </row>
    <row r="912" spans="1:44" x14ac:dyDescent="0.35">
      <c r="A912" s="49" t="str">
        <f t="shared" si="78"/>
        <v>33</v>
      </c>
      <c r="B912" s="27">
        <v>66993</v>
      </c>
      <c r="C912" s="25" t="str">
        <f>TEXT(127142,"0000000")</f>
        <v>0127142</v>
      </c>
      <c r="D912" s="27">
        <v>1493</v>
      </c>
      <c r="E912" s="25" t="s">
        <v>1726</v>
      </c>
      <c r="F912" s="25" t="s">
        <v>5</v>
      </c>
      <c r="G912" s="59" t="s">
        <v>1727</v>
      </c>
      <c r="H912" s="60">
        <v>0</v>
      </c>
      <c r="I912" s="60">
        <v>0</v>
      </c>
      <c r="J912" s="60">
        <v>0</v>
      </c>
      <c r="K912" s="60">
        <v>0</v>
      </c>
      <c r="L912" s="60">
        <v>0</v>
      </c>
      <c r="M912" s="60">
        <v>0</v>
      </c>
      <c r="N912" s="60">
        <v>0</v>
      </c>
      <c r="O912" s="60">
        <v>0</v>
      </c>
      <c r="P912" s="60">
        <v>0</v>
      </c>
      <c r="Q912" s="60">
        <v>0</v>
      </c>
      <c r="R912" s="60">
        <v>0</v>
      </c>
      <c r="S912" s="60">
        <v>0</v>
      </c>
      <c r="T912" s="60">
        <v>0</v>
      </c>
      <c r="U912" s="60">
        <v>0</v>
      </c>
      <c r="V912" s="60">
        <v>0</v>
      </c>
      <c r="W912" s="60">
        <v>0</v>
      </c>
      <c r="X912" s="60">
        <v>0</v>
      </c>
      <c r="Y912" s="60">
        <v>0</v>
      </c>
      <c r="Z912" s="60">
        <v>0</v>
      </c>
      <c r="AA912" s="60">
        <v>0</v>
      </c>
      <c r="AB912" s="60">
        <v>0</v>
      </c>
      <c r="AC912" s="60">
        <v>302.98</v>
      </c>
      <c r="AD912" s="60">
        <v>303.39999999999998</v>
      </c>
      <c r="AE912" s="60">
        <v>0</v>
      </c>
      <c r="AF912" s="60">
        <v>0</v>
      </c>
      <c r="AG912" s="60">
        <v>0</v>
      </c>
      <c r="AH912" s="60">
        <v>0</v>
      </c>
      <c r="AI912" s="60">
        <v>302.98</v>
      </c>
      <c r="AJ912" s="60">
        <v>303.39999999999998</v>
      </c>
      <c r="AK912" s="60">
        <v>0</v>
      </c>
      <c r="AL912" s="60">
        <v>0</v>
      </c>
      <c r="AM912" s="60">
        <v>0</v>
      </c>
      <c r="AN912" s="60">
        <v>0</v>
      </c>
      <c r="AO912" s="60">
        <v>302.98</v>
      </c>
      <c r="AP912" s="60">
        <v>303.39999999999998</v>
      </c>
      <c r="AQ912" s="60">
        <v>0</v>
      </c>
      <c r="AR912" s="61">
        <v>303.39999999999998</v>
      </c>
    </row>
    <row r="913" spans="1:44" x14ac:dyDescent="0.35">
      <c r="A913" s="49" t="str">
        <f t="shared" si="78"/>
        <v>33</v>
      </c>
      <c r="B913" s="27">
        <v>66993</v>
      </c>
      <c r="C913" s="25" t="str">
        <f>TEXT(139360,"0000000")</f>
        <v>0139360</v>
      </c>
      <c r="D913" s="27">
        <v>2049</v>
      </c>
      <c r="E913" s="25" t="s">
        <v>1728</v>
      </c>
      <c r="F913" s="25" t="s">
        <v>5</v>
      </c>
      <c r="G913" s="59" t="s">
        <v>1729</v>
      </c>
      <c r="H913" s="60">
        <v>0</v>
      </c>
      <c r="I913" s="60">
        <v>0</v>
      </c>
      <c r="J913" s="60">
        <v>0</v>
      </c>
      <c r="K913" s="60">
        <v>0</v>
      </c>
      <c r="L913" s="60">
        <v>0</v>
      </c>
      <c r="M913" s="60">
        <v>0</v>
      </c>
      <c r="N913" s="60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  <c r="Z913" s="60">
        <v>0</v>
      </c>
      <c r="AA913" s="60">
        <v>0</v>
      </c>
      <c r="AB913" s="60">
        <v>0</v>
      </c>
      <c r="AC913" s="60">
        <v>4790.72</v>
      </c>
      <c r="AD913" s="60">
        <v>4201.95</v>
      </c>
      <c r="AE913" s="60">
        <v>3717.15</v>
      </c>
      <c r="AF913" s="60">
        <v>0</v>
      </c>
      <c r="AG913" s="60">
        <v>0</v>
      </c>
      <c r="AH913" s="60">
        <v>0</v>
      </c>
      <c r="AI913" s="60">
        <v>4790.72</v>
      </c>
      <c r="AJ913" s="60">
        <v>4201.95</v>
      </c>
      <c r="AK913" s="60">
        <v>3717.15</v>
      </c>
      <c r="AL913" s="60">
        <v>0</v>
      </c>
      <c r="AM913" s="60">
        <v>0</v>
      </c>
      <c r="AN913" s="60">
        <v>0</v>
      </c>
      <c r="AO913" s="60">
        <v>4790.72</v>
      </c>
      <c r="AP913" s="60">
        <v>4201.95</v>
      </c>
      <c r="AQ913" s="60">
        <v>3717.15</v>
      </c>
      <c r="AR913" s="61">
        <v>4790.72</v>
      </c>
    </row>
    <row r="914" spans="1:44" x14ac:dyDescent="0.35">
      <c r="A914" s="49" t="str">
        <f>TEXT(1,"00")</f>
        <v>01</v>
      </c>
      <c r="B914" s="27">
        <v>61259</v>
      </c>
      <c r="C914" s="25" t="str">
        <f>TEXT(111476,"0000000")</f>
        <v>0111476</v>
      </c>
      <c r="D914" s="26" t="s">
        <v>90</v>
      </c>
      <c r="E914" s="25" t="s">
        <v>88</v>
      </c>
      <c r="F914" s="25" t="s">
        <v>5</v>
      </c>
      <c r="G914" s="59" t="s">
        <v>89</v>
      </c>
      <c r="H914" s="60">
        <v>0</v>
      </c>
      <c r="I914" s="60">
        <v>0</v>
      </c>
      <c r="J914" s="60">
        <v>0</v>
      </c>
      <c r="K914" s="60">
        <v>0</v>
      </c>
      <c r="L914" s="60">
        <v>0</v>
      </c>
      <c r="M914" s="60">
        <v>0</v>
      </c>
      <c r="N914" s="60">
        <v>0</v>
      </c>
      <c r="O914" s="60">
        <v>0</v>
      </c>
      <c r="P914" s="60">
        <v>0</v>
      </c>
      <c r="Q914" s="60">
        <v>0</v>
      </c>
      <c r="R914" s="60">
        <v>0</v>
      </c>
      <c r="S914" s="60">
        <v>0</v>
      </c>
      <c r="T914" s="60">
        <v>0</v>
      </c>
      <c r="U914" s="60">
        <v>0</v>
      </c>
      <c r="V914" s="60">
        <v>0</v>
      </c>
      <c r="W914" s="60">
        <v>0</v>
      </c>
      <c r="X914" s="60">
        <v>0</v>
      </c>
      <c r="Y914" s="60">
        <v>0</v>
      </c>
      <c r="Z914" s="60">
        <v>0</v>
      </c>
      <c r="AA914" s="60">
        <v>0</v>
      </c>
      <c r="AB914" s="60">
        <v>0</v>
      </c>
      <c r="AC914" s="60">
        <v>518.34</v>
      </c>
      <c r="AD914" s="60">
        <v>497.11</v>
      </c>
      <c r="AE914" s="60">
        <v>614.1</v>
      </c>
      <c r="AF914" s="60">
        <v>0</v>
      </c>
      <c r="AG914" s="60">
        <v>0</v>
      </c>
      <c r="AH914" s="60">
        <v>0</v>
      </c>
      <c r="AI914" s="60">
        <v>518.34</v>
      </c>
      <c r="AJ914" s="60">
        <v>497.11</v>
      </c>
      <c r="AK914" s="60">
        <v>614.1</v>
      </c>
      <c r="AL914" s="60">
        <v>0</v>
      </c>
      <c r="AM914" s="60">
        <v>0</v>
      </c>
      <c r="AN914" s="60">
        <v>0</v>
      </c>
      <c r="AO914" s="60">
        <v>518.34</v>
      </c>
      <c r="AP914" s="60">
        <v>497.11</v>
      </c>
      <c r="AQ914" s="60">
        <v>614.1</v>
      </c>
      <c r="AR914" s="61">
        <v>614.1</v>
      </c>
    </row>
    <row r="915" spans="1:44" x14ac:dyDescent="0.35">
      <c r="A915" s="49" t="str">
        <f>TEXT(33,"00")</f>
        <v>33</v>
      </c>
      <c r="B915" s="27">
        <v>67215</v>
      </c>
      <c r="C915" s="25" t="str">
        <f>TEXT(126128,"0000000")</f>
        <v>0126128</v>
      </c>
      <c r="D915" s="27">
        <v>1409</v>
      </c>
      <c r="E915" s="25" t="s">
        <v>1761</v>
      </c>
      <c r="F915" s="25" t="s">
        <v>5</v>
      </c>
      <c r="G915" s="59" t="s">
        <v>1762</v>
      </c>
      <c r="H915" s="60">
        <v>0</v>
      </c>
      <c r="I915" s="60">
        <v>0</v>
      </c>
      <c r="J915" s="60">
        <v>0</v>
      </c>
      <c r="K915" s="60">
        <v>0</v>
      </c>
      <c r="L915" s="60">
        <v>0</v>
      </c>
      <c r="M915" s="60">
        <v>0</v>
      </c>
      <c r="N915" s="60">
        <v>0</v>
      </c>
      <c r="O915" s="60">
        <v>0</v>
      </c>
      <c r="P915" s="60">
        <v>0</v>
      </c>
      <c r="Q915" s="60">
        <v>0</v>
      </c>
      <c r="R915" s="60">
        <v>0</v>
      </c>
      <c r="S915" s="60">
        <v>0</v>
      </c>
      <c r="T915" s="60">
        <v>0</v>
      </c>
      <c r="U915" s="60">
        <v>0</v>
      </c>
      <c r="V915" s="60">
        <v>0</v>
      </c>
      <c r="W915" s="60">
        <v>0</v>
      </c>
      <c r="X915" s="60">
        <v>0</v>
      </c>
      <c r="Y915" s="60">
        <v>0</v>
      </c>
      <c r="Z915" s="60">
        <v>0</v>
      </c>
      <c r="AA915" s="60">
        <v>0</v>
      </c>
      <c r="AB915" s="60">
        <v>0</v>
      </c>
      <c r="AC915" s="60">
        <v>572.53</v>
      </c>
      <c r="AD915" s="60">
        <v>573.59</v>
      </c>
      <c r="AE915" s="60">
        <v>611.29999999999995</v>
      </c>
      <c r="AF915" s="60">
        <v>0</v>
      </c>
      <c r="AG915" s="60">
        <v>0</v>
      </c>
      <c r="AH915" s="60">
        <v>0</v>
      </c>
      <c r="AI915" s="60">
        <v>572.53</v>
      </c>
      <c r="AJ915" s="60">
        <v>573.59</v>
      </c>
      <c r="AK915" s="60">
        <v>611.29999999999995</v>
      </c>
      <c r="AL915" s="60">
        <v>0</v>
      </c>
      <c r="AM915" s="60">
        <v>0</v>
      </c>
      <c r="AN915" s="60">
        <v>0</v>
      </c>
      <c r="AO915" s="60">
        <v>572.53</v>
      </c>
      <c r="AP915" s="60">
        <v>573.59</v>
      </c>
      <c r="AQ915" s="60">
        <v>611.29999999999995</v>
      </c>
      <c r="AR915" s="61">
        <v>611.29999999999995</v>
      </c>
    </row>
    <row r="916" spans="1:44" x14ac:dyDescent="0.35">
      <c r="A916" s="49" t="str">
        <f>TEXT(33,"00")</f>
        <v>33</v>
      </c>
      <c r="B916" s="27">
        <v>73676</v>
      </c>
      <c r="C916" s="25" t="str">
        <f>TEXT(121673,"0000000")</f>
        <v>0121673</v>
      </c>
      <c r="D916" s="27">
        <v>1188</v>
      </c>
      <c r="E916" s="25" t="s">
        <v>1769</v>
      </c>
      <c r="F916" s="25" t="s">
        <v>5</v>
      </c>
      <c r="G916" s="59" t="s">
        <v>1770</v>
      </c>
      <c r="H916" s="60">
        <v>0</v>
      </c>
      <c r="I916" s="60">
        <v>0</v>
      </c>
      <c r="J916" s="60">
        <v>0</v>
      </c>
      <c r="K916" s="60">
        <v>0</v>
      </c>
      <c r="L916" s="60">
        <v>0</v>
      </c>
      <c r="M916" s="60">
        <v>0</v>
      </c>
      <c r="N916" s="60">
        <v>0</v>
      </c>
      <c r="O916" s="60">
        <v>0</v>
      </c>
      <c r="P916" s="60">
        <v>0</v>
      </c>
      <c r="Q916" s="60">
        <v>0</v>
      </c>
      <c r="R916" s="60">
        <v>0</v>
      </c>
      <c r="S916" s="60">
        <v>0</v>
      </c>
      <c r="T916" s="60">
        <v>0</v>
      </c>
      <c r="U916" s="60">
        <v>0</v>
      </c>
      <c r="V916" s="60">
        <v>0</v>
      </c>
      <c r="W916" s="60">
        <v>0</v>
      </c>
      <c r="X916" s="60">
        <v>0</v>
      </c>
      <c r="Y916" s="60">
        <v>0</v>
      </c>
      <c r="Z916" s="60">
        <v>0</v>
      </c>
      <c r="AA916" s="60">
        <v>0</v>
      </c>
      <c r="AB916" s="60">
        <v>0</v>
      </c>
      <c r="AC916" s="60">
        <v>207.76</v>
      </c>
      <c r="AD916" s="60">
        <v>210.87</v>
      </c>
      <c r="AE916" s="60">
        <v>215.07</v>
      </c>
      <c r="AF916" s="60">
        <v>0</v>
      </c>
      <c r="AG916" s="60">
        <v>0</v>
      </c>
      <c r="AH916" s="60">
        <v>0</v>
      </c>
      <c r="AI916" s="60">
        <v>207.76</v>
      </c>
      <c r="AJ916" s="60">
        <v>210.87</v>
      </c>
      <c r="AK916" s="60">
        <v>215.07</v>
      </c>
      <c r="AL916" s="60">
        <v>0</v>
      </c>
      <c r="AM916" s="60">
        <v>0</v>
      </c>
      <c r="AN916" s="60">
        <v>0</v>
      </c>
      <c r="AO916" s="60">
        <v>207.76</v>
      </c>
      <c r="AP916" s="60">
        <v>210.87</v>
      </c>
      <c r="AQ916" s="60">
        <v>215.07</v>
      </c>
      <c r="AR916" s="61">
        <v>215.07</v>
      </c>
    </row>
    <row r="917" spans="1:44" ht="31" x14ac:dyDescent="0.35">
      <c r="A917" s="49" t="str">
        <f>TEXT(33,"00")</f>
        <v>33</v>
      </c>
      <c r="B917" s="27">
        <v>75176</v>
      </c>
      <c r="C917" s="25" t="str">
        <f>TEXT(120204,"0000000")</f>
        <v>0120204</v>
      </c>
      <c r="D917" s="27">
        <v>1118</v>
      </c>
      <c r="E917" s="25" t="s">
        <v>1773</v>
      </c>
      <c r="F917" s="25" t="s">
        <v>5</v>
      </c>
      <c r="G917" s="59" t="s">
        <v>1774</v>
      </c>
      <c r="H917" s="60">
        <v>0</v>
      </c>
      <c r="I917" s="60">
        <v>0</v>
      </c>
      <c r="J917" s="60">
        <v>0</v>
      </c>
      <c r="K917" s="60">
        <v>0</v>
      </c>
      <c r="L917" s="60">
        <v>0</v>
      </c>
      <c r="M917" s="60">
        <v>0</v>
      </c>
      <c r="N917" s="60">
        <v>0</v>
      </c>
      <c r="O917" s="60">
        <v>0</v>
      </c>
      <c r="P917" s="60">
        <v>0</v>
      </c>
      <c r="Q917" s="60">
        <v>0</v>
      </c>
      <c r="R917" s="60">
        <v>0</v>
      </c>
      <c r="S917" s="60">
        <v>0</v>
      </c>
      <c r="T917" s="60">
        <v>0</v>
      </c>
      <c r="U917" s="60">
        <v>0</v>
      </c>
      <c r="V917" s="60">
        <v>0</v>
      </c>
      <c r="W917" s="60">
        <v>0</v>
      </c>
      <c r="X917" s="60">
        <v>0</v>
      </c>
      <c r="Y917" s="60">
        <v>0</v>
      </c>
      <c r="Z917" s="60">
        <v>0</v>
      </c>
      <c r="AA917" s="60">
        <v>0</v>
      </c>
      <c r="AB917" s="60">
        <v>0</v>
      </c>
      <c r="AC917" s="60">
        <v>484.46</v>
      </c>
      <c r="AD917" s="60">
        <v>567.32000000000005</v>
      </c>
      <c r="AE917" s="60">
        <v>548</v>
      </c>
      <c r="AF917" s="60">
        <v>0</v>
      </c>
      <c r="AG917" s="60">
        <v>0</v>
      </c>
      <c r="AH917" s="60">
        <v>0</v>
      </c>
      <c r="AI917" s="60">
        <v>484.46</v>
      </c>
      <c r="AJ917" s="60">
        <v>567.32000000000005</v>
      </c>
      <c r="AK917" s="60">
        <v>548</v>
      </c>
      <c r="AL917" s="60">
        <v>0</v>
      </c>
      <c r="AM917" s="60">
        <v>0</v>
      </c>
      <c r="AN917" s="60">
        <v>0</v>
      </c>
      <c r="AO917" s="60">
        <v>484.46</v>
      </c>
      <c r="AP917" s="60">
        <v>567.32000000000005</v>
      </c>
      <c r="AQ917" s="60">
        <v>548</v>
      </c>
      <c r="AR917" s="61">
        <v>567.32000000000005</v>
      </c>
    </row>
    <row r="918" spans="1:44" x14ac:dyDescent="0.35">
      <c r="A918" s="49" t="str">
        <f>TEXT(33,"00")</f>
        <v>33</v>
      </c>
      <c r="B918" s="27">
        <v>75192</v>
      </c>
      <c r="C918" s="25" t="str">
        <f>TEXT(3330917,"0000000")</f>
        <v>3330917</v>
      </c>
      <c r="D918" s="26" t="s">
        <v>1779</v>
      </c>
      <c r="E918" s="25" t="s">
        <v>1777</v>
      </c>
      <c r="F918" s="25" t="s">
        <v>5</v>
      </c>
      <c r="G918" s="59" t="s">
        <v>1778</v>
      </c>
      <c r="H918" s="60">
        <v>0</v>
      </c>
      <c r="I918" s="60">
        <v>0</v>
      </c>
      <c r="J918" s="60">
        <v>0</v>
      </c>
      <c r="K918" s="60">
        <v>0</v>
      </c>
      <c r="L918" s="60">
        <v>0</v>
      </c>
      <c r="M918" s="60">
        <v>0</v>
      </c>
      <c r="N918" s="60">
        <v>0</v>
      </c>
      <c r="O918" s="60">
        <v>0</v>
      </c>
      <c r="P918" s="60">
        <v>0</v>
      </c>
      <c r="Q918" s="60">
        <v>0</v>
      </c>
      <c r="R918" s="60">
        <v>0</v>
      </c>
      <c r="S918" s="60">
        <v>0</v>
      </c>
      <c r="T918" s="60">
        <v>0</v>
      </c>
      <c r="U918" s="60">
        <v>0</v>
      </c>
      <c r="V918" s="60">
        <v>0</v>
      </c>
      <c r="W918" s="60">
        <v>0</v>
      </c>
      <c r="X918" s="60">
        <v>0</v>
      </c>
      <c r="Y918" s="60">
        <v>0</v>
      </c>
      <c r="Z918" s="60">
        <v>0</v>
      </c>
      <c r="AA918" s="60">
        <v>0</v>
      </c>
      <c r="AB918" s="60">
        <v>0</v>
      </c>
      <c r="AC918" s="60">
        <v>1018.76</v>
      </c>
      <c r="AD918" s="60">
        <v>1005.88</v>
      </c>
      <c r="AE918" s="60">
        <v>1034.3</v>
      </c>
      <c r="AF918" s="60">
        <v>0</v>
      </c>
      <c r="AG918" s="60">
        <v>0</v>
      </c>
      <c r="AH918" s="60">
        <v>0</v>
      </c>
      <c r="AI918" s="60">
        <v>1018.76</v>
      </c>
      <c r="AJ918" s="60">
        <v>1005.88</v>
      </c>
      <c r="AK918" s="60">
        <v>1034.3</v>
      </c>
      <c r="AL918" s="60">
        <v>0</v>
      </c>
      <c r="AM918" s="60">
        <v>0</v>
      </c>
      <c r="AN918" s="60">
        <v>0</v>
      </c>
      <c r="AO918" s="60">
        <v>1018.76</v>
      </c>
      <c r="AP918" s="60">
        <v>1005.88</v>
      </c>
      <c r="AQ918" s="60">
        <v>1034.3</v>
      </c>
      <c r="AR918" s="61">
        <v>1034.3</v>
      </c>
    </row>
    <row r="919" spans="1:44" x14ac:dyDescent="0.35">
      <c r="A919" s="49" t="str">
        <f>TEXT(33,"00")</f>
        <v>33</v>
      </c>
      <c r="B919" s="27">
        <v>75192</v>
      </c>
      <c r="C919" s="25" t="str">
        <f>TEXT(6112551,"0000000")</f>
        <v>6112551</v>
      </c>
      <c r="D919" s="26" t="s">
        <v>1782</v>
      </c>
      <c r="E919" s="25" t="s">
        <v>1780</v>
      </c>
      <c r="F919" s="25" t="s">
        <v>5</v>
      </c>
      <c r="G919" s="59" t="s">
        <v>1781</v>
      </c>
      <c r="H919" s="60">
        <v>0</v>
      </c>
      <c r="I919" s="60">
        <v>0</v>
      </c>
      <c r="J919" s="60">
        <v>0</v>
      </c>
      <c r="K919" s="60">
        <v>0</v>
      </c>
      <c r="L919" s="60">
        <v>0</v>
      </c>
      <c r="M919" s="60">
        <v>0</v>
      </c>
      <c r="N919" s="60">
        <v>0</v>
      </c>
      <c r="O919" s="60">
        <v>0</v>
      </c>
      <c r="P919" s="60">
        <v>0</v>
      </c>
      <c r="Q919" s="60">
        <v>0</v>
      </c>
      <c r="R919" s="60">
        <v>0</v>
      </c>
      <c r="S919" s="60">
        <v>0</v>
      </c>
      <c r="T919" s="60">
        <v>0</v>
      </c>
      <c r="U919" s="60">
        <v>0</v>
      </c>
      <c r="V919" s="60">
        <v>0</v>
      </c>
      <c r="W919" s="60">
        <v>0</v>
      </c>
      <c r="X919" s="60">
        <v>0</v>
      </c>
      <c r="Y919" s="60">
        <v>0</v>
      </c>
      <c r="Z919" s="60">
        <v>0</v>
      </c>
      <c r="AA919" s="60">
        <v>0</v>
      </c>
      <c r="AB919" s="60">
        <v>0</v>
      </c>
      <c r="AC919" s="60">
        <v>508.56</v>
      </c>
      <c r="AD919" s="60">
        <v>497.84</v>
      </c>
      <c r="AE919" s="60">
        <v>546.49</v>
      </c>
      <c r="AF919" s="60">
        <v>0</v>
      </c>
      <c r="AG919" s="60">
        <v>0</v>
      </c>
      <c r="AH919" s="60">
        <v>0</v>
      </c>
      <c r="AI919" s="60">
        <v>508.56</v>
      </c>
      <c r="AJ919" s="60">
        <v>497.84</v>
      </c>
      <c r="AK919" s="60">
        <v>546.49</v>
      </c>
      <c r="AL919" s="60">
        <v>0</v>
      </c>
      <c r="AM919" s="60">
        <v>0</v>
      </c>
      <c r="AN919" s="60">
        <v>0</v>
      </c>
      <c r="AO919" s="60">
        <v>508.56</v>
      </c>
      <c r="AP919" s="60">
        <v>497.84</v>
      </c>
      <c r="AQ919" s="60">
        <v>546.49</v>
      </c>
      <c r="AR919" s="61">
        <v>546.49</v>
      </c>
    </row>
    <row r="920" spans="1:44" x14ac:dyDescent="0.35">
      <c r="A920" s="49" t="str">
        <f>TEXT(34,"00")</f>
        <v>34</v>
      </c>
      <c r="B920" s="27">
        <v>10348</v>
      </c>
      <c r="C920" s="25" t="str">
        <f>TEXT(136275,"0000000")</f>
        <v>0136275</v>
      </c>
      <c r="D920" s="27">
        <v>1313</v>
      </c>
      <c r="E920" s="25" t="s">
        <v>1787</v>
      </c>
      <c r="F920" s="25" t="s">
        <v>5</v>
      </c>
      <c r="G920" s="59" t="s">
        <v>1788</v>
      </c>
      <c r="H920" s="60">
        <v>0</v>
      </c>
      <c r="I920" s="60">
        <v>0</v>
      </c>
      <c r="J920" s="60">
        <v>0</v>
      </c>
      <c r="K920" s="60">
        <v>0</v>
      </c>
      <c r="L920" s="60">
        <v>0</v>
      </c>
      <c r="M920" s="60">
        <v>0</v>
      </c>
      <c r="N920" s="60">
        <v>0</v>
      </c>
      <c r="O920" s="60">
        <v>0</v>
      </c>
      <c r="P920" s="60">
        <v>0</v>
      </c>
      <c r="Q920" s="60">
        <v>0</v>
      </c>
      <c r="R920" s="60">
        <v>0</v>
      </c>
      <c r="S920" s="60">
        <v>0</v>
      </c>
      <c r="T920" s="60">
        <v>0</v>
      </c>
      <c r="U920" s="60">
        <v>0</v>
      </c>
      <c r="V920" s="60">
        <v>0</v>
      </c>
      <c r="W920" s="60">
        <v>0</v>
      </c>
      <c r="X920" s="60">
        <v>0</v>
      </c>
      <c r="Y920" s="60">
        <v>0</v>
      </c>
      <c r="Z920" s="60">
        <v>1605.75</v>
      </c>
      <c r="AA920" s="60">
        <v>1476.17</v>
      </c>
      <c r="AB920" s="60">
        <v>1803</v>
      </c>
      <c r="AC920" s="60">
        <v>0</v>
      </c>
      <c r="AD920" s="60">
        <v>0</v>
      </c>
      <c r="AE920" s="60">
        <v>0</v>
      </c>
      <c r="AF920" s="60">
        <v>0</v>
      </c>
      <c r="AG920" s="60">
        <v>0</v>
      </c>
      <c r="AH920" s="60">
        <v>0</v>
      </c>
      <c r="AI920" s="60">
        <v>1605.75</v>
      </c>
      <c r="AJ920" s="60">
        <v>1476.17</v>
      </c>
      <c r="AK920" s="60">
        <v>1803</v>
      </c>
      <c r="AL920" s="60">
        <v>0</v>
      </c>
      <c r="AM920" s="60">
        <v>0</v>
      </c>
      <c r="AN920" s="60">
        <v>0</v>
      </c>
      <c r="AO920" s="60">
        <v>1605.75</v>
      </c>
      <c r="AP920" s="60">
        <v>1476.17</v>
      </c>
      <c r="AQ920" s="60">
        <v>1803</v>
      </c>
      <c r="AR920" s="61">
        <v>1803</v>
      </c>
    </row>
    <row r="921" spans="1:44" x14ac:dyDescent="0.35">
      <c r="A921" s="49" t="str">
        <f>TEXT(34,"00")</f>
        <v>34</v>
      </c>
      <c r="B921" s="27">
        <v>10348</v>
      </c>
      <c r="C921" s="25" t="str">
        <f>TEXT(140160,"0000000")</f>
        <v>0140160</v>
      </c>
      <c r="D921" s="27">
        <v>2100</v>
      </c>
      <c r="E921" s="25" t="s">
        <v>1789</v>
      </c>
      <c r="F921" s="25" t="s">
        <v>5</v>
      </c>
      <c r="G921" s="59" t="s">
        <v>1790</v>
      </c>
      <c r="H921" s="60">
        <v>0</v>
      </c>
      <c r="I921" s="60">
        <v>0</v>
      </c>
      <c r="J921" s="60">
        <v>0</v>
      </c>
      <c r="K921" s="60">
        <v>0</v>
      </c>
      <c r="L921" s="60">
        <v>0</v>
      </c>
      <c r="M921" s="60">
        <v>0</v>
      </c>
      <c r="N921" s="60">
        <v>0</v>
      </c>
      <c r="O921" s="60">
        <v>0</v>
      </c>
      <c r="P921" s="60">
        <v>0</v>
      </c>
      <c r="Q921" s="60">
        <v>0</v>
      </c>
      <c r="R921" s="60">
        <v>0</v>
      </c>
      <c r="S921" s="60">
        <v>0</v>
      </c>
      <c r="T921" s="60">
        <v>0</v>
      </c>
      <c r="U921" s="60">
        <v>0</v>
      </c>
      <c r="V921" s="60">
        <v>0</v>
      </c>
      <c r="W921" s="60">
        <v>0</v>
      </c>
      <c r="X921" s="60">
        <v>0</v>
      </c>
      <c r="Y921" s="60">
        <v>0</v>
      </c>
      <c r="Z921" s="60">
        <v>0</v>
      </c>
      <c r="AA921" s="60">
        <v>0</v>
      </c>
      <c r="AB921" s="60">
        <v>0</v>
      </c>
      <c r="AC921" s="60">
        <v>76.16</v>
      </c>
      <c r="AD921" s="60">
        <v>54.08</v>
      </c>
      <c r="AE921" s="60">
        <v>25.8</v>
      </c>
      <c r="AF921" s="60">
        <v>0</v>
      </c>
      <c r="AG921" s="60">
        <v>0</v>
      </c>
      <c r="AH921" s="60">
        <v>0</v>
      </c>
      <c r="AI921" s="60">
        <v>76.16</v>
      </c>
      <c r="AJ921" s="60">
        <v>54.08</v>
      </c>
      <c r="AK921" s="60">
        <v>25.8</v>
      </c>
      <c r="AL921" s="60">
        <v>0</v>
      </c>
      <c r="AM921" s="60">
        <v>0</v>
      </c>
      <c r="AN921" s="60">
        <v>0</v>
      </c>
      <c r="AO921" s="60">
        <v>76.16</v>
      </c>
      <c r="AP921" s="60">
        <v>54.08</v>
      </c>
      <c r="AQ921" s="60">
        <v>25.8</v>
      </c>
      <c r="AR921" s="61">
        <v>76.16</v>
      </c>
    </row>
    <row r="922" spans="1:44" ht="31" x14ac:dyDescent="0.35">
      <c r="A922" s="49" t="str">
        <f>TEXT(34,"00")</f>
        <v>34</v>
      </c>
      <c r="B922" s="27">
        <v>67314</v>
      </c>
      <c r="C922" s="25" t="str">
        <f>TEXT(137281,"0000000")</f>
        <v>0137281</v>
      </c>
      <c r="D922" s="27">
        <v>1949</v>
      </c>
      <c r="E922" s="25" t="s">
        <v>1798</v>
      </c>
      <c r="F922" s="25" t="s">
        <v>5</v>
      </c>
      <c r="G922" s="59" t="s">
        <v>1799</v>
      </c>
      <c r="H922" s="60">
        <v>0</v>
      </c>
      <c r="I922" s="60">
        <v>0</v>
      </c>
      <c r="J922" s="60">
        <v>0</v>
      </c>
      <c r="K922" s="60">
        <v>0</v>
      </c>
      <c r="L922" s="60">
        <v>0</v>
      </c>
      <c r="M922" s="60">
        <v>0</v>
      </c>
      <c r="N922" s="60">
        <v>0</v>
      </c>
      <c r="O922" s="60">
        <v>0</v>
      </c>
      <c r="P922" s="60">
        <v>0</v>
      </c>
      <c r="Q922" s="60">
        <v>0</v>
      </c>
      <c r="R922" s="60">
        <v>0</v>
      </c>
      <c r="S922" s="60">
        <v>0</v>
      </c>
      <c r="T922" s="60">
        <v>0</v>
      </c>
      <c r="U922" s="60">
        <v>0</v>
      </c>
      <c r="V922" s="60">
        <v>0</v>
      </c>
      <c r="W922" s="60">
        <v>0</v>
      </c>
      <c r="X922" s="60">
        <v>0</v>
      </c>
      <c r="Y922" s="60">
        <v>0</v>
      </c>
      <c r="Z922" s="60">
        <v>0</v>
      </c>
      <c r="AA922" s="60">
        <v>0</v>
      </c>
      <c r="AB922" s="60">
        <v>0</v>
      </c>
      <c r="AC922" s="60">
        <v>355.3</v>
      </c>
      <c r="AD922" s="60">
        <v>270.39999999999998</v>
      </c>
      <c r="AE922" s="60">
        <v>288.17</v>
      </c>
      <c r="AF922" s="60">
        <v>0</v>
      </c>
      <c r="AG922" s="60">
        <v>0</v>
      </c>
      <c r="AH922" s="60">
        <v>0</v>
      </c>
      <c r="AI922" s="60">
        <v>355.3</v>
      </c>
      <c r="AJ922" s="60">
        <v>270.39999999999998</v>
      </c>
      <c r="AK922" s="60">
        <v>288.17</v>
      </c>
      <c r="AL922" s="60">
        <v>0</v>
      </c>
      <c r="AM922" s="60">
        <v>0</v>
      </c>
      <c r="AN922" s="60">
        <v>0</v>
      </c>
      <c r="AO922" s="60">
        <v>355.3</v>
      </c>
      <c r="AP922" s="60">
        <v>270.39999999999998</v>
      </c>
      <c r="AQ922" s="60">
        <v>288.17</v>
      </c>
      <c r="AR922" s="61">
        <v>355.3</v>
      </c>
    </row>
    <row r="923" spans="1:44" x14ac:dyDescent="0.35">
      <c r="A923" s="49" t="str">
        <f>TEXT(34,"00")</f>
        <v>34</v>
      </c>
      <c r="B923" s="27">
        <v>67413</v>
      </c>
      <c r="C923" s="25" t="str">
        <f>TEXT(114660,"0000000")</f>
        <v>0114660</v>
      </c>
      <c r="D923" s="26" t="s">
        <v>1812</v>
      </c>
      <c r="E923" s="25" t="s">
        <v>1810</v>
      </c>
      <c r="F923" s="25" t="s">
        <v>5</v>
      </c>
      <c r="G923" s="59" t="s">
        <v>1811</v>
      </c>
      <c r="H923" s="60">
        <v>0</v>
      </c>
      <c r="I923" s="60">
        <v>0</v>
      </c>
      <c r="J923" s="60">
        <v>0</v>
      </c>
      <c r="K923" s="60">
        <v>0</v>
      </c>
      <c r="L923" s="60">
        <v>0</v>
      </c>
      <c r="M923" s="60">
        <v>0</v>
      </c>
      <c r="N923" s="60">
        <v>0</v>
      </c>
      <c r="O923" s="60">
        <v>0</v>
      </c>
      <c r="P923" s="60">
        <v>0</v>
      </c>
      <c r="Q923" s="60">
        <v>0</v>
      </c>
      <c r="R923" s="60">
        <v>0</v>
      </c>
      <c r="S923" s="60">
        <v>0</v>
      </c>
      <c r="T923" s="60">
        <v>0</v>
      </c>
      <c r="U923" s="60">
        <v>0</v>
      </c>
      <c r="V923" s="60">
        <v>0</v>
      </c>
      <c r="W923" s="60">
        <v>0</v>
      </c>
      <c r="X923" s="60">
        <v>0</v>
      </c>
      <c r="Y923" s="60">
        <v>0</v>
      </c>
      <c r="Z923" s="60">
        <v>0</v>
      </c>
      <c r="AA923" s="60">
        <v>0</v>
      </c>
      <c r="AB923" s="60">
        <v>0</v>
      </c>
      <c r="AC923" s="60">
        <v>345.09</v>
      </c>
      <c r="AD923" s="60">
        <v>360.29</v>
      </c>
      <c r="AE923" s="60">
        <v>391.38</v>
      </c>
      <c r="AF923" s="60">
        <v>0</v>
      </c>
      <c r="AG923" s="60">
        <v>0</v>
      </c>
      <c r="AH923" s="60">
        <v>0</v>
      </c>
      <c r="AI923" s="60">
        <v>345.09</v>
      </c>
      <c r="AJ923" s="60">
        <v>360.29</v>
      </c>
      <c r="AK923" s="60">
        <v>391.38</v>
      </c>
      <c r="AL923" s="60">
        <v>0</v>
      </c>
      <c r="AM923" s="60">
        <v>0</v>
      </c>
      <c r="AN923" s="60">
        <v>0</v>
      </c>
      <c r="AO923" s="60">
        <v>345.09</v>
      </c>
      <c r="AP923" s="60">
        <v>360.29</v>
      </c>
      <c r="AQ923" s="60">
        <v>391.38</v>
      </c>
      <c r="AR923" s="61">
        <v>391.38</v>
      </c>
    </row>
    <row r="924" spans="1:44" x14ac:dyDescent="0.35">
      <c r="A924" s="49" t="str">
        <f>TEXT(34,"00")</f>
        <v>34</v>
      </c>
      <c r="B924" s="27">
        <v>67439</v>
      </c>
      <c r="C924" s="25" t="str">
        <f>TEXT(101048,"0000000")</f>
        <v>0101048</v>
      </c>
      <c r="D924" s="26" t="s">
        <v>1823</v>
      </c>
      <c r="E924" s="25" t="s">
        <v>1821</v>
      </c>
      <c r="F924" s="25" t="s">
        <v>5</v>
      </c>
      <c r="G924" s="59" t="s">
        <v>1822</v>
      </c>
      <c r="H924" s="60">
        <v>0</v>
      </c>
      <c r="I924" s="60">
        <v>0</v>
      </c>
      <c r="J924" s="60">
        <v>0</v>
      </c>
      <c r="K924" s="60">
        <v>0</v>
      </c>
      <c r="L924" s="60">
        <v>0</v>
      </c>
      <c r="M924" s="60">
        <v>0</v>
      </c>
      <c r="N924" s="60">
        <v>0</v>
      </c>
      <c r="O924" s="60">
        <v>0</v>
      </c>
      <c r="P924" s="60">
        <v>0</v>
      </c>
      <c r="Q924" s="60">
        <v>0</v>
      </c>
      <c r="R924" s="60">
        <v>0</v>
      </c>
      <c r="S924" s="60">
        <v>0</v>
      </c>
      <c r="T924" s="60">
        <v>0</v>
      </c>
      <c r="U924" s="60">
        <v>0</v>
      </c>
      <c r="V924" s="60">
        <v>0</v>
      </c>
      <c r="W924" s="60">
        <v>0</v>
      </c>
      <c r="X924" s="60">
        <v>0</v>
      </c>
      <c r="Y924" s="60">
        <v>0</v>
      </c>
      <c r="Z924" s="60">
        <v>0</v>
      </c>
      <c r="AA924" s="60">
        <v>0</v>
      </c>
      <c r="AB924" s="60">
        <v>0</v>
      </c>
      <c r="AC924" s="60">
        <v>492.08</v>
      </c>
      <c r="AD924" s="60">
        <v>503.02</v>
      </c>
      <c r="AE924" s="60">
        <v>535.73</v>
      </c>
      <c r="AF924" s="60">
        <v>0</v>
      </c>
      <c r="AG924" s="60">
        <v>0</v>
      </c>
      <c r="AH924" s="60">
        <v>0</v>
      </c>
      <c r="AI924" s="60">
        <v>492.08</v>
      </c>
      <c r="AJ924" s="60">
        <v>503.02</v>
      </c>
      <c r="AK924" s="60">
        <v>535.73</v>
      </c>
      <c r="AL924" s="60">
        <v>0</v>
      </c>
      <c r="AM924" s="60">
        <v>0</v>
      </c>
      <c r="AN924" s="60">
        <v>0</v>
      </c>
      <c r="AO924" s="60">
        <v>492.08</v>
      </c>
      <c r="AP924" s="60">
        <v>503.02</v>
      </c>
      <c r="AQ924" s="60">
        <v>535.73</v>
      </c>
      <c r="AR924" s="61">
        <v>535.73</v>
      </c>
    </row>
    <row r="925" spans="1:44" x14ac:dyDescent="0.35">
      <c r="A925" s="49" t="str">
        <f>TEXT(1,"00")</f>
        <v>01</v>
      </c>
      <c r="B925" s="27">
        <v>61259</v>
      </c>
      <c r="C925" s="25" t="str">
        <f>TEXT(111856,"0000000")</f>
        <v>0111856</v>
      </c>
      <c r="D925" s="26" t="s">
        <v>93</v>
      </c>
      <c r="E925" s="25" t="s">
        <v>91</v>
      </c>
      <c r="F925" s="25" t="s">
        <v>5</v>
      </c>
      <c r="G925" s="59" t="s">
        <v>92</v>
      </c>
      <c r="H925" s="60">
        <v>0</v>
      </c>
      <c r="I925" s="60">
        <v>0</v>
      </c>
      <c r="J925" s="60">
        <v>0</v>
      </c>
      <c r="K925" s="60">
        <v>0</v>
      </c>
      <c r="L925" s="60">
        <v>0</v>
      </c>
      <c r="M925" s="60">
        <v>0</v>
      </c>
      <c r="N925" s="60">
        <v>0</v>
      </c>
      <c r="O925" s="60">
        <v>0</v>
      </c>
      <c r="P925" s="60">
        <v>0</v>
      </c>
      <c r="Q925" s="60">
        <v>0</v>
      </c>
      <c r="R925" s="60">
        <v>0</v>
      </c>
      <c r="S925" s="60">
        <v>0</v>
      </c>
      <c r="T925" s="60">
        <v>0</v>
      </c>
      <c r="U925" s="60">
        <v>0</v>
      </c>
      <c r="V925" s="60">
        <v>0</v>
      </c>
      <c r="W925" s="60">
        <v>0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405.56</v>
      </c>
      <c r="AD925" s="60">
        <v>0</v>
      </c>
      <c r="AE925" s="60">
        <v>0</v>
      </c>
      <c r="AF925" s="60">
        <v>0</v>
      </c>
      <c r="AG925" s="60">
        <v>0</v>
      </c>
      <c r="AH925" s="60">
        <v>0</v>
      </c>
      <c r="AI925" s="60">
        <v>405.56</v>
      </c>
      <c r="AJ925" s="60">
        <v>0</v>
      </c>
      <c r="AK925" s="60">
        <v>0</v>
      </c>
      <c r="AL925" s="60">
        <v>0</v>
      </c>
      <c r="AM925" s="60">
        <v>428.16</v>
      </c>
      <c r="AN925" s="60">
        <v>413.6</v>
      </c>
      <c r="AO925" s="60">
        <v>405.56</v>
      </c>
      <c r="AP925" s="60">
        <v>428.16</v>
      </c>
      <c r="AQ925" s="60">
        <v>413.6</v>
      </c>
      <c r="AR925" s="61">
        <v>428.16</v>
      </c>
    </row>
    <row r="926" spans="1:44" x14ac:dyDescent="0.35">
      <c r="A926" s="49" t="str">
        <f t="shared" ref="A926:A935" si="79">TEXT(34,"00")</f>
        <v>34</v>
      </c>
      <c r="B926" s="27">
        <v>67439</v>
      </c>
      <c r="C926" s="25" t="str">
        <f>TEXT(102038,"0000000")</f>
        <v>0102038</v>
      </c>
      <c r="D926" s="26" t="s">
        <v>1826</v>
      </c>
      <c r="E926" s="25" t="s">
        <v>1824</v>
      </c>
      <c r="F926" s="25" t="s">
        <v>5</v>
      </c>
      <c r="G926" s="59" t="s">
        <v>1825</v>
      </c>
      <c r="H926" s="60">
        <v>0</v>
      </c>
      <c r="I926" s="60">
        <v>0</v>
      </c>
      <c r="J926" s="60">
        <v>0</v>
      </c>
      <c r="K926" s="60">
        <v>0</v>
      </c>
      <c r="L926" s="60">
        <v>0</v>
      </c>
      <c r="M926" s="60">
        <v>0</v>
      </c>
      <c r="N926" s="60">
        <v>0</v>
      </c>
      <c r="O926" s="60">
        <v>0</v>
      </c>
      <c r="P926" s="60">
        <v>0</v>
      </c>
      <c r="Q926" s="60">
        <v>0</v>
      </c>
      <c r="R926" s="60">
        <v>0</v>
      </c>
      <c r="S926" s="60">
        <v>0</v>
      </c>
      <c r="T926" s="60">
        <v>0</v>
      </c>
      <c r="U926" s="60">
        <v>0</v>
      </c>
      <c r="V926" s="60">
        <v>0</v>
      </c>
      <c r="W926" s="60">
        <v>0</v>
      </c>
      <c r="X926" s="60">
        <v>0</v>
      </c>
      <c r="Y926" s="60">
        <v>0</v>
      </c>
      <c r="Z926" s="60">
        <v>0</v>
      </c>
      <c r="AA926" s="60">
        <v>0</v>
      </c>
      <c r="AB926" s="60">
        <v>0</v>
      </c>
      <c r="AC926" s="60">
        <v>320.94</v>
      </c>
      <c r="AD926" s="60">
        <v>366.66</v>
      </c>
      <c r="AE926" s="60">
        <v>468.15</v>
      </c>
      <c r="AF926" s="60">
        <v>0</v>
      </c>
      <c r="AG926" s="60">
        <v>0</v>
      </c>
      <c r="AH926" s="60">
        <v>0</v>
      </c>
      <c r="AI926" s="60">
        <v>320.94</v>
      </c>
      <c r="AJ926" s="60">
        <v>366.66</v>
      </c>
      <c r="AK926" s="60">
        <v>468.15</v>
      </c>
      <c r="AL926" s="60">
        <v>0</v>
      </c>
      <c r="AM926" s="60">
        <v>0</v>
      </c>
      <c r="AN926" s="60">
        <v>0</v>
      </c>
      <c r="AO926" s="60">
        <v>320.94</v>
      </c>
      <c r="AP926" s="60">
        <v>366.66</v>
      </c>
      <c r="AQ926" s="60">
        <v>468.15</v>
      </c>
      <c r="AR926" s="61">
        <v>468.15</v>
      </c>
    </row>
    <row r="927" spans="1:44" x14ac:dyDescent="0.35">
      <c r="A927" s="49" t="str">
        <f t="shared" si="79"/>
        <v>34</v>
      </c>
      <c r="B927" s="27">
        <v>67439</v>
      </c>
      <c r="C927" s="25" t="str">
        <f>TEXT(102343,"0000000")</f>
        <v>0102343</v>
      </c>
      <c r="D927" s="26" t="s">
        <v>1829</v>
      </c>
      <c r="E927" s="25" t="s">
        <v>1827</v>
      </c>
      <c r="F927" s="25" t="s">
        <v>5</v>
      </c>
      <c r="G927" s="59" t="s">
        <v>1828</v>
      </c>
      <c r="H927" s="60">
        <v>0</v>
      </c>
      <c r="I927" s="60">
        <v>0</v>
      </c>
      <c r="J927" s="60">
        <v>0</v>
      </c>
      <c r="K927" s="60">
        <v>0</v>
      </c>
      <c r="L927" s="60">
        <v>0</v>
      </c>
      <c r="M927" s="60">
        <v>0</v>
      </c>
      <c r="N927" s="60">
        <v>0</v>
      </c>
      <c r="O927" s="60">
        <v>0</v>
      </c>
      <c r="P927" s="60">
        <v>0</v>
      </c>
      <c r="Q927" s="60">
        <v>0</v>
      </c>
      <c r="R927" s="60">
        <v>0</v>
      </c>
      <c r="S927" s="60">
        <v>0</v>
      </c>
      <c r="T927" s="60">
        <v>0</v>
      </c>
      <c r="U927" s="60">
        <v>0</v>
      </c>
      <c r="V927" s="60">
        <v>0</v>
      </c>
      <c r="W927" s="60">
        <v>0</v>
      </c>
      <c r="X927" s="60">
        <v>0</v>
      </c>
      <c r="Y927" s="60">
        <v>0</v>
      </c>
      <c r="Z927" s="60">
        <v>0</v>
      </c>
      <c r="AA927" s="60">
        <v>0</v>
      </c>
      <c r="AB927" s="60">
        <v>0</v>
      </c>
      <c r="AC927" s="60">
        <v>161.06</v>
      </c>
      <c r="AD927" s="60">
        <v>176.11</v>
      </c>
      <c r="AE927" s="60">
        <v>204.19</v>
      </c>
      <c r="AF927" s="60">
        <v>0</v>
      </c>
      <c r="AG927" s="60">
        <v>0</v>
      </c>
      <c r="AH927" s="60">
        <v>0</v>
      </c>
      <c r="AI927" s="60">
        <v>161.06</v>
      </c>
      <c r="AJ927" s="60">
        <v>176.11</v>
      </c>
      <c r="AK927" s="60">
        <v>204.19</v>
      </c>
      <c r="AL927" s="60">
        <v>0</v>
      </c>
      <c r="AM927" s="60">
        <v>0</v>
      </c>
      <c r="AN927" s="60">
        <v>0</v>
      </c>
      <c r="AO927" s="60">
        <v>161.06</v>
      </c>
      <c r="AP927" s="60">
        <v>176.11</v>
      </c>
      <c r="AQ927" s="60">
        <v>204.19</v>
      </c>
      <c r="AR927" s="61">
        <v>204.19</v>
      </c>
    </row>
    <row r="928" spans="1:44" x14ac:dyDescent="0.35">
      <c r="A928" s="49" t="str">
        <f t="shared" si="79"/>
        <v>34</v>
      </c>
      <c r="B928" s="27">
        <v>67439</v>
      </c>
      <c r="C928" s="25" t="str">
        <f>TEXT(106898,"0000000")</f>
        <v>0106898</v>
      </c>
      <c r="D928" s="26" t="s">
        <v>1832</v>
      </c>
      <c r="E928" s="25" t="s">
        <v>1830</v>
      </c>
      <c r="F928" s="25" t="s">
        <v>5</v>
      </c>
      <c r="G928" s="59" t="s">
        <v>1831</v>
      </c>
      <c r="H928" s="60">
        <v>0</v>
      </c>
      <c r="I928" s="60">
        <v>0</v>
      </c>
      <c r="J928" s="60">
        <v>0</v>
      </c>
      <c r="K928" s="60">
        <v>0</v>
      </c>
      <c r="L928" s="60">
        <v>0</v>
      </c>
      <c r="M928" s="60">
        <v>0</v>
      </c>
      <c r="N928" s="60">
        <v>0</v>
      </c>
      <c r="O928" s="60">
        <v>0</v>
      </c>
      <c r="P928" s="60">
        <v>0</v>
      </c>
      <c r="Q928" s="60">
        <v>0</v>
      </c>
      <c r="R928" s="60">
        <v>0</v>
      </c>
      <c r="S928" s="60">
        <v>0</v>
      </c>
      <c r="T928" s="60">
        <v>0</v>
      </c>
      <c r="U928" s="60">
        <v>0</v>
      </c>
      <c r="V928" s="60">
        <v>0</v>
      </c>
      <c r="W928" s="60">
        <v>0</v>
      </c>
      <c r="X928" s="60">
        <v>0</v>
      </c>
      <c r="Y928" s="60">
        <v>0</v>
      </c>
      <c r="Z928" s="60">
        <v>0</v>
      </c>
      <c r="AA928" s="60">
        <v>0</v>
      </c>
      <c r="AB928" s="60">
        <v>0</v>
      </c>
      <c r="AC928" s="60">
        <v>576.53</v>
      </c>
      <c r="AD928" s="60">
        <v>570.35</v>
      </c>
      <c r="AE928" s="60">
        <v>585.73</v>
      </c>
      <c r="AF928" s="60">
        <v>0</v>
      </c>
      <c r="AG928" s="60">
        <v>0</v>
      </c>
      <c r="AH928" s="60">
        <v>0</v>
      </c>
      <c r="AI928" s="60">
        <v>576.53</v>
      </c>
      <c r="AJ928" s="60">
        <v>570.35</v>
      </c>
      <c r="AK928" s="60">
        <v>585.73</v>
      </c>
      <c r="AL928" s="60">
        <v>0</v>
      </c>
      <c r="AM928" s="60">
        <v>0</v>
      </c>
      <c r="AN928" s="60">
        <v>0</v>
      </c>
      <c r="AO928" s="60">
        <v>576.53</v>
      </c>
      <c r="AP928" s="60">
        <v>570.35</v>
      </c>
      <c r="AQ928" s="60">
        <v>585.73</v>
      </c>
      <c r="AR928" s="61">
        <v>585.73</v>
      </c>
    </row>
    <row r="929" spans="1:44" ht="31" x14ac:dyDescent="0.35">
      <c r="A929" s="49" t="str">
        <f t="shared" si="79"/>
        <v>34</v>
      </c>
      <c r="B929" s="27">
        <v>67439</v>
      </c>
      <c r="C929" s="25" t="str">
        <f>TEXT(121665,"0000000")</f>
        <v>0121665</v>
      </c>
      <c r="D929" s="27">
        <v>1186</v>
      </c>
      <c r="E929" s="25" t="s">
        <v>1836</v>
      </c>
      <c r="F929" s="25" t="s">
        <v>5</v>
      </c>
      <c r="G929" s="59" t="s">
        <v>1837</v>
      </c>
      <c r="H929" s="60">
        <v>0</v>
      </c>
      <c r="I929" s="60">
        <v>0</v>
      </c>
      <c r="J929" s="60">
        <v>0</v>
      </c>
      <c r="K929" s="60">
        <v>0</v>
      </c>
      <c r="L929" s="60">
        <v>0</v>
      </c>
      <c r="M929" s="60">
        <v>0</v>
      </c>
      <c r="N929" s="60">
        <v>0</v>
      </c>
      <c r="O929" s="60">
        <v>0</v>
      </c>
      <c r="P929" s="60">
        <v>0</v>
      </c>
      <c r="Q929" s="60">
        <v>0</v>
      </c>
      <c r="R929" s="60">
        <v>0</v>
      </c>
      <c r="S929" s="60">
        <v>0</v>
      </c>
      <c r="T929" s="60">
        <v>0</v>
      </c>
      <c r="U929" s="60">
        <v>0</v>
      </c>
      <c r="V929" s="60">
        <v>0</v>
      </c>
      <c r="W929" s="60">
        <v>0</v>
      </c>
      <c r="X929" s="60">
        <v>0</v>
      </c>
      <c r="Y929" s="60">
        <v>0</v>
      </c>
      <c r="Z929" s="60">
        <v>0</v>
      </c>
      <c r="AA929" s="60">
        <v>0</v>
      </c>
      <c r="AB929" s="60">
        <v>0</v>
      </c>
      <c r="AC929" s="60">
        <v>381.84</v>
      </c>
      <c r="AD929" s="60">
        <v>388.62</v>
      </c>
      <c r="AE929" s="60">
        <v>0</v>
      </c>
      <c r="AF929" s="60">
        <v>0</v>
      </c>
      <c r="AG929" s="60">
        <v>0</v>
      </c>
      <c r="AH929" s="60">
        <v>0</v>
      </c>
      <c r="AI929" s="60">
        <v>381.84</v>
      </c>
      <c r="AJ929" s="60">
        <v>388.62</v>
      </c>
      <c r="AK929" s="60">
        <v>0</v>
      </c>
      <c r="AL929" s="60">
        <v>0</v>
      </c>
      <c r="AM929" s="60">
        <v>0</v>
      </c>
      <c r="AN929" s="60">
        <v>0</v>
      </c>
      <c r="AO929" s="60">
        <v>381.84</v>
      </c>
      <c r="AP929" s="60">
        <v>388.62</v>
      </c>
      <c r="AQ929" s="60">
        <v>0</v>
      </c>
      <c r="AR929" s="61">
        <v>388.62</v>
      </c>
    </row>
    <row r="930" spans="1:44" x14ac:dyDescent="0.35">
      <c r="A930" s="49" t="str">
        <f t="shared" si="79"/>
        <v>34</v>
      </c>
      <c r="B930" s="27">
        <v>67439</v>
      </c>
      <c r="C930" s="25" t="str">
        <f>TEXT(123901,"0000000")</f>
        <v>0123901</v>
      </c>
      <c r="D930" s="27">
        <v>1273</v>
      </c>
      <c r="E930" s="25" t="s">
        <v>1838</v>
      </c>
      <c r="F930" s="25" t="s">
        <v>5</v>
      </c>
      <c r="G930" s="59" t="s">
        <v>1839</v>
      </c>
      <c r="H930" s="60">
        <v>0</v>
      </c>
      <c r="I930" s="60">
        <v>0</v>
      </c>
      <c r="J930" s="60">
        <v>0</v>
      </c>
      <c r="K930" s="60">
        <v>0</v>
      </c>
      <c r="L930" s="60">
        <v>0</v>
      </c>
      <c r="M930" s="60">
        <v>0</v>
      </c>
      <c r="N930" s="60">
        <v>0</v>
      </c>
      <c r="O930" s="60">
        <v>0</v>
      </c>
      <c r="P930" s="60">
        <v>0</v>
      </c>
      <c r="Q930" s="60">
        <v>0</v>
      </c>
      <c r="R930" s="60">
        <v>0</v>
      </c>
      <c r="S930" s="60">
        <v>0</v>
      </c>
      <c r="T930" s="60">
        <v>0</v>
      </c>
      <c r="U930" s="60">
        <v>0</v>
      </c>
      <c r="V930" s="60">
        <v>0</v>
      </c>
      <c r="W930" s="60">
        <v>0</v>
      </c>
      <c r="X930" s="60">
        <v>0</v>
      </c>
      <c r="Y930" s="60">
        <v>0</v>
      </c>
      <c r="Z930" s="60">
        <v>0</v>
      </c>
      <c r="AA930" s="60">
        <v>0</v>
      </c>
      <c r="AB930" s="60">
        <v>0</v>
      </c>
      <c r="AC930" s="60">
        <v>382.63</v>
      </c>
      <c r="AD930" s="60">
        <v>397.23</v>
      </c>
      <c r="AE930" s="60">
        <v>399.2</v>
      </c>
      <c r="AF930" s="60">
        <v>0</v>
      </c>
      <c r="AG930" s="60">
        <v>0</v>
      </c>
      <c r="AH930" s="60">
        <v>0</v>
      </c>
      <c r="AI930" s="60">
        <v>382.63</v>
      </c>
      <c r="AJ930" s="60">
        <v>397.23</v>
      </c>
      <c r="AK930" s="60">
        <v>399.2</v>
      </c>
      <c r="AL930" s="60">
        <v>0</v>
      </c>
      <c r="AM930" s="60">
        <v>0</v>
      </c>
      <c r="AN930" s="60">
        <v>0</v>
      </c>
      <c r="AO930" s="60">
        <v>382.63</v>
      </c>
      <c r="AP930" s="60">
        <v>397.23</v>
      </c>
      <c r="AQ930" s="60">
        <v>399.2</v>
      </c>
      <c r="AR930" s="61">
        <v>399.2</v>
      </c>
    </row>
    <row r="931" spans="1:44" x14ac:dyDescent="0.35">
      <c r="A931" s="49" t="str">
        <f t="shared" si="79"/>
        <v>34</v>
      </c>
      <c r="B931" s="27">
        <v>67439</v>
      </c>
      <c r="C931" s="25" t="str">
        <f>TEXT(135343,"0000000")</f>
        <v>0135343</v>
      </c>
      <c r="D931" s="27">
        <v>1848</v>
      </c>
      <c r="E931" s="25" t="s">
        <v>1840</v>
      </c>
      <c r="F931" s="25" t="s">
        <v>5</v>
      </c>
      <c r="G931" s="59" t="s">
        <v>1841</v>
      </c>
      <c r="H931" s="60">
        <v>0</v>
      </c>
      <c r="I931" s="60">
        <v>0</v>
      </c>
      <c r="J931" s="60">
        <v>0</v>
      </c>
      <c r="K931" s="60">
        <v>0</v>
      </c>
      <c r="L931" s="60">
        <v>0</v>
      </c>
      <c r="M931" s="60">
        <v>0</v>
      </c>
      <c r="N931" s="60">
        <v>0</v>
      </c>
      <c r="O931" s="60">
        <v>0</v>
      </c>
      <c r="P931" s="60">
        <v>0</v>
      </c>
      <c r="Q931" s="60">
        <v>0</v>
      </c>
      <c r="R931" s="60">
        <v>0</v>
      </c>
      <c r="S931" s="60">
        <v>0</v>
      </c>
      <c r="T931" s="60">
        <v>0</v>
      </c>
      <c r="U931" s="60">
        <v>0</v>
      </c>
      <c r="V931" s="60">
        <v>0</v>
      </c>
      <c r="W931" s="60">
        <v>0</v>
      </c>
      <c r="X931" s="60">
        <v>0</v>
      </c>
      <c r="Y931" s="60">
        <v>0</v>
      </c>
      <c r="Z931" s="60">
        <v>0</v>
      </c>
      <c r="AA931" s="60">
        <v>0</v>
      </c>
      <c r="AB931" s="60">
        <v>0</v>
      </c>
      <c r="AC931" s="60">
        <v>247.35</v>
      </c>
      <c r="AD931" s="60">
        <v>215.1</v>
      </c>
      <c r="AE931" s="60">
        <v>232.1</v>
      </c>
      <c r="AF931" s="60">
        <v>0</v>
      </c>
      <c r="AG931" s="60">
        <v>0</v>
      </c>
      <c r="AH931" s="60">
        <v>0</v>
      </c>
      <c r="AI931" s="60">
        <v>247.35</v>
      </c>
      <c r="AJ931" s="60">
        <v>215.1</v>
      </c>
      <c r="AK931" s="60">
        <v>232.1</v>
      </c>
      <c r="AL931" s="60">
        <v>0</v>
      </c>
      <c r="AM931" s="60">
        <v>0</v>
      </c>
      <c r="AN931" s="60">
        <v>0</v>
      </c>
      <c r="AO931" s="60">
        <v>247.35</v>
      </c>
      <c r="AP931" s="60">
        <v>215.1</v>
      </c>
      <c r="AQ931" s="60">
        <v>232.1</v>
      </c>
      <c r="AR931" s="61">
        <v>247.35</v>
      </c>
    </row>
    <row r="932" spans="1:44" ht="31" x14ac:dyDescent="0.35">
      <c r="A932" s="49" t="str">
        <f t="shared" si="79"/>
        <v>34</v>
      </c>
      <c r="B932" s="27">
        <v>67439</v>
      </c>
      <c r="C932" s="25" t="str">
        <f>TEXT(137406,"0000000")</f>
        <v>0137406</v>
      </c>
      <c r="D932" s="27">
        <v>1948</v>
      </c>
      <c r="E932" s="25" t="s">
        <v>1842</v>
      </c>
      <c r="F932" s="25" t="s">
        <v>5</v>
      </c>
      <c r="G932" s="59" t="s">
        <v>1843</v>
      </c>
      <c r="H932" s="60">
        <v>0</v>
      </c>
      <c r="I932" s="60">
        <v>0</v>
      </c>
      <c r="J932" s="60">
        <v>0</v>
      </c>
      <c r="K932" s="60">
        <v>0</v>
      </c>
      <c r="L932" s="60">
        <v>0</v>
      </c>
      <c r="M932" s="60">
        <v>0</v>
      </c>
      <c r="N932" s="60">
        <v>0</v>
      </c>
      <c r="O932" s="60">
        <v>0</v>
      </c>
      <c r="P932" s="60">
        <v>0</v>
      </c>
      <c r="Q932" s="60">
        <v>0</v>
      </c>
      <c r="R932" s="60">
        <v>0</v>
      </c>
      <c r="S932" s="60">
        <v>0</v>
      </c>
      <c r="T932" s="60">
        <v>0</v>
      </c>
      <c r="U932" s="60">
        <v>0</v>
      </c>
      <c r="V932" s="60">
        <v>0</v>
      </c>
      <c r="W932" s="60">
        <v>0</v>
      </c>
      <c r="X932" s="60">
        <v>0</v>
      </c>
      <c r="Y932" s="60">
        <v>0</v>
      </c>
      <c r="Z932" s="60">
        <v>0</v>
      </c>
      <c r="AA932" s="60">
        <v>0</v>
      </c>
      <c r="AB932" s="60">
        <v>0</v>
      </c>
      <c r="AC932" s="60">
        <v>662.77</v>
      </c>
      <c r="AD932" s="60">
        <v>650.75</v>
      </c>
      <c r="AE932" s="60">
        <v>629.63</v>
      </c>
      <c r="AF932" s="60">
        <v>0</v>
      </c>
      <c r="AG932" s="60">
        <v>0</v>
      </c>
      <c r="AH932" s="60">
        <v>0</v>
      </c>
      <c r="AI932" s="60">
        <v>662.77</v>
      </c>
      <c r="AJ932" s="60">
        <v>650.75</v>
      </c>
      <c r="AK932" s="60">
        <v>629.63</v>
      </c>
      <c r="AL932" s="60">
        <v>0</v>
      </c>
      <c r="AM932" s="60">
        <v>0</v>
      </c>
      <c r="AN932" s="60">
        <v>0</v>
      </c>
      <c r="AO932" s="60">
        <v>662.77</v>
      </c>
      <c r="AP932" s="60">
        <v>650.75</v>
      </c>
      <c r="AQ932" s="60">
        <v>629.63</v>
      </c>
      <c r="AR932" s="61">
        <v>662.77</v>
      </c>
    </row>
    <row r="933" spans="1:44" ht="31" x14ac:dyDescent="0.35">
      <c r="A933" s="49" t="str">
        <f t="shared" si="79"/>
        <v>34</v>
      </c>
      <c r="B933" s="27">
        <v>67447</v>
      </c>
      <c r="C933" s="25" t="str">
        <f>TEXT(120469,"0000000")</f>
        <v>0120469</v>
      </c>
      <c r="D933" s="27">
        <v>1554</v>
      </c>
      <c r="E933" s="25" t="s">
        <v>1849</v>
      </c>
      <c r="F933" s="25" t="s">
        <v>5</v>
      </c>
      <c r="G933" s="59" t="s">
        <v>1850</v>
      </c>
      <c r="H933" s="60">
        <v>0</v>
      </c>
      <c r="I933" s="60">
        <v>0</v>
      </c>
      <c r="J933" s="60">
        <v>0</v>
      </c>
      <c r="K933" s="60">
        <v>0</v>
      </c>
      <c r="L933" s="60">
        <v>0</v>
      </c>
      <c r="M933" s="60">
        <v>0</v>
      </c>
      <c r="N933" s="60">
        <v>0</v>
      </c>
      <c r="O933" s="60">
        <v>0</v>
      </c>
      <c r="P933" s="60">
        <v>0</v>
      </c>
      <c r="Q933" s="60">
        <v>0</v>
      </c>
      <c r="R933" s="60">
        <v>0</v>
      </c>
      <c r="S933" s="60">
        <v>0</v>
      </c>
      <c r="T933" s="60">
        <v>0</v>
      </c>
      <c r="U933" s="60">
        <v>0</v>
      </c>
      <c r="V933" s="60">
        <v>0</v>
      </c>
      <c r="W933" s="60">
        <v>0</v>
      </c>
      <c r="X933" s="60">
        <v>0</v>
      </c>
      <c r="Y933" s="60">
        <v>0</v>
      </c>
      <c r="Z933" s="60">
        <v>0</v>
      </c>
      <c r="AA933" s="60">
        <v>0</v>
      </c>
      <c r="AB933" s="60">
        <v>0</v>
      </c>
      <c r="AC933" s="60">
        <v>385.55</v>
      </c>
      <c r="AD933" s="60">
        <v>372.98</v>
      </c>
      <c r="AE933" s="60">
        <v>413.04</v>
      </c>
      <c r="AF933" s="60">
        <v>0</v>
      </c>
      <c r="AG933" s="60">
        <v>0</v>
      </c>
      <c r="AH933" s="60">
        <v>0</v>
      </c>
      <c r="AI933" s="60">
        <v>385.55</v>
      </c>
      <c r="AJ933" s="60">
        <v>372.98</v>
      </c>
      <c r="AK933" s="60">
        <v>413.04</v>
      </c>
      <c r="AL933" s="60">
        <v>0</v>
      </c>
      <c r="AM933" s="60">
        <v>0</v>
      </c>
      <c r="AN933" s="60">
        <v>0</v>
      </c>
      <c r="AO933" s="60">
        <v>385.55</v>
      </c>
      <c r="AP933" s="60">
        <v>372.98</v>
      </c>
      <c r="AQ933" s="60">
        <v>413.04</v>
      </c>
      <c r="AR933" s="61">
        <v>413.04</v>
      </c>
    </row>
    <row r="934" spans="1:44" x14ac:dyDescent="0.35">
      <c r="A934" s="49" t="str">
        <f t="shared" si="79"/>
        <v>34</v>
      </c>
      <c r="B934" s="27">
        <v>67447</v>
      </c>
      <c r="C934" s="25" t="str">
        <f>TEXT(121467,"0000000")</f>
        <v>0121467</v>
      </c>
      <c r="D934" s="27">
        <v>1555</v>
      </c>
      <c r="E934" s="25" t="s">
        <v>1851</v>
      </c>
      <c r="F934" s="25" t="s">
        <v>5</v>
      </c>
      <c r="G934" s="59" t="s">
        <v>1852</v>
      </c>
      <c r="H934" s="60">
        <v>0</v>
      </c>
      <c r="I934" s="60">
        <v>0</v>
      </c>
      <c r="J934" s="60">
        <v>0</v>
      </c>
      <c r="K934" s="60">
        <v>0</v>
      </c>
      <c r="L934" s="60">
        <v>0</v>
      </c>
      <c r="M934" s="60">
        <v>0</v>
      </c>
      <c r="N934" s="60">
        <v>0</v>
      </c>
      <c r="O934" s="60">
        <v>0</v>
      </c>
      <c r="P934" s="60">
        <v>0</v>
      </c>
      <c r="Q934" s="60">
        <v>0</v>
      </c>
      <c r="R934" s="60">
        <v>0</v>
      </c>
      <c r="S934" s="60">
        <v>0</v>
      </c>
      <c r="T934" s="60">
        <v>0</v>
      </c>
      <c r="U934" s="60">
        <v>0</v>
      </c>
      <c r="V934" s="60">
        <v>0</v>
      </c>
      <c r="W934" s="60">
        <v>0</v>
      </c>
      <c r="X934" s="60">
        <v>0</v>
      </c>
      <c r="Y934" s="60">
        <v>0</v>
      </c>
      <c r="Z934" s="60">
        <v>0</v>
      </c>
      <c r="AA934" s="60">
        <v>0</v>
      </c>
      <c r="AB934" s="60">
        <v>0</v>
      </c>
      <c r="AC934" s="60">
        <v>453.04</v>
      </c>
      <c r="AD934" s="60">
        <v>466.31</v>
      </c>
      <c r="AE934" s="60">
        <v>503.3</v>
      </c>
      <c r="AF934" s="60">
        <v>0</v>
      </c>
      <c r="AG934" s="60">
        <v>0</v>
      </c>
      <c r="AH934" s="60">
        <v>0</v>
      </c>
      <c r="AI934" s="60">
        <v>453.04</v>
      </c>
      <c r="AJ934" s="60">
        <v>466.31</v>
      </c>
      <c r="AK934" s="60">
        <v>503.3</v>
      </c>
      <c r="AL934" s="60">
        <v>0</v>
      </c>
      <c r="AM934" s="60">
        <v>0</v>
      </c>
      <c r="AN934" s="60">
        <v>0</v>
      </c>
      <c r="AO934" s="60">
        <v>453.04</v>
      </c>
      <c r="AP934" s="60">
        <v>466.31</v>
      </c>
      <c r="AQ934" s="60">
        <v>503.3</v>
      </c>
      <c r="AR934" s="61">
        <v>503.3</v>
      </c>
    </row>
    <row r="935" spans="1:44" x14ac:dyDescent="0.35">
      <c r="A935" s="49" t="str">
        <f t="shared" si="79"/>
        <v>34</v>
      </c>
      <c r="B935" s="27">
        <v>67447</v>
      </c>
      <c r="C935" s="25" t="str">
        <f>TEXT(128124,"0000000")</f>
        <v>0128124</v>
      </c>
      <c r="D935" s="27">
        <v>1563</v>
      </c>
      <c r="E935" s="25" t="s">
        <v>1853</v>
      </c>
      <c r="F935" s="25" t="s">
        <v>5</v>
      </c>
      <c r="G935" s="59" t="s">
        <v>1854</v>
      </c>
      <c r="H935" s="60">
        <v>0</v>
      </c>
      <c r="I935" s="60">
        <v>0</v>
      </c>
      <c r="J935" s="60">
        <v>0</v>
      </c>
      <c r="K935" s="60">
        <v>0</v>
      </c>
      <c r="L935" s="60">
        <v>0</v>
      </c>
      <c r="M935" s="60">
        <v>0</v>
      </c>
      <c r="N935" s="60">
        <v>0</v>
      </c>
      <c r="O935" s="60">
        <v>0</v>
      </c>
      <c r="P935" s="60">
        <v>0</v>
      </c>
      <c r="Q935" s="60">
        <v>0</v>
      </c>
      <c r="R935" s="60">
        <v>0</v>
      </c>
      <c r="S935" s="60">
        <v>0</v>
      </c>
      <c r="T935" s="60">
        <v>0</v>
      </c>
      <c r="U935" s="60">
        <v>0</v>
      </c>
      <c r="V935" s="60">
        <v>0</v>
      </c>
      <c r="W935" s="60">
        <v>0</v>
      </c>
      <c r="X935" s="60">
        <v>0</v>
      </c>
      <c r="Y935" s="60">
        <v>0</v>
      </c>
      <c r="Z935" s="60">
        <v>0</v>
      </c>
      <c r="AA935" s="60">
        <v>0</v>
      </c>
      <c r="AB935" s="60">
        <v>0</v>
      </c>
      <c r="AC935" s="60">
        <v>539.33000000000004</v>
      </c>
      <c r="AD935" s="60">
        <v>485.13</v>
      </c>
      <c r="AE935" s="60">
        <v>539.29</v>
      </c>
      <c r="AF935" s="60">
        <v>0</v>
      </c>
      <c r="AG935" s="60">
        <v>0</v>
      </c>
      <c r="AH935" s="60">
        <v>0</v>
      </c>
      <c r="AI935" s="60">
        <v>539.33000000000004</v>
      </c>
      <c r="AJ935" s="60">
        <v>485.13</v>
      </c>
      <c r="AK935" s="60">
        <v>539.29</v>
      </c>
      <c r="AL935" s="60">
        <v>0</v>
      </c>
      <c r="AM935" s="60">
        <v>0</v>
      </c>
      <c r="AN935" s="60">
        <v>0</v>
      </c>
      <c r="AO935" s="60">
        <v>539.33000000000004</v>
      </c>
      <c r="AP935" s="60">
        <v>485.13</v>
      </c>
      <c r="AQ935" s="60">
        <v>539.29</v>
      </c>
      <c r="AR935" s="61">
        <v>539.33000000000004</v>
      </c>
    </row>
    <row r="936" spans="1:44" x14ac:dyDescent="0.35">
      <c r="A936" s="49" t="str">
        <f>TEXT(1,"00")</f>
        <v>01</v>
      </c>
      <c r="B936" s="27">
        <v>61259</v>
      </c>
      <c r="C936" s="25" t="str">
        <f>TEXT(114363,"0000000")</f>
        <v>0114363</v>
      </c>
      <c r="D936" s="26" t="s">
        <v>96</v>
      </c>
      <c r="E936" s="25" t="s">
        <v>94</v>
      </c>
      <c r="F936" s="25" t="s">
        <v>5</v>
      </c>
      <c r="G936" s="59" t="s">
        <v>95</v>
      </c>
      <c r="H936" s="60">
        <v>0</v>
      </c>
      <c r="I936" s="60">
        <v>0</v>
      </c>
      <c r="J936" s="60">
        <v>0</v>
      </c>
      <c r="K936" s="60">
        <v>0</v>
      </c>
      <c r="L936" s="60">
        <v>0</v>
      </c>
      <c r="M936" s="60">
        <v>0</v>
      </c>
      <c r="N936" s="60">
        <v>0</v>
      </c>
      <c r="O936" s="60">
        <v>0</v>
      </c>
      <c r="P936" s="60">
        <v>0</v>
      </c>
      <c r="Q936" s="60">
        <v>0</v>
      </c>
      <c r="R936" s="60">
        <v>0</v>
      </c>
      <c r="S936" s="60">
        <v>0</v>
      </c>
      <c r="T936" s="60">
        <v>0</v>
      </c>
      <c r="U936" s="60">
        <v>0</v>
      </c>
      <c r="V936" s="60">
        <v>0</v>
      </c>
      <c r="W936" s="60">
        <v>0</v>
      </c>
      <c r="X936" s="60">
        <v>0</v>
      </c>
      <c r="Y936" s="60">
        <v>0</v>
      </c>
      <c r="Z936" s="60">
        <v>0</v>
      </c>
      <c r="AA936" s="60">
        <v>0</v>
      </c>
      <c r="AB936" s="60">
        <v>0</v>
      </c>
      <c r="AC936" s="60">
        <v>597.22</v>
      </c>
      <c r="AD936" s="60">
        <v>0</v>
      </c>
      <c r="AE936" s="60">
        <v>0</v>
      </c>
      <c r="AF936" s="60">
        <v>0</v>
      </c>
      <c r="AG936" s="60">
        <v>0</v>
      </c>
      <c r="AH936" s="60">
        <v>0</v>
      </c>
      <c r="AI936" s="60">
        <v>597.22</v>
      </c>
      <c r="AJ936" s="60">
        <v>0</v>
      </c>
      <c r="AK936" s="60">
        <v>0</v>
      </c>
      <c r="AL936" s="60">
        <v>0</v>
      </c>
      <c r="AM936" s="60">
        <v>620.24</v>
      </c>
      <c r="AN936" s="60">
        <v>634.19000000000005</v>
      </c>
      <c r="AO936" s="60">
        <v>597.22</v>
      </c>
      <c r="AP936" s="60">
        <v>620.24</v>
      </c>
      <c r="AQ936" s="60">
        <v>634.19000000000005</v>
      </c>
      <c r="AR936" s="61">
        <v>634.19000000000005</v>
      </c>
    </row>
    <row r="937" spans="1:44" x14ac:dyDescent="0.35">
      <c r="A937" s="49" t="str">
        <f t="shared" ref="A937:A942" si="80">TEXT(34,"00")</f>
        <v>34</v>
      </c>
      <c r="B937" s="27">
        <v>75283</v>
      </c>
      <c r="C937" s="25" t="str">
        <f>TEXT(108860,"0000000")</f>
        <v>0108860</v>
      </c>
      <c r="D937" s="26" t="s">
        <v>1861</v>
      </c>
      <c r="E937" s="25" t="s">
        <v>1859</v>
      </c>
      <c r="F937" s="25" t="s">
        <v>5</v>
      </c>
      <c r="G937" s="59" t="s">
        <v>1860</v>
      </c>
      <c r="H937" s="60">
        <v>0</v>
      </c>
      <c r="I937" s="60">
        <v>0</v>
      </c>
      <c r="J937" s="60">
        <v>0</v>
      </c>
      <c r="K937" s="60">
        <v>0</v>
      </c>
      <c r="L937" s="60">
        <v>0</v>
      </c>
      <c r="M937" s="60">
        <v>0</v>
      </c>
      <c r="N937" s="60">
        <v>0</v>
      </c>
      <c r="O937" s="60">
        <v>0</v>
      </c>
      <c r="P937" s="60">
        <v>0</v>
      </c>
      <c r="Q937" s="60">
        <v>0</v>
      </c>
      <c r="R937" s="60">
        <v>0</v>
      </c>
      <c r="S937" s="60">
        <v>0</v>
      </c>
      <c r="T937" s="60">
        <v>0</v>
      </c>
      <c r="U937" s="60">
        <v>0</v>
      </c>
      <c r="V937" s="60">
        <v>0</v>
      </c>
      <c r="W937" s="60">
        <v>0</v>
      </c>
      <c r="X937" s="60">
        <v>0</v>
      </c>
      <c r="Y937" s="60">
        <v>0</v>
      </c>
      <c r="Z937" s="60">
        <v>0</v>
      </c>
      <c r="AA937" s="60">
        <v>0</v>
      </c>
      <c r="AB937" s="60">
        <v>0</v>
      </c>
      <c r="AC937" s="60">
        <v>1160.83</v>
      </c>
      <c r="AD937" s="60">
        <v>1046.73</v>
      </c>
      <c r="AE937" s="60">
        <v>955</v>
      </c>
      <c r="AF937" s="60">
        <v>0</v>
      </c>
      <c r="AG937" s="60">
        <v>0</v>
      </c>
      <c r="AH937" s="60">
        <v>0</v>
      </c>
      <c r="AI937" s="60">
        <v>1160.83</v>
      </c>
      <c r="AJ937" s="60">
        <v>1046.73</v>
      </c>
      <c r="AK937" s="60">
        <v>955</v>
      </c>
      <c r="AL937" s="60">
        <v>0</v>
      </c>
      <c r="AM937" s="60">
        <v>0</v>
      </c>
      <c r="AN937" s="60">
        <v>0</v>
      </c>
      <c r="AO937" s="60">
        <v>1160.83</v>
      </c>
      <c r="AP937" s="60">
        <v>1046.73</v>
      </c>
      <c r="AQ937" s="60">
        <v>955</v>
      </c>
      <c r="AR937" s="61">
        <v>1160.83</v>
      </c>
    </row>
    <row r="938" spans="1:44" x14ac:dyDescent="0.35">
      <c r="A938" s="49" t="str">
        <f t="shared" si="80"/>
        <v>34</v>
      </c>
      <c r="B938" s="27">
        <v>76505</v>
      </c>
      <c r="C938" s="25" t="str">
        <f>TEXT(101766,"0000000")</f>
        <v>0101766</v>
      </c>
      <c r="D938" s="26" t="s">
        <v>1869</v>
      </c>
      <c r="E938" s="25" t="s">
        <v>1867</v>
      </c>
      <c r="F938" s="25" t="s">
        <v>5</v>
      </c>
      <c r="G938" s="59" t="s">
        <v>1868</v>
      </c>
      <c r="H938" s="60">
        <v>0</v>
      </c>
      <c r="I938" s="60">
        <v>0</v>
      </c>
      <c r="J938" s="60">
        <v>0</v>
      </c>
      <c r="K938" s="60">
        <v>0</v>
      </c>
      <c r="L938" s="60">
        <v>0</v>
      </c>
      <c r="M938" s="60">
        <v>0</v>
      </c>
      <c r="N938" s="60">
        <v>0</v>
      </c>
      <c r="O938" s="60">
        <v>0</v>
      </c>
      <c r="P938" s="60">
        <v>0</v>
      </c>
      <c r="Q938" s="60">
        <v>0</v>
      </c>
      <c r="R938" s="60">
        <v>0</v>
      </c>
      <c r="S938" s="60">
        <v>0</v>
      </c>
      <c r="T938" s="60">
        <v>0</v>
      </c>
      <c r="U938" s="60">
        <v>0</v>
      </c>
      <c r="V938" s="60">
        <v>0</v>
      </c>
      <c r="W938" s="60">
        <v>0</v>
      </c>
      <c r="X938" s="60">
        <v>0</v>
      </c>
      <c r="Y938" s="60">
        <v>0</v>
      </c>
      <c r="Z938" s="60">
        <v>0</v>
      </c>
      <c r="AA938" s="60">
        <v>0</v>
      </c>
      <c r="AB938" s="60">
        <v>0</v>
      </c>
      <c r="AC938" s="60">
        <v>1594.97</v>
      </c>
      <c r="AD938" s="60">
        <v>1444.33</v>
      </c>
      <c r="AE938" s="60">
        <v>1623.05</v>
      </c>
      <c r="AF938" s="60">
        <v>0</v>
      </c>
      <c r="AG938" s="60">
        <v>0</v>
      </c>
      <c r="AH938" s="60">
        <v>0</v>
      </c>
      <c r="AI938" s="60">
        <v>1594.97</v>
      </c>
      <c r="AJ938" s="60">
        <v>1444.33</v>
      </c>
      <c r="AK938" s="60">
        <v>1623.05</v>
      </c>
      <c r="AL938" s="60">
        <v>0</v>
      </c>
      <c r="AM938" s="60">
        <v>0</v>
      </c>
      <c r="AN938" s="60">
        <v>0</v>
      </c>
      <c r="AO938" s="60">
        <v>1594.97</v>
      </c>
      <c r="AP938" s="60">
        <v>1444.33</v>
      </c>
      <c r="AQ938" s="60">
        <v>1623.05</v>
      </c>
      <c r="AR938" s="61">
        <v>1623.05</v>
      </c>
    </row>
    <row r="939" spans="1:44" x14ac:dyDescent="0.35">
      <c r="A939" s="49" t="str">
        <f t="shared" si="80"/>
        <v>34</v>
      </c>
      <c r="B939" s="27">
        <v>76505</v>
      </c>
      <c r="C939" s="25" t="str">
        <f>TEXT(101832,"0000000")</f>
        <v>0101832</v>
      </c>
      <c r="D939" s="26" t="s">
        <v>1872</v>
      </c>
      <c r="E939" s="25" t="s">
        <v>1870</v>
      </c>
      <c r="F939" s="25" t="s">
        <v>5</v>
      </c>
      <c r="G939" s="59" t="s">
        <v>1871</v>
      </c>
      <c r="H939" s="60">
        <v>0</v>
      </c>
      <c r="I939" s="60">
        <v>0</v>
      </c>
      <c r="J939" s="60">
        <v>0</v>
      </c>
      <c r="K939" s="60">
        <v>0</v>
      </c>
      <c r="L939" s="60">
        <v>0</v>
      </c>
      <c r="M939" s="60">
        <v>0</v>
      </c>
      <c r="N939" s="60">
        <v>0</v>
      </c>
      <c r="O939" s="60">
        <v>0</v>
      </c>
      <c r="P939" s="60">
        <v>0</v>
      </c>
      <c r="Q939" s="60">
        <v>0</v>
      </c>
      <c r="R939" s="60">
        <v>0</v>
      </c>
      <c r="S939" s="60">
        <v>0</v>
      </c>
      <c r="T939" s="60">
        <v>0</v>
      </c>
      <c r="U939" s="60">
        <v>0</v>
      </c>
      <c r="V939" s="60">
        <v>0</v>
      </c>
      <c r="W939" s="60">
        <v>0</v>
      </c>
      <c r="X939" s="60">
        <v>0</v>
      </c>
      <c r="Y939" s="60">
        <v>0</v>
      </c>
      <c r="Z939" s="60">
        <v>0</v>
      </c>
      <c r="AA939" s="60">
        <v>0</v>
      </c>
      <c r="AB939" s="60">
        <v>0</v>
      </c>
      <c r="AC939" s="60">
        <v>433.86</v>
      </c>
      <c r="AD939" s="60">
        <v>392.84</v>
      </c>
      <c r="AE939" s="60">
        <v>422</v>
      </c>
      <c r="AF939" s="60">
        <v>0</v>
      </c>
      <c r="AG939" s="60">
        <v>0</v>
      </c>
      <c r="AH939" s="60">
        <v>0</v>
      </c>
      <c r="AI939" s="60">
        <v>433.86</v>
      </c>
      <c r="AJ939" s="60">
        <v>392.84</v>
      </c>
      <c r="AK939" s="60">
        <v>422</v>
      </c>
      <c r="AL939" s="60">
        <v>0</v>
      </c>
      <c r="AM939" s="60">
        <v>0</v>
      </c>
      <c r="AN939" s="60">
        <v>0</v>
      </c>
      <c r="AO939" s="60">
        <v>433.86</v>
      </c>
      <c r="AP939" s="60">
        <v>392.84</v>
      </c>
      <c r="AQ939" s="60">
        <v>422</v>
      </c>
      <c r="AR939" s="61">
        <v>433.86</v>
      </c>
    </row>
    <row r="940" spans="1:44" x14ac:dyDescent="0.35">
      <c r="A940" s="49" t="str">
        <f t="shared" si="80"/>
        <v>34</v>
      </c>
      <c r="B940" s="27">
        <v>76505</v>
      </c>
      <c r="C940" s="25" t="str">
        <f>TEXT(108837,"0000000")</f>
        <v>0108837</v>
      </c>
      <c r="D940" s="26" t="s">
        <v>1875</v>
      </c>
      <c r="E940" s="25" t="s">
        <v>1873</v>
      </c>
      <c r="F940" s="25" t="s">
        <v>5</v>
      </c>
      <c r="G940" s="59" t="s">
        <v>1874</v>
      </c>
      <c r="H940" s="60">
        <v>0</v>
      </c>
      <c r="I940" s="60">
        <v>0</v>
      </c>
      <c r="J940" s="60">
        <v>0</v>
      </c>
      <c r="K940" s="60">
        <v>0</v>
      </c>
      <c r="L940" s="60">
        <v>0</v>
      </c>
      <c r="M940" s="60">
        <v>0</v>
      </c>
      <c r="N940" s="60">
        <v>0</v>
      </c>
      <c r="O940" s="60">
        <v>0</v>
      </c>
      <c r="P940" s="60">
        <v>0</v>
      </c>
      <c r="Q940" s="60">
        <v>0</v>
      </c>
      <c r="R940" s="60">
        <v>0</v>
      </c>
      <c r="S940" s="60">
        <v>0</v>
      </c>
      <c r="T940" s="60">
        <v>0</v>
      </c>
      <c r="U940" s="60">
        <v>0</v>
      </c>
      <c r="V940" s="60">
        <v>0</v>
      </c>
      <c r="W940" s="60">
        <v>0</v>
      </c>
      <c r="X940" s="60">
        <v>0</v>
      </c>
      <c r="Y940" s="60">
        <v>0</v>
      </c>
      <c r="Z940" s="60">
        <v>0</v>
      </c>
      <c r="AA940" s="60">
        <v>0</v>
      </c>
      <c r="AB940" s="60">
        <v>0</v>
      </c>
      <c r="AC940" s="60">
        <v>568.51</v>
      </c>
      <c r="AD940" s="60">
        <v>422.08</v>
      </c>
      <c r="AE940" s="60">
        <v>368.24</v>
      </c>
      <c r="AF940" s="60">
        <v>0</v>
      </c>
      <c r="AG940" s="60">
        <v>0</v>
      </c>
      <c r="AH940" s="60">
        <v>0</v>
      </c>
      <c r="AI940" s="60">
        <v>568.51</v>
      </c>
      <c r="AJ940" s="60">
        <v>422.08</v>
      </c>
      <c r="AK940" s="60">
        <v>368.24</v>
      </c>
      <c r="AL940" s="60">
        <v>0</v>
      </c>
      <c r="AM940" s="60">
        <v>0</v>
      </c>
      <c r="AN940" s="60">
        <v>0</v>
      </c>
      <c r="AO940" s="60">
        <v>568.51</v>
      </c>
      <c r="AP940" s="60">
        <v>422.08</v>
      </c>
      <c r="AQ940" s="60">
        <v>368.24</v>
      </c>
      <c r="AR940" s="61">
        <v>568.51</v>
      </c>
    </row>
    <row r="941" spans="1:44" x14ac:dyDescent="0.35">
      <c r="A941" s="49" t="str">
        <f t="shared" si="80"/>
        <v>34</v>
      </c>
      <c r="B941" s="27">
        <v>76505</v>
      </c>
      <c r="C941" s="25" t="str">
        <f>TEXT(113878,"0000000")</f>
        <v>0113878</v>
      </c>
      <c r="D941" s="26" t="s">
        <v>1878</v>
      </c>
      <c r="E941" s="25" t="s">
        <v>1876</v>
      </c>
      <c r="F941" s="25" t="s">
        <v>5</v>
      </c>
      <c r="G941" s="59" t="s">
        <v>1877</v>
      </c>
      <c r="H941" s="60">
        <v>0</v>
      </c>
      <c r="I941" s="60">
        <v>0</v>
      </c>
      <c r="J941" s="60">
        <v>0</v>
      </c>
      <c r="K941" s="60">
        <v>0</v>
      </c>
      <c r="L941" s="60">
        <v>0</v>
      </c>
      <c r="M941" s="60">
        <v>0</v>
      </c>
      <c r="N941" s="60">
        <v>0</v>
      </c>
      <c r="O941" s="60">
        <v>0</v>
      </c>
      <c r="P941" s="60">
        <v>0</v>
      </c>
      <c r="Q941" s="60">
        <v>0</v>
      </c>
      <c r="R941" s="60">
        <v>0</v>
      </c>
      <c r="S941" s="60">
        <v>0</v>
      </c>
      <c r="T941" s="60">
        <v>0</v>
      </c>
      <c r="U941" s="60">
        <v>0</v>
      </c>
      <c r="V941" s="60">
        <v>0</v>
      </c>
      <c r="W941" s="60">
        <v>0</v>
      </c>
      <c r="X941" s="60">
        <v>0</v>
      </c>
      <c r="Y941" s="60">
        <v>0</v>
      </c>
      <c r="Z941" s="60">
        <v>0</v>
      </c>
      <c r="AA941" s="60">
        <v>0</v>
      </c>
      <c r="AB941" s="60">
        <v>0</v>
      </c>
      <c r="AC941" s="60">
        <v>483.05</v>
      </c>
      <c r="AD941" s="60">
        <v>416.1</v>
      </c>
      <c r="AE941" s="60">
        <v>448.9</v>
      </c>
      <c r="AF941" s="60">
        <v>0</v>
      </c>
      <c r="AG941" s="60">
        <v>0</v>
      </c>
      <c r="AH941" s="60">
        <v>0</v>
      </c>
      <c r="AI941" s="60">
        <v>483.05</v>
      </c>
      <c r="AJ941" s="60">
        <v>416.1</v>
      </c>
      <c r="AK941" s="60">
        <v>448.9</v>
      </c>
      <c r="AL941" s="60">
        <v>0</v>
      </c>
      <c r="AM941" s="60">
        <v>0</v>
      </c>
      <c r="AN941" s="60">
        <v>0</v>
      </c>
      <c r="AO941" s="60">
        <v>483.05</v>
      </c>
      <c r="AP941" s="60">
        <v>416.1</v>
      </c>
      <c r="AQ941" s="60">
        <v>448.9</v>
      </c>
      <c r="AR941" s="61">
        <v>483.05</v>
      </c>
    </row>
    <row r="942" spans="1:44" ht="31" x14ac:dyDescent="0.35">
      <c r="A942" s="49" t="str">
        <f t="shared" si="80"/>
        <v>34</v>
      </c>
      <c r="B942" s="27">
        <v>76505</v>
      </c>
      <c r="C942" s="25" t="str">
        <f>TEXT(114272,"0000000")</f>
        <v>0114272</v>
      </c>
      <c r="D942" s="26" t="s">
        <v>1881</v>
      </c>
      <c r="E942" s="25" t="s">
        <v>1879</v>
      </c>
      <c r="F942" s="25" t="s">
        <v>5</v>
      </c>
      <c r="G942" s="59" t="s">
        <v>1880</v>
      </c>
      <c r="H942" s="60">
        <v>0</v>
      </c>
      <c r="I942" s="60">
        <v>0</v>
      </c>
      <c r="J942" s="60">
        <v>0</v>
      </c>
      <c r="K942" s="60">
        <v>0</v>
      </c>
      <c r="L942" s="60">
        <v>0</v>
      </c>
      <c r="M942" s="60">
        <v>0</v>
      </c>
      <c r="N942" s="60">
        <v>0</v>
      </c>
      <c r="O942" s="60">
        <v>0</v>
      </c>
      <c r="P942" s="60">
        <v>0</v>
      </c>
      <c r="Q942" s="60">
        <v>0</v>
      </c>
      <c r="R942" s="60">
        <v>0</v>
      </c>
      <c r="S942" s="60">
        <v>0</v>
      </c>
      <c r="T942" s="60">
        <v>0</v>
      </c>
      <c r="U942" s="60">
        <v>0</v>
      </c>
      <c r="V942" s="60">
        <v>0</v>
      </c>
      <c r="W942" s="60">
        <v>0</v>
      </c>
      <c r="X942" s="60">
        <v>0</v>
      </c>
      <c r="Y942" s="60">
        <v>0</v>
      </c>
      <c r="Z942" s="60">
        <v>0</v>
      </c>
      <c r="AA942" s="60">
        <v>0</v>
      </c>
      <c r="AB942" s="60">
        <v>0</v>
      </c>
      <c r="AC942" s="60">
        <v>177.16</v>
      </c>
      <c r="AD942" s="60">
        <v>154.86000000000001</v>
      </c>
      <c r="AE942" s="60">
        <v>99.64</v>
      </c>
      <c r="AF942" s="60">
        <v>0</v>
      </c>
      <c r="AG942" s="60">
        <v>0</v>
      </c>
      <c r="AH942" s="60">
        <v>0</v>
      </c>
      <c r="AI942" s="60">
        <v>177.16</v>
      </c>
      <c r="AJ942" s="60">
        <v>154.86000000000001</v>
      </c>
      <c r="AK942" s="60">
        <v>99.64</v>
      </c>
      <c r="AL942" s="60">
        <v>0</v>
      </c>
      <c r="AM942" s="60">
        <v>0</v>
      </c>
      <c r="AN942" s="60">
        <v>0</v>
      </c>
      <c r="AO942" s="60">
        <v>177.16</v>
      </c>
      <c r="AP942" s="60">
        <v>154.86000000000001</v>
      </c>
      <c r="AQ942" s="60">
        <v>99.64</v>
      </c>
      <c r="AR942" s="61">
        <v>177.16</v>
      </c>
    </row>
    <row r="943" spans="1:44" x14ac:dyDescent="0.35">
      <c r="A943" s="49" t="str">
        <f>TEXT(35,"00")</f>
        <v>35</v>
      </c>
      <c r="B943" s="27">
        <v>67470</v>
      </c>
      <c r="C943" s="25" t="str">
        <f>TEXT(127688,"0000000")</f>
        <v>0127688</v>
      </c>
      <c r="D943" s="27">
        <v>1507</v>
      </c>
      <c r="E943" s="25" t="s">
        <v>1890</v>
      </c>
      <c r="F943" s="25" t="s">
        <v>5</v>
      </c>
      <c r="G943" s="59" t="s">
        <v>1891</v>
      </c>
      <c r="H943" s="60">
        <v>0</v>
      </c>
      <c r="I943" s="60">
        <v>0</v>
      </c>
      <c r="J943" s="60">
        <v>0</v>
      </c>
      <c r="K943" s="60">
        <v>0</v>
      </c>
      <c r="L943" s="60">
        <v>0</v>
      </c>
      <c r="M943" s="60">
        <v>0</v>
      </c>
      <c r="N943" s="60">
        <v>0</v>
      </c>
      <c r="O943" s="60">
        <v>0</v>
      </c>
      <c r="P943" s="60">
        <v>0</v>
      </c>
      <c r="Q943" s="60">
        <v>0</v>
      </c>
      <c r="R943" s="60">
        <v>0</v>
      </c>
      <c r="S943" s="60">
        <v>0</v>
      </c>
      <c r="T943" s="60">
        <v>0</v>
      </c>
      <c r="U943" s="60">
        <v>0</v>
      </c>
      <c r="V943" s="60">
        <v>0</v>
      </c>
      <c r="W943" s="60">
        <v>0</v>
      </c>
      <c r="X943" s="60">
        <v>0</v>
      </c>
      <c r="Y943" s="60">
        <v>0</v>
      </c>
      <c r="Z943" s="60">
        <v>0</v>
      </c>
      <c r="AA943" s="60">
        <v>0</v>
      </c>
      <c r="AB943" s="60">
        <v>0</v>
      </c>
      <c r="AC943" s="60">
        <v>494.75</v>
      </c>
      <c r="AD943" s="60">
        <v>505.73</v>
      </c>
      <c r="AE943" s="60">
        <v>520.98</v>
      </c>
      <c r="AF943" s="60">
        <v>0</v>
      </c>
      <c r="AG943" s="60">
        <v>0</v>
      </c>
      <c r="AH943" s="60">
        <v>0</v>
      </c>
      <c r="AI943" s="60">
        <v>494.75</v>
      </c>
      <c r="AJ943" s="60">
        <v>505.73</v>
      </c>
      <c r="AK943" s="60">
        <v>520.98</v>
      </c>
      <c r="AL943" s="60">
        <v>0</v>
      </c>
      <c r="AM943" s="60">
        <v>0</v>
      </c>
      <c r="AN943" s="60">
        <v>0</v>
      </c>
      <c r="AO943" s="60">
        <v>494.75</v>
      </c>
      <c r="AP943" s="60">
        <v>505.73</v>
      </c>
      <c r="AQ943" s="60">
        <v>520.98</v>
      </c>
      <c r="AR943" s="61">
        <v>520.98</v>
      </c>
    </row>
    <row r="944" spans="1:44" ht="31" x14ac:dyDescent="0.35">
      <c r="A944" s="49" t="str">
        <f>TEXT(36,"00")</f>
        <v>36</v>
      </c>
      <c r="B944" s="27">
        <v>10363</v>
      </c>
      <c r="C944" s="25" t="str">
        <f>TEXT(139147,"0000000")</f>
        <v>0139147</v>
      </c>
      <c r="D944" s="27">
        <v>2036</v>
      </c>
      <c r="E944" s="25" t="s">
        <v>1915</v>
      </c>
      <c r="F944" s="25" t="s">
        <v>5</v>
      </c>
      <c r="G944" s="59" t="s">
        <v>1916</v>
      </c>
      <c r="H944" s="60">
        <v>0</v>
      </c>
      <c r="I944" s="60">
        <v>0</v>
      </c>
      <c r="J944" s="60">
        <v>0</v>
      </c>
      <c r="K944" s="60">
        <v>0</v>
      </c>
      <c r="L944" s="60">
        <v>0</v>
      </c>
      <c r="M944" s="60">
        <v>0</v>
      </c>
      <c r="N944" s="60">
        <v>0</v>
      </c>
      <c r="O944" s="60">
        <v>0</v>
      </c>
      <c r="P944" s="60">
        <v>0</v>
      </c>
      <c r="Q944" s="60">
        <v>0</v>
      </c>
      <c r="R944" s="60">
        <v>0</v>
      </c>
      <c r="S944" s="60">
        <v>0</v>
      </c>
      <c r="T944" s="60">
        <v>0</v>
      </c>
      <c r="U944" s="60">
        <v>0</v>
      </c>
      <c r="V944" s="60">
        <v>0</v>
      </c>
      <c r="W944" s="60">
        <v>0</v>
      </c>
      <c r="X944" s="60">
        <v>0</v>
      </c>
      <c r="Y944" s="60">
        <v>0</v>
      </c>
      <c r="Z944" s="60">
        <v>0</v>
      </c>
      <c r="AA944" s="60">
        <v>0</v>
      </c>
      <c r="AB944" s="60">
        <v>0</v>
      </c>
      <c r="AC944" s="60">
        <v>290.08</v>
      </c>
      <c r="AD944" s="60">
        <v>253.78</v>
      </c>
      <c r="AE944" s="60">
        <v>188</v>
      </c>
      <c r="AF944" s="60">
        <v>0</v>
      </c>
      <c r="AG944" s="60">
        <v>0</v>
      </c>
      <c r="AH944" s="60">
        <v>0</v>
      </c>
      <c r="AI944" s="60">
        <v>290.08</v>
      </c>
      <c r="AJ944" s="60">
        <v>253.78</v>
      </c>
      <c r="AK944" s="60">
        <v>188</v>
      </c>
      <c r="AL944" s="60">
        <v>0</v>
      </c>
      <c r="AM944" s="60">
        <v>0</v>
      </c>
      <c r="AN944" s="60">
        <v>0</v>
      </c>
      <c r="AO944" s="60">
        <v>290.08</v>
      </c>
      <c r="AP944" s="60">
        <v>253.78</v>
      </c>
      <c r="AQ944" s="60">
        <v>188</v>
      </c>
      <c r="AR944" s="61">
        <v>290.08</v>
      </c>
    </row>
    <row r="945" spans="1:44" x14ac:dyDescent="0.35">
      <c r="A945" s="49" t="str">
        <f>TEXT(36,"00")</f>
        <v>36</v>
      </c>
      <c r="B945" s="27">
        <v>10363</v>
      </c>
      <c r="C945" s="25" t="str">
        <f>TEXT(140012,"0000000")</f>
        <v>0140012</v>
      </c>
      <c r="D945" s="27">
        <v>2095</v>
      </c>
      <c r="E945" s="25" t="s">
        <v>1917</v>
      </c>
      <c r="F945" s="25" t="s">
        <v>5</v>
      </c>
      <c r="G945" s="59" t="s">
        <v>1918</v>
      </c>
      <c r="H945" s="60">
        <v>0</v>
      </c>
      <c r="I945" s="60">
        <v>0</v>
      </c>
      <c r="J945" s="60">
        <v>0</v>
      </c>
      <c r="K945" s="60">
        <v>0</v>
      </c>
      <c r="L945" s="60">
        <v>0</v>
      </c>
      <c r="M945" s="60">
        <v>0</v>
      </c>
      <c r="N945" s="60">
        <v>0</v>
      </c>
      <c r="O945" s="60">
        <v>0</v>
      </c>
      <c r="P945" s="60">
        <v>0</v>
      </c>
      <c r="Q945" s="60">
        <v>0</v>
      </c>
      <c r="R945" s="60">
        <v>0</v>
      </c>
      <c r="S945" s="60">
        <v>0</v>
      </c>
      <c r="T945" s="60">
        <v>0</v>
      </c>
      <c r="U945" s="60">
        <v>0</v>
      </c>
      <c r="V945" s="60">
        <v>0</v>
      </c>
      <c r="W945" s="60">
        <v>0</v>
      </c>
      <c r="X945" s="60">
        <v>0</v>
      </c>
      <c r="Y945" s="60">
        <v>0</v>
      </c>
      <c r="Z945" s="60">
        <v>0</v>
      </c>
      <c r="AA945" s="60">
        <v>0</v>
      </c>
      <c r="AB945" s="60">
        <v>0</v>
      </c>
      <c r="AC945" s="60">
        <v>261.2</v>
      </c>
      <c r="AD945" s="60">
        <v>131.69999999999999</v>
      </c>
      <c r="AE945" s="60">
        <v>0</v>
      </c>
      <c r="AF945" s="60">
        <v>0</v>
      </c>
      <c r="AG945" s="60">
        <v>0</v>
      </c>
      <c r="AH945" s="60">
        <v>0</v>
      </c>
      <c r="AI945" s="60">
        <v>261.2</v>
      </c>
      <c r="AJ945" s="60">
        <v>131.69999999999999</v>
      </c>
      <c r="AK945" s="60">
        <v>0</v>
      </c>
      <c r="AL945" s="60">
        <v>0</v>
      </c>
      <c r="AM945" s="60">
        <v>0</v>
      </c>
      <c r="AN945" s="60">
        <v>0</v>
      </c>
      <c r="AO945" s="60">
        <v>261.2</v>
      </c>
      <c r="AP945" s="60">
        <v>131.69999999999999</v>
      </c>
      <c r="AQ945" s="60">
        <v>0</v>
      </c>
      <c r="AR945" s="61">
        <v>261.2</v>
      </c>
    </row>
    <row r="946" spans="1:44" x14ac:dyDescent="0.35">
      <c r="A946" s="49" t="str">
        <f>TEXT(36,"00")</f>
        <v>36</v>
      </c>
      <c r="B946" s="27">
        <v>67736</v>
      </c>
      <c r="C946" s="25" t="str">
        <f>TEXT(136937,"0000000")</f>
        <v>0136937</v>
      </c>
      <c r="D946" s="27">
        <v>1919</v>
      </c>
      <c r="E946" s="25" t="s">
        <v>1955</v>
      </c>
      <c r="F946" s="25" t="s">
        <v>5</v>
      </c>
      <c r="G946" s="59" t="s">
        <v>1956</v>
      </c>
      <c r="H946" s="60">
        <v>0</v>
      </c>
      <c r="I946" s="60">
        <v>0</v>
      </c>
      <c r="J946" s="60">
        <v>0</v>
      </c>
      <c r="K946" s="60">
        <v>0</v>
      </c>
      <c r="L946" s="60">
        <v>0</v>
      </c>
      <c r="M946" s="60">
        <v>0</v>
      </c>
      <c r="N946" s="60">
        <v>0</v>
      </c>
      <c r="O946" s="60">
        <v>0</v>
      </c>
      <c r="P946" s="60">
        <v>0</v>
      </c>
      <c r="Q946" s="60">
        <v>0</v>
      </c>
      <c r="R946" s="60">
        <v>0</v>
      </c>
      <c r="S946" s="60">
        <v>0</v>
      </c>
      <c r="T946" s="60">
        <v>0</v>
      </c>
      <c r="U946" s="60">
        <v>0</v>
      </c>
      <c r="V946" s="60">
        <v>0</v>
      </c>
      <c r="W946" s="60">
        <v>0</v>
      </c>
      <c r="X946" s="60">
        <v>0</v>
      </c>
      <c r="Y946" s="60">
        <v>0</v>
      </c>
      <c r="Z946" s="60">
        <v>0</v>
      </c>
      <c r="AA946" s="60">
        <v>0</v>
      </c>
      <c r="AB946" s="60">
        <v>0</v>
      </c>
      <c r="AC946" s="60">
        <v>621.48</v>
      </c>
      <c r="AD946" s="60">
        <v>646.4</v>
      </c>
      <c r="AE946" s="60">
        <v>676.12</v>
      </c>
      <c r="AF946" s="60">
        <v>0</v>
      </c>
      <c r="AG946" s="60">
        <v>0</v>
      </c>
      <c r="AH946" s="60">
        <v>0</v>
      </c>
      <c r="AI946" s="60">
        <v>621.48</v>
      </c>
      <c r="AJ946" s="60">
        <v>646.4</v>
      </c>
      <c r="AK946" s="60">
        <v>676.12</v>
      </c>
      <c r="AL946" s="60">
        <v>0</v>
      </c>
      <c r="AM946" s="60">
        <v>0</v>
      </c>
      <c r="AN946" s="60">
        <v>0</v>
      </c>
      <c r="AO946" s="60">
        <v>621.48</v>
      </c>
      <c r="AP946" s="60">
        <v>646.4</v>
      </c>
      <c r="AQ946" s="60">
        <v>676.12</v>
      </c>
      <c r="AR946" s="61">
        <v>676.12</v>
      </c>
    </row>
    <row r="947" spans="1:44" x14ac:dyDescent="0.35">
      <c r="A947" s="49" t="str">
        <f>TEXT(1,"00")</f>
        <v>01</v>
      </c>
      <c r="B947" s="27">
        <v>61259</v>
      </c>
      <c r="C947" s="25" t="str">
        <f>TEXT(114868,"0000000")</f>
        <v>0114868</v>
      </c>
      <c r="D947" s="26" t="s">
        <v>99</v>
      </c>
      <c r="E947" s="25" t="s">
        <v>97</v>
      </c>
      <c r="F947" s="25" t="s">
        <v>5</v>
      </c>
      <c r="G947" s="59" t="s">
        <v>98</v>
      </c>
      <c r="H947" s="60">
        <v>0</v>
      </c>
      <c r="I947" s="60">
        <v>0</v>
      </c>
      <c r="J947" s="60">
        <v>0</v>
      </c>
      <c r="K947" s="60">
        <v>0</v>
      </c>
      <c r="L947" s="60">
        <v>0</v>
      </c>
      <c r="M947" s="60">
        <v>0</v>
      </c>
      <c r="N947" s="60">
        <v>0</v>
      </c>
      <c r="O947" s="60">
        <v>0</v>
      </c>
      <c r="P947" s="60">
        <v>0</v>
      </c>
      <c r="Q947" s="60">
        <v>0</v>
      </c>
      <c r="R947" s="60">
        <v>0</v>
      </c>
      <c r="S947" s="60">
        <v>0</v>
      </c>
      <c r="T947" s="60">
        <v>0</v>
      </c>
      <c r="U947" s="60">
        <v>0</v>
      </c>
      <c r="V947" s="60">
        <v>0</v>
      </c>
      <c r="W947" s="60">
        <v>0</v>
      </c>
      <c r="X947" s="60">
        <v>0</v>
      </c>
      <c r="Y947" s="60">
        <v>0</v>
      </c>
      <c r="Z947" s="60">
        <v>0</v>
      </c>
      <c r="AA947" s="60">
        <v>0</v>
      </c>
      <c r="AB947" s="60">
        <v>0</v>
      </c>
      <c r="AC947" s="60">
        <v>394.48</v>
      </c>
      <c r="AD947" s="60">
        <v>418.23</v>
      </c>
      <c r="AE947" s="60">
        <v>444.25</v>
      </c>
      <c r="AF947" s="60">
        <v>0</v>
      </c>
      <c r="AG947" s="60">
        <v>0</v>
      </c>
      <c r="AH947" s="60">
        <v>0</v>
      </c>
      <c r="AI947" s="60">
        <v>394.48</v>
      </c>
      <c r="AJ947" s="60">
        <v>418.23</v>
      </c>
      <c r="AK947" s="60">
        <v>444.25</v>
      </c>
      <c r="AL947" s="60">
        <v>0</v>
      </c>
      <c r="AM947" s="60">
        <v>0</v>
      </c>
      <c r="AN947" s="60">
        <v>0</v>
      </c>
      <c r="AO947" s="60">
        <v>394.48</v>
      </c>
      <c r="AP947" s="60">
        <v>418.23</v>
      </c>
      <c r="AQ947" s="60">
        <v>444.25</v>
      </c>
      <c r="AR947" s="61">
        <v>444.25</v>
      </c>
    </row>
    <row r="948" spans="1:44" x14ac:dyDescent="0.35">
      <c r="A948" s="49" t="str">
        <f t="shared" ref="A948:A953" si="81">TEXT(36,"00")</f>
        <v>36</v>
      </c>
      <c r="B948" s="27">
        <v>67876</v>
      </c>
      <c r="C948" s="25" t="str">
        <f>TEXT(122317,"0000000")</f>
        <v>0122317</v>
      </c>
      <c r="D948" s="27">
        <v>1155</v>
      </c>
      <c r="E948" s="25" t="s">
        <v>1986</v>
      </c>
      <c r="F948" s="25" t="s">
        <v>5</v>
      </c>
      <c r="G948" s="59" t="s">
        <v>1987</v>
      </c>
      <c r="H948" s="60">
        <v>0</v>
      </c>
      <c r="I948" s="60">
        <v>0</v>
      </c>
      <c r="J948" s="60">
        <v>0</v>
      </c>
      <c r="K948" s="60">
        <v>0</v>
      </c>
      <c r="L948" s="60">
        <v>0</v>
      </c>
      <c r="M948" s="60">
        <v>0</v>
      </c>
      <c r="N948" s="60">
        <v>0</v>
      </c>
      <c r="O948" s="60">
        <v>0</v>
      </c>
      <c r="P948" s="60">
        <v>0</v>
      </c>
      <c r="Q948" s="60">
        <v>0</v>
      </c>
      <c r="R948" s="60">
        <v>0</v>
      </c>
      <c r="S948" s="60">
        <v>0</v>
      </c>
      <c r="T948" s="60">
        <v>0</v>
      </c>
      <c r="U948" s="60">
        <v>0</v>
      </c>
      <c r="V948" s="60">
        <v>0</v>
      </c>
      <c r="W948" s="60">
        <v>0</v>
      </c>
      <c r="X948" s="60">
        <v>0</v>
      </c>
      <c r="Y948" s="60">
        <v>0</v>
      </c>
      <c r="Z948" s="60">
        <v>0</v>
      </c>
      <c r="AA948" s="60">
        <v>0</v>
      </c>
      <c r="AB948" s="60">
        <v>0</v>
      </c>
      <c r="AC948" s="60">
        <v>286.64</v>
      </c>
      <c r="AD948" s="60">
        <v>297.49</v>
      </c>
      <c r="AE948" s="60">
        <v>377.2</v>
      </c>
      <c r="AF948" s="60">
        <v>0</v>
      </c>
      <c r="AG948" s="60">
        <v>0</v>
      </c>
      <c r="AH948" s="60">
        <v>0</v>
      </c>
      <c r="AI948" s="60">
        <v>286.64</v>
      </c>
      <c r="AJ948" s="60">
        <v>297.49</v>
      </c>
      <c r="AK948" s="60">
        <v>377.2</v>
      </c>
      <c r="AL948" s="60">
        <v>0</v>
      </c>
      <c r="AM948" s="60">
        <v>0</v>
      </c>
      <c r="AN948" s="60">
        <v>0</v>
      </c>
      <c r="AO948" s="60">
        <v>286.64</v>
      </c>
      <c r="AP948" s="60">
        <v>297.49</v>
      </c>
      <c r="AQ948" s="60">
        <v>377.2</v>
      </c>
      <c r="AR948" s="61">
        <v>377.2</v>
      </c>
    </row>
    <row r="949" spans="1:44" x14ac:dyDescent="0.35">
      <c r="A949" s="49" t="str">
        <f t="shared" si="81"/>
        <v>36</v>
      </c>
      <c r="B949" s="27">
        <v>67959</v>
      </c>
      <c r="C949" s="25" t="str">
        <f>TEXT(114256,"0000000")</f>
        <v>0114256</v>
      </c>
      <c r="D949" s="26" t="s">
        <v>2001</v>
      </c>
      <c r="E949" s="25" t="s">
        <v>1999</v>
      </c>
      <c r="F949" s="25" t="s">
        <v>5</v>
      </c>
      <c r="G949" s="59" t="s">
        <v>2000</v>
      </c>
      <c r="H949" s="60">
        <v>0</v>
      </c>
      <c r="I949" s="60">
        <v>0</v>
      </c>
      <c r="J949" s="60">
        <v>0</v>
      </c>
      <c r="K949" s="60">
        <v>0</v>
      </c>
      <c r="L949" s="60">
        <v>0</v>
      </c>
      <c r="M949" s="60">
        <v>0</v>
      </c>
      <c r="N949" s="60">
        <v>0</v>
      </c>
      <c r="O949" s="60">
        <v>0</v>
      </c>
      <c r="P949" s="60">
        <v>0</v>
      </c>
      <c r="Q949" s="60">
        <v>0</v>
      </c>
      <c r="R949" s="60">
        <v>0</v>
      </c>
      <c r="S949" s="60">
        <v>0</v>
      </c>
      <c r="T949" s="60">
        <v>0</v>
      </c>
      <c r="U949" s="60">
        <v>0</v>
      </c>
      <c r="V949" s="60">
        <v>0</v>
      </c>
      <c r="W949" s="60">
        <v>0</v>
      </c>
      <c r="X949" s="60">
        <v>0</v>
      </c>
      <c r="Y949" s="60">
        <v>0</v>
      </c>
      <c r="Z949" s="60">
        <v>0</v>
      </c>
      <c r="AA949" s="60">
        <v>0</v>
      </c>
      <c r="AB949" s="60">
        <v>0</v>
      </c>
      <c r="AC949" s="60">
        <v>947.67</v>
      </c>
      <c r="AD949" s="60">
        <v>953.75</v>
      </c>
      <c r="AE949" s="60">
        <v>997.13</v>
      </c>
      <c r="AF949" s="60">
        <v>0</v>
      </c>
      <c r="AG949" s="60">
        <v>0</v>
      </c>
      <c r="AH949" s="60">
        <v>0</v>
      </c>
      <c r="AI949" s="60">
        <v>947.67</v>
      </c>
      <c r="AJ949" s="60">
        <v>953.75</v>
      </c>
      <c r="AK949" s="60">
        <v>997.13</v>
      </c>
      <c r="AL949" s="60">
        <v>0</v>
      </c>
      <c r="AM949" s="60">
        <v>0</v>
      </c>
      <c r="AN949" s="60">
        <v>0</v>
      </c>
      <c r="AO949" s="60">
        <v>947.67</v>
      </c>
      <c r="AP949" s="60">
        <v>953.75</v>
      </c>
      <c r="AQ949" s="60">
        <v>997.13</v>
      </c>
      <c r="AR949" s="61">
        <v>997.13</v>
      </c>
    </row>
    <row r="950" spans="1:44" x14ac:dyDescent="0.35">
      <c r="A950" s="49" t="str">
        <f t="shared" si="81"/>
        <v>36</v>
      </c>
      <c r="B950" s="27">
        <v>75044</v>
      </c>
      <c r="C950" s="25" t="str">
        <f>TEXT(107516,"0000000")</f>
        <v>0107516</v>
      </c>
      <c r="D950" s="26" t="s">
        <v>2012</v>
      </c>
      <c r="E950" s="25" t="s">
        <v>2010</v>
      </c>
      <c r="F950" s="25" t="s">
        <v>5</v>
      </c>
      <c r="G950" s="59" t="s">
        <v>2011</v>
      </c>
      <c r="H950" s="60">
        <v>0</v>
      </c>
      <c r="I950" s="60">
        <v>0</v>
      </c>
      <c r="J950" s="60">
        <v>0</v>
      </c>
      <c r="K950" s="60">
        <v>0</v>
      </c>
      <c r="L950" s="60">
        <v>0</v>
      </c>
      <c r="M950" s="60">
        <v>0</v>
      </c>
      <c r="N950" s="60">
        <v>0</v>
      </c>
      <c r="O950" s="60">
        <v>0</v>
      </c>
      <c r="P950" s="60">
        <v>0</v>
      </c>
      <c r="Q950" s="60">
        <v>0</v>
      </c>
      <c r="R950" s="60">
        <v>0</v>
      </c>
      <c r="S950" s="60">
        <v>0</v>
      </c>
      <c r="T950" s="60">
        <v>0</v>
      </c>
      <c r="U950" s="60">
        <v>0</v>
      </c>
      <c r="V950" s="60">
        <v>0</v>
      </c>
      <c r="W950" s="60">
        <v>0</v>
      </c>
      <c r="X950" s="60">
        <v>0</v>
      </c>
      <c r="Y950" s="60">
        <v>0</v>
      </c>
      <c r="Z950" s="60">
        <v>0</v>
      </c>
      <c r="AA950" s="60">
        <v>0</v>
      </c>
      <c r="AB950" s="60">
        <v>0</v>
      </c>
      <c r="AC950" s="60">
        <v>187</v>
      </c>
      <c r="AD950" s="60">
        <v>203.45</v>
      </c>
      <c r="AE950" s="60">
        <v>282.11</v>
      </c>
      <c r="AF950" s="60">
        <v>0</v>
      </c>
      <c r="AG950" s="60">
        <v>0</v>
      </c>
      <c r="AH950" s="60">
        <v>0</v>
      </c>
      <c r="AI950" s="60">
        <v>187</v>
      </c>
      <c r="AJ950" s="60">
        <v>203.45</v>
      </c>
      <c r="AK950" s="60">
        <v>282.11</v>
      </c>
      <c r="AL950" s="60">
        <v>0</v>
      </c>
      <c r="AM950" s="60">
        <v>0</v>
      </c>
      <c r="AN950" s="60">
        <v>0</v>
      </c>
      <c r="AO950" s="60">
        <v>187</v>
      </c>
      <c r="AP950" s="60">
        <v>203.45</v>
      </c>
      <c r="AQ950" s="60">
        <v>282.11</v>
      </c>
      <c r="AR950" s="61">
        <v>282.11</v>
      </c>
    </row>
    <row r="951" spans="1:44" x14ac:dyDescent="0.35">
      <c r="A951" s="49" t="str">
        <f t="shared" si="81"/>
        <v>36</v>
      </c>
      <c r="B951" s="27">
        <v>75044</v>
      </c>
      <c r="C951" s="25" t="str">
        <f>TEXT(114389,"0000000")</f>
        <v>0114389</v>
      </c>
      <c r="D951" s="26" t="s">
        <v>2018</v>
      </c>
      <c r="E951" s="25" t="s">
        <v>2016</v>
      </c>
      <c r="F951" s="25" t="s">
        <v>5</v>
      </c>
      <c r="G951" s="59" t="s">
        <v>2017</v>
      </c>
      <c r="H951" s="60">
        <v>0</v>
      </c>
      <c r="I951" s="60">
        <v>0</v>
      </c>
      <c r="J951" s="60">
        <v>0</v>
      </c>
      <c r="K951" s="60">
        <v>0</v>
      </c>
      <c r="L951" s="60">
        <v>0</v>
      </c>
      <c r="M951" s="60">
        <v>0</v>
      </c>
      <c r="N951" s="60">
        <v>0</v>
      </c>
      <c r="O951" s="60">
        <v>0</v>
      </c>
      <c r="P951" s="60">
        <v>0</v>
      </c>
      <c r="Q951" s="60">
        <v>0</v>
      </c>
      <c r="R951" s="60">
        <v>0</v>
      </c>
      <c r="S951" s="60">
        <v>0</v>
      </c>
      <c r="T951" s="60">
        <v>0</v>
      </c>
      <c r="U951" s="60">
        <v>0</v>
      </c>
      <c r="V951" s="60">
        <v>0</v>
      </c>
      <c r="W951" s="60">
        <v>0</v>
      </c>
      <c r="X951" s="60">
        <v>0</v>
      </c>
      <c r="Y951" s="60">
        <v>0</v>
      </c>
      <c r="Z951" s="60">
        <v>0</v>
      </c>
      <c r="AA951" s="60">
        <v>0</v>
      </c>
      <c r="AB951" s="60">
        <v>0</v>
      </c>
      <c r="AC951" s="60">
        <v>292.51</v>
      </c>
      <c r="AD951" s="60">
        <v>322.14</v>
      </c>
      <c r="AE951" s="60">
        <v>330.67</v>
      </c>
      <c r="AF951" s="60">
        <v>0</v>
      </c>
      <c r="AG951" s="60">
        <v>0</v>
      </c>
      <c r="AH951" s="60">
        <v>0</v>
      </c>
      <c r="AI951" s="60">
        <v>292.51</v>
      </c>
      <c r="AJ951" s="60">
        <v>322.14</v>
      </c>
      <c r="AK951" s="60">
        <v>330.67</v>
      </c>
      <c r="AL951" s="60">
        <v>0</v>
      </c>
      <c r="AM951" s="60">
        <v>0</v>
      </c>
      <c r="AN951" s="60">
        <v>0</v>
      </c>
      <c r="AO951" s="60">
        <v>292.51</v>
      </c>
      <c r="AP951" s="60">
        <v>322.14</v>
      </c>
      <c r="AQ951" s="60">
        <v>330.67</v>
      </c>
      <c r="AR951" s="61">
        <v>330.67</v>
      </c>
    </row>
    <row r="952" spans="1:44" x14ac:dyDescent="0.35">
      <c r="A952" s="49" t="str">
        <f t="shared" si="81"/>
        <v>36</v>
      </c>
      <c r="B952" s="27">
        <v>75051</v>
      </c>
      <c r="C952" s="25" t="str">
        <f>TEXT(136432,"0000000")</f>
        <v>0136432</v>
      </c>
      <c r="D952" s="27">
        <v>1895</v>
      </c>
      <c r="E952" s="25" t="s">
        <v>2029</v>
      </c>
      <c r="F952" s="25" t="s">
        <v>5</v>
      </c>
      <c r="G952" s="59" t="s">
        <v>2030</v>
      </c>
      <c r="H952" s="60">
        <v>0</v>
      </c>
      <c r="I952" s="60">
        <v>0</v>
      </c>
      <c r="J952" s="60">
        <v>0</v>
      </c>
      <c r="K952" s="60">
        <v>0</v>
      </c>
      <c r="L952" s="60">
        <v>0</v>
      </c>
      <c r="M952" s="60">
        <v>0</v>
      </c>
      <c r="N952" s="60">
        <v>0</v>
      </c>
      <c r="O952" s="60">
        <v>0</v>
      </c>
      <c r="P952" s="60">
        <v>0</v>
      </c>
      <c r="Q952" s="60">
        <v>0</v>
      </c>
      <c r="R952" s="60">
        <v>0</v>
      </c>
      <c r="S952" s="60">
        <v>0</v>
      </c>
      <c r="T952" s="60">
        <v>0</v>
      </c>
      <c r="U952" s="60">
        <v>0</v>
      </c>
      <c r="V952" s="60">
        <v>0</v>
      </c>
      <c r="W952" s="60">
        <v>0</v>
      </c>
      <c r="X952" s="60">
        <v>0</v>
      </c>
      <c r="Y952" s="60">
        <v>0</v>
      </c>
      <c r="Z952" s="60">
        <v>0</v>
      </c>
      <c r="AA952" s="60">
        <v>0</v>
      </c>
      <c r="AB952" s="60">
        <v>0</v>
      </c>
      <c r="AC952" s="60">
        <v>2026.69</v>
      </c>
      <c r="AD952" s="60">
        <v>2011.92</v>
      </c>
      <c r="AE952" s="60">
        <v>1912.13</v>
      </c>
      <c r="AF952" s="60">
        <v>0</v>
      </c>
      <c r="AG952" s="60">
        <v>0</v>
      </c>
      <c r="AH952" s="60">
        <v>0</v>
      </c>
      <c r="AI952" s="60">
        <v>2026.69</v>
      </c>
      <c r="AJ952" s="60">
        <v>2011.92</v>
      </c>
      <c r="AK952" s="60">
        <v>1912.13</v>
      </c>
      <c r="AL952" s="60">
        <v>0</v>
      </c>
      <c r="AM952" s="60">
        <v>0</v>
      </c>
      <c r="AN952" s="60">
        <v>0</v>
      </c>
      <c r="AO952" s="60">
        <v>2026.69</v>
      </c>
      <c r="AP952" s="60">
        <v>2011.92</v>
      </c>
      <c r="AQ952" s="60">
        <v>1912.13</v>
      </c>
      <c r="AR952" s="61">
        <v>2026.69</v>
      </c>
    </row>
    <row r="953" spans="1:44" ht="31" x14ac:dyDescent="0.35">
      <c r="A953" s="49" t="str">
        <f t="shared" si="81"/>
        <v>36</v>
      </c>
      <c r="B953" s="27">
        <v>75051</v>
      </c>
      <c r="C953" s="25" t="str">
        <f>TEXT(137794,"0000000")</f>
        <v>0137794</v>
      </c>
      <c r="D953" s="27">
        <v>1977</v>
      </c>
      <c r="E953" s="25" t="s">
        <v>2033</v>
      </c>
      <c r="F953" s="25" t="s">
        <v>5</v>
      </c>
      <c r="G953" s="59" t="s">
        <v>2034</v>
      </c>
      <c r="H953" s="60">
        <v>0</v>
      </c>
      <c r="I953" s="60">
        <v>0</v>
      </c>
      <c r="J953" s="60">
        <v>0</v>
      </c>
      <c r="K953" s="60">
        <v>0</v>
      </c>
      <c r="L953" s="60">
        <v>0</v>
      </c>
      <c r="M953" s="60">
        <v>0</v>
      </c>
      <c r="N953" s="60">
        <v>0</v>
      </c>
      <c r="O953" s="60">
        <v>0</v>
      </c>
      <c r="P953" s="60">
        <v>0</v>
      </c>
      <c r="Q953" s="60">
        <v>0</v>
      </c>
      <c r="R953" s="60">
        <v>0</v>
      </c>
      <c r="S953" s="60">
        <v>0</v>
      </c>
      <c r="T953" s="60">
        <v>0</v>
      </c>
      <c r="U953" s="60">
        <v>0</v>
      </c>
      <c r="V953" s="60">
        <v>0</v>
      </c>
      <c r="W953" s="60">
        <v>0</v>
      </c>
      <c r="X953" s="60">
        <v>0</v>
      </c>
      <c r="Y953" s="60">
        <v>0</v>
      </c>
      <c r="Z953" s="60">
        <v>0</v>
      </c>
      <c r="AA953" s="60">
        <v>0</v>
      </c>
      <c r="AB953" s="60">
        <v>0</v>
      </c>
      <c r="AC953" s="60">
        <v>1273.96</v>
      </c>
      <c r="AD953" s="60">
        <v>1271.9000000000001</v>
      </c>
      <c r="AE953" s="60">
        <v>1271.1199999999999</v>
      </c>
      <c r="AF953" s="60">
        <v>0</v>
      </c>
      <c r="AG953" s="60">
        <v>0</v>
      </c>
      <c r="AH953" s="60">
        <v>0</v>
      </c>
      <c r="AI953" s="60">
        <v>1273.96</v>
      </c>
      <c r="AJ953" s="60">
        <v>1271.9000000000001</v>
      </c>
      <c r="AK953" s="60">
        <v>1271.1199999999999</v>
      </c>
      <c r="AL953" s="60">
        <v>0</v>
      </c>
      <c r="AM953" s="60">
        <v>0</v>
      </c>
      <c r="AN953" s="60">
        <v>0</v>
      </c>
      <c r="AO953" s="60">
        <v>1273.96</v>
      </c>
      <c r="AP953" s="60">
        <v>1271.9000000000001</v>
      </c>
      <c r="AQ953" s="60">
        <v>1271.1199999999999</v>
      </c>
      <c r="AR953" s="61">
        <v>1273.96</v>
      </c>
    </row>
    <row r="954" spans="1:44" x14ac:dyDescent="0.35">
      <c r="A954" s="49" t="str">
        <f>TEXT(37,"00")</f>
        <v>37</v>
      </c>
      <c r="B954" s="27">
        <v>10371</v>
      </c>
      <c r="C954" s="25" t="str">
        <f>TEXT(108548,"0000000")</f>
        <v>0108548</v>
      </c>
      <c r="D954" s="26" t="s">
        <v>2056</v>
      </c>
      <c r="E954" s="25" t="s">
        <v>2054</v>
      </c>
      <c r="F954" s="25" t="s">
        <v>5</v>
      </c>
      <c r="G954" s="59" t="s">
        <v>2055</v>
      </c>
      <c r="H954" s="60">
        <v>0</v>
      </c>
      <c r="I954" s="60">
        <v>0</v>
      </c>
      <c r="J954" s="60">
        <v>0</v>
      </c>
      <c r="K954" s="60">
        <v>0</v>
      </c>
      <c r="L954" s="60">
        <v>0</v>
      </c>
      <c r="M954" s="60">
        <v>0</v>
      </c>
      <c r="N954" s="60">
        <v>0</v>
      </c>
      <c r="O954" s="60">
        <v>0</v>
      </c>
      <c r="P954" s="60">
        <v>0</v>
      </c>
      <c r="Q954" s="60">
        <v>0</v>
      </c>
      <c r="R954" s="60">
        <v>0</v>
      </c>
      <c r="S954" s="60">
        <v>0</v>
      </c>
      <c r="T954" s="60">
        <v>0</v>
      </c>
      <c r="U954" s="60">
        <v>0</v>
      </c>
      <c r="V954" s="60">
        <v>0</v>
      </c>
      <c r="W954" s="60">
        <v>0</v>
      </c>
      <c r="X954" s="60">
        <v>0</v>
      </c>
      <c r="Y954" s="60">
        <v>0</v>
      </c>
      <c r="Z954" s="60">
        <v>0</v>
      </c>
      <c r="AA954" s="60">
        <v>0</v>
      </c>
      <c r="AB954" s="60">
        <v>0</v>
      </c>
      <c r="AC954" s="60">
        <v>386.36</v>
      </c>
      <c r="AD954" s="60">
        <v>373.9</v>
      </c>
      <c r="AE954" s="60">
        <v>344.8</v>
      </c>
      <c r="AF954" s="60">
        <v>0</v>
      </c>
      <c r="AG954" s="60">
        <v>0</v>
      </c>
      <c r="AH954" s="60">
        <v>0</v>
      </c>
      <c r="AI954" s="60">
        <v>386.36</v>
      </c>
      <c r="AJ954" s="60">
        <v>373.9</v>
      </c>
      <c r="AK954" s="60">
        <v>344.8</v>
      </c>
      <c r="AL954" s="60">
        <v>0</v>
      </c>
      <c r="AM954" s="60">
        <v>0</v>
      </c>
      <c r="AN954" s="60">
        <v>0</v>
      </c>
      <c r="AO954" s="60">
        <v>386.36</v>
      </c>
      <c r="AP954" s="60">
        <v>373.9</v>
      </c>
      <c r="AQ954" s="60">
        <v>344.8</v>
      </c>
      <c r="AR954" s="61">
        <v>386.36</v>
      </c>
    </row>
    <row r="955" spans="1:44" x14ac:dyDescent="0.35">
      <c r="A955" s="49" t="str">
        <f>TEXT(37,"00")</f>
        <v>37</v>
      </c>
      <c r="B955" s="27">
        <v>10371</v>
      </c>
      <c r="C955" s="25" t="str">
        <f>TEXT(124321,"0000000")</f>
        <v>0124321</v>
      </c>
      <c r="D955" s="27">
        <v>1308</v>
      </c>
      <c r="E955" s="25" t="s">
        <v>2057</v>
      </c>
      <c r="F955" s="25" t="s">
        <v>5</v>
      </c>
      <c r="G955" s="59" t="s">
        <v>2058</v>
      </c>
      <c r="H955" s="60">
        <v>0</v>
      </c>
      <c r="I955" s="60">
        <v>0</v>
      </c>
      <c r="J955" s="60">
        <v>0</v>
      </c>
      <c r="K955" s="60">
        <v>0</v>
      </c>
      <c r="L955" s="60">
        <v>0</v>
      </c>
      <c r="M955" s="60">
        <v>0</v>
      </c>
      <c r="N955" s="60">
        <v>0</v>
      </c>
      <c r="O955" s="60">
        <v>0</v>
      </c>
      <c r="P955" s="60">
        <v>0</v>
      </c>
      <c r="Q955" s="60">
        <v>0</v>
      </c>
      <c r="R955" s="60">
        <v>0</v>
      </c>
      <c r="S955" s="60">
        <v>0</v>
      </c>
      <c r="T955" s="60">
        <v>0</v>
      </c>
      <c r="U955" s="60">
        <v>0</v>
      </c>
      <c r="V955" s="60">
        <v>0</v>
      </c>
      <c r="W955" s="60">
        <v>0</v>
      </c>
      <c r="X955" s="60">
        <v>0</v>
      </c>
      <c r="Y955" s="60">
        <v>0</v>
      </c>
      <c r="Z955" s="60">
        <v>0</v>
      </c>
      <c r="AA955" s="60">
        <v>0</v>
      </c>
      <c r="AB955" s="60">
        <v>0</v>
      </c>
      <c r="AC955" s="60">
        <v>205.95</v>
      </c>
      <c r="AD955" s="60">
        <v>180.69</v>
      </c>
      <c r="AE955" s="60">
        <v>201.75</v>
      </c>
      <c r="AF955" s="60">
        <v>0</v>
      </c>
      <c r="AG955" s="60">
        <v>0</v>
      </c>
      <c r="AH955" s="60">
        <v>0</v>
      </c>
      <c r="AI955" s="60">
        <v>205.95</v>
      </c>
      <c r="AJ955" s="60">
        <v>180.69</v>
      </c>
      <c r="AK955" s="60">
        <v>201.75</v>
      </c>
      <c r="AL955" s="60">
        <v>0</v>
      </c>
      <c r="AM955" s="60">
        <v>0</v>
      </c>
      <c r="AN955" s="60">
        <v>0</v>
      </c>
      <c r="AO955" s="60">
        <v>205.95</v>
      </c>
      <c r="AP955" s="60">
        <v>180.69</v>
      </c>
      <c r="AQ955" s="60">
        <v>201.75</v>
      </c>
      <c r="AR955" s="61">
        <v>205.95</v>
      </c>
    </row>
    <row r="956" spans="1:44" x14ac:dyDescent="0.35">
      <c r="A956" s="49" t="str">
        <f>TEXT(37,"00")</f>
        <v>37</v>
      </c>
      <c r="B956" s="27">
        <v>10371</v>
      </c>
      <c r="C956" s="25" t="str">
        <f>TEXT(134577,"0000000")</f>
        <v>0134577</v>
      </c>
      <c r="D956" s="27">
        <v>1835</v>
      </c>
      <c r="E956" s="25" t="s">
        <v>2059</v>
      </c>
      <c r="F956" s="25" t="s">
        <v>5</v>
      </c>
      <c r="G956" s="59" t="s">
        <v>2060</v>
      </c>
      <c r="H956" s="60">
        <v>0</v>
      </c>
      <c r="I956" s="60">
        <v>0</v>
      </c>
      <c r="J956" s="60">
        <v>0</v>
      </c>
      <c r="K956" s="60">
        <v>0</v>
      </c>
      <c r="L956" s="60">
        <v>0</v>
      </c>
      <c r="M956" s="60">
        <v>0</v>
      </c>
      <c r="N956" s="60">
        <v>0</v>
      </c>
      <c r="O956" s="60">
        <v>0</v>
      </c>
      <c r="P956" s="60">
        <v>0</v>
      </c>
      <c r="Q956" s="60">
        <v>0</v>
      </c>
      <c r="R956" s="60">
        <v>0</v>
      </c>
      <c r="S956" s="60">
        <v>0</v>
      </c>
      <c r="T956" s="60">
        <v>0</v>
      </c>
      <c r="U956" s="60">
        <v>0</v>
      </c>
      <c r="V956" s="60">
        <v>0</v>
      </c>
      <c r="W956" s="60">
        <v>0</v>
      </c>
      <c r="X956" s="60">
        <v>0</v>
      </c>
      <c r="Y956" s="60">
        <v>0</v>
      </c>
      <c r="Z956" s="60">
        <v>0</v>
      </c>
      <c r="AA956" s="60">
        <v>0</v>
      </c>
      <c r="AB956" s="60">
        <v>0</v>
      </c>
      <c r="AC956" s="60">
        <v>256.26</v>
      </c>
      <c r="AD956" s="60">
        <v>229.98</v>
      </c>
      <c r="AE956" s="60">
        <v>297.94</v>
      </c>
      <c r="AF956" s="60">
        <v>0</v>
      </c>
      <c r="AG956" s="60">
        <v>0</v>
      </c>
      <c r="AH956" s="60">
        <v>0</v>
      </c>
      <c r="AI956" s="60">
        <v>256.26</v>
      </c>
      <c r="AJ956" s="60">
        <v>229.98</v>
      </c>
      <c r="AK956" s="60">
        <v>297.94</v>
      </c>
      <c r="AL956" s="60">
        <v>0</v>
      </c>
      <c r="AM956" s="60">
        <v>0</v>
      </c>
      <c r="AN956" s="60">
        <v>0</v>
      </c>
      <c r="AO956" s="60">
        <v>256.26</v>
      </c>
      <c r="AP956" s="60">
        <v>229.98</v>
      </c>
      <c r="AQ956" s="60">
        <v>297.94</v>
      </c>
      <c r="AR956" s="61">
        <v>297.94</v>
      </c>
    </row>
    <row r="957" spans="1:44" x14ac:dyDescent="0.35">
      <c r="A957" s="49" t="str">
        <f>TEXT(37,"00")</f>
        <v>37</v>
      </c>
      <c r="B957" s="27">
        <v>10371</v>
      </c>
      <c r="C957" s="25" t="str">
        <f>TEXT(136085,"0000000")</f>
        <v>0136085</v>
      </c>
      <c r="D957" s="27">
        <v>1883</v>
      </c>
      <c r="E957" s="25" t="s">
        <v>2061</v>
      </c>
      <c r="F957" s="25" t="s">
        <v>5</v>
      </c>
      <c r="G957" s="59" t="s">
        <v>2062</v>
      </c>
      <c r="H957" s="60">
        <v>0</v>
      </c>
      <c r="I957" s="60">
        <v>0</v>
      </c>
      <c r="J957" s="60">
        <v>0</v>
      </c>
      <c r="K957" s="60">
        <v>0</v>
      </c>
      <c r="L957" s="60">
        <v>0</v>
      </c>
      <c r="M957" s="60">
        <v>0</v>
      </c>
      <c r="N957" s="60">
        <v>0</v>
      </c>
      <c r="O957" s="60">
        <v>0</v>
      </c>
      <c r="P957" s="60">
        <v>0</v>
      </c>
      <c r="Q957" s="60">
        <v>0</v>
      </c>
      <c r="R957" s="60">
        <v>0</v>
      </c>
      <c r="S957" s="60">
        <v>0</v>
      </c>
      <c r="T957" s="60">
        <v>0</v>
      </c>
      <c r="U957" s="60">
        <v>0</v>
      </c>
      <c r="V957" s="60">
        <v>0</v>
      </c>
      <c r="W957" s="60">
        <v>0</v>
      </c>
      <c r="X957" s="60">
        <v>0</v>
      </c>
      <c r="Y957" s="60">
        <v>0</v>
      </c>
      <c r="Z957" s="60">
        <v>0</v>
      </c>
      <c r="AA957" s="60">
        <v>0</v>
      </c>
      <c r="AB957" s="60">
        <v>0</v>
      </c>
      <c r="AC957" s="60">
        <v>500.85</v>
      </c>
      <c r="AD957" s="60">
        <v>483.54</v>
      </c>
      <c r="AE957" s="60">
        <v>463.3</v>
      </c>
      <c r="AF957" s="60">
        <v>0</v>
      </c>
      <c r="AG957" s="60">
        <v>0</v>
      </c>
      <c r="AH957" s="60">
        <v>0</v>
      </c>
      <c r="AI957" s="60">
        <v>500.85</v>
      </c>
      <c r="AJ957" s="60">
        <v>483.54</v>
      </c>
      <c r="AK957" s="60">
        <v>463.3</v>
      </c>
      <c r="AL957" s="60">
        <v>0</v>
      </c>
      <c r="AM957" s="60">
        <v>0</v>
      </c>
      <c r="AN957" s="60">
        <v>0</v>
      </c>
      <c r="AO957" s="60">
        <v>500.85</v>
      </c>
      <c r="AP957" s="60">
        <v>483.54</v>
      </c>
      <c r="AQ957" s="60">
        <v>463.3</v>
      </c>
      <c r="AR957" s="61">
        <v>500.85</v>
      </c>
    </row>
    <row r="958" spans="1:44" x14ac:dyDescent="0.35">
      <c r="A958" s="49" t="str">
        <f>TEXT(1,"00")</f>
        <v>01</v>
      </c>
      <c r="B958" s="27">
        <v>61259</v>
      </c>
      <c r="C958" s="25" t="str">
        <f>TEXT(115014,"0000000")</f>
        <v>0115014</v>
      </c>
      <c r="D958" s="26" t="s">
        <v>102</v>
      </c>
      <c r="E958" s="25" t="s">
        <v>100</v>
      </c>
      <c r="F958" s="25" t="s">
        <v>5</v>
      </c>
      <c r="G958" s="59" t="s">
        <v>101</v>
      </c>
      <c r="H958" s="60">
        <v>0</v>
      </c>
      <c r="I958" s="60">
        <v>0</v>
      </c>
      <c r="J958" s="60">
        <v>0</v>
      </c>
      <c r="K958" s="60">
        <v>0</v>
      </c>
      <c r="L958" s="60">
        <v>0</v>
      </c>
      <c r="M958" s="60">
        <v>0</v>
      </c>
      <c r="N958" s="60">
        <v>0</v>
      </c>
      <c r="O958" s="60">
        <v>0</v>
      </c>
      <c r="P958" s="60">
        <v>0</v>
      </c>
      <c r="Q958" s="60">
        <v>0</v>
      </c>
      <c r="R958" s="60">
        <v>0</v>
      </c>
      <c r="S958" s="60">
        <v>0</v>
      </c>
      <c r="T958" s="60">
        <v>0</v>
      </c>
      <c r="U958" s="60">
        <v>0</v>
      </c>
      <c r="V958" s="60">
        <v>0</v>
      </c>
      <c r="W958" s="60">
        <v>0</v>
      </c>
      <c r="X958" s="60">
        <v>0</v>
      </c>
      <c r="Y958" s="60">
        <v>0</v>
      </c>
      <c r="Z958" s="60">
        <v>0</v>
      </c>
      <c r="AA958" s="60">
        <v>0</v>
      </c>
      <c r="AB958" s="60">
        <v>0</v>
      </c>
      <c r="AC958" s="60">
        <v>436.35</v>
      </c>
      <c r="AD958" s="60">
        <v>450.66</v>
      </c>
      <c r="AE958" s="60">
        <v>534.9</v>
      </c>
      <c r="AF958" s="60">
        <v>0</v>
      </c>
      <c r="AG958" s="60">
        <v>0</v>
      </c>
      <c r="AH958" s="60">
        <v>0</v>
      </c>
      <c r="AI958" s="60">
        <v>436.35</v>
      </c>
      <c r="AJ958" s="60">
        <v>450.66</v>
      </c>
      <c r="AK958" s="60">
        <v>534.9</v>
      </c>
      <c r="AL958" s="60">
        <v>0</v>
      </c>
      <c r="AM958" s="60">
        <v>0</v>
      </c>
      <c r="AN958" s="60">
        <v>0</v>
      </c>
      <c r="AO958" s="60">
        <v>436.35</v>
      </c>
      <c r="AP958" s="60">
        <v>450.66</v>
      </c>
      <c r="AQ958" s="60">
        <v>534.9</v>
      </c>
      <c r="AR958" s="61">
        <v>534.9</v>
      </c>
    </row>
    <row r="959" spans="1:44" x14ac:dyDescent="0.35">
      <c r="A959" s="49" t="str">
        <f t="shared" ref="A959:A968" si="82">TEXT(37,"00")</f>
        <v>37</v>
      </c>
      <c r="B959" s="27">
        <v>10371</v>
      </c>
      <c r="C959" s="25" t="str">
        <f>TEXT(137695,"0000000")</f>
        <v>0137695</v>
      </c>
      <c r="D959" s="27">
        <v>1947</v>
      </c>
      <c r="E959" s="25" t="s">
        <v>2063</v>
      </c>
      <c r="F959" s="25" t="s">
        <v>5</v>
      </c>
      <c r="G959" s="59" t="s">
        <v>2064</v>
      </c>
      <c r="H959" s="60">
        <v>0</v>
      </c>
      <c r="I959" s="60">
        <v>0</v>
      </c>
      <c r="J959" s="60">
        <v>0</v>
      </c>
      <c r="K959" s="60">
        <v>0</v>
      </c>
      <c r="L959" s="60">
        <v>0</v>
      </c>
      <c r="M959" s="60">
        <v>0</v>
      </c>
      <c r="N959" s="60">
        <v>0</v>
      </c>
      <c r="O959" s="60">
        <v>0</v>
      </c>
      <c r="P959" s="60">
        <v>0</v>
      </c>
      <c r="Q959" s="60">
        <v>0</v>
      </c>
      <c r="R959" s="60">
        <v>0</v>
      </c>
      <c r="S959" s="60">
        <v>0</v>
      </c>
      <c r="T959" s="60">
        <v>0</v>
      </c>
      <c r="U959" s="60">
        <v>0</v>
      </c>
      <c r="V959" s="60">
        <v>0</v>
      </c>
      <c r="W959" s="60">
        <v>0</v>
      </c>
      <c r="X959" s="60">
        <v>0</v>
      </c>
      <c r="Y959" s="60">
        <v>0</v>
      </c>
      <c r="Z959" s="60">
        <v>757.43</v>
      </c>
      <c r="AA959" s="60">
        <v>738.59</v>
      </c>
      <c r="AB959" s="60">
        <v>751.6</v>
      </c>
      <c r="AC959" s="60">
        <v>0</v>
      </c>
      <c r="AD959" s="60">
        <v>0</v>
      </c>
      <c r="AE959" s="60">
        <v>0</v>
      </c>
      <c r="AF959" s="60">
        <v>0</v>
      </c>
      <c r="AG959" s="60">
        <v>0</v>
      </c>
      <c r="AH959" s="60">
        <v>0</v>
      </c>
      <c r="AI959" s="60">
        <v>757.43</v>
      </c>
      <c r="AJ959" s="60">
        <v>738.59</v>
      </c>
      <c r="AK959" s="60">
        <v>751.6</v>
      </c>
      <c r="AL959" s="60">
        <v>0</v>
      </c>
      <c r="AM959" s="60">
        <v>0</v>
      </c>
      <c r="AN959" s="60">
        <v>0</v>
      </c>
      <c r="AO959" s="60">
        <v>757.43</v>
      </c>
      <c r="AP959" s="60">
        <v>738.59</v>
      </c>
      <c r="AQ959" s="60">
        <v>751.6</v>
      </c>
      <c r="AR959" s="61">
        <v>757.43</v>
      </c>
    </row>
    <row r="960" spans="1:44" x14ac:dyDescent="0.35">
      <c r="A960" s="49" t="str">
        <f t="shared" si="82"/>
        <v>37</v>
      </c>
      <c r="B960" s="27">
        <v>10371</v>
      </c>
      <c r="C960" s="25" t="str">
        <f>TEXT(137752,"0000000")</f>
        <v>0137752</v>
      </c>
      <c r="D960" s="27">
        <v>1946</v>
      </c>
      <c r="E960" s="25" t="s">
        <v>2065</v>
      </c>
      <c r="F960" s="25" t="s">
        <v>5</v>
      </c>
      <c r="G960" s="59" t="s">
        <v>2066</v>
      </c>
      <c r="H960" s="60">
        <v>0</v>
      </c>
      <c r="I960" s="60">
        <v>0</v>
      </c>
      <c r="J960" s="60">
        <v>0</v>
      </c>
      <c r="K960" s="60">
        <v>0</v>
      </c>
      <c r="L960" s="60">
        <v>0</v>
      </c>
      <c r="M960" s="60">
        <v>0</v>
      </c>
      <c r="N960" s="60">
        <v>0</v>
      </c>
      <c r="O960" s="60">
        <v>0</v>
      </c>
      <c r="P960" s="60">
        <v>0</v>
      </c>
      <c r="Q960" s="60">
        <v>0</v>
      </c>
      <c r="R960" s="60">
        <v>0</v>
      </c>
      <c r="S960" s="60">
        <v>0</v>
      </c>
      <c r="T960" s="60">
        <v>0</v>
      </c>
      <c r="U960" s="60">
        <v>0</v>
      </c>
      <c r="V960" s="60">
        <v>0</v>
      </c>
      <c r="W960" s="60">
        <v>0</v>
      </c>
      <c r="X960" s="60">
        <v>0</v>
      </c>
      <c r="Y960" s="60">
        <v>0</v>
      </c>
      <c r="Z960" s="60">
        <v>465.27</v>
      </c>
      <c r="AA960" s="60">
        <v>510.03</v>
      </c>
      <c r="AB960" s="60">
        <v>466.7</v>
      </c>
      <c r="AC960" s="60">
        <v>0</v>
      </c>
      <c r="AD960" s="60">
        <v>0</v>
      </c>
      <c r="AE960" s="60">
        <v>0</v>
      </c>
      <c r="AF960" s="60">
        <v>0</v>
      </c>
      <c r="AG960" s="60">
        <v>0</v>
      </c>
      <c r="AH960" s="60">
        <v>0</v>
      </c>
      <c r="AI960" s="60">
        <v>465.27</v>
      </c>
      <c r="AJ960" s="60">
        <v>510.03</v>
      </c>
      <c r="AK960" s="60">
        <v>466.7</v>
      </c>
      <c r="AL960" s="60">
        <v>0</v>
      </c>
      <c r="AM960" s="60">
        <v>0</v>
      </c>
      <c r="AN960" s="60">
        <v>0</v>
      </c>
      <c r="AO960" s="60">
        <v>465.27</v>
      </c>
      <c r="AP960" s="60">
        <v>510.03</v>
      </c>
      <c r="AQ960" s="60">
        <v>466.7</v>
      </c>
      <c r="AR960" s="61">
        <v>510.03</v>
      </c>
    </row>
    <row r="961" spans="1:44" x14ac:dyDescent="0.35">
      <c r="A961" s="49" t="str">
        <f t="shared" si="82"/>
        <v>37</v>
      </c>
      <c r="B961" s="27">
        <v>10371</v>
      </c>
      <c r="C961" s="25" t="str">
        <f>TEXT(138016,"0000000")</f>
        <v>0138016</v>
      </c>
      <c r="D961" s="27">
        <v>1989</v>
      </c>
      <c r="E961" s="25" t="s">
        <v>2067</v>
      </c>
      <c r="F961" s="25" t="s">
        <v>5</v>
      </c>
      <c r="G961" s="59" t="s">
        <v>2068</v>
      </c>
      <c r="H961" s="60">
        <v>0</v>
      </c>
      <c r="I961" s="60">
        <v>0</v>
      </c>
      <c r="J961" s="60">
        <v>0</v>
      </c>
      <c r="K961" s="60">
        <v>0</v>
      </c>
      <c r="L961" s="60">
        <v>0</v>
      </c>
      <c r="M961" s="60">
        <v>0</v>
      </c>
      <c r="N961" s="60">
        <v>0</v>
      </c>
      <c r="O961" s="60">
        <v>0</v>
      </c>
      <c r="P961" s="60">
        <v>0</v>
      </c>
      <c r="Q961" s="60">
        <v>0</v>
      </c>
      <c r="R961" s="60">
        <v>0</v>
      </c>
      <c r="S961" s="60">
        <v>0</v>
      </c>
      <c r="T961" s="60">
        <v>0</v>
      </c>
      <c r="U961" s="60">
        <v>0</v>
      </c>
      <c r="V961" s="60">
        <v>0</v>
      </c>
      <c r="W961" s="60">
        <v>0</v>
      </c>
      <c r="X961" s="60">
        <v>0</v>
      </c>
      <c r="Y961" s="60">
        <v>0</v>
      </c>
      <c r="Z961" s="60">
        <v>0</v>
      </c>
      <c r="AA961" s="60">
        <v>0</v>
      </c>
      <c r="AB961" s="60">
        <v>0</v>
      </c>
      <c r="AC961" s="60">
        <v>513.99</v>
      </c>
      <c r="AD961" s="60">
        <v>484.55</v>
      </c>
      <c r="AE961" s="60">
        <v>501.29</v>
      </c>
      <c r="AF961" s="60">
        <v>0</v>
      </c>
      <c r="AG961" s="60">
        <v>0</v>
      </c>
      <c r="AH961" s="60">
        <v>0</v>
      </c>
      <c r="AI961" s="60">
        <v>513.99</v>
      </c>
      <c r="AJ961" s="60">
        <v>484.55</v>
      </c>
      <c r="AK961" s="60">
        <v>501.29</v>
      </c>
      <c r="AL961" s="60">
        <v>0</v>
      </c>
      <c r="AM961" s="60">
        <v>0</v>
      </c>
      <c r="AN961" s="60">
        <v>0</v>
      </c>
      <c r="AO961" s="60">
        <v>513.99</v>
      </c>
      <c r="AP961" s="60">
        <v>484.55</v>
      </c>
      <c r="AQ961" s="60">
        <v>501.29</v>
      </c>
      <c r="AR961" s="61">
        <v>513.99</v>
      </c>
    </row>
    <row r="962" spans="1:44" x14ac:dyDescent="0.35">
      <c r="A962" s="49" t="str">
        <f t="shared" si="82"/>
        <v>37</v>
      </c>
      <c r="B962" s="27">
        <v>10371</v>
      </c>
      <c r="C962" s="25" t="str">
        <f>TEXT(138404,"0000000")</f>
        <v>0138404</v>
      </c>
      <c r="D962" s="27">
        <v>2016</v>
      </c>
      <c r="E962" s="25" t="s">
        <v>2069</v>
      </c>
      <c r="F962" s="25" t="s">
        <v>5</v>
      </c>
      <c r="G962" s="59" t="s">
        <v>2070</v>
      </c>
      <c r="H962" s="60">
        <v>0</v>
      </c>
      <c r="I962" s="60">
        <v>0</v>
      </c>
      <c r="J962" s="60">
        <v>0</v>
      </c>
      <c r="K962" s="60">
        <v>0</v>
      </c>
      <c r="L962" s="60">
        <v>0</v>
      </c>
      <c r="M962" s="60">
        <v>0</v>
      </c>
      <c r="N962" s="60">
        <v>0</v>
      </c>
      <c r="O962" s="60">
        <v>0</v>
      </c>
      <c r="P962" s="60">
        <v>0</v>
      </c>
      <c r="Q962" s="60">
        <v>0</v>
      </c>
      <c r="R962" s="60">
        <v>0</v>
      </c>
      <c r="S962" s="60">
        <v>0</v>
      </c>
      <c r="T962" s="60">
        <v>0</v>
      </c>
      <c r="U962" s="60">
        <v>0</v>
      </c>
      <c r="V962" s="60">
        <v>0</v>
      </c>
      <c r="W962" s="60">
        <v>0</v>
      </c>
      <c r="X962" s="60">
        <v>0</v>
      </c>
      <c r="Y962" s="60">
        <v>0</v>
      </c>
      <c r="Z962" s="60">
        <v>0</v>
      </c>
      <c r="AA962" s="60">
        <v>0</v>
      </c>
      <c r="AB962" s="60">
        <v>0</v>
      </c>
      <c r="AC962" s="60">
        <v>572.89</v>
      </c>
      <c r="AD962" s="60">
        <v>636.76</v>
      </c>
      <c r="AE962" s="60">
        <v>513.91999999999996</v>
      </c>
      <c r="AF962" s="60">
        <v>0</v>
      </c>
      <c r="AG962" s="60">
        <v>0</v>
      </c>
      <c r="AH962" s="60">
        <v>0</v>
      </c>
      <c r="AI962" s="60">
        <v>572.89</v>
      </c>
      <c r="AJ962" s="60">
        <v>636.76</v>
      </c>
      <c r="AK962" s="60">
        <v>513.91999999999996</v>
      </c>
      <c r="AL962" s="60">
        <v>0</v>
      </c>
      <c r="AM962" s="60">
        <v>0</v>
      </c>
      <c r="AN962" s="60">
        <v>0</v>
      </c>
      <c r="AO962" s="60">
        <v>572.89</v>
      </c>
      <c r="AP962" s="60">
        <v>636.76</v>
      </c>
      <c r="AQ962" s="60">
        <v>513.91999999999996</v>
      </c>
      <c r="AR962" s="61">
        <v>636.76</v>
      </c>
    </row>
    <row r="963" spans="1:44" x14ac:dyDescent="0.35">
      <c r="A963" s="49" t="str">
        <f t="shared" si="82"/>
        <v>37</v>
      </c>
      <c r="B963" s="27">
        <v>10371</v>
      </c>
      <c r="C963" s="25" t="str">
        <f>TEXT(138594,"0000000")</f>
        <v>0138594</v>
      </c>
      <c r="D963" s="27">
        <v>2023</v>
      </c>
      <c r="E963" s="25" t="s">
        <v>2071</v>
      </c>
      <c r="F963" s="25" t="s">
        <v>5</v>
      </c>
      <c r="G963" s="59" t="s">
        <v>2072</v>
      </c>
      <c r="H963" s="60">
        <v>0</v>
      </c>
      <c r="I963" s="60">
        <v>0</v>
      </c>
      <c r="J963" s="60">
        <v>0</v>
      </c>
      <c r="K963" s="60">
        <v>0</v>
      </c>
      <c r="L963" s="60">
        <v>0</v>
      </c>
      <c r="M963" s="60">
        <v>0</v>
      </c>
      <c r="N963" s="60">
        <v>0</v>
      </c>
      <c r="O963" s="60">
        <v>0</v>
      </c>
      <c r="P963" s="60">
        <v>0</v>
      </c>
      <c r="Q963" s="60">
        <v>0</v>
      </c>
      <c r="R963" s="60">
        <v>0</v>
      </c>
      <c r="S963" s="60">
        <v>0</v>
      </c>
      <c r="T963" s="60">
        <v>0</v>
      </c>
      <c r="U963" s="60">
        <v>0</v>
      </c>
      <c r="V963" s="60">
        <v>0</v>
      </c>
      <c r="W963" s="60">
        <v>0</v>
      </c>
      <c r="X963" s="60">
        <v>0</v>
      </c>
      <c r="Y963" s="60">
        <v>0</v>
      </c>
      <c r="Z963" s="60">
        <v>0</v>
      </c>
      <c r="AA963" s="60">
        <v>0</v>
      </c>
      <c r="AB963" s="60">
        <v>0</v>
      </c>
      <c r="AC963" s="60">
        <v>218.03</v>
      </c>
      <c r="AD963" s="60">
        <v>223.48</v>
      </c>
      <c r="AE963" s="60">
        <v>244.33</v>
      </c>
      <c r="AF963" s="60">
        <v>0</v>
      </c>
      <c r="AG963" s="60">
        <v>0</v>
      </c>
      <c r="AH963" s="60">
        <v>0</v>
      </c>
      <c r="AI963" s="60">
        <v>218.03</v>
      </c>
      <c r="AJ963" s="60">
        <v>223.48</v>
      </c>
      <c r="AK963" s="60">
        <v>244.33</v>
      </c>
      <c r="AL963" s="60">
        <v>0</v>
      </c>
      <c r="AM963" s="60">
        <v>0</v>
      </c>
      <c r="AN963" s="60">
        <v>0</v>
      </c>
      <c r="AO963" s="60">
        <v>218.03</v>
      </c>
      <c r="AP963" s="60">
        <v>223.48</v>
      </c>
      <c r="AQ963" s="60">
        <v>244.33</v>
      </c>
      <c r="AR963" s="61">
        <v>244.33</v>
      </c>
    </row>
    <row r="964" spans="1:44" x14ac:dyDescent="0.35">
      <c r="A964" s="49" t="str">
        <f t="shared" si="82"/>
        <v>37</v>
      </c>
      <c r="B964" s="27">
        <v>10371</v>
      </c>
      <c r="C964" s="25" t="str">
        <f>TEXT(138792,"0000000")</f>
        <v>0138792</v>
      </c>
      <c r="D964" s="27">
        <v>2024</v>
      </c>
      <c r="E964" s="25" t="s">
        <v>2073</v>
      </c>
      <c r="F964" s="25" t="s">
        <v>5</v>
      </c>
      <c r="G964" s="59" t="s">
        <v>2074</v>
      </c>
      <c r="H964" s="60">
        <v>0</v>
      </c>
      <c r="I964" s="60">
        <v>0</v>
      </c>
      <c r="J964" s="60">
        <v>0</v>
      </c>
      <c r="K964" s="60">
        <v>0</v>
      </c>
      <c r="L964" s="60">
        <v>0</v>
      </c>
      <c r="M964" s="60">
        <v>0</v>
      </c>
      <c r="N964" s="60">
        <v>0</v>
      </c>
      <c r="O964" s="60">
        <v>0</v>
      </c>
      <c r="P964" s="60">
        <v>0</v>
      </c>
      <c r="Q964" s="60">
        <v>0</v>
      </c>
      <c r="R964" s="60">
        <v>0</v>
      </c>
      <c r="S964" s="60">
        <v>0</v>
      </c>
      <c r="T964" s="60">
        <v>0</v>
      </c>
      <c r="U964" s="60">
        <v>0</v>
      </c>
      <c r="V964" s="60">
        <v>0</v>
      </c>
      <c r="W964" s="60">
        <v>0</v>
      </c>
      <c r="X964" s="60">
        <v>0</v>
      </c>
      <c r="Y964" s="60">
        <v>0</v>
      </c>
      <c r="Z964" s="60">
        <v>0</v>
      </c>
      <c r="AA964" s="60">
        <v>0</v>
      </c>
      <c r="AB964" s="60">
        <v>0</v>
      </c>
      <c r="AC964" s="60">
        <v>226.31</v>
      </c>
      <c r="AD964" s="60">
        <v>229.12</v>
      </c>
      <c r="AE964" s="60">
        <v>258.98</v>
      </c>
      <c r="AF964" s="60">
        <v>0</v>
      </c>
      <c r="AG964" s="60">
        <v>0</v>
      </c>
      <c r="AH964" s="60">
        <v>0</v>
      </c>
      <c r="AI964" s="60">
        <v>226.31</v>
      </c>
      <c r="AJ964" s="60">
        <v>229.12</v>
      </c>
      <c r="AK964" s="60">
        <v>258.98</v>
      </c>
      <c r="AL964" s="60">
        <v>0</v>
      </c>
      <c r="AM964" s="60">
        <v>0</v>
      </c>
      <c r="AN964" s="60">
        <v>0</v>
      </c>
      <c r="AO964" s="60">
        <v>226.31</v>
      </c>
      <c r="AP964" s="60">
        <v>229.12</v>
      </c>
      <c r="AQ964" s="60">
        <v>258.98</v>
      </c>
      <c r="AR964" s="61">
        <v>258.98</v>
      </c>
    </row>
    <row r="965" spans="1:44" x14ac:dyDescent="0.35">
      <c r="A965" s="49" t="str">
        <f t="shared" si="82"/>
        <v>37</v>
      </c>
      <c r="B965" s="27">
        <v>10371</v>
      </c>
      <c r="C965" s="25" t="str">
        <f>TEXT(6119119,"0000000")</f>
        <v>6119119</v>
      </c>
      <c r="D965" s="26" t="s">
        <v>2077</v>
      </c>
      <c r="E965" s="25" t="s">
        <v>2075</v>
      </c>
      <c r="F965" s="25" t="s">
        <v>5</v>
      </c>
      <c r="G965" s="59" t="s">
        <v>2076</v>
      </c>
      <c r="H965" s="60">
        <v>0</v>
      </c>
      <c r="I965" s="60">
        <v>0</v>
      </c>
      <c r="J965" s="60">
        <v>0</v>
      </c>
      <c r="K965" s="60">
        <v>0</v>
      </c>
      <c r="L965" s="60">
        <v>0</v>
      </c>
      <c r="M965" s="60">
        <v>0</v>
      </c>
      <c r="N965" s="60">
        <v>0</v>
      </c>
      <c r="O965" s="60">
        <v>0</v>
      </c>
      <c r="P965" s="60">
        <v>0</v>
      </c>
      <c r="Q965" s="60">
        <v>0</v>
      </c>
      <c r="R965" s="60">
        <v>0</v>
      </c>
      <c r="S965" s="60">
        <v>0</v>
      </c>
      <c r="T965" s="60">
        <v>0</v>
      </c>
      <c r="U965" s="60">
        <v>0</v>
      </c>
      <c r="V965" s="60">
        <v>0</v>
      </c>
      <c r="W965" s="60">
        <v>0</v>
      </c>
      <c r="X965" s="60">
        <v>0</v>
      </c>
      <c r="Y965" s="60">
        <v>0</v>
      </c>
      <c r="Z965" s="60">
        <v>0</v>
      </c>
      <c r="AA965" s="60">
        <v>0</v>
      </c>
      <c r="AB965" s="60">
        <v>0</v>
      </c>
      <c r="AC965" s="60">
        <v>1907.63</v>
      </c>
      <c r="AD965" s="60">
        <v>1847.83</v>
      </c>
      <c r="AE965" s="60">
        <v>1705.38</v>
      </c>
      <c r="AF965" s="60">
        <v>0</v>
      </c>
      <c r="AG965" s="60">
        <v>0</v>
      </c>
      <c r="AH965" s="60">
        <v>0</v>
      </c>
      <c r="AI965" s="60">
        <v>1907.63</v>
      </c>
      <c r="AJ965" s="60">
        <v>1847.83</v>
      </c>
      <c r="AK965" s="60">
        <v>1705.38</v>
      </c>
      <c r="AL965" s="60">
        <v>0</v>
      </c>
      <c r="AM965" s="60">
        <v>0</v>
      </c>
      <c r="AN965" s="60">
        <v>0</v>
      </c>
      <c r="AO965" s="60">
        <v>1907.63</v>
      </c>
      <c r="AP965" s="60">
        <v>1847.83</v>
      </c>
      <c r="AQ965" s="60">
        <v>1705.38</v>
      </c>
      <c r="AR965" s="61">
        <v>1907.63</v>
      </c>
    </row>
    <row r="966" spans="1:44" x14ac:dyDescent="0.35">
      <c r="A966" s="49" t="str">
        <f t="shared" si="82"/>
        <v>37</v>
      </c>
      <c r="B966" s="27">
        <v>67983</v>
      </c>
      <c r="C966" s="25" t="str">
        <f>TEXT(134890,"0000000")</f>
        <v>0134890</v>
      </c>
      <c r="D966" s="27">
        <v>1832</v>
      </c>
      <c r="E966" s="25" t="s">
        <v>2082</v>
      </c>
      <c r="F966" s="25" t="s">
        <v>5</v>
      </c>
      <c r="G966" s="59" t="s">
        <v>2083</v>
      </c>
      <c r="H966" s="60">
        <v>0</v>
      </c>
      <c r="I966" s="60">
        <v>0</v>
      </c>
      <c r="J966" s="60">
        <v>0</v>
      </c>
      <c r="K966" s="60">
        <v>0</v>
      </c>
      <c r="L966" s="60">
        <v>0</v>
      </c>
      <c r="M966" s="60">
        <v>0</v>
      </c>
      <c r="N966" s="60">
        <v>0</v>
      </c>
      <c r="O966" s="60">
        <v>0</v>
      </c>
      <c r="P966" s="60">
        <v>0</v>
      </c>
      <c r="Q966" s="60">
        <v>0</v>
      </c>
      <c r="R966" s="60">
        <v>0</v>
      </c>
      <c r="S966" s="60">
        <v>0</v>
      </c>
      <c r="T966" s="60">
        <v>0</v>
      </c>
      <c r="U966" s="60">
        <v>0</v>
      </c>
      <c r="V966" s="60">
        <v>0</v>
      </c>
      <c r="W966" s="60">
        <v>0</v>
      </c>
      <c r="X966" s="60">
        <v>0</v>
      </c>
      <c r="Y966" s="60">
        <v>0</v>
      </c>
      <c r="Z966" s="60">
        <v>0</v>
      </c>
      <c r="AA966" s="60">
        <v>0</v>
      </c>
      <c r="AB966" s="60">
        <v>0</v>
      </c>
      <c r="AC966" s="60">
        <v>2520.38</v>
      </c>
      <c r="AD966" s="60">
        <v>2534.16</v>
      </c>
      <c r="AE966" s="60">
        <v>2645.85</v>
      </c>
      <c r="AF966" s="60">
        <v>0</v>
      </c>
      <c r="AG966" s="60">
        <v>0</v>
      </c>
      <c r="AH966" s="60">
        <v>0</v>
      </c>
      <c r="AI966" s="60">
        <v>2520.38</v>
      </c>
      <c r="AJ966" s="60">
        <v>2534.16</v>
      </c>
      <c r="AK966" s="60">
        <v>2645.85</v>
      </c>
      <c r="AL966" s="60">
        <v>0</v>
      </c>
      <c r="AM966" s="60">
        <v>0</v>
      </c>
      <c r="AN966" s="60">
        <v>0</v>
      </c>
      <c r="AO966" s="60">
        <v>2520.38</v>
      </c>
      <c r="AP966" s="60">
        <v>2534.16</v>
      </c>
      <c r="AQ966" s="60">
        <v>2645.85</v>
      </c>
      <c r="AR966" s="61">
        <v>2645.85</v>
      </c>
    </row>
    <row r="967" spans="1:44" x14ac:dyDescent="0.35">
      <c r="A967" s="49" t="str">
        <f t="shared" si="82"/>
        <v>37</v>
      </c>
      <c r="B967" s="27">
        <v>68023</v>
      </c>
      <c r="C967" s="25" t="str">
        <f>TEXT(138073,"0000000")</f>
        <v>0138073</v>
      </c>
      <c r="D967" s="27">
        <v>2001</v>
      </c>
      <c r="E967" s="25" t="s">
        <v>2092</v>
      </c>
      <c r="F967" s="25" t="s">
        <v>5</v>
      </c>
      <c r="G967" s="59" t="s">
        <v>2093</v>
      </c>
      <c r="H967" s="60">
        <v>0</v>
      </c>
      <c r="I967" s="60">
        <v>0</v>
      </c>
      <c r="J967" s="60">
        <v>0</v>
      </c>
      <c r="K967" s="60">
        <v>0</v>
      </c>
      <c r="L967" s="60">
        <v>0</v>
      </c>
      <c r="M967" s="60">
        <v>0</v>
      </c>
      <c r="N967" s="60">
        <v>0</v>
      </c>
      <c r="O967" s="60">
        <v>0</v>
      </c>
      <c r="P967" s="60">
        <v>0</v>
      </c>
      <c r="Q967" s="60">
        <v>0</v>
      </c>
      <c r="R967" s="60">
        <v>0</v>
      </c>
      <c r="S967" s="60">
        <v>0</v>
      </c>
      <c r="T967" s="60">
        <v>0</v>
      </c>
      <c r="U967" s="60">
        <v>0</v>
      </c>
      <c r="V967" s="60">
        <v>0</v>
      </c>
      <c r="W967" s="60">
        <v>0</v>
      </c>
      <c r="X967" s="60">
        <v>0</v>
      </c>
      <c r="Y967" s="60">
        <v>0</v>
      </c>
      <c r="Z967" s="60">
        <v>0</v>
      </c>
      <c r="AA967" s="60">
        <v>0</v>
      </c>
      <c r="AB967" s="60">
        <v>0</v>
      </c>
      <c r="AC967" s="60">
        <v>388.77</v>
      </c>
      <c r="AD967" s="60">
        <v>397.28</v>
      </c>
      <c r="AE967" s="60">
        <v>386.48</v>
      </c>
      <c r="AF967" s="60">
        <v>0</v>
      </c>
      <c r="AG967" s="60">
        <v>0</v>
      </c>
      <c r="AH967" s="60">
        <v>0</v>
      </c>
      <c r="AI967" s="60">
        <v>388.77</v>
      </c>
      <c r="AJ967" s="60">
        <v>397.28</v>
      </c>
      <c r="AK967" s="60">
        <v>386.48</v>
      </c>
      <c r="AL967" s="60">
        <v>0</v>
      </c>
      <c r="AM967" s="60">
        <v>0</v>
      </c>
      <c r="AN967" s="60">
        <v>0</v>
      </c>
      <c r="AO967" s="60">
        <v>388.77</v>
      </c>
      <c r="AP967" s="60">
        <v>397.28</v>
      </c>
      <c r="AQ967" s="60">
        <v>386.48</v>
      </c>
      <c r="AR967" s="61">
        <v>397.28</v>
      </c>
    </row>
    <row r="968" spans="1:44" x14ac:dyDescent="0.35">
      <c r="A968" s="49" t="str">
        <f t="shared" si="82"/>
        <v>37</v>
      </c>
      <c r="B968" s="27">
        <v>68049</v>
      </c>
      <c r="C968" s="25" t="str">
        <f>TEXT(127118,"0000000")</f>
        <v>0127118</v>
      </c>
      <c r="D968" s="27">
        <v>1488</v>
      </c>
      <c r="E968" s="25" t="s">
        <v>2098</v>
      </c>
      <c r="F968" s="25" t="s">
        <v>5</v>
      </c>
      <c r="G968" s="59" t="s">
        <v>2099</v>
      </c>
      <c r="H968" s="60">
        <v>0</v>
      </c>
      <c r="I968" s="60">
        <v>0</v>
      </c>
      <c r="J968" s="60">
        <v>0</v>
      </c>
      <c r="K968" s="60">
        <v>0</v>
      </c>
      <c r="L968" s="60">
        <v>0</v>
      </c>
      <c r="M968" s="60">
        <v>0</v>
      </c>
      <c r="N968" s="60">
        <v>0</v>
      </c>
      <c r="O968" s="60">
        <v>0</v>
      </c>
      <c r="P968" s="60">
        <v>0</v>
      </c>
      <c r="Q968" s="60">
        <v>0</v>
      </c>
      <c r="R968" s="60">
        <v>0</v>
      </c>
      <c r="S968" s="60">
        <v>0</v>
      </c>
      <c r="T968" s="60">
        <v>0</v>
      </c>
      <c r="U968" s="60">
        <v>0</v>
      </c>
      <c r="V968" s="60">
        <v>0</v>
      </c>
      <c r="W968" s="60">
        <v>0</v>
      </c>
      <c r="X968" s="60">
        <v>0</v>
      </c>
      <c r="Y968" s="60">
        <v>0</v>
      </c>
      <c r="Z968" s="60">
        <v>0</v>
      </c>
      <c r="AA968" s="60">
        <v>0</v>
      </c>
      <c r="AB968" s="60">
        <v>0</v>
      </c>
      <c r="AC968" s="60">
        <v>264.3</v>
      </c>
      <c r="AD968" s="60">
        <v>0</v>
      </c>
      <c r="AE968" s="60">
        <v>0</v>
      </c>
      <c r="AF968" s="60">
        <v>0</v>
      </c>
      <c r="AG968" s="60">
        <v>0</v>
      </c>
      <c r="AH968" s="60">
        <v>0</v>
      </c>
      <c r="AI968" s="60">
        <v>264.3</v>
      </c>
      <c r="AJ968" s="60">
        <v>0</v>
      </c>
      <c r="AK968" s="60">
        <v>0</v>
      </c>
      <c r="AL968" s="60">
        <v>0</v>
      </c>
      <c r="AM968" s="60">
        <v>264.29000000000002</v>
      </c>
      <c r="AN968" s="60">
        <v>255.02</v>
      </c>
      <c r="AO968" s="60">
        <v>264.3</v>
      </c>
      <c r="AP968" s="60">
        <v>264.29000000000002</v>
      </c>
      <c r="AQ968" s="60">
        <v>255.02</v>
      </c>
      <c r="AR968" s="61">
        <v>264.3</v>
      </c>
    </row>
    <row r="969" spans="1:44" x14ac:dyDescent="0.35">
      <c r="A969" s="49" t="str">
        <f>TEXT(1,"00")</f>
        <v>01</v>
      </c>
      <c r="B969" s="27">
        <v>61259</v>
      </c>
      <c r="C969" s="25" t="str">
        <f>TEXT(115238,"0000000")</f>
        <v>0115238</v>
      </c>
      <c r="D969" s="26" t="s">
        <v>105</v>
      </c>
      <c r="E969" s="25" t="s">
        <v>103</v>
      </c>
      <c r="F969" s="25" t="s">
        <v>5</v>
      </c>
      <c r="G969" s="59" t="s">
        <v>104</v>
      </c>
      <c r="H969" s="60">
        <v>0</v>
      </c>
      <c r="I969" s="60">
        <v>0</v>
      </c>
      <c r="J969" s="60">
        <v>0</v>
      </c>
      <c r="K969" s="60">
        <v>0</v>
      </c>
      <c r="L969" s="60">
        <v>0</v>
      </c>
      <c r="M969" s="60">
        <v>0</v>
      </c>
      <c r="N969" s="60">
        <v>0</v>
      </c>
      <c r="O969" s="60">
        <v>0</v>
      </c>
      <c r="P969" s="60">
        <v>0</v>
      </c>
      <c r="Q969" s="60">
        <v>0</v>
      </c>
      <c r="R969" s="60">
        <v>0</v>
      </c>
      <c r="S969" s="60">
        <v>0</v>
      </c>
      <c r="T969" s="60">
        <v>0</v>
      </c>
      <c r="U969" s="60">
        <v>0</v>
      </c>
      <c r="V969" s="60">
        <v>0</v>
      </c>
      <c r="W969" s="60">
        <v>0</v>
      </c>
      <c r="X969" s="60">
        <v>0</v>
      </c>
      <c r="Y969" s="60">
        <v>0</v>
      </c>
      <c r="Z969" s="60">
        <v>0</v>
      </c>
      <c r="AA969" s="60">
        <v>0</v>
      </c>
      <c r="AB969" s="60">
        <v>0</v>
      </c>
      <c r="AC969" s="60">
        <v>371.11</v>
      </c>
      <c r="AD969" s="60">
        <v>361.98</v>
      </c>
      <c r="AE969" s="60">
        <v>363.7</v>
      </c>
      <c r="AF969" s="60">
        <v>0</v>
      </c>
      <c r="AG969" s="60">
        <v>0</v>
      </c>
      <c r="AH969" s="60">
        <v>0</v>
      </c>
      <c r="AI969" s="60">
        <v>371.11</v>
      </c>
      <c r="AJ969" s="60">
        <v>361.98</v>
      </c>
      <c r="AK969" s="60">
        <v>363.7</v>
      </c>
      <c r="AL969" s="60">
        <v>0</v>
      </c>
      <c r="AM969" s="60">
        <v>0</v>
      </c>
      <c r="AN969" s="60">
        <v>0</v>
      </c>
      <c r="AO969" s="60">
        <v>371.11</v>
      </c>
      <c r="AP969" s="60">
        <v>361.98</v>
      </c>
      <c r="AQ969" s="60">
        <v>363.7</v>
      </c>
      <c r="AR969" s="61">
        <v>371.11</v>
      </c>
    </row>
    <row r="970" spans="1:44" x14ac:dyDescent="0.35">
      <c r="A970" s="49" t="str">
        <f t="shared" ref="A970:A979" si="83">TEXT(37,"00")</f>
        <v>37</v>
      </c>
      <c r="B970" s="27">
        <v>68049</v>
      </c>
      <c r="C970" s="25" t="str">
        <f>TEXT(129221,"0000000")</f>
        <v>0129221</v>
      </c>
      <c r="D970" s="27">
        <v>1617</v>
      </c>
      <c r="E970" s="25" t="s">
        <v>2100</v>
      </c>
      <c r="F970" s="25" t="s">
        <v>5</v>
      </c>
      <c r="G970" s="59" t="s">
        <v>2101</v>
      </c>
      <c r="H970" s="60">
        <v>0</v>
      </c>
      <c r="I970" s="60">
        <v>0</v>
      </c>
      <c r="J970" s="60">
        <v>0</v>
      </c>
      <c r="K970" s="60">
        <v>0</v>
      </c>
      <c r="L970" s="60">
        <v>0</v>
      </c>
      <c r="M970" s="60">
        <v>0</v>
      </c>
      <c r="N970" s="60">
        <v>0</v>
      </c>
      <c r="O970" s="60">
        <v>0</v>
      </c>
      <c r="P970" s="60">
        <v>0</v>
      </c>
      <c r="Q970" s="60">
        <v>0</v>
      </c>
      <c r="R970" s="60">
        <v>0</v>
      </c>
      <c r="S970" s="60">
        <v>0</v>
      </c>
      <c r="T970" s="60">
        <v>0</v>
      </c>
      <c r="U970" s="60">
        <v>0</v>
      </c>
      <c r="V970" s="60">
        <v>0</v>
      </c>
      <c r="W970" s="60">
        <v>0</v>
      </c>
      <c r="X970" s="60">
        <v>0</v>
      </c>
      <c r="Y970" s="60">
        <v>0</v>
      </c>
      <c r="Z970" s="60">
        <v>0</v>
      </c>
      <c r="AA970" s="60">
        <v>0</v>
      </c>
      <c r="AB970" s="60">
        <v>0</v>
      </c>
      <c r="AC970" s="60">
        <v>445.02</v>
      </c>
      <c r="AD970" s="60">
        <v>0</v>
      </c>
      <c r="AE970" s="60">
        <v>0</v>
      </c>
      <c r="AF970" s="60">
        <v>0</v>
      </c>
      <c r="AG970" s="60">
        <v>0</v>
      </c>
      <c r="AH970" s="60">
        <v>0</v>
      </c>
      <c r="AI970" s="60">
        <v>445.02</v>
      </c>
      <c r="AJ970" s="60">
        <v>0</v>
      </c>
      <c r="AK970" s="60">
        <v>0</v>
      </c>
      <c r="AL970" s="60">
        <v>0</v>
      </c>
      <c r="AM970" s="60">
        <v>333.27</v>
      </c>
      <c r="AN970" s="60">
        <v>588.57000000000005</v>
      </c>
      <c r="AO970" s="60">
        <v>445.02</v>
      </c>
      <c r="AP970" s="60">
        <v>333.27</v>
      </c>
      <c r="AQ970" s="60">
        <v>588.57000000000005</v>
      </c>
      <c r="AR970" s="61">
        <v>588.57000000000005</v>
      </c>
    </row>
    <row r="971" spans="1:44" x14ac:dyDescent="0.35">
      <c r="A971" s="49" t="str">
        <f t="shared" si="83"/>
        <v>37</v>
      </c>
      <c r="B971" s="27">
        <v>68049</v>
      </c>
      <c r="C971" s="25" t="str">
        <f>TEXT(132506,"0000000")</f>
        <v>0132506</v>
      </c>
      <c r="D971" s="27">
        <v>1748</v>
      </c>
      <c r="E971" s="25" t="s">
        <v>2102</v>
      </c>
      <c r="F971" s="25" t="s">
        <v>5</v>
      </c>
      <c r="G971" s="59" t="s">
        <v>2103</v>
      </c>
      <c r="H971" s="60">
        <v>0</v>
      </c>
      <c r="I971" s="60">
        <v>0</v>
      </c>
      <c r="J971" s="60">
        <v>0</v>
      </c>
      <c r="K971" s="60">
        <v>0</v>
      </c>
      <c r="L971" s="60">
        <v>0</v>
      </c>
      <c r="M971" s="60">
        <v>0</v>
      </c>
      <c r="N971" s="60">
        <v>0</v>
      </c>
      <c r="O971" s="60">
        <v>0</v>
      </c>
      <c r="P971" s="60">
        <v>0</v>
      </c>
      <c r="Q971" s="60">
        <v>0</v>
      </c>
      <c r="R971" s="60">
        <v>0</v>
      </c>
      <c r="S971" s="60">
        <v>0</v>
      </c>
      <c r="T971" s="60">
        <v>0</v>
      </c>
      <c r="U971" s="60">
        <v>0</v>
      </c>
      <c r="V971" s="60">
        <v>0</v>
      </c>
      <c r="W971" s="60">
        <v>0</v>
      </c>
      <c r="X971" s="60">
        <v>0</v>
      </c>
      <c r="Y971" s="60">
        <v>0</v>
      </c>
      <c r="Z971" s="60">
        <v>0</v>
      </c>
      <c r="AA971" s="60">
        <v>0</v>
      </c>
      <c r="AB971" s="60">
        <v>0</v>
      </c>
      <c r="AC971" s="60">
        <v>4261.92</v>
      </c>
      <c r="AD971" s="60">
        <v>4123.2299999999996</v>
      </c>
      <c r="AE971" s="60">
        <v>4501.7299999999996</v>
      </c>
      <c r="AF971" s="60">
        <v>0</v>
      </c>
      <c r="AG971" s="60">
        <v>0</v>
      </c>
      <c r="AH971" s="60">
        <v>0</v>
      </c>
      <c r="AI971" s="60">
        <v>4261.92</v>
      </c>
      <c r="AJ971" s="60">
        <v>4123.2299999999996</v>
      </c>
      <c r="AK971" s="60">
        <v>4501.7299999999996</v>
      </c>
      <c r="AL971" s="60">
        <v>0</v>
      </c>
      <c r="AM971" s="60">
        <v>0</v>
      </c>
      <c r="AN971" s="60">
        <v>0</v>
      </c>
      <c r="AO971" s="60">
        <v>4261.92</v>
      </c>
      <c r="AP971" s="60">
        <v>4123.2299999999996</v>
      </c>
      <c r="AQ971" s="60">
        <v>4501.7299999999996</v>
      </c>
      <c r="AR971" s="61">
        <v>4501.7299999999996</v>
      </c>
    </row>
    <row r="972" spans="1:44" x14ac:dyDescent="0.35">
      <c r="A972" s="49" t="str">
        <f t="shared" si="83"/>
        <v>37</v>
      </c>
      <c r="B972" s="27">
        <v>68049</v>
      </c>
      <c r="C972" s="25" t="str">
        <f>TEXT(136416,"0000000")</f>
        <v>0136416</v>
      </c>
      <c r="D972" s="27">
        <v>1892</v>
      </c>
      <c r="E972" s="25" t="s">
        <v>2104</v>
      </c>
      <c r="F972" s="25" t="s">
        <v>5</v>
      </c>
      <c r="G972" s="59" t="s">
        <v>2105</v>
      </c>
      <c r="H972" s="60">
        <v>0</v>
      </c>
      <c r="I972" s="60">
        <v>0</v>
      </c>
      <c r="J972" s="60">
        <v>0</v>
      </c>
      <c r="K972" s="60">
        <v>0</v>
      </c>
      <c r="L972" s="60">
        <v>0</v>
      </c>
      <c r="M972" s="60">
        <v>0</v>
      </c>
      <c r="N972" s="60">
        <v>0</v>
      </c>
      <c r="O972" s="60">
        <v>0</v>
      </c>
      <c r="P972" s="60">
        <v>0</v>
      </c>
      <c r="Q972" s="60">
        <v>0</v>
      </c>
      <c r="R972" s="60">
        <v>0</v>
      </c>
      <c r="S972" s="60">
        <v>0</v>
      </c>
      <c r="T972" s="60">
        <v>0</v>
      </c>
      <c r="U972" s="60">
        <v>0</v>
      </c>
      <c r="V972" s="60">
        <v>0</v>
      </c>
      <c r="W972" s="60">
        <v>0</v>
      </c>
      <c r="X972" s="60">
        <v>0</v>
      </c>
      <c r="Y972" s="60">
        <v>0</v>
      </c>
      <c r="Z972" s="60">
        <v>0</v>
      </c>
      <c r="AA972" s="60">
        <v>0</v>
      </c>
      <c r="AB972" s="60">
        <v>0</v>
      </c>
      <c r="AC972" s="60">
        <v>4846.8100000000004</v>
      </c>
      <c r="AD972" s="60">
        <v>4390.25</v>
      </c>
      <c r="AE972" s="60">
        <v>4073.94</v>
      </c>
      <c r="AF972" s="60">
        <v>0</v>
      </c>
      <c r="AG972" s="60">
        <v>0</v>
      </c>
      <c r="AH972" s="60">
        <v>0</v>
      </c>
      <c r="AI972" s="60">
        <v>4846.8100000000004</v>
      </c>
      <c r="AJ972" s="60">
        <v>4390.25</v>
      </c>
      <c r="AK972" s="60">
        <v>4073.94</v>
      </c>
      <c r="AL972" s="60">
        <v>0</v>
      </c>
      <c r="AM972" s="60">
        <v>0</v>
      </c>
      <c r="AN972" s="60">
        <v>0</v>
      </c>
      <c r="AO972" s="60">
        <v>4846.8100000000004</v>
      </c>
      <c r="AP972" s="60">
        <v>4390.25</v>
      </c>
      <c r="AQ972" s="60">
        <v>4073.94</v>
      </c>
      <c r="AR972" s="61">
        <v>4846.8100000000004</v>
      </c>
    </row>
    <row r="973" spans="1:44" x14ac:dyDescent="0.35">
      <c r="A973" s="49" t="str">
        <f t="shared" si="83"/>
        <v>37</v>
      </c>
      <c r="B973" s="27">
        <v>68049</v>
      </c>
      <c r="C973" s="25" t="str">
        <f>TEXT(136614,"0000000")</f>
        <v>0136614</v>
      </c>
      <c r="D973" s="27">
        <v>1909</v>
      </c>
      <c r="E973" s="25" t="s">
        <v>2106</v>
      </c>
      <c r="F973" s="25" t="s">
        <v>5</v>
      </c>
      <c r="G973" s="59" t="s">
        <v>2107</v>
      </c>
      <c r="H973" s="60">
        <v>0</v>
      </c>
      <c r="I973" s="60">
        <v>0</v>
      </c>
      <c r="J973" s="60">
        <v>0</v>
      </c>
      <c r="K973" s="60">
        <v>0</v>
      </c>
      <c r="L973" s="60">
        <v>0</v>
      </c>
      <c r="M973" s="60">
        <v>0</v>
      </c>
      <c r="N973" s="60">
        <v>0</v>
      </c>
      <c r="O973" s="60">
        <v>0</v>
      </c>
      <c r="P973" s="60">
        <v>0</v>
      </c>
      <c r="Q973" s="60">
        <v>0</v>
      </c>
      <c r="R973" s="60">
        <v>0</v>
      </c>
      <c r="S973" s="60">
        <v>0</v>
      </c>
      <c r="T973" s="60">
        <v>0</v>
      </c>
      <c r="U973" s="60">
        <v>0</v>
      </c>
      <c r="V973" s="60">
        <v>0</v>
      </c>
      <c r="W973" s="60">
        <v>0</v>
      </c>
      <c r="X973" s="60">
        <v>0</v>
      </c>
      <c r="Y973" s="60">
        <v>0</v>
      </c>
      <c r="Z973" s="60">
        <v>0</v>
      </c>
      <c r="AA973" s="60">
        <v>0</v>
      </c>
      <c r="AB973" s="60">
        <v>0</v>
      </c>
      <c r="AC973" s="60">
        <v>324.87</v>
      </c>
      <c r="AD973" s="60">
        <v>337.57</v>
      </c>
      <c r="AE973" s="60">
        <v>723.93</v>
      </c>
      <c r="AF973" s="60">
        <v>0</v>
      </c>
      <c r="AG973" s="60">
        <v>0</v>
      </c>
      <c r="AH973" s="60">
        <v>0</v>
      </c>
      <c r="AI973" s="60">
        <v>324.87</v>
      </c>
      <c r="AJ973" s="60">
        <v>337.57</v>
      </c>
      <c r="AK973" s="60">
        <v>723.93</v>
      </c>
      <c r="AL973" s="60">
        <v>0</v>
      </c>
      <c r="AM973" s="60">
        <v>0</v>
      </c>
      <c r="AN973" s="60">
        <v>0</v>
      </c>
      <c r="AO973" s="60">
        <v>324.87</v>
      </c>
      <c r="AP973" s="60">
        <v>337.57</v>
      </c>
      <c r="AQ973" s="60">
        <v>723.93</v>
      </c>
      <c r="AR973" s="61">
        <v>723.93</v>
      </c>
    </row>
    <row r="974" spans="1:44" x14ac:dyDescent="0.35">
      <c r="A974" s="49" t="str">
        <f t="shared" si="83"/>
        <v>37</v>
      </c>
      <c r="B974" s="27">
        <v>68098</v>
      </c>
      <c r="C974" s="25" t="str">
        <f>TEXT(6116776,"0000000")</f>
        <v>6116776</v>
      </c>
      <c r="D974" s="26" t="s">
        <v>2116</v>
      </c>
      <c r="E974" s="25" t="s">
        <v>2114</v>
      </c>
      <c r="F974" s="25" t="s">
        <v>5</v>
      </c>
      <c r="G974" s="59" t="s">
        <v>2115</v>
      </c>
      <c r="H974" s="60">
        <v>0</v>
      </c>
      <c r="I974" s="60">
        <v>0</v>
      </c>
      <c r="J974" s="60">
        <v>0</v>
      </c>
      <c r="K974" s="60">
        <v>0</v>
      </c>
      <c r="L974" s="60">
        <v>0</v>
      </c>
      <c r="M974" s="60">
        <v>0</v>
      </c>
      <c r="N974" s="60">
        <v>0</v>
      </c>
      <c r="O974" s="60">
        <v>0</v>
      </c>
      <c r="P974" s="60">
        <v>0</v>
      </c>
      <c r="Q974" s="60">
        <v>0</v>
      </c>
      <c r="R974" s="60">
        <v>0</v>
      </c>
      <c r="S974" s="60">
        <v>0</v>
      </c>
      <c r="T974" s="60">
        <v>0</v>
      </c>
      <c r="U974" s="60">
        <v>0</v>
      </c>
      <c r="V974" s="60">
        <v>0</v>
      </c>
      <c r="W974" s="60">
        <v>0</v>
      </c>
      <c r="X974" s="60">
        <v>0</v>
      </c>
      <c r="Y974" s="60">
        <v>0</v>
      </c>
      <c r="Z974" s="60">
        <v>0</v>
      </c>
      <c r="AA974" s="60">
        <v>0</v>
      </c>
      <c r="AB974" s="60">
        <v>0</v>
      </c>
      <c r="AC974" s="60">
        <v>1519.31</v>
      </c>
      <c r="AD974" s="60">
        <v>1545.78</v>
      </c>
      <c r="AE974" s="60">
        <v>1344.19</v>
      </c>
      <c r="AF974" s="60">
        <v>0</v>
      </c>
      <c r="AG974" s="60">
        <v>0</v>
      </c>
      <c r="AH974" s="60">
        <v>0</v>
      </c>
      <c r="AI974" s="60">
        <v>1519.31</v>
      </c>
      <c r="AJ974" s="60">
        <v>1545.78</v>
      </c>
      <c r="AK974" s="60">
        <v>1344.19</v>
      </c>
      <c r="AL974" s="60">
        <v>0</v>
      </c>
      <c r="AM974" s="60">
        <v>0</v>
      </c>
      <c r="AN974" s="60">
        <v>0</v>
      </c>
      <c r="AO974" s="60">
        <v>1519.31</v>
      </c>
      <c r="AP974" s="60">
        <v>1545.78</v>
      </c>
      <c r="AQ974" s="60">
        <v>1344.19</v>
      </c>
      <c r="AR974" s="61">
        <v>1545.78</v>
      </c>
    </row>
    <row r="975" spans="1:44" x14ac:dyDescent="0.35">
      <c r="A975" s="49" t="str">
        <f t="shared" si="83"/>
        <v>37</v>
      </c>
      <c r="B975" s="27">
        <v>68106</v>
      </c>
      <c r="C975" s="25" t="str">
        <f>TEXT(111195,"0000000")</f>
        <v>0111195</v>
      </c>
      <c r="D975" s="26" t="s">
        <v>2121</v>
      </c>
      <c r="E975" s="25" t="s">
        <v>2119</v>
      </c>
      <c r="F975" s="25" t="s">
        <v>5</v>
      </c>
      <c r="G975" s="59" t="s">
        <v>2120</v>
      </c>
      <c r="H975" s="60">
        <v>0</v>
      </c>
      <c r="I975" s="60">
        <v>0</v>
      </c>
      <c r="J975" s="60">
        <v>0</v>
      </c>
      <c r="K975" s="60">
        <v>0</v>
      </c>
      <c r="L975" s="60">
        <v>0</v>
      </c>
      <c r="M975" s="60">
        <v>0</v>
      </c>
      <c r="N975" s="60">
        <v>0</v>
      </c>
      <c r="O975" s="60">
        <v>0</v>
      </c>
      <c r="P975" s="60">
        <v>0</v>
      </c>
      <c r="Q975" s="60">
        <v>0</v>
      </c>
      <c r="R975" s="60">
        <v>0</v>
      </c>
      <c r="S975" s="60">
        <v>0</v>
      </c>
      <c r="T975" s="60">
        <v>0</v>
      </c>
      <c r="U975" s="60">
        <v>0</v>
      </c>
      <c r="V975" s="60">
        <v>0</v>
      </c>
      <c r="W975" s="60">
        <v>0</v>
      </c>
      <c r="X975" s="60">
        <v>0</v>
      </c>
      <c r="Y975" s="60">
        <v>0</v>
      </c>
      <c r="Z975" s="60">
        <v>0</v>
      </c>
      <c r="AA975" s="60">
        <v>0</v>
      </c>
      <c r="AB975" s="60">
        <v>0</v>
      </c>
      <c r="AC975" s="60">
        <v>1257.6099999999999</v>
      </c>
      <c r="AD975" s="60">
        <v>1230.95</v>
      </c>
      <c r="AE975" s="60">
        <v>1252.6600000000001</v>
      </c>
      <c r="AF975" s="60">
        <v>0</v>
      </c>
      <c r="AG975" s="60">
        <v>0</v>
      </c>
      <c r="AH975" s="60">
        <v>0</v>
      </c>
      <c r="AI975" s="60">
        <v>1257.6099999999999</v>
      </c>
      <c r="AJ975" s="60">
        <v>1230.95</v>
      </c>
      <c r="AK975" s="60">
        <v>1252.6600000000001</v>
      </c>
      <c r="AL975" s="60">
        <v>0</v>
      </c>
      <c r="AM975" s="60">
        <v>0</v>
      </c>
      <c r="AN975" s="60">
        <v>0</v>
      </c>
      <c r="AO975" s="60">
        <v>1257.6099999999999</v>
      </c>
      <c r="AP975" s="60">
        <v>1230.95</v>
      </c>
      <c r="AQ975" s="60">
        <v>1252.6600000000001</v>
      </c>
      <c r="AR975" s="61">
        <v>1257.6099999999999</v>
      </c>
    </row>
    <row r="976" spans="1:44" x14ac:dyDescent="0.35">
      <c r="A976" s="49" t="str">
        <f t="shared" si="83"/>
        <v>37</v>
      </c>
      <c r="B976" s="27">
        <v>68106</v>
      </c>
      <c r="C976" s="25" t="str">
        <f>TEXT(137034,"0000000")</f>
        <v>0137034</v>
      </c>
      <c r="D976" s="27">
        <v>1935</v>
      </c>
      <c r="E976" s="25" t="s">
        <v>2122</v>
      </c>
      <c r="F976" s="25" t="s">
        <v>5</v>
      </c>
      <c r="G976" s="59" t="s">
        <v>2123</v>
      </c>
      <c r="H976" s="60">
        <v>0</v>
      </c>
      <c r="I976" s="60">
        <v>0</v>
      </c>
      <c r="J976" s="60">
        <v>0</v>
      </c>
      <c r="K976" s="60">
        <v>0</v>
      </c>
      <c r="L976" s="60">
        <v>0</v>
      </c>
      <c r="M976" s="60">
        <v>0</v>
      </c>
      <c r="N976" s="60">
        <v>0</v>
      </c>
      <c r="O976" s="60">
        <v>0</v>
      </c>
      <c r="P976" s="60">
        <v>0</v>
      </c>
      <c r="Q976" s="60">
        <v>0</v>
      </c>
      <c r="R976" s="60">
        <v>0</v>
      </c>
      <c r="S976" s="60">
        <v>0</v>
      </c>
      <c r="T976" s="60">
        <v>0</v>
      </c>
      <c r="U976" s="60">
        <v>0</v>
      </c>
      <c r="V976" s="60">
        <v>0</v>
      </c>
      <c r="W976" s="60">
        <v>0</v>
      </c>
      <c r="X976" s="60">
        <v>0</v>
      </c>
      <c r="Y976" s="60">
        <v>0</v>
      </c>
      <c r="Z976" s="60">
        <v>0</v>
      </c>
      <c r="AA976" s="60">
        <v>0</v>
      </c>
      <c r="AB976" s="60">
        <v>0</v>
      </c>
      <c r="AC976" s="60">
        <v>127.79</v>
      </c>
      <c r="AD976" s="60">
        <v>119.18</v>
      </c>
      <c r="AE976" s="60">
        <v>120.86</v>
      </c>
      <c r="AF976" s="60">
        <v>0</v>
      </c>
      <c r="AG976" s="60">
        <v>0</v>
      </c>
      <c r="AH976" s="60">
        <v>0</v>
      </c>
      <c r="AI976" s="60">
        <v>127.79</v>
      </c>
      <c r="AJ976" s="60">
        <v>119.18</v>
      </c>
      <c r="AK976" s="60">
        <v>120.86</v>
      </c>
      <c r="AL976" s="60">
        <v>0</v>
      </c>
      <c r="AM976" s="60">
        <v>0</v>
      </c>
      <c r="AN976" s="60">
        <v>0</v>
      </c>
      <c r="AO976" s="60">
        <v>127.79</v>
      </c>
      <c r="AP976" s="60">
        <v>119.18</v>
      </c>
      <c r="AQ976" s="60">
        <v>120.86</v>
      </c>
      <c r="AR976" s="61">
        <v>127.79</v>
      </c>
    </row>
    <row r="977" spans="1:44" x14ac:dyDescent="0.35">
      <c r="A977" s="49" t="str">
        <f t="shared" si="83"/>
        <v>37</v>
      </c>
      <c r="B977" s="27">
        <v>68130</v>
      </c>
      <c r="C977" s="25" t="str">
        <f>TEXT(139063,"0000000")</f>
        <v>0139063</v>
      </c>
      <c r="D977" s="27">
        <v>2039</v>
      </c>
      <c r="E977" s="25" t="s">
        <v>2130</v>
      </c>
      <c r="F977" s="25" t="s">
        <v>5</v>
      </c>
      <c r="G977" s="59" t="s">
        <v>2131</v>
      </c>
      <c r="H977" s="60">
        <v>0</v>
      </c>
      <c r="I977" s="60">
        <v>0</v>
      </c>
      <c r="J977" s="60">
        <v>0</v>
      </c>
      <c r="K977" s="60">
        <v>0</v>
      </c>
      <c r="L977" s="60">
        <v>0</v>
      </c>
      <c r="M977" s="60">
        <v>0</v>
      </c>
      <c r="N977" s="60">
        <v>0</v>
      </c>
      <c r="O977" s="60">
        <v>0</v>
      </c>
      <c r="P977" s="60">
        <v>0</v>
      </c>
      <c r="Q977" s="60">
        <v>0</v>
      </c>
      <c r="R977" s="60">
        <v>0</v>
      </c>
      <c r="S977" s="60">
        <v>0</v>
      </c>
      <c r="T977" s="60">
        <v>0</v>
      </c>
      <c r="U977" s="60">
        <v>0</v>
      </c>
      <c r="V977" s="60">
        <v>0</v>
      </c>
      <c r="W977" s="60">
        <v>0</v>
      </c>
      <c r="X977" s="60">
        <v>0</v>
      </c>
      <c r="Y977" s="60">
        <v>0</v>
      </c>
      <c r="Z977" s="60">
        <v>0</v>
      </c>
      <c r="AA977" s="60">
        <v>0</v>
      </c>
      <c r="AB977" s="60">
        <v>0</v>
      </c>
      <c r="AC977" s="60">
        <v>412</v>
      </c>
      <c r="AD977" s="60">
        <v>358.68</v>
      </c>
      <c r="AE977" s="60">
        <v>342.94</v>
      </c>
      <c r="AF977" s="60">
        <v>0</v>
      </c>
      <c r="AG977" s="60">
        <v>0</v>
      </c>
      <c r="AH977" s="60">
        <v>0</v>
      </c>
      <c r="AI977" s="60">
        <v>412</v>
      </c>
      <c r="AJ977" s="60">
        <v>358.68</v>
      </c>
      <c r="AK977" s="60">
        <v>342.94</v>
      </c>
      <c r="AL977" s="60">
        <v>0</v>
      </c>
      <c r="AM977" s="60">
        <v>0</v>
      </c>
      <c r="AN977" s="60">
        <v>0</v>
      </c>
      <c r="AO977" s="60">
        <v>412</v>
      </c>
      <c r="AP977" s="60">
        <v>358.68</v>
      </c>
      <c r="AQ977" s="60">
        <v>342.94</v>
      </c>
      <c r="AR977" s="61">
        <v>412</v>
      </c>
    </row>
    <row r="978" spans="1:44" x14ac:dyDescent="0.35">
      <c r="A978" s="49" t="str">
        <f t="shared" si="83"/>
        <v>37</v>
      </c>
      <c r="B978" s="27">
        <v>68163</v>
      </c>
      <c r="C978" s="25" t="str">
        <f>TEXT(137109,"0000000")</f>
        <v>0137109</v>
      </c>
      <c r="D978" s="27">
        <v>1934</v>
      </c>
      <c r="E978" s="25" t="s">
        <v>2138</v>
      </c>
      <c r="F978" s="25" t="s">
        <v>5</v>
      </c>
      <c r="G978" s="59" t="s">
        <v>2139</v>
      </c>
      <c r="H978" s="60">
        <v>0</v>
      </c>
      <c r="I978" s="60">
        <v>0</v>
      </c>
      <c r="J978" s="60">
        <v>0</v>
      </c>
      <c r="K978" s="60">
        <v>0</v>
      </c>
      <c r="L978" s="60">
        <v>0</v>
      </c>
      <c r="M978" s="60">
        <v>0</v>
      </c>
      <c r="N978" s="60">
        <v>0</v>
      </c>
      <c r="O978" s="60">
        <v>0</v>
      </c>
      <c r="P978" s="60">
        <v>0</v>
      </c>
      <c r="Q978" s="60">
        <v>0</v>
      </c>
      <c r="R978" s="60">
        <v>0</v>
      </c>
      <c r="S978" s="60">
        <v>0</v>
      </c>
      <c r="T978" s="60">
        <v>0</v>
      </c>
      <c r="U978" s="60">
        <v>0</v>
      </c>
      <c r="V978" s="60">
        <v>0</v>
      </c>
      <c r="W978" s="60">
        <v>0</v>
      </c>
      <c r="X978" s="60">
        <v>0</v>
      </c>
      <c r="Y978" s="60">
        <v>0</v>
      </c>
      <c r="Z978" s="60">
        <v>0</v>
      </c>
      <c r="AA978" s="60">
        <v>0</v>
      </c>
      <c r="AB978" s="60">
        <v>0</v>
      </c>
      <c r="AC978" s="60">
        <v>428.67</v>
      </c>
      <c r="AD978" s="60">
        <v>343.52</v>
      </c>
      <c r="AE978" s="60">
        <v>354.44</v>
      </c>
      <c r="AF978" s="60">
        <v>0</v>
      </c>
      <c r="AG978" s="60">
        <v>0</v>
      </c>
      <c r="AH978" s="60">
        <v>0</v>
      </c>
      <c r="AI978" s="60">
        <v>428.67</v>
      </c>
      <c r="AJ978" s="60">
        <v>343.52</v>
      </c>
      <c r="AK978" s="60">
        <v>354.44</v>
      </c>
      <c r="AL978" s="60">
        <v>0</v>
      </c>
      <c r="AM978" s="60">
        <v>0</v>
      </c>
      <c r="AN978" s="60">
        <v>0</v>
      </c>
      <c r="AO978" s="60">
        <v>428.67</v>
      </c>
      <c r="AP978" s="60">
        <v>343.52</v>
      </c>
      <c r="AQ978" s="60">
        <v>354.44</v>
      </c>
      <c r="AR978" s="61">
        <v>428.67</v>
      </c>
    </row>
    <row r="979" spans="1:44" x14ac:dyDescent="0.35">
      <c r="A979" s="49" t="str">
        <f t="shared" si="83"/>
        <v>37</v>
      </c>
      <c r="B979" s="27">
        <v>68163</v>
      </c>
      <c r="C979" s="25" t="str">
        <f>TEXT(138156,"0000000")</f>
        <v>0138156</v>
      </c>
      <c r="D979" s="27">
        <v>1992</v>
      </c>
      <c r="E979" s="25" t="s">
        <v>2140</v>
      </c>
      <c r="F979" s="25" t="s">
        <v>5</v>
      </c>
      <c r="G979" s="59" t="s">
        <v>2141</v>
      </c>
      <c r="H979" s="60">
        <v>0</v>
      </c>
      <c r="I979" s="60">
        <v>0</v>
      </c>
      <c r="J979" s="60">
        <v>0</v>
      </c>
      <c r="K979" s="60">
        <v>0</v>
      </c>
      <c r="L979" s="60">
        <v>0</v>
      </c>
      <c r="M979" s="60">
        <v>0</v>
      </c>
      <c r="N979" s="60">
        <v>0</v>
      </c>
      <c r="O979" s="60">
        <v>0</v>
      </c>
      <c r="P979" s="60">
        <v>0</v>
      </c>
      <c r="Q979" s="60">
        <v>0</v>
      </c>
      <c r="R979" s="60">
        <v>0</v>
      </c>
      <c r="S979" s="60">
        <v>0</v>
      </c>
      <c r="T979" s="60">
        <v>0</v>
      </c>
      <c r="U979" s="60">
        <v>0</v>
      </c>
      <c r="V979" s="60">
        <v>0</v>
      </c>
      <c r="W979" s="60">
        <v>0</v>
      </c>
      <c r="X979" s="60">
        <v>0</v>
      </c>
      <c r="Y979" s="60">
        <v>0</v>
      </c>
      <c r="Z979" s="60">
        <v>0</v>
      </c>
      <c r="AA979" s="60">
        <v>0</v>
      </c>
      <c r="AB979" s="60">
        <v>0</v>
      </c>
      <c r="AC979" s="60">
        <v>237.3</v>
      </c>
      <c r="AD979" s="60">
        <v>225.86</v>
      </c>
      <c r="AE979" s="60">
        <v>300.75</v>
      </c>
      <c r="AF979" s="60">
        <v>0</v>
      </c>
      <c r="AG979" s="60">
        <v>0</v>
      </c>
      <c r="AH979" s="60">
        <v>0</v>
      </c>
      <c r="AI979" s="60">
        <v>237.3</v>
      </c>
      <c r="AJ979" s="60">
        <v>225.86</v>
      </c>
      <c r="AK979" s="60">
        <v>300.75</v>
      </c>
      <c r="AL979" s="60">
        <v>0</v>
      </c>
      <c r="AM979" s="60">
        <v>0</v>
      </c>
      <c r="AN979" s="60">
        <v>0</v>
      </c>
      <c r="AO979" s="60">
        <v>237.3</v>
      </c>
      <c r="AP979" s="60">
        <v>225.86</v>
      </c>
      <c r="AQ979" s="60">
        <v>300.75</v>
      </c>
      <c r="AR979" s="61">
        <v>300.75</v>
      </c>
    </row>
    <row r="980" spans="1:44" x14ac:dyDescent="0.35">
      <c r="A980" s="49" t="str">
        <f>TEXT(1,"00")</f>
        <v>01</v>
      </c>
      <c r="B980" s="27">
        <v>61259</v>
      </c>
      <c r="C980" s="25" t="str">
        <f>TEXT(115592,"0000000")</f>
        <v>0115592</v>
      </c>
      <c r="D980" s="27">
        <v>1442</v>
      </c>
      <c r="E980" s="25" t="s">
        <v>106</v>
      </c>
      <c r="F980" s="25" t="s">
        <v>5</v>
      </c>
      <c r="G980" s="59" t="s">
        <v>107</v>
      </c>
      <c r="H980" s="60">
        <v>0</v>
      </c>
      <c r="I980" s="60">
        <v>0</v>
      </c>
      <c r="J980" s="60">
        <v>0</v>
      </c>
      <c r="K980" s="60">
        <v>0</v>
      </c>
      <c r="L980" s="60">
        <v>0</v>
      </c>
      <c r="M980" s="60">
        <v>0</v>
      </c>
      <c r="N980" s="60">
        <v>0</v>
      </c>
      <c r="O980" s="60">
        <v>0</v>
      </c>
      <c r="P980" s="60">
        <v>0</v>
      </c>
      <c r="Q980" s="60">
        <v>0</v>
      </c>
      <c r="R980" s="60">
        <v>0</v>
      </c>
      <c r="S980" s="60">
        <v>0</v>
      </c>
      <c r="T980" s="60">
        <v>0</v>
      </c>
      <c r="U980" s="60">
        <v>0</v>
      </c>
      <c r="V980" s="60">
        <v>0</v>
      </c>
      <c r="W980" s="60">
        <v>0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60">
        <v>337.74</v>
      </c>
      <c r="AD980" s="60">
        <v>328.72</v>
      </c>
      <c r="AE980" s="60">
        <v>403</v>
      </c>
      <c r="AF980" s="60">
        <v>0</v>
      </c>
      <c r="AG980" s="60">
        <v>0</v>
      </c>
      <c r="AH980" s="60">
        <v>0</v>
      </c>
      <c r="AI980" s="60">
        <v>337.74</v>
      </c>
      <c r="AJ980" s="60">
        <v>328.72</v>
      </c>
      <c r="AK980" s="60">
        <v>403</v>
      </c>
      <c r="AL980" s="60">
        <v>0</v>
      </c>
      <c r="AM980" s="60">
        <v>0</v>
      </c>
      <c r="AN980" s="60">
        <v>0</v>
      </c>
      <c r="AO980" s="60">
        <v>337.74</v>
      </c>
      <c r="AP980" s="60">
        <v>328.72</v>
      </c>
      <c r="AQ980" s="60">
        <v>403</v>
      </c>
      <c r="AR980" s="61">
        <v>403</v>
      </c>
    </row>
    <row r="981" spans="1:44" x14ac:dyDescent="0.35">
      <c r="A981" s="49" t="str">
        <f t="shared" ref="A981:A990" si="84">TEXT(37,"00")</f>
        <v>37</v>
      </c>
      <c r="B981" s="27">
        <v>68163</v>
      </c>
      <c r="C981" s="25" t="str">
        <f>TEXT(138628,"0000000")</f>
        <v>0138628</v>
      </c>
      <c r="D981" s="27">
        <v>2022</v>
      </c>
      <c r="E981" s="25" t="s">
        <v>2142</v>
      </c>
      <c r="F981" s="25" t="s">
        <v>5</v>
      </c>
      <c r="G981" s="59" t="s">
        <v>2143</v>
      </c>
      <c r="H981" s="60">
        <v>0</v>
      </c>
      <c r="I981" s="60">
        <v>0</v>
      </c>
      <c r="J981" s="60">
        <v>0</v>
      </c>
      <c r="K981" s="60">
        <v>0</v>
      </c>
      <c r="L981" s="60">
        <v>0</v>
      </c>
      <c r="M981" s="60">
        <v>0</v>
      </c>
      <c r="N981" s="60">
        <v>0</v>
      </c>
      <c r="O981" s="60">
        <v>0</v>
      </c>
      <c r="P981" s="60">
        <v>0</v>
      </c>
      <c r="Q981" s="60">
        <v>0</v>
      </c>
      <c r="R981" s="60">
        <v>0</v>
      </c>
      <c r="S981" s="60">
        <v>0</v>
      </c>
      <c r="T981" s="60">
        <v>0</v>
      </c>
      <c r="U981" s="60">
        <v>0</v>
      </c>
      <c r="V981" s="60">
        <v>0</v>
      </c>
      <c r="W981" s="60">
        <v>0</v>
      </c>
      <c r="X981" s="60">
        <v>0</v>
      </c>
      <c r="Y981" s="60">
        <v>0</v>
      </c>
      <c r="Z981" s="60">
        <v>0</v>
      </c>
      <c r="AA981" s="60">
        <v>0</v>
      </c>
      <c r="AB981" s="60">
        <v>0</v>
      </c>
      <c r="AC981" s="60">
        <v>135.85</v>
      </c>
      <c r="AD981" s="60">
        <v>172.71</v>
      </c>
      <c r="AE981" s="60">
        <v>170.22</v>
      </c>
      <c r="AF981" s="60">
        <v>0</v>
      </c>
      <c r="AG981" s="60">
        <v>0</v>
      </c>
      <c r="AH981" s="60">
        <v>0</v>
      </c>
      <c r="AI981" s="60">
        <v>135.85</v>
      </c>
      <c r="AJ981" s="60">
        <v>172.71</v>
      </c>
      <c r="AK981" s="60">
        <v>170.22</v>
      </c>
      <c r="AL981" s="60">
        <v>0</v>
      </c>
      <c r="AM981" s="60">
        <v>0</v>
      </c>
      <c r="AN981" s="60">
        <v>0</v>
      </c>
      <c r="AO981" s="60">
        <v>135.85</v>
      </c>
      <c r="AP981" s="60">
        <v>172.71</v>
      </c>
      <c r="AQ981" s="60">
        <v>170.22</v>
      </c>
      <c r="AR981" s="61">
        <v>172.71</v>
      </c>
    </row>
    <row r="982" spans="1:44" x14ac:dyDescent="0.35">
      <c r="A982" s="49" t="str">
        <f t="shared" si="84"/>
        <v>37</v>
      </c>
      <c r="B982" s="27">
        <v>68163</v>
      </c>
      <c r="C982" s="25" t="str">
        <f>TEXT(3731239,"0000000")</f>
        <v>3731239</v>
      </c>
      <c r="D982" s="26" t="s">
        <v>2146</v>
      </c>
      <c r="E982" s="25" t="s">
        <v>2144</v>
      </c>
      <c r="F982" s="25" t="s">
        <v>5</v>
      </c>
      <c r="G982" s="59" t="s">
        <v>2145</v>
      </c>
      <c r="H982" s="60">
        <v>0</v>
      </c>
      <c r="I982" s="60">
        <v>0</v>
      </c>
      <c r="J982" s="60">
        <v>0</v>
      </c>
      <c r="K982" s="60">
        <v>0</v>
      </c>
      <c r="L982" s="60">
        <v>0</v>
      </c>
      <c r="M982" s="60">
        <v>0</v>
      </c>
      <c r="N982" s="60">
        <v>0</v>
      </c>
      <c r="O982" s="60">
        <v>0</v>
      </c>
      <c r="P982" s="60">
        <v>0</v>
      </c>
      <c r="Q982" s="60">
        <v>0</v>
      </c>
      <c r="R982" s="60">
        <v>0</v>
      </c>
      <c r="S982" s="60">
        <v>0</v>
      </c>
      <c r="T982" s="60">
        <v>0</v>
      </c>
      <c r="U982" s="60">
        <v>0</v>
      </c>
      <c r="V982" s="60">
        <v>0</v>
      </c>
      <c r="W982" s="60">
        <v>0</v>
      </c>
      <c r="X982" s="60">
        <v>0</v>
      </c>
      <c r="Y982" s="60">
        <v>0</v>
      </c>
      <c r="Z982" s="60">
        <v>0</v>
      </c>
      <c r="AA982" s="60">
        <v>0</v>
      </c>
      <c r="AB982" s="60">
        <v>0</v>
      </c>
      <c r="AC982" s="60">
        <v>195.6</v>
      </c>
      <c r="AD982" s="60">
        <v>192.29</v>
      </c>
      <c r="AE982" s="60">
        <v>39.799999999999997</v>
      </c>
      <c r="AF982" s="60">
        <v>0</v>
      </c>
      <c r="AG982" s="60">
        <v>0</v>
      </c>
      <c r="AH982" s="60">
        <v>0</v>
      </c>
      <c r="AI982" s="60">
        <v>195.6</v>
      </c>
      <c r="AJ982" s="60">
        <v>192.29</v>
      </c>
      <c r="AK982" s="60">
        <v>39.799999999999997</v>
      </c>
      <c r="AL982" s="60">
        <v>0</v>
      </c>
      <c r="AM982" s="60">
        <v>0</v>
      </c>
      <c r="AN982" s="60">
        <v>0</v>
      </c>
      <c r="AO982" s="60">
        <v>195.6</v>
      </c>
      <c r="AP982" s="60">
        <v>192.29</v>
      </c>
      <c r="AQ982" s="60">
        <v>39.799999999999997</v>
      </c>
      <c r="AR982" s="61">
        <v>195.6</v>
      </c>
    </row>
    <row r="983" spans="1:44" x14ac:dyDescent="0.35">
      <c r="A983" s="49" t="str">
        <f t="shared" si="84"/>
        <v>37</v>
      </c>
      <c r="B983" s="27">
        <v>68213</v>
      </c>
      <c r="C983" s="25" t="str">
        <f>TEXT(127084,"0000000")</f>
        <v>0127084</v>
      </c>
      <c r="D983" s="27">
        <v>1454</v>
      </c>
      <c r="E983" s="25" t="s">
        <v>2159</v>
      </c>
      <c r="F983" s="25" t="s">
        <v>5</v>
      </c>
      <c r="G983" s="59" t="s">
        <v>2160</v>
      </c>
      <c r="H983" s="60">
        <v>0</v>
      </c>
      <c r="I983" s="60">
        <v>0</v>
      </c>
      <c r="J983" s="60">
        <v>0</v>
      </c>
      <c r="K983" s="60">
        <v>0</v>
      </c>
      <c r="L983" s="60">
        <v>0</v>
      </c>
      <c r="M983" s="60">
        <v>0</v>
      </c>
      <c r="N983" s="60">
        <v>0</v>
      </c>
      <c r="O983" s="60">
        <v>0</v>
      </c>
      <c r="P983" s="60">
        <v>0</v>
      </c>
      <c r="Q983" s="60">
        <v>0</v>
      </c>
      <c r="R983" s="60">
        <v>0</v>
      </c>
      <c r="S983" s="60">
        <v>0</v>
      </c>
      <c r="T983" s="60">
        <v>0</v>
      </c>
      <c r="U983" s="60">
        <v>0</v>
      </c>
      <c r="V983" s="60">
        <v>0</v>
      </c>
      <c r="W983" s="60">
        <v>0</v>
      </c>
      <c r="X983" s="60">
        <v>0</v>
      </c>
      <c r="Y983" s="60">
        <v>0</v>
      </c>
      <c r="Z983" s="60">
        <v>0</v>
      </c>
      <c r="AA983" s="60">
        <v>0</v>
      </c>
      <c r="AB983" s="60">
        <v>0</v>
      </c>
      <c r="AC983" s="60">
        <v>796.95</v>
      </c>
      <c r="AD983" s="60">
        <v>850.99</v>
      </c>
      <c r="AE983" s="60">
        <v>1217.8</v>
      </c>
      <c r="AF983" s="60">
        <v>0</v>
      </c>
      <c r="AG983" s="60">
        <v>0</v>
      </c>
      <c r="AH983" s="60">
        <v>0</v>
      </c>
      <c r="AI983" s="60">
        <v>796.95</v>
      </c>
      <c r="AJ983" s="60">
        <v>850.99</v>
      </c>
      <c r="AK983" s="60">
        <v>1217.8</v>
      </c>
      <c r="AL983" s="60">
        <v>0</v>
      </c>
      <c r="AM983" s="60">
        <v>0</v>
      </c>
      <c r="AN983" s="60">
        <v>0</v>
      </c>
      <c r="AO983" s="60">
        <v>796.95</v>
      </c>
      <c r="AP983" s="60">
        <v>850.99</v>
      </c>
      <c r="AQ983" s="60">
        <v>1217.8</v>
      </c>
      <c r="AR983" s="61">
        <v>1217.8</v>
      </c>
    </row>
    <row r="984" spans="1:44" x14ac:dyDescent="0.35">
      <c r="A984" s="49" t="str">
        <f t="shared" si="84"/>
        <v>37</v>
      </c>
      <c r="B984" s="27">
        <v>68213</v>
      </c>
      <c r="C984" s="25" t="str">
        <f>TEXT(136978,"0000000")</f>
        <v>0136978</v>
      </c>
      <c r="D984" s="27">
        <v>1924</v>
      </c>
      <c r="E984" s="25" t="s">
        <v>2163</v>
      </c>
      <c r="F984" s="25" t="s">
        <v>5</v>
      </c>
      <c r="G984" s="59" t="s">
        <v>2164</v>
      </c>
      <c r="H984" s="60">
        <v>0</v>
      </c>
      <c r="I984" s="60">
        <v>0</v>
      </c>
      <c r="J984" s="60">
        <v>0</v>
      </c>
      <c r="K984" s="60">
        <v>0</v>
      </c>
      <c r="L984" s="60">
        <v>0</v>
      </c>
      <c r="M984" s="60">
        <v>0</v>
      </c>
      <c r="N984" s="60">
        <v>0</v>
      </c>
      <c r="O984" s="60">
        <v>0</v>
      </c>
      <c r="P984" s="60">
        <v>0</v>
      </c>
      <c r="Q984" s="60">
        <v>0</v>
      </c>
      <c r="R984" s="60">
        <v>0</v>
      </c>
      <c r="S984" s="60">
        <v>0</v>
      </c>
      <c r="T984" s="60">
        <v>0</v>
      </c>
      <c r="U984" s="60">
        <v>0</v>
      </c>
      <c r="V984" s="60">
        <v>0</v>
      </c>
      <c r="W984" s="60">
        <v>0</v>
      </c>
      <c r="X984" s="60">
        <v>0</v>
      </c>
      <c r="Y984" s="60">
        <v>0</v>
      </c>
      <c r="Z984" s="60">
        <v>0</v>
      </c>
      <c r="AA984" s="60">
        <v>0</v>
      </c>
      <c r="AB984" s="60">
        <v>0</v>
      </c>
      <c r="AC984" s="60">
        <v>929.66</v>
      </c>
      <c r="AD984" s="60">
        <v>721.23</v>
      </c>
      <c r="AE984" s="60">
        <v>0</v>
      </c>
      <c r="AF984" s="60">
        <v>0</v>
      </c>
      <c r="AG984" s="60">
        <v>0</v>
      </c>
      <c r="AH984" s="60">
        <v>0</v>
      </c>
      <c r="AI984" s="60">
        <v>929.66</v>
      </c>
      <c r="AJ984" s="60">
        <v>721.23</v>
      </c>
      <c r="AK984" s="60">
        <v>0</v>
      </c>
      <c r="AL984" s="60">
        <v>0</v>
      </c>
      <c r="AM984" s="60">
        <v>0</v>
      </c>
      <c r="AN984" s="60">
        <v>0</v>
      </c>
      <c r="AO984" s="60">
        <v>929.66</v>
      </c>
      <c r="AP984" s="60">
        <v>721.23</v>
      </c>
      <c r="AQ984" s="60">
        <v>0</v>
      </c>
      <c r="AR984" s="61">
        <v>929.66</v>
      </c>
    </row>
    <row r="985" spans="1:44" x14ac:dyDescent="0.35">
      <c r="A985" s="49" t="str">
        <f t="shared" si="84"/>
        <v>37</v>
      </c>
      <c r="B985" s="27">
        <v>68213</v>
      </c>
      <c r="C985" s="25" t="str">
        <f>TEXT(138636,"0000000")</f>
        <v>0138636</v>
      </c>
      <c r="D985" s="27">
        <v>2021</v>
      </c>
      <c r="E985" s="25" t="s">
        <v>2165</v>
      </c>
      <c r="F985" s="25" t="s">
        <v>5</v>
      </c>
      <c r="G985" s="59" t="s">
        <v>2166</v>
      </c>
      <c r="H985" s="60">
        <v>0</v>
      </c>
      <c r="I985" s="60">
        <v>0</v>
      </c>
      <c r="J985" s="60">
        <v>0</v>
      </c>
      <c r="K985" s="60">
        <v>0</v>
      </c>
      <c r="L985" s="60">
        <v>0</v>
      </c>
      <c r="M985" s="60">
        <v>0</v>
      </c>
      <c r="N985" s="60">
        <v>0</v>
      </c>
      <c r="O985" s="60">
        <v>0</v>
      </c>
      <c r="P985" s="60">
        <v>0</v>
      </c>
      <c r="Q985" s="60">
        <v>0</v>
      </c>
      <c r="R985" s="60">
        <v>0</v>
      </c>
      <c r="S985" s="60">
        <v>0</v>
      </c>
      <c r="T985" s="60">
        <v>0</v>
      </c>
      <c r="U985" s="60">
        <v>0</v>
      </c>
      <c r="V985" s="60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0</v>
      </c>
      <c r="AC985" s="60">
        <v>145.29</v>
      </c>
      <c r="AD985" s="60">
        <v>181.76</v>
      </c>
      <c r="AE985" s="60">
        <v>147.99</v>
      </c>
      <c r="AF985" s="60">
        <v>0</v>
      </c>
      <c r="AG985" s="60">
        <v>0</v>
      </c>
      <c r="AH985" s="60">
        <v>0</v>
      </c>
      <c r="AI985" s="60">
        <v>145.29</v>
      </c>
      <c r="AJ985" s="60">
        <v>181.76</v>
      </c>
      <c r="AK985" s="60">
        <v>147.99</v>
      </c>
      <c r="AL985" s="60">
        <v>0</v>
      </c>
      <c r="AM985" s="60">
        <v>0</v>
      </c>
      <c r="AN985" s="60">
        <v>0</v>
      </c>
      <c r="AO985" s="60">
        <v>145.29</v>
      </c>
      <c r="AP985" s="60">
        <v>181.76</v>
      </c>
      <c r="AQ985" s="60">
        <v>147.99</v>
      </c>
      <c r="AR985" s="61">
        <v>181.76</v>
      </c>
    </row>
    <row r="986" spans="1:44" x14ac:dyDescent="0.35">
      <c r="A986" s="49" t="str">
        <f t="shared" si="84"/>
        <v>37</v>
      </c>
      <c r="B986" s="27">
        <v>68338</v>
      </c>
      <c r="C986" s="25" t="str">
        <f>TEXT(101204,"0000000")</f>
        <v>0101204</v>
      </c>
      <c r="D986" s="26" t="s">
        <v>2179</v>
      </c>
      <c r="E986" s="25" t="s">
        <v>2177</v>
      </c>
      <c r="F986" s="25" t="s">
        <v>5</v>
      </c>
      <c r="G986" s="59" t="s">
        <v>2178</v>
      </c>
      <c r="H986" s="60">
        <v>0</v>
      </c>
      <c r="I986" s="60">
        <v>0</v>
      </c>
      <c r="J986" s="60">
        <v>0</v>
      </c>
      <c r="K986" s="60">
        <v>0</v>
      </c>
      <c r="L986" s="60">
        <v>0</v>
      </c>
      <c r="M986" s="60">
        <v>0</v>
      </c>
      <c r="N986" s="60">
        <v>0</v>
      </c>
      <c r="O986" s="60">
        <v>0</v>
      </c>
      <c r="P986" s="60">
        <v>0</v>
      </c>
      <c r="Q986" s="60">
        <v>0</v>
      </c>
      <c r="R986" s="60">
        <v>0</v>
      </c>
      <c r="S986" s="60">
        <v>0</v>
      </c>
      <c r="T986" s="60">
        <v>0</v>
      </c>
      <c r="U986" s="60">
        <v>0</v>
      </c>
      <c r="V986" s="60">
        <v>0</v>
      </c>
      <c r="W986" s="60">
        <v>0</v>
      </c>
      <c r="X986" s="60">
        <v>0</v>
      </c>
      <c r="Y986" s="60">
        <v>0</v>
      </c>
      <c r="Z986" s="60">
        <v>0</v>
      </c>
      <c r="AA986" s="60">
        <v>0</v>
      </c>
      <c r="AB986" s="60">
        <v>0</v>
      </c>
      <c r="AC986" s="60">
        <v>301.89999999999998</v>
      </c>
      <c r="AD986" s="60">
        <v>289.94</v>
      </c>
      <c r="AE986" s="60">
        <v>323.18</v>
      </c>
      <c r="AF986" s="60">
        <v>0</v>
      </c>
      <c r="AG986" s="60">
        <v>0</v>
      </c>
      <c r="AH986" s="60">
        <v>0</v>
      </c>
      <c r="AI986" s="60">
        <v>301.89999999999998</v>
      </c>
      <c r="AJ986" s="60">
        <v>289.94</v>
      </c>
      <c r="AK986" s="60">
        <v>323.18</v>
      </c>
      <c r="AL986" s="60">
        <v>0</v>
      </c>
      <c r="AM986" s="60">
        <v>0</v>
      </c>
      <c r="AN986" s="60">
        <v>0</v>
      </c>
      <c r="AO986" s="60">
        <v>301.89999999999998</v>
      </c>
      <c r="AP986" s="60">
        <v>289.94</v>
      </c>
      <c r="AQ986" s="60">
        <v>323.18</v>
      </c>
      <c r="AR986" s="61">
        <v>323.18</v>
      </c>
    </row>
    <row r="987" spans="1:44" x14ac:dyDescent="0.35">
      <c r="A987" s="49" t="str">
        <f t="shared" si="84"/>
        <v>37</v>
      </c>
      <c r="B987" s="27">
        <v>68338</v>
      </c>
      <c r="C987" s="25" t="str">
        <f>TEXT(101345,"0000000")</f>
        <v>0101345</v>
      </c>
      <c r="D987" s="26" t="s">
        <v>2182</v>
      </c>
      <c r="E987" s="25" t="s">
        <v>2180</v>
      </c>
      <c r="F987" s="25" t="s">
        <v>5</v>
      </c>
      <c r="G987" s="59" t="s">
        <v>2181</v>
      </c>
      <c r="H987" s="60">
        <v>0</v>
      </c>
      <c r="I987" s="60">
        <v>0</v>
      </c>
      <c r="J987" s="60">
        <v>0</v>
      </c>
      <c r="K987" s="60">
        <v>0</v>
      </c>
      <c r="L987" s="60">
        <v>0</v>
      </c>
      <c r="M987" s="60">
        <v>0</v>
      </c>
      <c r="N987" s="60">
        <v>0</v>
      </c>
      <c r="O987" s="60">
        <v>0</v>
      </c>
      <c r="P987" s="60">
        <v>0</v>
      </c>
      <c r="Q987" s="60">
        <v>0</v>
      </c>
      <c r="R987" s="60">
        <v>0</v>
      </c>
      <c r="S987" s="60">
        <v>0</v>
      </c>
      <c r="T987" s="60">
        <v>0</v>
      </c>
      <c r="U987" s="60">
        <v>0</v>
      </c>
      <c r="V987" s="60">
        <v>0</v>
      </c>
      <c r="W987" s="60">
        <v>0</v>
      </c>
      <c r="X987" s="60">
        <v>0</v>
      </c>
      <c r="Y987" s="60">
        <v>0</v>
      </c>
      <c r="Z987" s="60">
        <v>0</v>
      </c>
      <c r="AA987" s="60">
        <v>0</v>
      </c>
      <c r="AB987" s="60">
        <v>0</v>
      </c>
      <c r="AC987" s="60">
        <v>304.8</v>
      </c>
      <c r="AD987" s="60">
        <v>310.45</v>
      </c>
      <c r="AE987" s="60">
        <v>294.2</v>
      </c>
      <c r="AF987" s="60">
        <v>0</v>
      </c>
      <c r="AG987" s="60">
        <v>0</v>
      </c>
      <c r="AH987" s="60">
        <v>0</v>
      </c>
      <c r="AI987" s="60">
        <v>304.8</v>
      </c>
      <c r="AJ987" s="60">
        <v>310.45</v>
      </c>
      <c r="AK987" s="60">
        <v>294.2</v>
      </c>
      <c r="AL987" s="60">
        <v>0</v>
      </c>
      <c r="AM987" s="60">
        <v>0</v>
      </c>
      <c r="AN987" s="60">
        <v>0</v>
      </c>
      <c r="AO987" s="60">
        <v>304.8</v>
      </c>
      <c r="AP987" s="60">
        <v>310.45</v>
      </c>
      <c r="AQ987" s="60">
        <v>294.2</v>
      </c>
      <c r="AR987" s="61">
        <v>310.45</v>
      </c>
    </row>
    <row r="988" spans="1:44" x14ac:dyDescent="0.35">
      <c r="A988" s="49" t="str">
        <f t="shared" si="84"/>
        <v>37</v>
      </c>
      <c r="B988" s="27">
        <v>68338</v>
      </c>
      <c r="C988" s="25" t="str">
        <f>TEXT(106732,"0000000")</f>
        <v>0106732</v>
      </c>
      <c r="D988" s="26" t="s">
        <v>2185</v>
      </c>
      <c r="E988" s="25" t="s">
        <v>2183</v>
      </c>
      <c r="F988" s="25" t="s">
        <v>5</v>
      </c>
      <c r="G988" s="59" t="s">
        <v>2184</v>
      </c>
      <c r="H988" s="60">
        <v>0</v>
      </c>
      <c r="I988" s="60">
        <v>0</v>
      </c>
      <c r="J988" s="60">
        <v>0</v>
      </c>
      <c r="K988" s="60">
        <v>0</v>
      </c>
      <c r="L988" s="60">
        <v>0</v>
      </c>
      <c r="M988" s="60">
        <v>0</v>
      </c>
      <c r="N988" s="60">
        <v>0</v>
      </c>
      <c r="O988" s="60">
        <v>0</v>
      </c>
      <c r="P988" s="60">
        <v>0</v>
      </c>
      <c r="Q988" s="60">
        <v>0</v>
      </c>
      <c r="R988" s="60">
        <v>0</v>
      </c>
      <c r="S988" s="60">
        <v>0</v>
      </c>
      <c r="T988" s="60">
        <v>0</v>
      </c>
      <c r="U988" s="60">
        <v>0</v>
      </c>
      <c r="V988" s="60">
        <v>0</v>
      </c>
      <c r="W988" s="60">
        <v>0</v>
      </c>
      <c r="X988" s="60">
        <v>0</v>
      </c>
      <c r="Y988" s="60">
        <v>0</v>
      </c>
      <c r="Z988" s="60">
        <v>0</v>
      </c>
      <c r="AA988" s="60">
        <v>0</v>
      </c>
      <c r="AB988" s="60">
        <v>0</v>
      </c>
      <c r="AC988" s="60">
        <v>362.51</v>
      </c>
      <c r="AD988" s="60">
        <v>364.87</v>
      </c>
      <c r="AE988" s="60">
        <v>367.74</v>
      </c>
      <c r="AF988" s="60">
        <v>0</v>
      </c>
      <c r="AG988" s="60">
        <v>0</v>
      </c>
      <c r="AH988" s="60">
        <v>0</v>
      </c>
      <c r="AI988" s="60">
        <v>362.51</v>
      </c>
      <c r="AJ988" s="60">
        <v>364.87</v>
      </c>
      <c r="AK988" s="60">
        <v>367.74</v>
      </c>
      <c r="AL988" s="60">
        <v>0</v>
      </c>
      <c r="AM988" s="60">
        <v>0</v>
      </c>
      <c r="AN988" s="60">
        <v>0</v>
      </c>
      <c r="AO988" s="60">
        <v>362.51</v>
      </c>
      <c r="AP988" s="60">
        <v>364.87</v>
      </c>
      <c r="AQ988" s="60">
        <v>367.74</v>
      </c>
      <c r="AR988" s="61">
        <v>367.74</v>
      </c>
    </row>
    <row r="989" spans="1:44" x14ac:dyDescent="0.35">
      <c r="A989" s="49" t="str">
        <f t="shared" si="84"/>
        <v>37</v>
      </c>
      <c r="B989" s="27">
        <v>68338</v>
      </c>
      <c r="C989" s="25" t="str">
        <f>TEXT(106799,"0000000")</f>
        <v>0106799</v>
      </c>
      <c r="D989" s="26" t="s">
        <v>2188</v>
      </c>
      <c r="E989" s="25" t="s">
        <v>2186</v>
      </c>
      <c r="F989" s="25" t="s">
        <v>5</v>
      </c>
      <c r="G989" s="59" t="s">
        <v>2187</v>
      </c>
      <c r="H989" s="60">
        <v>0</v>
      </c>
      <c r="I989" s="60">
        <v>0</v>
      </c>
      <c r="J989" s="60">
        <v>0</v>
      </c>
      <c r="K989" s="60">
        <v>0</v>
      </c>
      <c r="L989" s="60">
        <v>0</v>
      </c>
      <c r="M989" s="60">
        <v>0</v>
      </c>
      <c r="N989" s="60">
        <v>0</v>
      </c>
      <c r="O989" s="60">
        <v>0</v>
      </c>
      <c r="P989" s="60">
        <v>0</v>
      </c>
      <c r="Q989" s="60">
        <v>0</v>
      </c>
      <c r="R989" s="60">
        <v>0</v>
      </c>
      <c r="S989" s="60">
        <v>0</v>
      </c>
      <c r="T989" s="60">
        <v>0</v>
      </c>
      <c r="U989" s="60">
        <v>0</v>
      </c>
      <c r="V989" s="60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167.88</v>
      </c>
      <c r="AD989" s="60">
        <v>169.45</v>
      </c>
      <c r="AE989" s="60">
        <v>212.2</v>
      </c>
      <c r="AF989" s="60">
        <v>0</v>
      </c>
      <c r="AG989" s="60">
        <v>0</v>
      </c>
      <c r="AH989" s="60">
        <v>0</v>
      </c>
      <c r="AI989" s="60">
        <v>167.88</v>
      </c>
      <c r="AJ989" s="60">
        <v>169.45</v>
      </c>
      <c r="AK989" s="60">
        <v>212.2</v>
      </c>
      <c r="AL989" s="60">
        <v>0</v>
      </c>
      <c r="AM989" s="60">
        <v>0</v>
      </c>
      <c r="AN989" s="60">
        <v>0</v>
      </c>
      <c r="AO989" s="60">
        <v>167.88</v>
      </c>
      <c r="AP989" s="60">
        <v>169.45</v>
      </c>
      <c r="AQ989" s="60">
        <v>212.2</v>
      </c>
      <c r="AR989" s="61">
        <v>212.2</v>
      </c>
    </row>
    <row r="990" spans="1:44" x14ac:dyDescent="0.35">
      <c r="A990" s="49" t="str">
        <f t="shared" si="84"/>
        <v>37</v>
      </c>
      <c r="B990" s="27">
        <v>68338</v>
      </c>
      <c r="C990" s="25" t="str">
        <f>TEXT(107573,"0000000")</f>
        <v>0107573</v>
      </c>
      <c r="D990" s="26" t="s">
        <v>2191</v>
      </c>
      <c r="E990" s="25" t="s">
        <v>2189</v>
      </c>
      <c r="F990" s="25" t="s">
        <v>5</v>
      </c>
      <c r="G990" s="59" t="s">
        <v>2190</v>
      </c>
      <c r="H990" s="60">
        <v>0</v>
      </c>
      <c r="I990" s="60">
        <v>0</v>
      </c>
      <c r="J990" s="60">
        <v>0</v>
      </c>
      <c r="K990" s="60">
        <v>0</v>
      </c>
      <c r="L990" s="60">
        <v>0</v>
      </c>
      <c r="M990" s="60">
        <v>0</v>
      </c>
      <c r="N990" s="60">
        <v>0</v>
      </c>
      <c r="O990" s="60">
        <v>0</v>
      </c>
      <c r="P990" s="60">
        <v>0</v>
      </c>
      <c r="Q990" s="60">
        <v>0</v>
      </c>
      <c r="R990" s="60">
        <v>0</v>
      </c>
      <c r="S990" s="60">
        <v>0</v>
      </c>
      <c r="T990" s="60">
        <v>0</v>
      </c>
      <c r="U990" s="60">
        <v>0</v>
      </c>
      <c r="V990" s="60">
        <v>0</v>
      </c>
      <c r="W990" s="60">
        <v>0</v>
      </c>
      <c r="X990" s="60">
        <v>0</v>
      </c>
      <c r="Y990" s="60">
        <v>0</v>
      </c>
      <c r="Z990" s="60">
        <v>0</v>
      </c>
      <c r="AA990" s="60">
        <v>0</v>
      </c>
      <c r="AB990" s="60">
        <v>0</v>
      </c>
      <c r="AC990" s="60">
        <v>310.89999999999998</v>
      </c>
      <c r="AD990" s="60">
        <v>308.23</v>
      </c>
      <c r="AE990" s="60">
        <v>314.25</v>
      </c>
      <c r="AF990" s="60">
        <v>0</v>
      </c>
      <c r="AG990" s="60">
        <v>0</v>
      </c>
      <c r="AH990" s="60">
        <v>0</v>
      </c>
      <c r="AI990" s="60">
        <v>310.89999999999998</v>
      </c>
      <c r="AJ990" s="60">
        <v>308.23</v>
      </c>
      <c r="AK990" s="60">
        <v>314.25</v>
      </c>
      <c r="AL990" s="60">
        <v>0</v>
      </c>
      <c r="AM990" s="60">
        <v>0</v>
      </c>
      <c r="AN990" s="60">
        <v>0</v>
      </c>
      <c r="AO990" s="60">
        <v>310.89999999999998</v>
      </c>
      <c r="AP990" s="60">
        <v>308.23</v>
      </c>
      <c r="AQ990" s="60">
        <v>314.25</v>
      </c>
      <c r="AR990" s="61">
        <v>314.25</v>
      </c>
    </row>
    <row r="991" spans="1:44" ht="31" x14ac:dyDescent="0.35">
      <c r="A991" s="49" t="str">
        <f>TEXT(1,"00")</f>
        <v>01</v>
      </c>
      <c r="B991" s="27">
        <v>61259</v>
      </c>
      <c r="C991" s="25" t="str">
        <f>TEXT(118224,"0000000")</f>
        <v>0118224</v>
      </c>
      <c r="D991" s="27">
        <v>1023</v>
      </c>
      <c r="E991" s="25" t="s">
        <v>108</v>
      </c>
      <c r="F991" s="25" t="s">
        <v>5</v>
      </c>
      <c r="G991" s="59" t="s">
        <v>109</v>
      </c>
      <c r="H991" s="60">
        <v>0</v>
      </c>
      <c r="I991" s="60">
        <v>0</v>
      </c>
      <c r="J991" s="60">
        <v>0</v>
      </c>
      <c r="K991" s="60">
        <v>0</v>
      </c>
      <c r="L991" s="60">
        <v>0</v>
      </c>
      <c r="M991" s="60">
        <v>0</v>
      </c>
      <c r="N991" s="60">
        <v>0</v>
      </c>
      <c r="O991" s="60">
        <v>0</v>
      </c>
      <c r="P991" s="60">
        <v>0</v>
      </c>
      <c r="Q991" s="60">
        <v>0</v>
      </c>
      <c r="R991" s="60">
        <v>0</v>
      </c>
      <c r="S991" s="60">
        <v>0</v>
      </c>
      <c r="T991" s="60">
        <v>0</v>
      </c>
      <c r="U991" s="60">
        <v>0</v>
      </c>
      <c r="V991" s="60">
        <v>0</v>
      </c>
      <c r="W991" s="60">
        <v>0</v>
      </c>
      <c r="X991" s="60">
        <v>0</v>
      </c>
      <c r="Y991" s="60">
        <v>0</v>
      </c>
      <c r="Z991" s="60">
        <v>0</v>
      </c>
      <c r="AA991" s="60">
        <v>0</v>
      </c>
      <c r="AB991" s="60">
        <v>0</v>
      </c>
      <c r="AC991" s="60">
        <v>398.33</v>
      </c>
      <c r="AD991" s="60">
        <v>469.35</v>
      </c>
      <c r="AE991" s="60">
        <v>572.9</v>
      </c>
      <c r="AF991" s="60">
        <v>0</v>
      </c>
      <c r="AG991" s="60">
        <v>0</v>
      </c>
      <c r="AH991" s="60">
        <v>0</v>
      </c>
      <c r="AI991" s="60">
        <v>398.33</v>
      </c>
      <c r="AJ991" s="60">
        <v>469.35</v>
      </c>
      <c r="AK991" s="60">
        <v>572.9</v>
      </c>
      <c r="AL991" s="60">
        <v>0</v>
      </c>
      <c r="AM991" s="60">
        <v>0</v>
      </c>
      <c r="AN991" s="60">
        <v>0</v>
      </c>
      <c r="AO991" s="60">
        <v>398.33</v>
      </c>
      <c r="AP991" s="60">
        <v>469.35</v>
      </c>
      <c r="AQ991" s="60">
        <v>572.9</v>
      </c>
      <c r="AR991" s="61">
        <v>572.9</v>
      </c>
    </row>
    <row r="992" spans="1:44" x14ac:dyDescent="0.35">
      <c r="A992" s="49" t="str">
        <f t="shared" ref="A992:A1001" si="85">TEXT(37,"00")</f>
        <v>37</v>
      </c>
      <c r="B992" s="27">
        <v>68338</v>
      </c>
      <c r="C992" s="25" t="str">
        <f>TEXT(108787,"0000000")</f>
        <v>0108787</v>
      </c>
      <c r="D992" s="26" t="s">
        <v>2194</v>
      </c>
      <c r="E992" s="25" t="s">
        <v>2192</v>
      </c>
      <c r="F992" s="25" t="s">
        <v>5</v>
      </c>
      <c r="G992" s="59" t="s">
        <v>2193</v>
      </c>
      <c r="H992" s="60">
        <v>0</v>
      </c>
      <c r="I992" s="60">
        <v>0</v>
      </c>
      <c r="J992" s="60">
        <v>0</v>
      </c>
      <c r="K992" s="60">
        <v>0</v>
      </c>
      <c r="L992" s="60">
        <v>0</v>
      </c>
      <c r="M992" s="60">
        <v>0</v>
      </c>
      <c r="N992" s="60">
        <v>0</v>
      </c>
      <c r="O992" s="60">
        <v>0</v>
      </c>
      <c r="P992" s="60">
        <v>0</v>
      </c>
      <c r="Q992" s="60">
        <v>0</v>
      </c>
      <c r="R992" s="60">
        <v>0</v>
      </c>
      <c r="S992" s="60">
        <v>0</v>
      </c>
      <c r="T992" s="60">
        <v>0</v>
      </c>
      <c r="U992" s="60">
        <v>0</v>
      </c>
      <c r="V992" s="60">
        <v>0</v>
      </c>
      <c r="W992" s="60">
        <v>0</v>
      </c>
      <c r="X992" s="60">
        <v>0</v>
      </c>
      <c r="Y992" s="60">
        <v>0</v>
      </c>
      <c r="Z992" s="60">
        <v>0</v>
      </c>
      <c r="AA992" s="60">
        <v>0</v>
      </c>
      <c r="AB992" s="60">
        <v>0</v>
      </c>
      <c r="AC992" s="60">
        <v>352.98</v>
      </c>
      <c r="AD992" s="60">
        <v>353.34</v>
      </c>
      <c r="AE992" s="60">
        <v>372.34</v>
      </c>
      <c r="AF992" s="60">
        <v>0</v>
      </c>
      <c r="AG992" s="60">
        <v>0</v>
      </c>
      <c r="AH992" s="60">
        <v>0</v>
      </c>
      <c r="AI992" s="60">
        <v>352.98</v>
      </c>
      <c r="AJ992" s="60">
        <v>353.34</v>
      </c>
      <c r="AK992" s="60">
        <v>372.34</v>
      </c>
      <c r="AL992" s="60">
        <v>0</v>
      </c>
      <c r="AM992" s="60">
        <v>0</v>
      </c>
      <c r="AN992" s="60">
        <v>0</v>
      </c>
      <c r="AO992" s="60">
        <v>352.98</v>
      </c>
      <c r="AP992" s="60">
        <v>353.34</v>
      </c>
      <c r="AQ992" s="60">
        <v>372.34</v>
      </c>
      <c r="AR992" s="61">
        <v>372.34</v>
      </c>
    </row>
    <row r="993" spans="1:44" x14ac:dyDescent="0.35">
      <c r="A993" s="49" t="str">
        <f t="shared" si="85"/>
        <v>37</v>
      </c>
      <c r="B993" s="27">
        <v>68338</v>
      </c>
      <c r="C993" s="25" t="str">
        <f>TEXT(109033,"0000000")</f>
        <v>0109033</v>
      </c>
      <c r="D993" s="26" t="s">
        <v>2197</v>
      </c>
      <c r="E993" s="25" t="s">
        <v>2195</v>
      </c>
      <c r="F993" s="25" t="s">
        <v>5</v>
      </c>
      <c r="G993" s="59" t="s">
        <v>2196</v>
      </c>
      <c r="H993" s="60">
        <v>0</v>
      </c>
      <c r="I993" s="60">
        <v>0</v>
      </c>
      <c r="J993" s="60">
        <v>0</v>
      </c>
      <c r="K993" s="60">
        <v>0</v>
      </c>
      <c r="L993" s="60">
        <v>0</v>
      </c>
      <c r="M993" s="60">
        <v>0</v>
      </c>
      <c r="N993" s="60">
        <v>0</v>
      </c>
      <c r="O993" s="60">
        <v>0</v>
      </c>
      <c r="P993" s="60">
        <v>0</v>
      </c>
      <c r="Q993" s="60">
        <v>0</v>
      </c>
      <c r="R993" s="60">
        <v>0</v>
      </c>
      <c r="S993" s="60">
        <v>0</v>
      </c>
      <c r="T993" s="60">
        <v>0</v>
      </c>
      <c r="U993" s="60">
        <v>0</v>
      </c>
      <c r="V993" s="60">
        <v>0</v>
      </c>
      <c r="W993" s="60">
        <v>0</v>
      </c>
      <c r="X993" s="60">
        <v>0</v>
      </c>
      <c r="Y993" s="60">
        <v>0</v>
      </c>
      <c r="Z993" s="60">
        <v>0</v>
      </c>
      <c r="AA993" s="60">
        <v>0</v>
      </c>
      <c r="AB993" s="60">
        <v>0</v>
      </c>
      <c r="AC993" s="60">
        <v>166.37</v>
      </c>
      <c r="AD993" s="60">
        <v>212.26</v>
      </c>
      <c r="AE993" s="60">
        <v>256.89999999999998</v>
      </c>
      <c r="AF993" s="60">
        <v>0</v>
      </c>
      <c r="AG993" s="60">
        <v>0</v>
      </c>
      <c r="AH993" s="60">
        <v>0</v>
      </c>
      <c r="AI993" s="60">
        <v>166.37</v>
      </c>
      <c r="AJ993" s="60">
        <v>212.26</v>
      </c>
      <c r="AK993" s="60">
        <v>256.89999999999998</v>
      </c>
      <c r="AL993" s="60">
        <v>0</v>
      </c>
      <c r="AM993" s="60">
        <v>0</v>
      </c>
      <c r="AN993" s="60">
        <v>0</v>
      </c>
      <c r="AO993" s="60">
        <v>166.37</v>
      </c>
      <c r="AP993" s="60">
        <v>212.26</v>
      </c>
      <c r="AQ993" s="60">
        <v>256.89999999999998</v>
      </c>
      <c r="AR993" s="61">
        <v>256.89999999999998</v>
      </c>
    </row>
    <row r="994" spans="1:44" x14ac:dyDescent="0.35">
      <c r="A994" s="49" t="str">
        <f t="shared" si="85"/>
        <v>37</v>
      </c>
      <c r="B994" s="27">
        <v>68338</v>
      </c>
      <c r="C994" s="25" t="str">
        <f>TEXT(109157,"0000000")</f>
        <v>0109157</v>
      </c>
      <c r="D994" s="26" t="s">
        <v>2200</v>
      </c>
      <c r="E994" s="25" t="s">
        <v>2198</v>
      </c>
      <c r="F994" s="25" t="s">
        <v>5</v>
      </c>
      <c r="G994" s="59" t="s">
        <v>2199</v>
      </c>
      <c r="H994" s="60">
        <v>0</v>
      </c>
      <c r="I994" s="60">
        <v>0</v>
      </c>
      <c r="J994" s="60">
        <v>0</v>
      </c>
      <c r="K994" s="60">
        <v>0</v>
      </c>
      <c r="L994" s="60">
        <v>0</v>
      </c>
      <c r="M994" s="60">
        <v>0</v>
      </c>
      <c r="N994" s="60">
        <v>0</v>
      </c>
      <c r="O994" s="60">
        <v>0</v>
      </c>
      <c r="P994" s="60">
        <v>0</v>
      </c>
      <c r="Q994" s="60">
        <v>0</v>
      </c>
      <c r="R994" s="60">
        <v>0</v>
      </c>
      <c r="S994" s="60">
        <v>0</v>
      </c>
      <c r="T994" s="60">
        <v>0</v>
      </c>
      <c r="U994" s="60">
        <v>0</v>
      </c>
      <c r="V994" s="60">
        <v>0</v>
      </c>
      <c r="W994" s="60">
        <v>0</v>
      </c>
      <c r="X994" s="60">
        <v>0</v>
      </c>
      <c r="Y994" s="60">
        <v>0</v>
      </c>
      <c r="Z994" s="60">
        <v>0</v>
      </c>
      <c r="AA994" s="60">
        <v>0</v>
      </c>
      <c r="AB994" s="60">
        <v>0</v>
      </c>
      <c r="AC994" s="60">
        <v>389.96</v>
      </c>
      <c r="AD994" s="60">
        <v>392.11</v>
      </c>
      <c r="AE994" s="60">
        <v>421.2</v>
      </c>
      <c r="AF994" s="60">
        <v>0</v>
      </c>
      <c r="AG994" s="60">
        <v>0</v>
      </c>
      <c r="AH994" s="60">
        <v>0</v>
      </c>
      <c r="AI994" s="60">
        <v>389.96</v>
      </c>
      <c r="AJ994" s="60">
        <v>392.11</v>
      </c>
      <c r="AK994" s="60">
        <v>421.2</v>
      </c>
      <c r="AL994" s="60">
        <v>0</v>
      </c>
      <c r="AM994" s="60">
        <v>0</v>
      </c>
      <c r="AN994" s="60">
        <v>0</v>
      </c>
      <c r="AO994" s="60">
        <v>389.96</v>
      </c>
      <c r="AP994" s="60">
        <v>392.11</v>
      </c>
      <c r="AQ994" s="60">
        <v>421.2</v>
      </c>
      <c r="AR994" s="61">
        <v>421.2</v>
      </c>
    </row>
    <row r="995" spans="1:44" x14ac:dyDescent="0.35">
      <c r="A995" s="49" t="str">
        <f t="shared" si="85"/>
        <v>37</v>
      </c>
      <c r="B995" s="27">
        <v>68338</v>
      </c>
      <c r="C995" s="25" t="str">
        <f>TEXT(111898,"0000000")</f>
        <v>0111898</v>
      </c>
      <c r="D995" s="26" t="s">
        <v>2203</v>
      </c>
      <c r="E995" s="25" t="s">
        <v>2201</v>
      </c>
      <c r="F995" s="25" t="s">
        <v>5</v>
      </c>
      <c r="G995" s="59" t="s">
        <v>2202</v>
      </c>
      <c r="H995" s="60">
        <v>0</v>
      </c>
      <c r="I995" s="60">
        <v>0</v>
      </c>
      <c r="J995" s="60">
        <v>0</v>
      </c>
      <c r="K995" s="60">
        <v>0</v>
      </c>
      <c r="L995" s="60">
        <v>0</v>
      </c>
      <c r="M995" s="60">
        <v>0</v>
      </c>
      <c r="N995" s="60">
        <v>0</v>
      </c>
      <c r="O995" s="60">
        <v>0</v>
      </c>
      <c r="P995" s="60">
        <v>0</v>
      </c>
      <c r="Q995" s="60">
        <v>0</v>
      </c>
      <c r="R995" s="60">
        <v>0</v>
      </c>
      <c r="S995" s="60">
        <v>0</v>
      </c>
      <c r="T995" s="60">
        <v>0</v>
      </c>
      <c r="U995" s="60">
        <v>0</v>
      </c>
      <c r="V995" s="60">
        <v>0</v>
      </c>
      <c r="W995" s="60">
        <v>0</v>
      </c>
      <c r="X995" s="60">
        <v>0</v>
      </c>
      <c r="Y995" s="60">
        <v>0</v>
      </c>
      <c r="Z995" s="60">
        <v>0</v>
      </c>
      <c r="AA995" s="60">
        <v>0</v>
      </c>
      <c r="AB995" s="60">
        <v>0</v>
      </c>
      <c r="AC995" s="60">
        <v>1348.03</v>
      </c>
      <c r="AD995" s="60">
        <v>1319.26</v>
      </c>
      <c r="AE995" s="60">
        <v>579.80999999999995</v>
      </c>
      <c r="AF995" s="60">
        <v>0</v>
      </c>
      <c r="AG995" s="60">
        <v>0</v>
      </c>
      <c r="AH995" s="60">
        <v>0</v>
      </c>
      <c r="AI995" s="60">
        <v>1348.03</v>
      </c>
      <c r="AJ995" s="60">
        <v>1319.26</v>
      </c>
      <c r="AK995" s="60">
        <v>579.80999999999995</v>
      </c>
      <c r="AL995" s="60">
        <v>0</v>
      </c>
      <c r="AM995" s="60">
        <v>0</v>
      </c>
      <c r="AN995" s="60">
        <v>0</v>
      </c>
      <c r="AO995" s="60">
        <v>1348.03</v>
      </c>
      <c r="AP995" s="60">
        <v>1319.26</v>
      </c>
      <c r="AQ995" s="60">
        <v>579.80999999999995</v>
      </c>
      <c r="AR995" s="61">
        <v>1348.03</v>
      </c>
    </row>
    <row r="996" spans="1:44" x14ac:dyDescent="0.35">
      <c r="A996" s="49" t="str">
        <f t="shared" si="85"/>
        <v>37</v>
      </c>
      <c r="B996" s="27">
        <v>68338</v>
      </c>
      <c r="C996" s="25" t="str">
        <f>TEXT(111906,"0000000")</f>
        <v>0111906</v>
      </c>
      <c r="D996" s="26" t="s">
        <v>2206</v>
      </c>
      <c r="E996" s="25" t="s">
        <v>2204</v>
      </c>
      <c r="F996" s="25" t="s">
        <v>5</v>
      </c>
      <c r="G996" s="59" t="s">
        <v>2205</v>
      </c>
      <c r="H996" s="60">
        <v>0</v>
      </c>
      <c r="I996" s="60">
        <v>0</v>
      </c>
      <c r="J996" s="60">
        <v>0</v>
      </c>
      <c r="K996" s="60">
        <v>0</v>
      </c>
      <c r="L996" s="60">
        <v>0</v>
      </c>
      <c r="M996" s="60">
        <v>0</v>
      </c>
      <c r="N996" s="60">
        <v>0</v>
      </c>
      <c r="O996" s="60">
        <v>0</v>
      </c>
      <c r="P996" s="60">
        <v>0</v>
      </c>
      <c r="Q996" s="60">
        <v>0</v>
      </c>
      <c r="R996" s="60">
        <v>0</v>
      </c>
      <c r="S996" s="60">
        <v>0</v>
      </c>
      <c r="T996" s="60">
        <v>0</v>
      </c>
      <c r="U996" s="60">
        <v>0</v>
      </c>
      <c r="V996" s="60">
        <v>0</v>
      </c>
      <c r="W996" s="60">
        <v>0</v>
      </c>
      <c r="X996" s="60">
        <v>0</v>
      </c>
      <c r="Y996" s="60">
        <v>0</v>
      </c>
      <c r="Z996" s="60">
        <v>0</v>
      </c>
      <c r="AA996" s="60">
        <v>0</v>
      </c>
      <c r="AB996" s="60">
        <v>0</v>
      </c>
      <c r="AC996" s="60">
        <v>241.43</v>
      </c>
      <c r="AD996" s="60">
        <v>269.62</v>
      </c>
      <c r="AE996" s="60">
        <v>340.29</v>
      </c>
      <c r="AF996" s="60">
        <v>0</v>
      </c>
      <c r="AG996" s="60">
        <v>0</v>
      </c>
      <c r="AH996" s="60">
        <v>0</v>
      </c>
      <c r="AI996" s="60">
        <v>241.43</v>
      </c>
      <c r="AJ996" s="60">
        <v>269.62</v>
      </c>
      <c r="AK996" s="60">
        <v>340.29</v>
      </c>
      <c r="AL996" s="60">
        <v>0</v>
      </c>
      <c r="AM996" s="60">
        <v>0</v>
      </c>
      <c r="AN996" s="60">
        <v>0</v>
      </c>
      <c r="AO996" s="60">
        <v>241.43</v>
      </c>
      <c r="AP996" s="60">
        <v>269.62</v>
      </c>
      <c r="AQ996" s="60">
        <v>340.29</v>
      </c>
      <c r="AR996" s="61">
        <v>340.29</v>
      </c>
    </row>
    <row r="997" spans="1:44" x14ac:dyDescent="0.35">
      <c r="A997" s="49" t="str">
        <f t="shared" si="85"/>
        <v>37</v>
      </c>
      <c r="B997" s="27">
        <v>68338</v>
      </c>
      <c r="C997" s="25" t="str">
        <f>TEXT(118083,"0000000")</f>
        <v>0118083</v>
      </c>
      <c r="D997" s="27">
        <v>1024</v>
      </c>
      <c r="E997" s="25" t="s">
        <v>2210</v>
      </c>
      <c r="F997" s="25" t="s">
        <v>5</v>
      </c>
      <c r="G997" s="59" t="s">
        <v>2211</v>
      </c>
      <c r="H997" s="60">
        <v>0</v>
      </c>
      <c r="I997" s="60">
        <v>0</v>
      </c>
      <c r="J997" s="60">
        <v>0</v>
      </c>
      <c r="K997" s="60">
        <v>0</v>
      </c>
      <c r="L997" s="60">
        <v>0</v>
      </c>
      <c r="M997" s="60">
        <v>0</v>
      </c>
      <c r="N997" s="60">
        <v>0</v>
      </c>
      <c r="O997" s="60">
        <v>0</v>
      </c>
      <c r="P997" s="60">
        <v>0</v>
      </c>
      <c r="Q997" s="60">
        <v>0</v>
      </c>
      <c r="R997" s="60">
        <v>0</v>
      </c>
      <c r="S997" s="60">
        <v>0</v>
      </c>
      <c r="T997" s="60">
        <v>0</v>
      </c>
      <c r="U997" s="60">
        <v>0</v>
      </c>
      <c r="V997" s="60">
        <v>0</v>
      </c>
      <c r="W997" s="60">
        <v>0</v>
      </c>
      <c r="X997" s="60">
        <v>0</v>
      </c>
      <c r="Y997" s="60">
        <v>0</v>
      </c>
      <c r="Z997" s="60">
        <v>0</v>
      </c>
      <c r="AA997" s="60">
        <v>0</v>
      </c>
      <c r="AB997" s="60">
        <v>0</v>
      </c>
      <c r="AC997" s="60">
        <v>440.39</v>
      </c>
      <c r="AD997" s="60">
        <v>456.95</v>
      </c>
      <c r="AE997" s="60">
        <v>393.5</v>
      </c>
      <c r="AF997" s="60">
        <v>0</v>
      </c>
      <c r="AG997" s="60">
        <v>0</v>
      </c>
      <c r="AH997" s="60">
        <v>0</v>
      </c>
      <c r="AI997" s="60">
        <v>440.39</v>
      </c>
      <c r="AJ997" s="60">
        <v>456.95</v>
      </c>
      <c r="AK997" s="60">
        <v>393.5</v>
      </c>
      <c r="AL997" s="60">
        <v>0</v>
      </c>
      <c r="AM997" s="60">
        <v>0</v>
      </c>
      <c r="AN997" s="60">
        <v>0</v>
      </c>
      <c r="AO997" s="60">
        <v>440.39</v>
      </c>
      <c r="AP997" s="60">
        <v>456.95</v>
      </c>
      <c r="AQ997" s="60">
        <v>393.5</v>
      </c>
      <c r="AR997" s="61">
        <v>456.95</v>
      </c>
    </row>
    <row r="998" spans="1:44" x14ac:dyDescent="0.35">
      <c r="A998" s="49" t="str">
        <f t="shared" si="85"/>
        <v>37</v>
      </c>
      <c r="B998" s="27">
        <v>68338</v>
      </c>
      <c r="C998" s="25" t="str">
        <f>TEXT(118851,"0000000")</f>
        <v>0118851</v>
      </c>
      <c r="D998" s="27">
        <v>1015</v>
      </c>
      <c r="E998" s="25" t="s">
        <v>2212</v>
      </c>
      <c r="F998" s="25" t="s">
        <v>5</v>
      </c>
      <c r="G998" s="59" t="s">
        <v>2213</v>
      </c>
      <c r="H998" s="60">
        <v>0</v>
      </c>
      <c r="I998" s="60">
        <v>0</v>
      </c>
      <c r="J998" s="60">
        <v>0</v>
      </c>
      <c r="K998" s="60">
        <v>0</v>
      </c>
      <c r="L998" s="60">
        <v>0</v>
      </c>
      <c r="M998" s="60">
        <v>0</v>
      </c>
      <c r="N998" s="60">
        <v>0</v>
      </c>
      <c r="O998" s="60">
        <v>0</v>
      </c>
      <c r="P998" s="60">
        <v>0</v>
      </c>
      <c r="Q998" s="60">
        <v>0</v>
      </c>
      <c r="R998" s="60">
        <v>0</v>
      </c>
      <c r="S998" s="60">
        <v>0</v>
      </c>
      <c r="T998" s="60">
        <v>0</v>
      </c>
      <c r="U998" s="60">
        <v>0</v>
      </c>
      <c r="V998" s="60">
        <v>0</v>
      </c>
      <c r="W998" s="60">
        <v>0</v>
      </c>
      <c r="X998" s="60">
        <v>0</v>
      </c>
      <c r="Y998" s="60">
        <v>0</v>
      </c>
      <c r="Z998" s="60">
        <v>0</v>
      </c>
      <c r="AA998" s="60">
        <v>0</v>
      </c>
      <c r="AB998" s="60">
        <v>0</v>
      </c>
      <c r="AC998" s="60">
        <v>227.28</v>
      </c>
      <c r="AD998" s="60">
        <v>267.91000000000003</v>
      </c>
      <c r="AE998" s="60">
        <v>284.64</v>
      </c>
      <c r="AF998" s="60">
        <v>0</v>
      </c>
      <c r="AG998" s="60">
        <v>0</v>
      </c>
      <c r="AH998" s="60">
        <v>0</v>
      </c>
      <c r="AI998" s="60">
        <v>227.28</v>
      </c>
      <c r="AJ998" s="60">
        <v>267.91000000000003</v>
      </c>
      <c r="AK998" s="60">
        <v>284.64</v>
      </c>
      <c r="AL998" s="60">
        <v>0</v>
      </c>
      <c r="AM998" s="60">
        <v>0</v>
      </c>
      <c r="AN998" s="60">
        <v>0</v>
      </c>
      <c r="AO998" s="60">
        <v>227.28</v>
      </c>
      <c r="AP998" s="60">
        <v>267.91000000000003</v>
      </c>
      <c r="AQ998" s="60">
        <v>284.64</v>
      </c>
      <c r="AR998" s="61">
        <v>284.64</v>
      </c>
    </row>
    <row r="999" spans="1:44" x14ac:dyDescent="0.35">
      <c r="A999" s="49" t="str">
        <f t="shared" si="85"/>
        <v>37</v>
      </c>
      <c r="B999" s="27">
        <v>68338</v>
      </c>
      <c r="C999" s="25" t="str">
        <f>TEXT(119610,"0000000")</f>
        <v>0119610</v>
      </c>
      <c r="D999" s="27">
        <v>1080</v>
      </c>
      <c r="E999" s="25" t="s">
        <v>2214</v>
      </c>
      <c r="F999" s="25" t="s">
        <v>5</v>
      </c>
      <c r="G999" s="59" t="s">
        <v>2215</v>
      </c>
      <c r="H999" s="60">
        <v>0</v>
      </c>
      <c r="I999" s="60">
        <v>0</v>
      </c>
      <c r="J999" s="60">
        <v>0</v>
      </c>
      <c r="K999" s="60">
        <v>0</v>
      </c>
      <c r="L999" s="60">
        <v>0</v>
      </c>
      <c r="M999" s="60">
        <v>0</v>
      </c>
      <c r="N999" s="60">
        <v>0</v>
      </c>
      <c r="O999" s="60">
        <v>0</v>
      </c>
      <c r="P999" s="60">
        <v>0</v>
      </c>
      <c r="Q999" s="60">
        <v>0</v>
      </c>
      <c r="R999" s="60">
        <v>0</v>
      </c>
      <c r="S999" s="60">
        <v>0</v>
      </c>
      <c r="T999" s="60">
        <v>0</v>
      </c>
      <c r="U999" s="60">
        <v>0</v>
      </c>
      <c r="V999" s="60">
        <v>0</v>
      </c>
      <c r="W999" s="60">
        <v>0</v>
      </c>
      <c r="X999" s="60">
        <v>0</v>
      </c>
      <c r="Y999" s="60">
        <v>0</v>
      </c>
      <c r="Z999" s="60">
        <v>0</v>
      </c>
      <c r="AA999" s="60">
        <v>0</v>
      </c>
      <c r="AB999" s="60">
        <v>0</v>
      </c>
      <c r="AC999" s="60">
        <v>1159.07</v>
      </c>
      <c r="AD999" s="60">
        <v>1155.76</v>
      </c>
      <c r="AE999" s="60">
        <v>1297.94</v>
      </c>
      <c r="AF999" s="60">
        <v>0</v>
      </c>
      <c r="AG999" s="60">
        <v>0</v>
      </c>
      <c r="AH999" s="60">
        <v>0</v>
      </c>
      <c r="AI999" s="60">
        <v>1159.07</v>
      </c>
      <c r="AJ999" s="60">
        <v>1155.76</v>
      </c>
      <c r="AK999" s="60">
        <v>1297.94</v>
      </c>
      <c r="AL999" s="60">
        <v>0</v>
      </c>
      <c r="AM999" s="60">
        <v>0</v>
      </c>
      <c r="AN999" s="60">
        <v>0</v>
      </c>
      <c r="AO999" s="60">
        <v>1159.07</v>
      </c>
      <c r="AP999" s="60">
        <v>1155.76</v>
      </c>
      <c r="AQ999" s="60">
        <v>1297.94</v>
      </c>
      <c r="AR999" s="61">
        <v>1297.94</v>
      </c>
    </row>
    <row r="1000" spans="1:44" x14ac:dyDescent="0.35">
      <c r="A1000" s="49" t="str">
        <f t="shared" si="85"/>
        <v>37</v>
      </c>
      <c r="B1000" s="27">
        <v>68338</v>
      </c>
      <c r="C1000" s="25" t="str">
        <f>TEXT(121681,"0000000")</f>
        <v>0121681</v>
      </c>
      <c r="D1000" s="27">
        <v>1190</v>
      </c>
      <c r="E1000" s="25" t="s">
        <v>2216</v>
      </c>
      <c r="F1000" s="25" t="s">
        <v>5</v>
      </c>
      <c r="G1000" s="59" t="s">
        <v>2217</v>
      </c>
      <c r="H1000" s="60">
        <v>0</v>
      </c>
      <c r="I1000" s="60">
        <v>0</v>
      </c>
      <c r="J1000" s="60">
        <v>0</v>
      </c>
      <c r="K1000" s="60">
        <v>0</v>
      </c>
      <c r="L1000" s="60">
        <v>0</v>
      </c>
      <c r="M1000" s="60">
        <v>0</v>
      </c>
      <c r="N1000" s="60">
        <v>0</v>
      </c>
      <c r="O1000" s="60">
        <v>0</v>
      </c>
      <c r="P1000" s="60">
        <v>0</v>
      </c>
      <c r="Q1000" s="60">
        <v>0</v>
      </c>
      <c r="R1000" s="60">
        <v>0</v>
      </c>
      <c r="S1000" s="60">
        <v>0</v>
      </c>
      <c r="T1000" s="60">
        <v>0</v>
      </c>
      <c r="U1000" s="60">
        <v>0</v>
      </c>
      <c r="V1000" s="60">
        <v>0</v>
      </c>
      <c r="W1000" s="60">
        <v>0</v>
      </c>
      <c r="X1000" s="60">
        <v>0</v>
      </c>
      <c r="Y1000" s="60">
        <v>0</v>
      </c>
      <c r="Z1000" s="60">
        <v>0</v>
      </c>
      <c r="AA1000" s="60">
        <v>0</v>
      </c>
      <c r="AB1000" s="60">
        <v>0</v>
      </c>
      <c r="AC1000" s="60">
        <v>386.56</v>
      </c>
      <c r="AD1000" s="60">
        <v>376.73</v>
      </c>
      <c r="AE1000" s="60">
        <v>409.7</v>
      </c>
      <c r="AF1000" s="60">
        <v>0</v>
      </c>
      <c r="AG1000" s="60">
        <v>0</v>
      </c>
      <c r="AH1000" s="60">
        <v>0</v>
      </c>
      <c r="AI1000" s="60">
        <v>386.56</v>
      </c>
      <c r="AJ1000" s="60">
        <v>376.73</v>
      </c>
      <c r="AK1000" s="60">
        <v>409.7</v>
      </c>
      <c r="AL1000" s="60">
        <v>0</v>
      </c>
      <c r="AM1000" s="60">
        <v>0</v>
      </c>
      <c r="AN1000" s="60">
        <v>0</v>
      </c>
      <c r="AO1000" s="60">
        <v>386.56</v>
      </c>
      <c r="AP1000" s="60">
        <v>376.73</v>
      </c>
      <c r="AQ1000" s="60">
        <v>409.7</v>
      </c>
      <c r="AR1000" s="61">
        <v>409.7</v>
      </c>
    </row>
    <row r="1001" spans="1:44" x14ac:dyDescent="0.35">
      <c r="A1001" s="49" t="str">
        <f t="shared" si="85"/>
        <v>37</v>
      </c>
      <c r="B1001" s="27">
        <v>68338</v>
      </c>
      <c r="C1001" s="25" t="str">
        <f>TEXT(122788,"0000000")</f>
        <v>0122788</v>
      </c>
      <c r="D1001" s="27">
        <v>1253</v>
      </c>
      <c r="E1001" s="25" t="s">
        <v>2218</v>
      </c>
      <c r="F1001" s="25" t="s">
        <v>5</v>
      </c>
      <c r="G1001" s="59" t="s">
        <v>2219</v>
      </c>
      <c r="H1001" s="60">
        <v>0</v>
      </c>
      <c r="I1001" s="60">
        <v>0</v>
      </c>
      <c r="J1001" s="60">
        <v>0</v>
      </c>
      <c r="K1001" s="60">
        <v>0</v>
      </c>
      <c r="L1001" s="60">
        <v>0</v>
      </c>
      <c r="M1001" s="60">
        <v>0</v>
      </c>
      <c r="N1001" s="60">
        <v>0</v>
      </c>
      <c r="O1001" s="60">
        <v>0</v>
      </c>
      <c r="P1001" s="60">
        <v>0</v>
      </c>
      <c r="Q1001" s="60">
        <v>0</v>
      </c>
      <c r="R1001" s="60">
        <v>0</v>
      </c>
      <c r="S1001" s="60">
        <v>0</v>
      </c>
      <c r="T1001" s="60">
        <v>0</v>
      </c>
      <c r="U1001" s="60">
        <v>0</v>
      </c>
      <c r="V1001" s="60">
        <v>0</v>
      </c>
      <c r="W1001" s="60">
        <v>0</v>
      </c>
      <c r="X1001" s="60">
        <v>0</v>
      </c>
      <c r="Y1001" s="60">
        <v>0</v>
      </c>
      <c r="Z1001" s="60">
        <v>0</v>
      </c>
      <c r="AA1001" s="60">
        <v>0</v>
      </c>
      <c r="AB1001" s="60">
        <v>0</v>
      </c>
      <c r="AC1001" s="60">
        <v>207.87</v>
      </c>
      <c r="AD1001" s="60">
        <v>199.66</v>
      </c>
      <c r="AE1001" s="60">
        <v>184.2</v>
      </c>
      <c r="AF1001" s="60">
        <v>0</v>
      </c>
      <c r="AG1001" s="60">
        <v>0</v>
      </c>
      <c r="AH1001" s="60">
        <v>0</v>
      </c>
      <c r="AI1001" s="60">
        <v>207.87</v>
      </c>
      <c r="AJ1001" s="60">
        <v>199.66</v>
      </c>
      <c r="AK1001" s="60">
        <v>184.2</v>
      </c>
      <c r="AL1001" s="60">
        <v>0</v>
      </c>
      <c r="AM1001" s="60">
        <v>0</v>
      </c>
      <c r="AN1001" s="60">
        <v>0</v>
      </c>
      <c r="AO1001" s="60">
        <v>207.87</v>
      </c>
      <c r="AP1001" s="60">
        <v>199.66</v>
      </c>
      <c r="AQ1001" s="60">
        <v>184.2</v>
      </c>
      <c r="AR1001" s="61">
        <v>207.87</v>
      </c>
    </row>
    <row r="1002" spans="1:44" x14ac:dyDescent="0.35">
      <c r="A1002" s="49" t="str">
        <f>TEXT(1,"00")</f>
        <v>01</v>
      </c>
      <c r="B1002" s="27">
        <v>61259</v>
      </c>
      <c r="C1002" s="25" t="str">
        <f>TEXT(126748,"0000000")</f>
        <v>0126748</v>
      </c>
      <c r="D1002" s="27">
        <v>1449</v>
      </c>
      <c r="E1002" s="25" t="s">
        <v>110</v>
      </c>
      <c r="F1002" s="25" t="s">
        <v>5</v>
      </c>
      <c r="G1002" s="59" t="s">
        <v>111</v>
      </c>
      <c r="H1002" s="60">
        <v>0</v>
      </c>
      <c r="I1002" s="60">
        <v>0</v>
      </c>
      <c r="J1002" s="60">
        <v>0</v>
      </c>
      <c r="K1002" s="60">
        <v>0</v>
      </c>
      <c r="L1002" s="60">
        <v>0</v>
      </c>
      <c r="M1002" s="60">
        <v>0</v>
      </c>
      <c r="N1002" s="60">
        <v>0</v>
      </c>
      <c r="O1002" s="60">
        <v>0</v>
      </c>
      <c r="P1002" s="60">
        <v>0</v>
      </c>
      <c r="Q1002" s="60">
        <v>0</v>
      </c>
      <c r="R1002" s="60">
        <v>0</v>
      </c>
      <c r="S1002" s="60">
        <v>0</v>
      </c>
      <c r="T1002" s="60">
        <v>0</v>
      </c>
      <c r="U1002" s="60">
        <v>0</v>
      </c>
      <c r="V1002" s="60">
        <v>0</v>
      </c>
      <c r="W1002" s="60">
        <v>0</v>
      </c>
      <c r="X1002" s="60">
        <v>0</v>
      </c>
      <c r="Y1002" s="60">
        <v>0</v>
      </c>
      <c r="Z1002" s="60">
        <v>0</v>
      </c>
      <c r="AA1002" s="60">
        <v>0</v>
      </c>
      <c r="AB1002" s="60">
        <v>0</v>
      </c>
      <c r="AC1002" s="60">
        <v>293.23</v>
      </c>
      <c r="AD1002" s="60">
        <v>363.47</v>
      </c>
      <c r="AE1002" s="60">
        <v>460.17</v>
      </c>
      <c r="AF1002" s="60">
        <v>0</v>
      </c>
      <c r="AG1002" s="60">
        <v>0</v>
      </c>
      <c r="AH1002" s="60">
        <v>0</v>
      </c>
      <c r="AI1002" s="60">
        <v>293.23</v>
      </c>
      <c r="AJ1002" s="60">
        <v>363.47</v>
      </c>
      <c r="AK1002" s="60">
        <v>460.17</v>
      </c>
      <c r="AL1002" s="60">
        <v>0</v>
      </c>
      <c r="AM1002" s="60">
        <v>0</v>
      </c>
      <c r="AN1002" s="60">
        <v>0</v>
      </c>
      <c r="AO1002" s="60">
        <v>293.23</v>
      </c>
      <c r="AP1002" s="60">
        <v>363.47</v>
      </c>
      <c r="AQ1002" s="60">
        <v>460.17</v>
      </c>
      <c r="AR1002" s="61">
        <v>460.17</v>
      </c>
    </row>
    <row r="1003" spans="1:44" x14ac:dyDescent="0.35">
      <c r="A1003" s="49" t="str">
        <f t="shared" ref="A1003:A1012" si="86">TEXT(37,"00")</f>
        <v>37</v>
      </c>
      <c r="B1003" s="27">
        <v>68338</v>
      </c>
      <c r="C1003" s="25" t="str">
        <f>TEXT(123778,"0000000")</f>
        <v>0123778</v>
      </c>
      <c r="D1003" s="27">
        <v>1279</v>
      </c>
      <c r="E1003" s="25" t="s">
        <v>2220</v>
      </c>
      <c r="F1003" s="25" t="s">
        <v>5</v>
      </c>
      <c r="G1003" s="59" t="s">
        <v>2221</v>
      </c>
      <c r="H1003" s="60">
        <v>0</v>
      </c>
      <c r="I1003" s="60">
        <v>0</v>
      </c>
      <c r="J1003" s="60">
        <v>0</v>
      </c>
      <c r="K1003" s="60">
        <v>0</v>
      </c>
      <c r="L1003" s="60">
        <v>0</v>
      </c>
      <c r="M1003" s="60">
        <v>0</v>
      </c>
      <c r="N1003" s="60">
        <v>0</v>
      </c>
      <c r="O1003" s="60">
        <v>0</v>
      </c>
      <c r="P1003" s="60">
        <v>0</v>
      </c>
      <c r="Q1003" s="60">
        <v>0</v>
      </c>
      <c r="R1003" s="60">
        <v>0</v>
      </c>
      <c r="S1003" s="60">
        <v>0</v>
      </c>
      <c r="T1003" s="60">
        <v>0</v>
      </c>
      <c r="U1003" s="60">
        <v>0</v>
      </c>
      <c r="V1003" s="60">
        <v>0</v>
      </c>
      <c r="W1003" s="60">
        <v>0</v>
      </c>
      <c r="X1003" s="60">
        <v>0</v>
      </c>
      <c r="Y1003" s="60">
        <v>0</v>
      </c>
      <c r="Z1003" s="60">
        <v>0</v>
      </c>
      <c r="AA1003" s="60">
        <v>0</v>
      </c>
      <c r="AB1003" s="60">
        <v>0</v>
      </c>
      <c r="AC1003" s="60">
        <v>208.86</v>
      </c>
      <c r="AD1003" s="60">
        <v>246.84</v>
      </c>
      <c r="AE1003" s="60">
        <v>256.06</v>
      </c>
      <c r="AF1003" s="60">
        <v>0</v>
      </c>
      <c r="AG1003" s="60">
        <v>0</v>
      </c>
      <c r="AH1003" s="60">
        <v>0</v>
      </c>
      <c r="AI1003" s="60">
        <v>208.86</v>
      </c>
      <c r="AJ1003" s="60">
        <v>246.84</v>
      </c>
      <c r="AK1003" s="60">
        <v>256.06</v>
      </c>
      <c r="AL1003" s="60">
        <v>0</v>
      </c>
      <c r="AM1003" s="60">
        <v>0</v>
      </c>
      <c r="AN1003" s="60">
        <v>0</v>
      </c>
      <c r="AO1003" s="60">
        <v>208.86</v>
      </c>
      <c r="AP1003" s="60">
        <v>246.84</v>
      </c>
      <c r="AQ1003" s="60">
        <v>256.06</v>
      </c>
      <c r="AR1003" s="61">
        <v>256.06</v>
      </c>
    </row>
    <row r="1004" spans="1:44" x14ac:dyDescent="0.35">
      <c r="A1004" s="49" t="str">
        <f t="shared" si="86"/>
        <v>37</v>
      </c>
      <c r="B1004" s="27">
        <v>68338</v>
      </c>
      <c r="C1004" s="25" t="str">
        <f>TEXT(124347,"0000000")</f>
        <v>0124347</v>
      </c>
      <c r="D1004" s="27">
        <v>1312</v>
      </c>
      <c r="E1004" s="25" t="s">
        <v>2222</v>
      </c>
      <c r="F1004" s="25" t="s">
        <v>5</v>
      </c>
      <c r="G1004" s="59" t="s">
        <v>2223</v>
      </c>
      <c r="H1004" s="60">
        <v>0</v>
      </c>
      <c r="I1004" s="60">
        <v>0</v>
      </c>
      <c r="J1004" s="60">
        <v>0</v>
      </c>
      <c r="K1004" s="60">
        <v>0</v>
      </c>
      <c r="L1004" s="60">
        <v>0</v>
      </c>
      <c r="M1004" s="60">
        <v>0</v>
      </c>
      <c r="N1004" s="60">
        <v>0</v>
      </c>
      <c r="O1004" s="60">
        <v>0</v>
      </c>
      <c r="P1004" s="60">
        <v>0</v>
      </c>
      <c r="Q1004" s="60">
        <v>0</v>
      </c>
      <c r="R1004" s="60">
        <v>0</v>
      </c>
      <c r="S1004" s="60">
        <v>0</v>
      </c>
      <c r="T1004" s="60">
        <v>0</v>
      </c>
      <c r="U1004" s="60">
        <v>0</v>
      </c>
      <c r="V1004" s="60">
        <v>0</v>
      </c>
      <c r="W1004" s="60">
        <v>0</v>
      </c>
      <c r="X1004" s="60">
        <v>0</v>
      </c>
      <c r="Y1004" s="60">
        <v>0</v>
      </c>
      <c r="Z1004" s="60">
        <v>0</v>
      </c>
      <c r="AA1004" s="60">
        <v>0</v>
      </c>
      <c r="AB1004" s="60">
        <v>0</v>
      </c>
      <c r="AC1004" s="60">
        <v>133.80000000000001</v>
      </c>
      <c r="AD1004" s="60">
        <v>112.27</v>
      </c>
      <c r="AE1004" s="60">
        <v>125.9</v>
      </c>
      <c r="AF1004" s="60">
        <v>0</v>
      </c>
      <c r="AG1004" s="60">
        <v>0</v>
      </c>
      <c r="AH1004" s="60">
        <v>0</v>
      </c>
      <c r="AI1004" s="60">
        <v>133.80000000000001</v>
      </c>
      <c r="AJ1004" s="60">
        <v>112.27</v>
      </c>
      <c r="AK1004" s="60">
        <v>125.9</v>
      </c>
      <c r="AL1004" s="60">
        <v>0</v>
      </c>
      <c r="AM1004" s="60">
        <v>0</v>
      </c>
      <c r="AN1004" s="60">
        <v>0</v>
      </c>
      <c r="AO1004" s="60">
        <v>133.80000000000001</v>
      </c>
      <c r="AP1004" s="60">
        <v>112.27</v>
      </c>
      <c r="AQ1004" s="60">
        <v>125.9</v>
      </c>
      <c r="AR1004" s="61">
        <v>133.80000000000001</v>
      </c>
    </row>
    <row r="1005" spans="1:44" x14ac:dyDescent="0.35">
      <c r="A1005" s="49" t="str">
        <f t="shared" si="86"/>
        <v>37</v>
      </c>
      <c r="B1005" s="27">
        <v>68338</v>
      </c>
      <c r="C1005" s="25" t="str">
        <f>TEXT(126730,"0000000")</f>
        <v>0126730</v>
      </c>
      <c r="D1005" s="27">
        <v>1447</v>
      </c>
      <c r="E1005" s="25" t="s">
        <v>2224</v>
      </c>
      <c r="F1005" s="25" t="s">
        <v>5</v>
      </c>
      <c r="G1005" s="59" t="s">
        <v>2225</v>
      </c>
      <c r="H1005" s="60">
        <v>0</v>
      </c>
      <c r="I1005" s="60">
        <v>0</v>
      </c>
      <c r="J1005" s="60">
        <v>0</v>
      </c>
      <c r="K1005" s="60">
        <v>0</v>
      </c>
      <c r="L1005" s="60">
        <v>0</v>
      </c>
      <c r="M1005" s="60">
        <v>0</v>
      </c>
      <c r="N1005" s="60">
        <v>0</v>
      </c>
      <c r="O1005" s="60">
        <v>0</v>
      </c>
      <c r="P1005" s="60">
        <v>0</v>
      </c>
      <c r="Q1005" s="60">
        <v>0</v>
      </c>
      <c r="R1005" s="60">
        <v>0</v>
      </c>
      <c r="S1005" s="60">
        <v>0</v>
      </c>
      <c r="T1005" s="60">
        <v>0</v>
      </c>
      <c r="U1005" s="60">
        <v>0</v>
      </c>
      <c r="V1005" s="60">
        <v>0</v>
      </c>
      <c r="W1005" s="60">
        <v>0</v>
      </c>
      <c r="X1005" s="60">
        <v>0</v>
      </c>
      <c r="Y1005" s="60">
        <v>0</v>
      </c>
      <c r="Z1005" s="60">
        <v>0</v>
      </c>
      <c r="AA1005" s="60">
        <v>0</v>
      </c>
      <c r="AB1005" s="60">
        <v>0</v>
      </c>
      <c r="AC1005" s="60">
        <v>357.56</v>
      </c>
      <c r="AD1005" s="60">
        <v>370.27</v>
      </c>
      <c r="AE1005" s="60">
        <v>340.9</v>
      </c>
      <c r="AF1005" s="60">
        <v>0</v>
      </c>
      <c r="AG1005" s="60">
        <v>0</v>
      </c>
      <c r="AH1005" s="60">
        <v>0</v>
      </c>
      <c r="AI1005" s="60">
        <v>357.56</v>
      </c>
      <c r="AJ1005" s="60">
        <v>370.27</v>
      </c>
      <c r="AK1005" s="60">
        <v>340.9</v>
      </c>
      <c r="AL1005" s="60">
        <v>0</v>
      </c>
      <c r="AM1005" s="60">
        <v>0</v>
      </c>
      <c r="AN1005" s="60">
        <v>0</v>
      </c>
      <c r="AO1005" s="60">
        <v>357.56</v>
      </c>
      <c r="AP1005" s="60">
        <v>370.27</v>
      </c>
      <c r="AQ1005" s="60">
        <v>340.9</v>
      </c>
      <c r="AR1005" s="61">
        <v>370.27</v>
      </c>
    </row>
    <row r="1006" spans="1:44" x14ac:dyDescent="0.35">
      <c r="A1006" s="49" t="str">
        <f t="shared" si="86"/>
        <v>37</v>
      </c>
      <c r="B1006" s="27">
        <v>68338</v>
      </c>
      <c r="C1006" s="25" t="str">
        <f>TEXT(127647,"0000000")</f>
        <v>0127647</v>
      </c>
      <c r="D1006" s="27">
        <v>1302</v>
      </c>
      <c r="E1006" s="25" t="s">
        <v>2226</v>
      </c>
      <c r="F1006" s="25" t="s">
        <v>5</v>
      </c>
      <c r="G1006" s="59" t="s">
        <v>2227</v>
      </c>
      <c r="H1006" s="60">
        <v>0</v>
      </c>
      <c r="I1006" s="60">
        <v>0</v>
      </c>
      <c r="J1006" s="60">
        <v>0</v>
      </c>
      <c r="K1006" s="60">
        <v>0</v>
      </c>
      <c r="L1006" s="60">
        <v>0</v>
      </c>
      <c r="M1006" s="60">
        <v>0</v>
      </c>
      <c r="N1006" s="60">
        <v>0</v>
      </c>
      <c r="O1006" s="60">
        <v>0</v>
      </c>
      <c r="P1006" s="60">
        <v>0</v>
      </c>
      <c r="Q1006" s="60">
        <v>0</v>
      </c>
      <c r="R1006" s="60">
        <v>0</v>
      </c>
      <c r="S1006" s="60">
        <v>0</v>
      </c>
      <c r="T1006" s="60">
        <v>0</v>
      </c>
      <c r="U1006" s="60">
        <v>0</v>
      </c>
      <c r="V1006" s="60">
        <v>0</v>
      </c>
      <c r="W1006" s="60">
        <v>0</v>
      </c>
      <c r="X1006" s="60">
        <v>0</v>
      </c>
      <c r="Y1006" s="60">
        <v>0</v>
      </c>
      <c r="Z1006" s="60">
        <v>0</v>
      </c>
      <c r="AA1006" s="60">
        <v>0</v>
      </c>
      <c r="AB1006" s="60">
        <v>0</v>
      </c>
      <c r="AC1006" s="60">
        <v>352.29</v>
      </c>
      <c r="AD1006" s="60">
        <v>365.36</v>
      </c>
      <c r="AE1006" s="60">
        <v>394.8</v>
      </c>
      <c r="AF1006" s="60">
        <v>0</v>
      </c>
      <c r="AG1006" s="60">
        <v>0</v>
      </c>
      <c r="AH1006" s="60">
        <v>0</v>
      </c>
      <c r="AI1006" s="60">
        <v>352.29</v>
      </c>
      <c r="AJ1006" s="60">
        <v>365.36</v>
      </c>
      <c r="AK1006" s="60">
        <v>394.8</v>
      </c>
      <c r="AL1006" s="60">
        <v>0</v>
      </c>
      <c r="AM1006" s="60">
        <v>0</v>
      </c>
      <c r="AN1006" s="60">
        <v>0</v>
      </c>
      <c r="AO1006" s="60">
        <v>352.29</v>
      </c>
      <c r="AP1006" s="60">
        <v>365.36</v>
      </c>
      <c r="AQ1006" s="60">
        <v>394.8</v>
      </c>
      <c r="AR1006" s="61">
        <v>394.8</v>
      </c>
    </row>
    <row r="1007" spans="1:44" x14ac:dyDescent="0.35">
      <c r="A1007" s="49" t="str">
        <f t="shared" si="86"/>
        <v>37</v>
      </c>
      <c r="B1007" s="27">
        <v>68338</v>
      </c>
      <c r="C1007" s="25" t="str">
        <f>TEXT(129387,"0000000")</f>
        <v>0129387</v>
      </c>
      <c r="D1007" s="27">
        <v>1634</v>
      </c>
      <c r="E1007" s="25" t="s">
        <v>2228</v>
      </c>
      <c r="F1007" s="25" t="s">
        <v>5</v>
      </c>
      <c r="G1007" s="59" t="s">
        <v>2229</v>
      </c>
      <c r="H1007" s="60">
        <v>0</v>
      </c>
      <c r="I1007" s="60">
        <v>0</v>
      </c>
      <c r="J1007" s="60">
        <v>0</v>
      </c>
      <c r="K1007" s="60">
        <v>0</v>
      </c>
      <c r="L1007" s="60">
        <v>0</v>
      </c>
      <c r="M1007" s="60">
        <v>0</v>
      </c>
      <c r="N1007" s="60">
        <v>0</v>
      </c>
      <c r="O1007" s="60">
        <v>0</v>
      </c>
      <c r="P1007" s="60">
        <v>0</v>
      </c>
      <c r="Q1007" s="60">
        <v>0</v>
      </c>
      <c r="R1007" s="60">
        <v>0</v>
      </c>
      <c r="S1007" s="60">
        <v>0</v>
      </c>
      <c r="T1007" s="60">
        <v>0</v>
      </c>
      <c r="U1007" s="60">
        <v>0</v>
      </c>
      <c r="V1007" s="60">
        <v>0</v>
      </c>
      <c r="W1007" s="60">
        <v>0</v>
      </c>
      <c r="X1007" s="60">
        <v>0</v>
      </c>
      <c r="Y1007" s="60">
        <v>0</v>
      </c>
      <c r="Z1007" s="60">
        <v>0</v>
      </c>
      <c r="AA1007" s="60">
        <v>0</v>
      </c>
      <c r="AB1007" s="60">
        <v>0</v>
      </c>
      <c r="AC1007" s="60">
        <v>133.94999999999999</v>
      </c>
      <c r="AD1007" s="60">
        <v>114.14</v>
      </c>
      <c r="AE1007" s="60">
        <v>133.46</v>
      </c>
      <c r="AF1007" s="60">
        <v>0</v>
      </c>
      <c r="AG1007" s="60">
        <v>0</v>
      </c>
      <c r="AH1007" s="60">
        <v>0</v>
      </c>
      <c r="AI1007" s="60">
        <v>133.94999999999999</v>
      </c>
      <c r="AJ1007" s="60">
        <v>114.14</v>
      </c>
      <c r="AK1007" s="60">
        <v>133.46</v>
      </c>
      <c r="AL1007" s="60">
        <v>0</v>
      </c>
      <c r="AM1007" s="60">
        <v>0</v>
      </c>
      <c r="AN1007" s="60">
        <v>0</v>
      </c>
      <c r="AO1007" s="60">
        <v>133.94999999999999</v>
      </c>
      <c r="AP1007" s="60">
        <v>114.14</v>
      </c>
      <c r="AQ1007" s="60">
        <v>133.46</v>
      </c>
      <c r="AR1007" s="61">
        <v>133.94999999999999</v>
      </c>
    </row>
    <row r="1008" spans="1:44" x14ac:dyDescent="0.35">
      <c r="A1008" s="49" t="str">
        <f t="shared" si="86"/>
        <v>37</v>
      </c>
      <c r="B1008" s="27">
        <v>68338</v>
      </c>
      <c r="C1008" s="25" t="str">
        <f>TEXT(129395,"0000000")</f>
        <v>0129395</v>
      </c>
      <c r="D1008" s="27">
        <v>1633</v>
      </c>
      <c r="E1008" s="25" t="s">
        <v>2230</v>
      </c>
      <c r="F1008" s="25" t="s">
        <v>5</v>
      </c>
      <c r="G1008" s="59" t="s">
        <v>2231</v>
      </c>
      <c r="H1008" s="60">
        <v>0</v>
      </c>
      <c r="I1008" s="60">
        <v>0</v>
      </c>
      <c r="J1008" s="60">
        <v>0</v>
      </c>
      <c r="K1008" s="60">
        <v>0</v>
      </c>
      <c r="L1008" s="60">
        <v>0</v>
      </c>
      <c r="M1008" s="60">
        <v>0</v>
      </c>
      <c r="N1008" s="60">
        <v>0</v>
      </c>
      <c r="O1008" s="60">
        <v>0</v>
      </c>
      <c r="P1008" s="60">
        <v>0</v>
      </c>
      <c r="Q1008" s="60">
        <v>0</v>
      </c>
      <c r="R1008" s="60">
        <v>0</v>
      </c>
      <c r="S1008" s="60">
        <v>0</v>
      </c>
      <c r="T1008" s="60">
        <v>0</v>
      </c>
      <c r="U1008" s="60">
        <v>0</v>
      </c>
      <c r="V1008" s="60">
        <v>0</v>
      </c>
      <c r="W1008" s="60">
        <v>0</v>
      </c>
      <c r="X1008" s="60">
        <v>0</v>
      </c>
      <c r="Y1008" s="60">
        <v>0</v>
      </c>
      <c r="Z1008" s="60">
        <v>0</v>
      </c>
      <c r="AA1008" s="60">
        <v>0</v>
      </c>
      <c r="AB1008" s="60">
        <v>0</v>
      </c>
      <c r="AC1008" s="60">
        <v>437.94</v>
      </c>
      <c r="AD1008" s="60">
        <v>392.42</v>
      </c>
      <c r="AE1008" s="60">
        <v>349.5</v>
      </c>
      <c r="AF1008" s="60">
        <v>0</v>
      </c>
      <c r="AG1008" s="60">
        <v>0</v>
      </c>
      <c r="AH1008" s="60">
        <v>0</v>
      </c>
      <c r="AI1008" s="60">
        <v>437.94</v>
      </c>
      <c r="AJ1008" s="60">
        <v>392.42</v>
      </c>
      <c r="AK1008" s="60">
        <v>349.5</v>
      </c>
      <c r="AL1008" s="60">
        <v>0</v>
      </c>
      <c r="AM1008" s="60">
        <v>0</v>
      </c>
      <c r="AN1008" s="60">
        <v>0</v>
      </c>
      <c r="AO1008" s="60">
        <v>437.94</v>
      </c>
      <c r="AP1008" s="60">
        <v>392.42</v>
      </c>
      <c r="AQ1008" s="60">
        <v>349.5</v>
      </c>
      <c r="AR1008" s="61">
        <v>437.94</v>
      </c>
    </row>
    <row r="1009" spans="1:44" x14ac:dyDescent="0.35">
      <c r="A1009" s="49" t="str">
        <f t="shared" si="86"/>
        <v>37</v>
      </c>
      <c r="B1009" s="27">
        <v>68338</v>
      </c>
      <c r="C1009" s="25" t="str">
        <f>TEXT(131565,"0000000")</f>
        <v>0131565</v>
      </c>
      <c r="D1009" s="27">
        <v>1709</v>
      </c>
      <c r="E1009" s="25" t="s">
        <v>2232</v>
      </c>
      <c r="F1009" s="25" t="s">
        <v>5</v>
      </c>
      <c r="G1009" s="59" t="s">
        <v>2233</v>
      </c>
      <c r="H1009" s="60">
        <v>0</v>
      </c>
      <c r="I1009" s="60">
        <v>0</v>
      </c>
      <c r="J1009" s="60">
        <v>0</v>
      </c>
      <c r="K1009" s="60">
        <v>0</v>
      </c>
      <c r="L1009" s="60">
        <v>0</v>
      </c>
      <c r="M1009" s="60">
        <v>0</v>
      </c>
      <c r="N1009" s="60">
        <v>0</v>
      </c>
      <c r="O1009" s="60">
        <v>0</v>
      </c>
      <c r="P1009" s="60">
        <v>0</v>
      </c>
      <c r="Q1009" s="60">
        <v>0</v>
      </c>
      <c r="R1009" s="60">
        <v>0</v>
      </c>
      <c r="S1009" s="60">
        <v>0</v>
      </c>
      <c r="T1009" s="60">
        <v>0</v>
      </c>
      <c r="U1009" s="60">
        <v>0</v>
      </c>
      <c r="V1009" s="60">
        <v>0</v>
      </c>
      <c r="W1009" s="60">
        <v>0</v>
      </c>
      <c r="X1009" s="60">
        <v>0</v>
      </c>
      <c r="Y1009" s="60">
        <v>0</v>
      </c>
      <c r="Z1009" s="60">
        <v>0</v>
      </c>
      <c r="AA1009" s="60">
        <v>0</v>
      </c>
      <c r="AB1009" s="60">
        <v>0</v>
      </c>
      <c r="AC1009" s="60">
        <v>390.16</v>
      </c>
      <c r="AD1009" s="60">
        <v>370.18</v>
      </c>
      <c r="AE1009" s="60">
        <v>401.29</v>
      </c>
      <c r="AF1009" s="60">
        <v>0</v>
      </c>
      <c r="AG1009" s="60">
        <v>0</v>
      </c>
      <c r="AH1009" s="60">
        <v>0</v>
      </c>
      <c r="AI1009" s="60">
        <v>390.16</v>
      </c>
      <c r="AJ1009" s="60">
        <v>370.18</v>
      </c>
      <c r="AK1009" s="60">
        <v>401.29</v>
      </c>
      <c r="AL1009" s="60">
        <v>0</v>
      </c>
      <c r="AM1009" s="60">
        <v>0</v>
      </c>
      <c r="AN1009" s="60">
        <v>0</v>
      </c>
      <c r="AO1009" s="60">
        <v>390.16</v>
      </c>
      <c r="AP1009" s="60">
        <v>370.18</v>
      </c>
      <c r="AQ1009" s="60">
        <v>401.29</v>
      </c>
      <c r="AR1009" s="61">
        <v>401.29</v>
      </c>
    </row>
    <row r="1010" spans="1:44" x14ac:dyDescent="0.35">
      <c r="A1010" s="49" t="str">
        <f t="shared" si="86"/>
        <v>37</v>
      </c>
      <c r="B1010" s="27">
        <v>68338</v>
      </c>
      <c r="C1010" s="25" t="str">
        <f>TEXT(131979,"0000000")</f>
        <v>0131979</v>
      </c>
      <c r="D1010" s="27">
        <v>1719</v>
      </c>
      <c r="E1010" s="25" t="s">
        <v>2234</v>
      </c>
      <c r="F1010" s="25" t="s">
        <v>5</v>
      </c>
      <c r="G1010" s="59" t="s">
        <v>2235</v>
      </c>
      <c r="H1010" s="60">
        <v>0</v>
      </c>
      <c r="I1010" s="60">
        <v>0</v>
      </c>
      <c r="J1010" s="60">
        <v>0</v>
      </c>
      <c r="K1010" s="60">
        <v>0</v>
      </c>
      <c r="L1010" s="60">
        <v>0</v>
      </c>
      <c r="M1010" s="60">
        <v>0</v>
      </c>
      <c r="N1010" s="60">
        <v>0</v>
      </c>
      <c r="O1010" s="60">
        <v>0</v>
      </c>
      <c r="P1010" s="60">
        <v>0</v>
      </c>
      <c r="Q1010" s="60">
        <v>0</v>
      </c>
      <c r="R1010" s="60">
        <v>0</v>
      </c>
      <c r="S1010" s="60">
        <v>0</v>
      </c>
      <c r="T1010" s="60">
        <v>0</v>
      </c>
      <c r="U1010" s="60">
        <v>0</v>
      </c>
      <c r="V1010" s="60">
        <v>0</v>
      </c>
      <c r="W1010" s="60">
        <v>0</v>
      </c>
      <c r="X1010" s="60">
        <v>0</v>
      </c>
      <c r="Y1010" s="60">
        <v>0</v>
      </c>
      <c r="Z1010" s="60">
        <v>0</v>
      </c>
      <c r="AA1010" s="60">
        <v>0</v>
      </c>
      <c r="AB1010" s="60">
        <v>0</v>
      </c>
      <c r="AC1010" s="60">
        <v>177.41</v>
      </c>
      <c r="AD1010" s="60">
        <v>190.47</v>
      </c>
      <c r="AE1010" s="60">
        <v>223.08</v>
      </c>
      <c r="AF1010" s="60">
        <v>0</v>
      </c>
      <c r="AG1010" s="60">
        <v>0</v>
      </c>
      <c r="AH1010" s="60">
        <v>0</v>
      </c>
      <c r="AI1010" s="60">
        <v>177.41</v>
      </c>
      <c r="AJ1010" s="60">
        <v>190.47</v>
      </c>
      <c r="AK1010" s="60">
        <v>223.08</v>
      </c>
      <c r="AL1010" s="60">
        <v>0</v>
      </c>
      <c r="AM1010" s="60">
        <v>0</v>
      </c>
      <c r="AN1010" s="60">
        <v>0</v>
      </c>
      <c r="AO1010" s="60">
        <v>177.41</v>
      </c>
      <c r="AP1010" s="60">
        <v>190.47</v>
      </c>
      <c r="AQ1010" s="60">
        <v>223.08</v>
      </c>
      <c r="AR1010" s="61">
        <v>223.08</v>
      </c>
    </row>
    <row r="1011" spans="1:44" x14ac:dyDescent="0.35">
      <c r="A1011" s="49" t="str">
        <f t="shared" si="86"/>
        <v>37</v>
      </c>
      <c r="B1011" s="27">
        <v>68338</v>
      </c>
      <c r="C1011" s="25" t="str">
        <f>TEXT(135913,"0000000")</f>
        <v>0135913</v>
      </c>
      <c r="D1011" s="27">
        <v>1008</v>
      </c>
      <c r="E1011" s="25" t="s">
        <v>2236</v>
      </c>
      <c r="F1011" s="25" t="s">
        <v>5</v>
      </c>
      <c r="G1011" s="59" t="s">
        <v>2237</v>
      </c>
      <c r="H1011" s="60">
        <v>0</v>
      </c>
      <c r="I1011" s="60">
        <v>0</v>
      </c>
      <c r="J1011" s="60">
        <v>0</v>
      </c>
      <c r="K1011" s="60">
        <v>0</v>
      </c>
      <c r="L1011" s="60">
        <v>0</v>
      </c>
      <c r="M1011" s="60">
        <v>0</v>
      </c>
      <c r="N1011" s="60">
        <v>0</v>
      </c>
      <c r="O1011" s="60">
        <v>0</v>
      </c>
      <c r="P1011" s="60">
        <v>0</v>
      </c>
      <c r="Q1011" s="60">
        <v>0</v>
      </c>
      <c r="R1011" s="60">
        <v>0</v>
      </c>
      <c r="S1011" s="60">
        <v>0</v>
      </c>
      <c r="T1011" s="60">
        <v>0</v>
      </c>
      <c r="U1011" s="60">
        <v>0</v>
      </c>
      <c r="V1011" s="60">
        <v>0</v>
      </c>
      <c r="W1011" s="60">
        <v>0</v>
      </c>
      <c r="X1011" s="60">
        <v>0</v>
      </c>
      <c r="Y1011" s="60">
        <v>0</v>
      </c>
      <c r="Z1011" s="60">
        <v>0</v>
      </c>
      <c r="AA1011" s="60">
        <v>0</v>
      </c>
      <c r="AB1011" s="60">
        <v>0</v>
      </c>
      <c r="AC1011" s="60">
        <v>327.87</v>
      </c>
      <c r="AD1011" s="60">
        <v>420.52</v>
      </c>
      <c r="AE1011" s="60">
        <v>570.82000000000005</v>
      </c>
      <c r="AF1011" s="60">
        <v>0</v>
      </c>
      <c r="AG1011" s="60">
        <v>0</v>
      </c>
      <c r="AH1011" s="60">
        <v>0</v>
      </c>
      <c r="AI1011" s="60">
        <v>327.87</v>
      </c>
      <c r="AJ1011" s="60">
        <v>420.52</v>
      </c>
      <c r="AK1011" s="60">
        <v>570.82000000000005</v>
      </c>
      <c r="AL1011" s="60">
        <v>0</v>
      </c>
      <c r="AM1011" s="60">
        <v>0</v>
      </c>
      <c r="AN1011" s="60">
        <v>0</v>
      </c>
      <c r="AO1011" s="60">
        <v>327.87</v>
      </c>
      <c r="AP1011" s="60">
        <v>420.52</v>
      </c>
      <c r="AQ1011" s="60">
        <v>570.82000000000005</v>
      </c>
      <c r="AR1011" s="61">
        <v>570.82000000000005</v>
      </c>
    </row>
    <row r="1012" spans="1:44" x14ac:dyDescent="0.35">
      <c r="A1012" s="49" t="str">
        <f t="shared" si="86"/>
        <v>37</v>
      </c>
      <c r="B1012" s="27">
        <v>68338</v>
      </c>
      <c r="C1012" s="25" t="str">
        <f>TEXT(136663,"0000000")</f>
        <v>0136663</v>
      </c>
      <c r="D1012" s="27">
        <v>1301</v>
      </c>
      <c r="E1012" s="25" t="s">
        <v>2238</v>
      </c>
      <c r="F1012" s="25" t="s">
        <v>5</v>
      </c>
      <c r="G1012" s="59" t="s">
        <v>2239</v>
      </c>
      <c r="H1012" s="60">
        <v>0</v>
      </c>
      <c r="I1012" s="60">
        <v>0</v>
      </c>
      <c r="J1012" s="60">
        <v>0</v>
      </c>
      <c r="K1012" s="60">
        <v>0</v>
      </c>
      <c r="L1012" s="60">
        <v>0</v>
      </c>
      <c r="M1012" s="60">
        <v>0</v>
      </c>
      <c r="N1012" s="60">
        <v>0</v>
      </c>
      <c r="O1012" s="60">
        <v>0</v>
      </c>
      <c r="P1012" s="60">
        <v>0</v>
      </c>
      <c r="Q1012" s="60">
        <v>0</v>
      </c>
      <c r="R1012" s="60">
        <v>0</v>
      </c>
      <c r="S1012" s="60">
        <v>0</v>
      </c>
      <c r="T1012" s="60">
        <v>0</v>
      </c>
      <c r="U1012" s="60">
        <v>0</v>
      </c>
      <c r="V1012" s="60">
        <v>0</v>
      </c>
      <c r="W1012" s="60">
        <v>0</v>
      </c>
      <c r="X1012" s="60">
        <v>0</v>
      </c>
      <c r="Y1012" s="60">
        <v>0</v>
      </c>
      <c r="Z1012" s="60">
        <v>0</v>
      </c>
      <c r="AA1012" s="60">
        <v>0</v>
      </c>
      <c r="AB1012" s="60">
        <v>0</v>
      </c>
      <c r="AC1012" s="60">
        <v>404.28</v>
      </c>
      <c r="AD1012" s="60">
        <v>442.46</v>
      </c>
      <c r="AE1012" s="60">
        <v>436.56</v>
      </c>
      <c r="AF1012" s="60">
        <v>0</v>
      </c>
      <c r="AG1012" s="60">
        <v>0</v>
      </c>
      <c r="AH1012" s="60">
        <v>0</v>
      </c>
      <c r="AI1012" s="60">
        <v>404.28</v>
      </c>
      <c r="AJ1012" s="60">
        <v>442.46</v>
      </c>
      <c r="AK1012" s="60">
        <v>436.56</v>
      </c>
      <c r="AL1012" s="60">
        <v>0</v>
      </c>
      <c r="AM1012" s="60">
        <v>0</v>
      </c>
      <c r="AN1012" s="60">
        <v>0</v>
      </c>
      <c r="AO1012" s="60">
        <v>404.28</v>
      </c>
      <c r="AP1012" s="60">
        <v>442.46</v>
      </c>
      <c r="AQ1012" s="60">
        <v>436.56</v>
      </c>
      <c r="AR1012" s="61">
        <v>442.46</v>
      </c>
    </row>
    <row r="1013" spans="1:44" x14ac:dyDescent="0.35">
      <c r="A1013" s="49" t="str">
        <f>TEXT(1,"00")</f>
        <v>01</v>
      </c>
      <c r="B1013" s="27">
        <v>61259</v>
      </c>
      <c r="C1013" s="25" t="str">
        <f>TEXT(128413,"0000000")</f>
        <v>0128413</v>
      </c>
      <c r="D1013" s="27">
        <v>1577</v>
      </c>
      <c r="E1013" s="25" t="s">
        <v>112</v>
      </c>
      <c r="F1013" s="25" t="s">
        <v>5</v>
      </c>
      <c r="G1013" s="59" t="s">
        <v>113</v>
      </c>
      <c r="H1013" s="60">
        <v>0</v>
      </c>
      <c r="I1013" s="60">
        <v>0</v>
      </c>
      <c r="J1013" s="60">
        <v>0</v>
      </c>
      <c r="K1013" s="60">
        <v>0</v>
      </c>
      <c r="L1013" s="60">
        <v>0</v>
      </c>
      <c r="M1013" s="60">
        <v>0</v>
      </c>
      <c r="N1013" s="60">
        <v>0</v>
      </c>
      <c r="O1013" s="60">
        <v>0</v>
      </c>
      <c r="P1013" s="60">
        <v>0</v>
      </c>
      <c r="Q1013" s="60">
        <v>0</v>
      </c>
      <c r="R1013" s="60">
        <v>0</v>
      </c>
      <c r="S1013" s="60">
        <v>0</v>
      </c>
      <c r="T1013" s="60">
        <v>0</v>
      </c>
      <c r="U1013" s="60">
        <v>0</v>
      </c>
      <c r="V1013" s="60">
        <v>0</v>
      </c>
      <c r="W1013" s="60">
        <v>0</v>
      </c>
      <c r="X1013" s="60">
        <v>0</v>
      </c>
      <c r="Y1013" s="60">
        <v>0</v>
      </c>
      <c r="Z1013" s="60">
        <v>0</v>
      </c>
      <c r="AA1013" s="60">
        <v>0</v>
      </c>
      <c r="AB1013" s="60">
        <v>0</v>
      </c>
      <c r="AC1013" s="60">
        <v>180.38</v>
      </c>
      <c r="AD1013" s="60">
        <v>197.17</v>
      </c>
      <c r="AE1013" s="60">
        <v>278.10000000000002</v>
      </c>
      <c r="AF1013" s="60">
        <v>0</v>
      </c>
      <c r="AG1013" s="60">
        <v>0</v>
      </c>
      <c r="AH1013" s="60">
        <v>0</v>
      </c>
      <c r="AI1013" s="60">
        <v>180.38</v>
      </c>
      <c r="AJ1013" s="60">
        <v>197.17</v>
      </c>
      <c r="AK1013" s="60">
        <v>278.10000000000002</v>
      </c>
      <c r="AL1013" s="60">
        <v>0</v>
      </c>
      <c r="AM1013" s="60">
        <v>0</v>
      </c>
      <c r="AN1013" s="60">
        <v>0</v>
      </c>
      <c r="AO1013" s="60">
        <v>180.38</v>
      </c>
      <c r="AP1013" s="60">
        <v>197.17</v>
      </c>
      <c r="AQ1013" s="60">
        <v>278.10000000000002</v>
      </c>
      <c r="AR1013" s="61">
        <v>278.10000000000002</v>
      </c>
    </row>
    <row r="1014" spans="1:44" x14ac:dyDescent="0.35">
      <c r="A1014" s="49" t="str">
        <f t="shared" ref="A1014:A1023" si="87">TEXT(37,"00")</f>
        <v>37</v>
      </c>
      <c r="B1014" s="27">
        <v>68338</v>
      </c>
      <c r="C1014" s="25" t="str">
        <f>TEXT(3730959,"0000000")</f>
        <v>3730959</v>
      </c>
      <c r="D1014" s="26" t="s">
        <v>2242</v>
      </c>
      <c r="E1014" s="25" t="s">
        <v>2240</v>
      </c>
      <c r="F1014" s="25" t="s">
        <v>5</v>
      </c>
      <c r="G1014" s="59" t="s">
        <v>2241</v>
      </c>
      <c r="H1014" s="60">
        <v>0</v>
      </c>
      <c r="I1014" s="60">
        <v>0</v>
      </c>
      <c r="J1014" s="60">
        <v>0</v>
      </c>
      <c r="K1014" s="60">
        <v>0</v>
      </c>
      <c r="L1014" s="60">
        <v>0</v>
      </c>
      <c r="M1014" s="60">
        <v>0</v>
      </c>
      <c r="N1014" s="60">
        <v>0</v>
      </c>
      <c r="O1014" s="60">
        <v>0</v>
      </c>
      <c r="P1014" s="60">
        <v>0</v>
      </c>
      <c r="Q1014" s="60">
        <v>0</v>
      </c>
      <c r="R1014" s="60">
        <v>0</v>
      </c>
      <c r="S1014" s="60">
        <v>0</v>
      </c>
      <c r="T1014" s="60">
        <v>0</v>
      </c>
      <c r="U1014" s="60">
        <v>0</v>
      </c>
      <c r="V1014" s="60">
        <v>0</v>
      </c>
      <c r="W1014" s="60">
        <v>0</v>
      </c>
      <c r="X1014" s="60">
        <v>0</v>
      </c>
      <c r="Y1014" s="60">
        <v>0</v>
      </c>
      <c r="Z1014" s="60">
        <v>0</v>
      </c>
      <c r="AA1014" s="60">
        <v>0</v>
      </c>
      <c r="AB1014" s="60">
        <v>0</v>
      </c>
      <c r="AC1014" s="60">
        <v>1556.95</v>
      </c>
      <c r="AD1014" s="60">
        <v>1625.84</v>
      </c>
      <c r="AE1014" s="60">
        <v>1658.86</v>
      </c>
      <c r="AF1014" s="60">
        <v>0</v>
      </c>
      <c r="AG1014" s="60">
        <v>0</v>
      </c>
      <c r="AH1014" s="60">
        <v>0</v>
      </c>
      <c r="AI1014" s="60">
        <v>1556.95</v>
      </c>
      <c r="AJ1014" s="60">
        <v>1625.84</v>
      </c>
      <c r="AK1014" s="60">
        <v>1658.86</v>
      </c>
      <c r="AL1014" s="60">
        <v>0</v>
      </c>
      <c r="AM1014" s="60">
        <v>0</v>
      </c>
      <c r="AN1014" s="60">
        <v>0</v>
      </c>
      <c r="AO1014" s="60">
        <v>1556.95</v>
      </c>
      <c r="AP1014" s="60">
        <v>1625.84</v>
      </c>
      <c r="AQ1014" s="60">
        <v>1658.86</v>
      </c>
      <c r="AR1014" s="61">
        <v>1658.86</v>
      </c>
    </row>
    <row r="1015" spans="1:44" x14ac:dyDescent="0.35">
      <c r="A1015" s="49" t="str">
        <f t="shared" si="87"/>
        <v>37</v>
      </c>
      <c r="B1015" s="27">
        <v>68338</v>
      </c>
      <c r="C1015" s="25" t="str">
        <f>TEXT(6039457,"0000000")</f>
        <v>6039457</v>
      </c>
      <c r="D1015" s="26" t="s">
        <v>2254</v>
      </c>
      <c r="E1015" s="25" t="s">
        <v>2252</v>
      </c>
      <c r="F1015" s="25" t="s">
        <v>5</v>
      </c>
      <c r="G1015" s="59" t="s">
        <v>2253</v>
      </c>
      <c r="H1015" s="60">
        <v>0</v>
      </c>
      <c r="I1015" s="60">
        <v>0</v>
      </c>
      <c r="J1015" s="60">
        <v>0</v>
      </c>
      <c r="K1015" s="60">
        <v>0</v>
      </c>
      <c r="L1015" s="60">
        <v>0</v>
      </c>
      <c r="M1015" s="60">
        <v>0</v>
      </c>
      <c r="N1015" s="60">
        <v>0</v>
      </c>
      <c r="O1015" s="60">
        <v>0</v>
      </c>
      <c r="P1015" s="60">
        <v>0</v>
      </c>
      <c r="Q1015" s="60">
        <v>0</v>
      </c>
      <c r="R1015" s="60">
        <v>0</v>
      </c>
      <c r="S1015" s="60">
        <v>0</v>
      </c>
      <c r="T1015" s="60">
        <v>0</v>
      </c>
      <c r="U1015" s="60">
        <v>0</v>
      </c>
      <c r="V1015" s="60">
        <v>0</v>
      </c>
      <c r="W1015" s="60">
        <v>0</v>
      </c>
      <c r="X1015" s="60">
        <v>0</v>
      </c>
      <c r="Y1015" s="60">
        <v>0</v>
      </c>
      <c r="Z1015" s="60">
        <v>0</v>
      </c>
      <c r="AA1015" s="60">
        <v>0</v>
      </c>
      <c r="AB1015" s="60">
        <v>0</v>
      </c>
      <c r="AC1015" s="60">
        <v>420.8</v>
      </c>
      <c r="AD1015" s="60">
        <v>446.55</v>
      </c>
      <c r="AE1015" s="60">
        <v>609.89</v>
      </c>
      <c r="AF1015" s="60">
        <v>0</v>
      </c>
      <c r="AG1015" s="60">
        <v>0</v>
      </c>
      <c r="AH1015" s="60">
        <v>0</v>
      </c>
      <c r="AI1015" s="60">
        <v>420.8</v>
      </c>
      <c r="AJ1015" s="60">
        <v>446.55</v>
      </c>
      <c r="AK1015" s="60">
        <v>609.89</v>
      </c>
      <c r="AL1015" s="60">
        <v>0</v>
      </c>
      <c r="AM1015" s="60">
        <v>0</v>
      </c>
      <c r="AN1015" s="60">
        <v>0</v>
      </c>
      <c r="AO1015" s="60">
        <v>420.8</v>
      </c>
      <c r="AP1015" s="60">
        <v>446.55</v>
      </c>
      <c r="AQ1015" s="60">
        <v>609.89</v>
      </c>
      <c r="AR1015" s="61">
        <v>609.89</v>
      </c>
    </row>
    <row r="1016" spans="1:44" x14ac:dyDescent="0.35">
      <c r="A1016" s="49" t="str">
        <f t="shared" si="87"/>
        <v>37</v>
      </c>
      <c r="B1016" s="27">
        <v>68338</v>
      </c>
      <c r="C1016" s="25" t="str">
        <f>TEXT(6039812,"0000000")</f>
        <v>6039812</v>
      </c>
      <c r="D1016" s="26" t="s">
        <v>2257</v>
      </c>
      <c r="E1016" s="25" t="s">
        <v>2255</v>
      </c>
      <c r="F1016" s="25" t="s">
        <v>5</v>
      </c>
      <c r="G1016" s="59" t="s">
        <v>2256</v>
      </c>
      <c r="H1016" s="60">
        <v>0</v>
      </c>
      <c r="I1016" s="60">
        <v>0</v>
      </c>
      <c r="J1016" s="60">
        <v>0</v>
      </c>
      <c r="K1016" s="60">
        <v>0</v>
      </c>
      <c r="L1016" s="60">
        <v>0</v>
      </c>
      <c r="M1016" s="60">
        <v>0</v>
      </c>
      <c r="N1016" s="60">
        <v>0</v>
      </c>
      <c r="O1016" s="60">
        <v>0</v>
      </c>
      <c r="P1016" s="60">
        <v>0</v>
      </c>
      <c r="Q1016" s="60">
        <v>0</v>
      </c>
      <c r="R1016" s="60">
        <v>0</v>
      </c>
      <c r="S1016" s="60">
        <v>0</v>
      </c>
      <c r="T1016" s="60">
        <v>0</v>
      </c>
      <c r="U1016" s="60">
        <v>0</v>
      </c>
      <c r="V1016" s="60">
        <v>0</v>
      </c>
      <c r="W1016" s="60">
        <v>0</v>
      </c>
      <c r="X1016" s="60">
        <v>0</v>
      </c>
      <c r="Y1016" s="60">
        <v>0</v>
      </c>
      <c r="Z1016" s="60">
        <v>0</v>
      </c>
      <c r="AA1016" s="60">
        <v>0</v>
      </c>
      <c r="AB1016" s="60">
        <v>0</v>
      </c>
      <c r="AC1016" s="60">
        <v>554.19000000000005</v>
      </c>
      <c r="AD1016" s="60">
        <v>512.66999999999996</v>
      </c>
      <c r="AE1016" s="60">
        <v>601.36</v>
      </c>
      <c r="AF1016" s="60">
        <v>0</v>
      </c>
      <c r="AG1016" s="60">
        <v>0</v>
      </c>
      <c r="AH1016" s="60">
        <v>0</v>
      </c>
      <c r="AI1016" s="60">
        <v>554.19000000000005</v>
      </c>
      <c r="AJ1016" s="60">
        <v>512.66999999999996</v>
      </c>
      <c r="AK1016" s="60">
        <v>601.36</v>
      </c>
      <c r="AL1016" s="60">
        <v>0</v>
      </c>
      <c r="AM1016" s="60">
        <v>0</v>
      </c>
      <c r="AN1016" s="60">
        <v>0</v>
      </c>
      <c r="AO1016" s="60">
        <v>554.19000000000005</v>
      </c>
      <c r="AP1016" s="60">
        <v>512.66999999999996</v>
      </c>
      <c r="AQ1016" s="60">
        <v>601.36</v>
      </c>
      <c r="AR1016" s="61">
        <v>601.36</v>
      </c>
    </row>
    <row r="1017" spans="1:44" x14ac:dyDescent="0.35">
      <c r="A1017" s="49" t="str">
        <f t="shared" si="87"/>
        <v>37</v>
      </c>
      <c r="B1017" s="27">
        <v>68338</v>
      </c>
      <c r="C1017" s="25" t="str">
        <f>TEXT(6040018,"0000000")</f>
        <v>6040018</v>
      </c>
      <c r="D1017" s="26" t="s">
        <v>2260</v>
      </c>
      <c r="E1017" s="25" t="s">
        <v>2258</v>
      </c>
      <c r="F1017" s="25" t="s">
        <v>5</v>
      </c>
      <c r="G1017" s="59" t="s">
        <v>2259</v>
      </c>
      <c r="H1017" s="60">
        <v>0</v>
      </c>
      <c r="I1017" s="60">
        <v>0</v>
      </c>
      <c r="J1017" s="60">
        <v>0</v>
      </c>
      <c r="K1017" s="60">
        <v>0</v>
      </c>
      <c r="L1017" s="60">
        <v>0</v>
      </c>
      <c r="M1017" s="60">
        <v>0</v>
      </c>
      <c r="N1017" s="60">
        <v>0</v>
      </c>
      <c r="O1017" s="60">
        <v>0</v>
      </c>
      <c r="P1017" s="60">
        <v>0</v>
      </c>
      <c r="Q1017" s="60">
        <v>0</v>
      </c>
      <c r="R1017" s="60">
        <v>0</v>
      </c>
      <c r="S1017" s="60">
        <v>0</v>
      </c>
      <c r="T1017" s="60">
        <v>0</v>
      </c>
      <c r="U1017" s="60">
        <v>0</v>
      </c>
      <c r="V1017" s="60">
        <v>0</v>
      </c>
      <c r="W1017" s="60">
        <v>0</v>
      </c>
      <c r="X1017" s="60">
        <v>0</v>
      </c>
      <c r="Y1017" s="60">
        <v>0</v>
      </c>
      <c r="Z1017" s="60">
        <v>0</v>
      </c>
      <c r="AA1017" s="60">
        <v>0</v>
      </c>
      <c r="AB1017" s="60">
        <v>0</v>
      </c>
      <c r="AC1017" s="60">
        <v>398.44</v>
      </c>
      <c r="AD1017" s="60">
        <v>373</v>
      </c>
      <c r="AE1017" s="60">
        <v>409.16</v>
      </c>
      <c r="AF1017" s="60">
        <v>0</v>
      </c>
      <c r="AG1017" s="60">
        <v>0</v>
      </c>
      <c r="AH1017" s="60">
        <v>0</v>
      </c>
      <c r="AI1017" s="60">
        <v>398.44</v>
      </c>
      <c r="AJ1017" s="60">
        <v>373</v>
      </c>
      <c r="AK1017" s="60">
        <v>409.16</v>
      </c>
      <c r="AL1017" s="60">
        <v>0</v>
      </c>
      <c r="AM1017" s="60">
        <v>0</v>
      </c>
      <c r="AN1017" s="60">
        <v>0</v>
      </c>
      <c r="AO1017" s="60">
        <v>398.44</v>
      </c>
      <c r="AP1017" s="60">
        <v>373</v>
      </c>
      <c r="AQ1017" s="60">
        <v>409.16</v>
      </c>
      <c r="AR1017" s="61">
        <v>409.16</v>
      </c>
    </row>
    <row r="1018" spans="1:44" x14ac:dyDescent="0.35">
      <c r="A1018" s="49" t="str">
        <f t="shared" si="87"/>
        <v>37</v>
      </c>
      <c r="B1018" s="27">
        <v>68338</v>
      </c>
      <c r="C1018" s="25" t="str">
        <f>TEXT(6040190,"0000000")</f>
        <v>6040190</v>
      </c>
      <c r="D1018" s="26" t="s">
        <v>2263</v>
      </c>
      <c r="E1018" s="25" t="s">
        <v>2261</v>
      </c>
      <c r="F1018" s="25" t="s">
        <v>5</v>
      </c>
      <c r="G1018" s="59" t="s">
        <v>2262</v>
      </c>
      <c r="H1018" s="60">
        <v>0</v>
      </c>
      <c r="I1018" s="60">
        <v>0</v>
      </c>
      <c r="J1018" s="60">
        <v>0</v>
      </c>
      <c r="K1018" s="60">
        <v>0</v>
      </c>
      <c r="L1018" s="60">
        <v>0</v>
      </c>
      <c r="M1018" s="60">
        <v>0</v>
      </c>
      <c r="N1018" s="60">
        <v>0</v>
      </c>
      <c r="O1018" s="60">
        <v>0</v>
      </c>
      <c r="P1018" s="60">
        <v>0</v>
      </c>
      <c r="Q1018" s="60">
        <v>0</v>
      </c>
      <c r="R1018" s="60">
        <v>0</v>
      </c>
      <c r="S1018" s="60">
        <v>0</v>
      </c>
      <c r="T1018" s="60">
        <v>0</v>
      </c>
      <c r="U1018" s="60">
        <v>0</v>
      </c>
      <c r="V1018" s="60">
        <v>0</v>
      </c>
      <c r="W1018" s="60">
        <v>0</v>
      </c>
      <c r="X1018" s="60">
        <v>0</v>
      </c>
      <c r="Y1018" s="60">
        <v>0</v>
      </c>
      <c r="Z1018" s="60">
        <v>0</v>
      </c>
      <c r="AA1018" s="60">
        <v>0</v>
      </c>
      <c r="AB1018" s="60">
        <v>0</v>
      </c>
      <c r="AC1018" s="60">
        <v>309.47000000000003</v>
      </c>
      <c r="AD1018" s="60">
        <v>265.44</v>
      </c>
      <c r="AE1018" s="60">
        <v>309.5</v>
      </c>
      <c r="AF1018" s="60">
        <v>0</v>
      </c>
      <c r="AG1018" s="60">
        <v>0</v>
      </c>
      <c r="AH1018" s="60">
        <v>0</v>
      </c>
      <c r="AI1018" s="60">
        <v>309.47000000000003</v>
      </c>
      <c r="AJ1018" s="60">
        <v>265.44</v>
      </c>
      <c r="AK1018" s="60">
        <v>309.5</v>
      </c>
      <c r="AL1018" s="60">
        <v>0</v>
      </c>
      <c r="AM1018" s="60">
        <v>0</v>
      </c>
      <c r="AN1018" s="60">
        <v>0</v>
      </c>
      <c r="AO1018" s="60">
        <v>309.47000000000003</v>
      </c>
      <c r="AP1018" s="60">
        <v>265.44</v>
      </c>
      <c r="AQ1018" s="60">
        <v>309.5</v>
      </c>
      <c r="AR1018" s="61">
        <v>309.5</v>
      </c>
    </row>
    <row r="1019" spans="1:44" x14ac:dyDescent="0.35">
      <c r="A1019" s="49" t="str">
        <f t="shared" si="87"/>
        <v>37</v>
      </c>
      <c r="B1019" s="27">
        <v>68338</v>
      </c>
      <c r="C1019" s="25" t="str">
        <f>TEXT(6113211,"0000000")</f>
        <v>6113211</v>
      </c>
      <c r="D1019" s="26" t="s">
        <v>2269</v>
      </c>
      <c r="E1019" s="25" t="s">
        <v>2267</v>
      </c>
      <c r="F1019" s="25" t="s">
        <v>5</v>
      </c>
      <c r="G1019" s="59" t="s">
        <v>2268</v>
      </c>
      <c r="H1019" s="60">
        <v>0</v>
      </c>
      <c r="I1019" s="60">
        <v>0</v>
      </c>
      <c r="J1019" s="60">
        <v>0</v>
      </c>
      <c r="K1019" s="60">
        <v>0</v>
      </c>
      <c r="L1019" s="60">
        <v>0</v>
      </c>
      <c r="M1019" s="60">
        <v>0</v>
      </c>
      <c r="N1019" s="60">
        <v>0</v>
      </c>
      <c r="O1019" s="60">
        <v>0</v>
      </c>
      <c r="P1019" s="60">
        <v>0</v>
      </c>
      <c r="Q1019" s="60">
        <v>0</v>
      </c>
      <c r="R1019" s="60">
        <v>0</v>
      </c>
      <c r="S1019" s="60">
        <v>0</v>
      </c>
      <c r="T1019" s="60">
        <v>0</v>
      </c>
      <c r="U1019" s="60">
        <v>0</v>
      </c>
      <c r="V1019" s="60">
        <v>0</v>
      </c>
      <c r="W1019" s="60">
        <v>0</v>
      </c>
      <c r="X1019" s="60">
        <v>0</v>
      </c>
      <c r="Y1019" s="60">
        <v>0</v>
      </c>
      <c r="Z1019" s="60">
        <v>0</v>
      </c>
      <c r="AA1019" s="60">
        <v>0</v>
      </c>
      <c r="AB1019" s="60">
        <v>0</v>
      </c>
      <c r="AC1019" s="60">
        <v>104.16</v>
      </c>
      <c r="AD1019" s="60">
        <v>108.86</v>
      </c>
      <c r="AE1019" s="60">
        <v>147.58000000000001</v>
      </c>
      <c r="AF1019" s="60">
        <v>0</v>
      </c>
      <c r="AG1019" s="60">
        <v>0</v>
      </c>
      <c r="AH1019" s="60">
        <v>0</v>
      </c>
      <c r="AI1019" s="60">
        <v>104.16</v>
      </c>
      <c r="AJ1019" s="60">
        <v>108.86</v>
      </c>
      <c r="AK1019" s="60">
        <v>147.58000000000001</v>
      </c>
      <c r="AL1019" s="60">
        <v>0</v>
      </c>
      <c r="AM1019" s="60">
        <v>0</v>
      </c>
      <c r="AN1019" s="60">
        <v>0</v>
      </c>
      <c r="AO1019" s="60">
        <v>104.16</v>
      </c>
      <c r="AP1019" s="60">
        <v>108.86</v>
      </c>
      <c r="AQ1019" s="60">
        <v>147.58000000000001</v>
      </c>
      <c r="AR1019" s="61">
        <v>147.58000000000001</v>
      </c>
    </row>
    <row r="1020" spans="1:44" x14ac:dyDescent="0.35">
      <c r="A1020" s="49" t="str">
        <f t="shared" si="87"/>
        <v>37</v>
      </c>
      <c r="B1020" s="27">
        <v>68338</v>
      </c>
      <c r="C1020" s="25" t="str">
        <f>TEXT(6115570,"0000000")</f>
        <v>6115570</v>
      </c>
      <c r="D1020" s="26" t="s">
        <v>2272</v>
      </c>
      <c r="E1020" s="25" t="s">
        <v>2270</v>
      </c>
      <c r="F1020" s="25" t="s">
        <v>5</v>
      </c>
      <c r="G1020" s="59" t="s">
        <v>2271</v>
      </c>
      <c r="H1020" s="60">
        <v>0</v>
      </c>
      <c r="I1020" s="60">
        <v>0</v>
      </c>
      <c r="J1020" s="60">
        <v>0</v>
      </c>
      <c r="K1020" s="60">
        <v>0</v>
      </c>
      <c r="L1020" s="60">
        <v>0</v>
      </c>
      <c r="M1020" s="60">
        <v>0</v>
      </c>
      <c r="N1020" s="60">
        <v>0</v>
      </c>
      <c r="O1020" s="60">
        <v>0</v>
      </c>
      <c r="P1020" s="60">
        <v>0</v>
      </c>
      <c r="Q1020" s="60">
        <v>0</v>
      </c>
      <c r="R1020" s="60">
        <v>0</v>
      </c>
      <c r="S1020" s="60">
        <v>0</v>
      </c>
      <c r="T1020" s="60">
        <v>0</v>
      </c>
      <c r="U1020" s="60">
        <v>0</v>
      </c>
      <c r="V1020" s="60">
        <v>0</v>
      </c>
      <c r="W1020" s="60">
        <v>0</v>
      </c>
      <c r="X1020" s="60">
        <v>0</v>
      </c>
      <c r="Y1020" s="60">
        <v>0</v>
      </c>
      <c r="Z1020" s="60">
        <v>0</v>
      </c>
      <c r="AA1020" s="60">
        <v>0</v>
      </c>
      <c r="AB1020" s="60">
        <v>0</v>
      </c>
      <c r="AC1020" s="60">
        <v>206.33</v>
      </c>
      <c r="AD1020" s="60">
        <v>210.3</v>
      </c>
      <c r="AE1020" s="60">
        <v>230.52</v>
      </c>
      <c r="AF1020" s="60">
        <v>0</v>
      </c>
      <c r="AG1020" s="60">
        <v>0</v>
      </c>
      <c r="AH1020" s="60">
        <v>0</v>
      </c>
      <c r="AI1020" s="60">
        <v>206.33</v>
      </c>
      <c r="AJ1020" s="60">
        <v>210.3</v>
      </c>
      <c r="AK1020" s="60">
        <v>230.52</v>
      </c>
      <c r="AL1020" s="60">
        <v>0</v>
      </c>
      <c r="AM1020" s="60">
        <v>0</v>
      </c>
      <c r="AN1020" s="60">
        <v>0</v>
      </c>
      <c r="AO1020" s="60">
        <v>206.33</v>
      </c>
      <c r="AP1020" s="60">
        <v>210.3</v>
      </c>
      <c r="AQ1020" s="60">
        <v>230.52</v>
      </c>
      <c r="AR1020" s="61">
        <v>230.52</v>
      </c>
    </row>
    <row r="1021" spans="1:44" x14ac:dyDescent="0.35">
      <c r="A1021" s="49" t="str">
        <f t="shared" si="87"/>
        <v>37</v>
      </c>
      <c r="B1021" s="27">
        <v>68338</v>
      </c>
      <c r="C1021" s="25" t="str">
        <f>TEXT(6117279,"0000000")</f>
        <v>6117279</v>
      </c>
      <c r="D1021" s="26" t="s">
        <v>2275</v>
      </c>
      <c r="E1021" s="25" t="s">
        <v>2273</v>
      </c>
      <c r="F1021" s="25" t="s">
        <v>5</v>
      </c>
      <c r="G1021" s="59" t="s">
        <v>2274</v>
      </c>
      <c r="H1021" s="60">
        <v>0</v>
      </c>
      <c r="I1021" s="60">
        <v>0</v>
      </c>
      <c r="J1021" s="60">
        <v>0</v>
      </c>
      <c r="K1021" s="60">
        <v>0</v>
      </c>
      <c r="L1021" s="60">
        <v>0</v>
      </c>
      <c r="M1021" s="60">
        <v>0</v>
      </c>
      <c r="N1021" s="60">
        <v>0</v>
      </c>
      <c r="O1021" s="60">
        <v>0</v>
      </c>
      <c r="P1021" s="60">
        <v>0</v>
      </c>
      <c r="Q1021" s="60">
        <v>0</v>
      </c>
      <c r="R1021" s="60">
        <v>0</v>
      </c>
      <c r="S1021" s="60">
        <v>0</v>
      </c>
      <c r="T1021" s="60">
        <v>0</v>
      </c>
      <c r="U1021" s="60">
        <v>0</v>
      </c>
      <c r="V1021" s="60">
        <v>0</v>
      </c>
      <c r="W1021" s="60">
        <v>0</v>
      </c>
      <c r="X1021" s="60">
        <v>0</v>
      </c>
      <c r="Y1021" s="60">
        <v>0</v>
      </c>
      <c r="Z1021" s="60">
        <v>0</v>
      </c>
      <c r="AA1021" s="60">
        <v>0</v>
      </c>
      <c r="AB1021" s="60">
        <v>0</v>
      </c>
      <c r="AC1021" s="60">
        <v>86.65</v>
      </c>
      <c r="AD1021" s="60">
        <v>96.15</v>
      </c>
      <c r="AE1021" s="60">
        <v>119.4</v>
      </c>
      <c r="AF1021" s="60">
        <v>0</v>
      </c>
      <c r="AG1021" s="60">
        <v>0</v>
      </c>
      <c r="AH1021" s="60">
        <v>0</v>
      </c>
      <c r="AI1021" s="60">
        <v>86.65</v>
      </c>
      <c r="AJ1021" s="60">
        <v>96.15</v>
      </c>
      <c r="AK1021" s="60">
        <v>119.4</v>
      </c>
      <c r="AL1021" s="60">
        <v>0</v>
      </c>
      <c r="AM1021" s="60">
        <v>0</v>
      </c>
      <c r="AN1021" s="60">
        <v>0</v>
      </c>
      <c r="AO1021" s="60">
        <v>86.65</v>
      </c>
      <c r="AP1021" s="60">
        <v>96.15</v>
      </c>
      <c r="AQ1021" s="60">
        <v>119.4</v>
      </c>
      <c r="AR1021" s="61">
        <v>119.4</v>
      </c>
    </row>
    <row r="1022" spans="1:44" x14ac:dyDescent="0.35">
      <c r="A1022" s="49" t="str">
        <f t="shared" si="87"/>
        <v>37</v>
      </c>
      <c r="B1022" s="27">
        <v>68338</v>
      </c>
      <c r="C1022" s="25" t="str">
        <f>TEXT(6117683,"0000000")</f>
        <v>6117683</v>
      </c>
      <c r="D1022" s="26" t="s">
        <v>2278</v>
      </c>
      <c r="E1022" s="25" t="s">
        <v>2276</v>
      </c>
      <c r="F1022" s="25" t="s">
        <v>5</v>
      </c>
      <c r="G1022" s="59" t="s">
        <v>2277</v>
      </c>
      <c r="H1022" s="60">
        <v>0</v>
      </c>
      <c r="I1022" s="60">
        <v>0</v>
      </c>
      <c r="J1022" s="60">
        <v>0</v>
      </c>
      <c r="K1022" s="60">
        <v>0</v>
      </c>
      <c r="L1022" s="60">
        <v>0</v>
      </c>
      <c r="M1022" s="60">
        <v>0</v>
      </c>
      <c r="N1022" s="60">
        <v>0</v>
      </c>
      <c r="O1022" s="60">
        <v>0</v>
      </c>
      <c r="P1022" s="60">
        <v>0</v>
      </c>
      <c r="Q1022" s="60">
        <v>0</v>
      </c>
      <c r="R1022" s="60">
        <v>0</v>
      </c>
      <c r="S1022" s="60">
        <v>0</v>
      </c>
      <c r="T1022" s="60">
        <v>0</v>
      </c>
      <c r="U1022" s="60">
        <v>0</v>
      </c>
      <c r="V1022" s="60">
        <v>0</v>
      </c>
      <c r="W1022" s="60">
        <v>0</v>
      </c>
      <c r="X1022" s="60">
        <v>0</v>
      </c>
      <c r="Y1022" s="60">
        <v>0</v>
      </c>
      <c r="Z1022" s="60">
        <v>0</v>
      </c>
      <c r="AA1022" s="60">
        <v>0</v>
      </c>
      <c r="AB1022" s="60">
        <v>0</v>
      </c>
      <c r="AC1022" s="60">
        <v>340.44</v>
      </c>
      <c r="AD1022" s="60">
        <v>331.1</v>
      </c>
      <c r="AE1022" s="60">
        <v>350.17</v>
      </c>
      <c r="AF1022" s="60">
        <v>0</v>
      </c>
      <c r="AG1022" s="60">
        <v>0</v>
      </c>
      <c r="AH1022" s="60">
        <v>0</v>
      </c>
      <c r="AI1022" s="60">
        <v>340.44</v>
      </c>
      <c r="AJ1022" s="60">
        <v>331.1</v>
      </c>
      <c r="AK1022" s="60">
        <v>350.17</v>
      </c>
      <c r="AL1022" s="60">
        <v>0</v>
      </c>
      <c r="AM1022" s="60">
        <v>0</v>
      </c>
      <c r="AN1022" s="60">
        <v>0</v>
      </c>
      <c r="AO1022" s="60">
        <v>340.44</v>
      </c>
      <c r="AP1022" s="60">
        <v>331.1</v>
      </c>
      <c r="AQ1022" s="60">
        <v>350.17</v>
      </c>
      <c r="AR1022" s="61">
        <v>350.17</v>
      </c>
    </row>
    <row r="1023" spans="1:44" x14ac:dyDescent="0.35">
      <c r="A1023" s="49" t="str">
        <f t="shared" si="87"/>
        <v>37</v>
      </c>
      <c r="B1023" s="27">
        <v>68338</v>
      </c>
      <c r="C1023" s="25" t="str">
        <f>TEXT(6119168,"0000000")</f>
        <v>6119168</v>
      </c>
      <c r="D1023" s="26" t="s">
        <v>2281</v>
      </c>
      <c r="E1023" s="25" t="s">
        <v>2279</v>
      </c>
      <c r="F1023" s="25" t="s">
        <v>5</v>
      </c>
      <c r="G1023" s="59" t="s">
        <v>2280</v>
      </c>
      <c r="H1023" s="60">
        <v>0</v>
      </c>
      <c r="I1023" s="60">
        <v>0</v>
      </c>
      <c r="J1023" s="60">
        <v>0</v>
      </c>
      <c r="K1023" s="60">
        <v>0</v>
      </c>
      <c r="L1023" s="60">
        <v>0</v>
      </c>
      <c r="M1023" s="60">
        <v>0</v>
      </c>
      <c r="N1023" s="60">
        <v>0</v>
      </c>
      <c r="O1023" s="60">
        <v>0</v>
      </c>
      <c r="P1023" s="60">
        <v>0</v>
      </c>
      <c r="Q1023" s="60">
        <v>0</v>
      </c>
      <c r="R1023" s="60">
        <v>0</v>
      </c>
      <c r="S1023" s="60">
        <v>0</v>
      </c>
      <c r="T1023" s="60">
        <v>0</v>
      </c>
      <c r="U1023" s="60">
        <v>0</v>
      </c>
      <c r="V1023" s="60">
        <v>0</v>
      </c>
      <c r="W1023" s="60">
        <v>0</v>
      </c>
      <c r="X1023" s="60">
        <v>0</v>
      </c>
      <c r="Y1023" s="60">
        <v>0</v>
      </c>
      <c r="Z1023" s="60">
        <v>0</v>
      </c>
      <c r="AA1023" s="60">
        <v>0</v>
      </c>
      <c r="AB1023" s="60">
        <v>0</v>
      </c>
      <c r="AC1023" s="60">
        <v>404.77</v>
      </c>
      <c r="AD1023" s="60">
        <v>398.81</v>
      </c>
      <c r="AE1023" s="60">
        <v>556.99</v>
      </c>
      <c r="AF1023" s="60">
        <v>0</v>
      </c>
      <c r="AG1023" s="60">
        <v>0</v>
      </c>
      <c r="AH1023" s="60">
        <v>0</v>
      </c>
      <c r="AI1023" s="60">
        <v>404.77</v>
      </c>
      <c r="AJ1023" s="60">
        <v>398.81</v>
      </c>
      <c r="AK1023" s="60">
        <v>556.99</v>
      </c>
      <c r="AL1023" s="60">
        <v>0</v>
      </c>
      <c r="AM1023" s="60">
        <v>0</v>
      </c>
      <c r="AN1023" s="60">
        <v>0</v>
      </c>
      <c r="AO1023" s="60">
        <v>404.77</v>
      </c>
      <c r="AP1023" s="60">
        <v>398.81</v>
      </c>
      <c r="AQ1023" s="60">
        <v>556.99</v>
      </c>
      <c r="AR1023" s="61">
        <v>556.99</v>
      </c>
    </row>
    <row r="1024" spans="1:44" x14ac:dyDescent="0.35">
      <c r="A1024" s="49" t="str">
        <f>TEXT(1,"00")</f>
        <v>01</v>
      </c>
      <c r="B1024" s="27">
        <v>61259</v>
      </c>
      <c r="C1024" s="25" t="str">
        <f>TEXT(129635,"0000000")</f>
        <v>0129635</v>
      </c>
      <c r="D1024" s="27">
        <v>1661</v>
      </c>
      <c r="E1024" s="25" t="s">
        <v>114</v>
      </c>
      <c r="F1024" s="25" t="s">
        <v>5</v>
      </c>
      <c r="G1024" s="59" t="s">
        <v>115</v>
      </c>
      <c r="H1024" s="60">
        <v>0</v>
      </c>
      <c r="I1024" s="60">
        <v>0</v>
      </c>
      <c r="J1024" s="60">
        <v>0</v>
      </c>
      <c r="K1024" s="60">
        <v>0</v>
      </c>
      <c r="L1024" s="60">
        <v>0</v>
      </c>
      <c r="M1024" s="60">
        <v>0</v>
      </c>
      <c r="N1024" s="60">
        <v>0</v>
      </c>
      <c r="O1024" s="60">
        <v>0</v>
      </c>
      <c r="P1024" s="60">
        <v>0</v>
      </c>
      <c r="Q1024" s="60">
        <v>0</v>
      </c>
      <c r="R1024" s="60">
        <v>0</v>
      </c>
      <c r="S1024" s="60">
        <v>0</v>
      </c>
      <c r="T1024" s="60">
        <v>0</v>
      </c>
      <c r="U1024" s="60">
        <v>0</v>
      </c>
      <c r="V1024" s="60">
        <v>0</v>
      </c>
      <c r="W1024" s="60">
        <v>0</v>
      </c>
      <c r="X1024" s="60">
        <v>0</v>
      </c>
      <c r="Y1024" s="60">
        <v>0</v>
      </c>
      <c r="Z1024" s="60">
        <v>0</v>
      </c>
      <c r="AA1024" s="60">
        <v>0</v>
      </c>
      <c r="AB1024" s="60">
        <v>0</v>
      </c>
      <c r="AC1024" s="60">
        <v>251.87</v>
      </c>
      <c r="AD1024" s="60">
        <v>264.68</v>
      </c>
      <c r="AE1024" s="60">
        <v>320.41000000000003</v>
      </c>
      <c r="AF1024" s="60">
        <v>0</v>
      </c>
      <c r="AG1024" s="60">
        <v>0</v>
      </c>
      <c r="AH1024" s="60">
        <v>0</v>
      </c>
      <c r="AI1024" s="60">
        <v>251.87</v>
      </c>
      <c r="AJ1024" s="60">
        <v>264.68</v>
      </c>
      <c r="AK1024" s="60">
        <v>320.41000000000003</v>
      </c>
      <c r="AL1024" s="60">
        <v>0</v>
      </c>
      <c r="AM1024" s="60">
        <v>0</v>
      </c>
      <c r="AN1024" s="60">
        <v>0</v>
      </c>
      <c r="AO1024" s="60">
        <v>251.87</v>
      </c>
      <c r="AP1024" s="60">
        <v>264.68</v>
      </c>
      <c r="AQ1024" s="60">
        <v>320.41000000000003</v>
      </c>
      <c r="AR1024" s="61">
        <v>320.41000000000003</v>
      </c>
    </row>
    <row r="1025" spans="1:44" x14ac:dyDescent="0.35">
      <c r="A1025" s="49" t="str">
        <f t="shared" ref="A1025:A1034" si="88">TEXT(37,"00")</f>
        <v>37</v>
      </c>
      <c r="B1025" s="27">
        <v>68338</v>
      </c>
      <c r="C1025" s="25" t="str">
        <f>TEXT(6119598,"0000000")</f>
        <v>6119598</v>
      </c>
      <c r="D1025" s="26" t="s">
        <v>2284</v>
      </c>
      <c r="E1025" s="25" t="s">
        <v>2282</v>
      </c>
      <c r="F1025" s="25" t="s">
        <v>5</v>
      </c>
      <c r="G1025" s="59" t="s">
        <v>2283</v>
      </c>
      <c r="H1025" s="60">
        <v>0</v>
      </c>
      <c r="I1025" s="60">
        <v>0</v>
      </c>
      <c r="J1025" s="60">
        <v>0</v>
      </c>
      <c r="K1025" s="60">
        <v>0</v>
      </c>
      <c r="L1025" s="60">
        <v>0</v>
      </c>
      <c r="M1025" s="60">
        <v>0</v>
      </c>
      <c r="N1025" s="60">
        <v>0</v>
      </c>
      <c r="O1025" s="60">
        <v>0</v>
      </c>
      <c r="P1025" s="60">
        <v>0</v>
      </c>
      <c r="Q1025" s="60">
        <v>0</v>
      </c>
      <c r="R1025" s="60">
        <v>0</v>
      </c>
      <c r="S1025" s="60">
        <v>0</v>
      </c>
      <c r="T1025" s="60">
        <v>0</v>
      </c>
      <c r="U1025" s="60">
        <v>0</v>
      </c>
      <c r="V1025" s="60">
        <v>0</v>
      </c>
      <c r="W1025" s="60">
        <v>0</v>
      </c>
      <c r="X1025" s="60">
        <v>0</v>
      </c>
      <c r="Y1025" s="60">
        <v>0</v>
      </c>
      <c r="Z1025" s="60">
        <v>0</v>
      </c>
      <c r="AA1025" s="60">
        <v>0</v>
      </c>
      <c r="AB1025" s="60">
        <v>0</v>
      </c>
      <c r="AC1025" s="60">
        <v>225.73</v>
      </c>
      <c r="AD1025" s="60">
        <v>226.01</v>
      </c>
      <c r="AE1025" s="60">
        <v>273.14</v>
      </c>
      <c r="AF1025" s="60">
        <v>0</v>
      </c>
      <c r="AG1025" s="60">
        <v>0</v>
      </c>
      <c r="AH1025" s="60">
        <v>0</v>
      </c>
      <c r="AI1025" s="60">
        <v>225.73</v>
      </c>
      <c r="AJ1025" s="60">
        <v>226.01</v>
      </c>
      <c r="AK1025" s="60">
        <v>273.14</v>
      </c>
      <c r="AL1025" s="60">
        <v>0</v>
      </c>
      <c r="AM1025" s="60">
        <v>0</v>
      </c>
      <c r="AN1025" s="60">
        <v>0</v>
      </c>
      <c r="AO1025" s="60">
        <v>225.73</v>
      </c>
      <c r="AP1025" s="60">
        <v>226.01</v>
      </c>
      <c r="AQ1025" s="60">
        <v>273.14</v>
      </c>
      <c r="AR1025" s="61">
        <v>273.14</v>
      </c>
    </row>
    <row r="1026" spans="1:44" x14ac:dyDescent="0.35">
      <c r="A1026" s="49" t="str">
        <f t="shared" si="88"/>
        <v>37</v>
      </c>
      <c r="B1026" s="27">
        <v>68338</v>
      </c>
      <c r="C1026" s="25" t="str">
        <f>TEXT(6061964,"0000000")</f>
        <v>6061964</v>
      </c>
      <c r="D1026" s="26" t="s">
        <v>2266</v>
      </c>
      <c r="E1026" s="25" t="s">
        <v>2264</v>
      </c>
      <c r="F1026" s="25" t="s">
        <v>5</v>
      </c>
      <c r="G1026" s="59" t="s">
        <v>2265</v>
      </c>
      <c r="H1026" s="60">
        <v>0</v>
      </c>
      <c r="I1026" s="60">
        <v>0</v>
      </c>
      <c r="J1026" s="60">
        <v>0</v>
      </c>
      <c r="K1026" s="60">
        <v>0</v>
      </c>
      <c r="L1026" s="60">
        <v>0</v>
      </c>
      <c r="M1026" s="60">
        <v>0</v>
      </c>
      <c r="N1026" s="60">
        <v>0</v>
      </c>
      <c r="O1026" s="60">
        <v>0</v>
      </c>
      <c r="P1026" s="60">
        <v>0</v>
      </c>
      <c r="Q1026" s="60">
        <v>0</v>
      </c>
      <c r="R1026" s="60">
        <v>0</v>
      </c>
      <c r="S1026" s="60">
        <v>0</v>
      </c>
      <c r="T1026" s="60">
        <v>0</v>
      </c>
      <c r="U1026" s="60">
        <v>0</v>
      </c>
      <c r="V1026" s="60">
        <v>0</v>
      </c>
      <c r="W1026" s="60">
        <v>0</v>
      </c>
      <c r="X1026" s="60">
        <v>0</v>
      </c>
      <c r="Y1026" s="60">
        <v>0</v>
      </c>
      <c r="Z1026" s="60">
        <v>0</v>
      </c>
      <c r="AA1026" s="60">
        <v>0</v>
      </c>
      <c r="AB1026" s="60">
        <v>0</v>
      </c>
      <c r="AC1026" s="60">
        <v>1718.84</v>
      </c>
      <c r="AD1026" s="60">
        <v>1698.27</v>
      </c>
      <c r="AE1026" s="60">
        <v>1841.45</v>
      </c>
      <c r="AF1026" s="60">
        <v>0</v>
      </c>
      <c r="AG1026" s="60">
        <v>0</v>
      </c>
      <c r="AH1026" s="60">
        <v>0</v>
      </c>
      <c r="AI1026" s="60">
        <v>1718.84</v>
      </c>
      <c r="AJ1026" s="60">
        <v>1698.27</v>
      </c>
      <c r="AK1026" s="60">
        <v>1841.45</v>
      </c>
      <c r="AL1026" s="60">
        <v>0</v>
      </c>
      <c r="AM1026" s="60">
        <v>0</v>
      </c>
      <c r="AN1026" s="60">
        <v>0</v>
      </c>
      <c r="AO1026" s="60">
        <v>1718.84</v>
      </c>
      <c r="AP1026" s="60">
        <v>1698.27</v>
      </c>
      <c r="AQ1026" s="60">
        <v>1841.45</v>
      </c>
      <c r="AR1026" s="61">
        <v>1841.45</v>
      </c>
    </row>
    <row r="1027" spans="1:44" x14ac:dyDescent="0.35">
      <c r="A1027" s="49" t="str">
        <f t="shared" si="88"/>
        <v>37</v>
      </c>
      <c r="B1027" s="27">
        <v>68338</v>
      </c>
      <c r="C1027" s="25" t="str">
        <f>TEXT(3731189,"0000000")</f>
        <v>3731189</v>
      </c>
      <c r="D1027" s="26" t="s">
        <v>2245</v>
      </c>
      <c r="E1027" s="25" t="s">
        <v>2243</v>
      </c>
      <c r="F1027" s="25" t="s">
        <v>5</v>
      </c>
      <c r="G1027" s="59" t="s">
        <v>2244</v>
      </c>
      <c r="H1027" s="60">
        <v>0</v>
      </c>
      <c r="I1027" s="60">
        <v>0</v>
      </c>
      <c r="J1027" s="60">
        <v>0</v>
      </c>
      <c r="K1027" s="60">
        <v>0</v>
      </c>
      <c r="L1027" s="60">
        <v>0</v>
      </c>
      <c r="M1027" s="60">
        <v>0</v>
      </c>
      <c r="N1027" s="60">
        <v>0</v>
      </c>
      <c r="O1027" s="60">
        <v>0</v>
      </c>
      <c r="P1027" s="60">
        <v>0</v>
      </c>
      <c r="Q1027" s="60">
        <v>0</v>
      </c>
      <c r="R1027" s="60">
        <v>0</v>
      </c>
      <c r="S1027" s="60">
        <v>0</v>
      </c>
      <c r="T1027" s="60">
        <v>0</v>
      </c>
      <c r="U1027" s="60">
        <v>0</v>
      </c>
      <c r="V1027" s="60">
        <v>0</v>
      </c>
      <c r="W1027" s="60">
        <v>0</v>
      </c>
      <c r="X1027" s="60">
        <v>0</v>
      </c>
      <c r="Y1027" s="60">
        <v>0</v>
      </c>
      <c r="Z1027" s="60">
        <v>0</v>
      </c>
      <c r="AA1027" s="60">
        <v>0</v>
      </c>
      <c r="AB1027" s="60">
        <v>0</v>
      </c>
      <c r="AC1027" s="60">
        <v>790.44</v>
      </c>
      <c r="AD1027" s="60">
        <v>789.66</v>
      </c>
      <c r="AE1027" s="60">
        <v>807.73</v>
      </c>
      <c r="AF1027" s="60">
        <v>0</v>
      </c>
      <c r="AG1027" s="60">
        <v>0</v>
      </c>
      <c r="AH1027" s="60">
        <v>0</v>
      </c>
      <c r="AI1027" s="60">
        <v>790.44</v>
      </c>
      <c r="AJ1027" s="60">
        <v>789.66</v>
      </c>
      <c r="AK1027" s="60">
        <v>807.73</v>
      </c>
      <c r="AL1027" s="60">
        <v>0</v>
      </c>
      <c r="AM1027" s="60">
        <v>0</v>
      </c>
      <c r="AN1027" s="60">
        <v>0</v>
      </c>
      <c r="AO1027" s="60">
        <v>790.44</v>
      </c>
      <c r="AP1027" s="60">
        <v>789.66</v>
      </c>
      <c r="AQ1027" s="60">
        <v>807.73</v>
      </c>
      <c r="AR1027" s="61">
        <v>807.73</v>
      </c>
    </row>
    <row r="1028" spans="1:44" x14ac:dyDescent="0.35">
      <c r="A1028" s="49" t="str">
        <f t="shared" si="88"/>
        <v>37</v>
      </c>
      <c r="B1028" s="27">
        <v>68338</v>
      </c>
      <c r="C1028" s="25" t="str">
        <f>TEXT(3731247,"0000000")</f>
        <v>3731247</v>
      </c>
      <c r="D1028" s="26" t="s">
        <v>2248</v>
      </c>
      <c r="E1028" s="25" t="s">
        <v>2246</v>
      </c>
      <c r="F1028" s="25" t="s">
        <v>5</v>
      </c>
      <c r="G1028" s="59" t="s">
        <v>2247</v>
      </c>
      <c r="H1028" s="60">
        <v>0</v>
      </c>
      <c r="I1028" s="60">
        <v>0</v>
      </c>
      <c r="J1028" s="60">
        <v>0</v>
      </c>
      <c r="K1028" s="60">
        <v>0</v>
      </c>
      <c r="L1028" s="60">
        <v>0</v>
      </c>
      <c r="M1028" s="60">
        <v>0</v>
      </c>
      <c r="N1028" s="60">
        <v>0</v>
      </c>
      <c r="O1028" s="60">
        <v>0</v>
      </c>
      <c r="P1028" s="60">
        <v>0</v>
      </c>
      <c r="Q1028" s="60">
        <v>0</v>
      </c>
      <c r="R1028" s="60">
        <v>0</v>
      </c>
      <c r="S1028" s="60">
        <v>0</v>
      </c>
      <c r="T1028" s="60">
        <v>0</v>
      </c>
      <c r="U1028" s="60">
        <v>0</v>
      </c>
      <c r="V1028" s="60">
        <v>0</v>
      </c>
      <c r="W1028" s="60">
        <v>0</v>
      </c>
      <c r="X1028" s="60">
        <v>0</v>
      </c>
      <c r="Y1028" s="60">
        <v>0</v>
      </c>
      <c r="Z1028" s="60">
        <v>0</v>
      </c>
      <c r="AA1028" s="60">
        <v>0</v>
      </c>
      <c r="AB1028" s="60">
        <v>0</v>
      </c>
      <c r="AC1028" s="60">
        <v>466.31</v>
      </c>
      <c r="AD1028" s="60">
        <v>470.52</v>
      </c>
      <c r="AE1028" s="60">
        <v>470.87</v>
      </c>
      <c r="AF1028" s="60">
        <v>0</v>
      </c>
      <c r="AG1028" s="60">
        <v>0</v>
      </c>
      <c r="AH1028" s="60">
        <v>0</v>
      </c>
      <c r="AI1028" s="60">
        <v>466.31</v>
      </c>
      <c r="AJ1028" s="60">
        <v>470.52</v>
      </c>
      <c r="AK1028" s="60">
        <v>470.87</v>
      </c>
      <c r="AL1028" s="60">
        <v>0</v>
      </c>
      <c r="AM1028" s="60">
        <v>0</v>
      </c>
      <c r="AN1028" s="60">
        <v>0</v>
      </c>
      <c r="AO1028" s="60">
        <v>466.31</v>
      </c>
      <c r="AP1028" s="60">
        <v>470.52</v>
      </c>
      <c r="AQ1028" s="60">
        <v>470.87</v>
      </c>
      <c r="AR1028" s="61">
        <v>470.87</v>
      </c>
    </row>
    <row r="1029" spans="1:44" x14ac:dyDescent="0.35">
      <c r="A1029" s="49" t="str">
        <f t="shared" si="88"/>
        <v>37</v>
      </c>
      <c r="B1029" s="27">
        <v>68338</v>
      </c>
      <c r="C1029" s="25" t="str">
        <f>TEXT(3731395,"0000000")</f>
        <v>3731395</v>
      </c>
      <c r="D1029" s="26" t="s">
        <v>2251</v>
      </c>
      <c r="E1029" s="25" t="s">
        <v>2249</v>
      </c>
      <c r="F1029" s="25" t="s">
        <v>5</v>
      </c>
      <c r="G1029" s="59" t="s">
        <v>2250</v>
      </c>
      <c r="H1029" s="60">
        <v>0</v>
      </c>
      <c r="I1029" s="60">
        <v>0</v>
      </c>
      <c r="J1029" s="60">
        <v>0</v>
      </c>
      <c r="K1029" s="60">
        <v>0</v>
      </c>
      <c r="L1029" s="60">
        <v>0</v>
      </c>
      <c r="M1029" s="60">
        <v>0</v>
      </c>
      <c r="N1029" s="60">
        <v>0</v>
      </c>
      <c r="O1029" s="60">
        <v>0</v>
      </c>
      <c r="P1029" s="60">
        <v>0</v>
      </c>
      <c r="Q1029" s="60">
        <v>0</v>
      </c>
      <c r="R1029" s="60">
        <v>0</v>
      </c>
      <c r="S1029" s="60">
        <v>0</v>
      </c>
      <c r="T1029" s="60">
        <v>0</v>
      </c>
      <c r="U1029" s="60">
        <v>0</v>
      </c>
      <c r="V1029" s="60">
        <v>0</v>
      </c>
      <c r="W1029" s="60">
        <v>0</v>
      </c>
      <c r="X1029" s="60">
        <v>0</v>
      </c>
      <c r="Y1029" s="60">
        <v>0</v>
      </c>
      <c r="Z1029" s="60">
        <v>0</v>
      </c>
      <c r="AA1029" s="60">
        <v>0</v>
      </c>
      <c r="AB1029" s="60">
        <v>0</v>
      </c>
      <c r="AC1029" s="60">
        <v>415.83</v>
      </c>
      <c r="AD1029" s="60">
        <v>412.7</v>
      </c>
      <c r="AE1029" s="60">
        <v>596.37</v>
      </c>
      <c r="AF1029" s="60">
        <v>0</v>
      </c>
      <c r="AG1029" s="60">
        <v>0</v>
      </c>
      <c r="AH1029" s="60">
        <v>0</v>
      </c>
      <c r="AI1029" s="60">
        <v>415.83</v>
      </c>
      <c r="AJ1029" s="60">
        <v>412.7</v>
      </c>
      <c r="AK1029" s="60">
        <v>596.37</v>
      </c>
      <c r="AL1029" s="60">
        <v>0</v>
      </c>
      <c r="AM1029" s="60">
        <v>0</v>
      </c>
      <c r="AN1029" s="60">
        <v>0</v>
      </c>
      <c r="AO1029" s="60">
        <v>415.83</v>
      </c>
      <c r="AP1029" s="60">
        <v>412.7</v>
      </c>
      <c r="AQ1029" s="60">
        <v>596.37</v>
      </c>
      <c r="AR1029" s="61">
        <v>596.37</v>
      </c>
    </row>
    <row r="1030" spans="1:44" x14ac:dyDescent="0.35">
      <c r="A1030" s="49" t="str">
        <f t="shared" si="88"/>
        <v>37</v>
      </c>
      <c r="B1030" s="27">
        <v>68411</v>
      </c>
      <c r="C1030" s="25" t="str">
        <f>TEXT(126086,"0000000")</f>
        <v>0126086</v>
      </c>
      <c r="D1030" s="27">
        <v>1407</v>
      </c>
      <c r="E1030" s="25" t="s">
        <v>2301</v>
      </c>
      <c r="F1030" s="25" t="s">
        <v>5</v>
      </c>
      <c r="G1030" s="59" t="s">
        <v>2302</v>
      </c>
      <c r="H1030" s="60">
        <v>0</v>
      </c>
      <c r="I1030" s="60">
        <v>0</v>
      </c>
      <c r="J1030" s="60">
        <v>0</v>
      </c>
      <c r="K1030" s="60">
        <v>0</v>
      </c>
      <c r="L1030" s="60">
        <v>0</v>
      </c>
      <c r="M1030" s="60">
        <v>0</v>
      </c>
      <c r="N1030" s="60">
        <v>0</v>
      </c>
      <c r="O1030" s="60">
        <v>0</v>
      </c>
      <c r="P1030" s="60">
        <v>0</v>
      </c>
      <c r="Q1030" s="60">
        <v>0</v>
      </c>
      <c r="R1030" s="60">
        <v>0</v>
      </c>
      <c r="S1030" s="60">
        <v>0</v>
      </c>
      <c r="T1030" s="60">
        <v>0</v>
      </c>
      <c r="U1030" s="60">
        <v>0</v>
      </c>
      <c r="V1030" s="60">
        <v>0</v>
      </c>
      <c r="W1030" s="60">
        <v>0</v>
      </c>
      <c r="X1030" s="60">
        <v>0</v>
      </c>
      <c r="Y1030" s="60">
        <v>0</v>
      </c>
      <c r="Z1030" s="60">
        <v>0</v>
      </c>
      <c r="AA1030" s="60">
        <v>0</v>
      </c>
      <c r="AB1030" s="60">
        <v>0</v>
      </c>
      <c r="AC1030" s="60">
        <v>1181.73</v>
      </c>
      <c r="AD1030" s="60">
        <v>1143.95</v>
      </c>
      <c r="AE1030" s="60">
        <v>1234</v>
      </c>
      <c r="AF1030" s="60">
        <v>0</v>
      </c>
      <c r="AG1030" s="60">
        <v>0</v>
      </c>
      <c r="AH1030" s="60">
        <v>0</v>
      </c>
      <c r="AI1030" s="60">
        <v>1181.73</v>
      </c>
      <c r="AJ1030" s="60">
        <v>1143.95</v>
      </c>
      <c r="AK1030" s="60">
        <v>1234</v>
      </c>
      <c r="AL1030" s="60">
        <v>0</v>
      </c>
      <c r="AM1030" s="60">
        <v>0</v>
      </c>
      <c r="AN1030" s="60">
        <v>0</v>
      </c>
      <c r="AO1030" s="60">
        <v>1181.73</v>
      </c>
      <c r="AP1030" s="60">
        <v>1143.95</v>
      </c>
      <c r="AQ1030" s="60">
        <v>1234</v>
      </c>
      <c r="AR1030" s="61">
        <v>1234</v>
      </c>
    </row>
    <row r="1031" spans="1:44" x14ac:dyDescent="0.35">
      <c r="A1031" s="49" t="str">
        <f t="shared" si="88"/>
        <v>37</v>
      </c>
      <c r="B1031" s="27">
        <v>68411</v>
      </c>
      <c r="C1031" s="25" t="str">
        <f>TEXT(3731304,"0000000")</f>
        <v>3731304</v>
      </c>
      <c r="D1031" s="26" t="s">
        <v>2305</v>
      </c>
      <c r="E1031" s="25" t="s">
        <v>2303</v>
      </c>
      <c r="F1031" s="25" t="s">
        <v>5</v>
      </c>
      <c r="G1031" s="59" t="s">
        <v>2304</v>
      </c>
      <c r="H1031" s="60">
        <v>0</v>
      </c>
      <c r="I1031" s="60">
        <v>0</v>
      </c>
      <c r="J1031" s="60">
        <v>0</v>
      </c>
      <c r="K1031" s="60">
        <v>0</v>
      </c>
      <c r="L1031" s="60">
        <v>0</v>
      </c>
      <c r="M1031" s="60">
        <v>0</v>
      </c>
      <c r="N1031" s="60">
        <v>0</v>
      </c>
      <c r="O1031" s="60">
        <v>0</v>
      </c>
      <c r="P1031" s="60">
        <v>0</v>
      </c>
      <c r="Q1031" s="60">
        <v>0</v>
      </c>
      <c r="R1031" s="60">
        <v>0</v>
      </c>
      <c r="S1031" s="60">
        <v>0</v>
      </c>
      <c r="T1031" s="60">
        <v>0</v>
      </c>
      <c r="U1031" s="60">
        <v>0</v>
      </c>
      <c r="V1031" s="60">
        <v>0</v>
      </c>
      <c r="W1031" s="60">
        <v>0</v>
      </c>
      <c r="X1031" s="60">
        <v>0</v>
      </c>
      <c r="Y1031" s="60">
        <v>0</v>
      </c>
      <c r="Z1031" s="60">
        <v>0</v>
      </c>
      <c r="AA1031" s="60">
        <v>0</v>
      </c>
      <c r="AB1031" s="60">
        <v>0</v>
      </c>
      <c r="AC1031" s="60">
        <v>175.78</v>
      </c>
      <c r="AD1031" s="60">
        <v>141.47999999999999</v>
      </c>
      <c r="AE1031" s="60">
        <v>231.2</v>
      </c>
      <c r="AF1031" s="60">
        <v>0</v>
      </c>
      <c r="AG1031" s="60">
        <v>0</v>
      </c>
      <c r="AH1031" s="60">
        <v>0</v>
      </c>
      <c r="AI1031" s="60">
        <v>175.78</v>
      </c>
      <c r="AJ1031" s="60">
        <v>141.47999999999999</v>
      </c>
      <c r="AK1031" s="60">
        <v>231.2</v>
      </c>
      <c r="AL1031" s="60">
        <v>0</v>
      </c>
      <c r="AM1031" s="60">
        <v>0</v>
      </c>
      <c r="AN1031" s="60">
        <v>0</v>
      </c>
      <c r="AO1031" s="60">
        <v>175.78</v>
      </c>
      <c r="AP1031" s="60">
        <v>141.47999999999999</v>
      </c>
      <c r="AQ1031" s="60">
        <v>231.2</v>
      </c>
      <c r="AR1031" s="61">
        <v>231.2</v>
      </c>
    </row>
    <row r="1032" spans="1:44" x14ac:dyDescent="0.35">
      <c r="A1032" s="49" t="str">
        <f t="shared" si="88"/>
        <v>37</v>
      </c>
      <c r="B1032" s="27">
        <v>68452</v>
      </c>
      <c r="C1032" s="25" t="str">
        <f>TEXT(124917,"0000000")</f>
        <v>0124917</v>
      </c>
      <c r="D1032" s="27">
        <v>1351</v>
      </c>
      <c r="E1032" s="25" t="s">
        <v>2310</v>
      </c>
      <c r="F1032" s="25" t="s">
        <v>5</v>
      </c>
      <c r="G1032" s="59" t="s">
        <v>2311</v>
      </c>
      <c r="H1032" s="60">
        <v>0</v>
      </c>
      <c r="I1032" s="60">
        <v>0</v>
      </c>
      <c r="J1032" s="60">
        <v>0</v>
      </c>
      <c r="K1032" s="60">
        <v>0</v>
      </c>
      <c r="L1032" s="60">
        <v>0</v>
      </c>
      <c r="M1032" s="60">
        <v>0</v>
      </c>
      <c r="N1032" s="60">
        <v>0</v>
      </c>
      <c r="O1032" s="60">
        <v>0</v>
      </c>
      <c r="P1032" s="60">
        <v>0</v>
      </c>
      <c r="Q1032" s="60">
        <v>0</v>
      </c>
      <c r="R1032" s="60">
        <v>0</v>
      </c>
      <c r="S1032" s="60">
        <v>0</v>
      </c>
      <c r="T1032" s="60">
        <v>0</v>
      </c>
      <c r="U1032" s="60">
        <v>0</v>
      </c>
      <c r="V1032" s="60">
        <v>0</v>
      </c>
      <c r="W1032" s="60">
        <v>0</v>
      </c>
      <c r="X1032" s="60">
        <v>0</v>
      </c>
      <c r="Y1032" s="60">
        <v>0</v>
      </c>
      <c r="Z1032" s="60">
        <v>0</v>
      </c>
      <c r="AA1032" s="60">
        <v>0</v>
      </c>
      <c r="AB1032" s="60">
        <v>0</v>
      </c>
      <c r="AC1032" s="60">
        <v>59.51</v>
      </c>
      <c r="AD1032" s="60">
        <v>67.040000000000006</v>
      </c>
      <c r="AE1032" s="60">
        <v>66.44</v>
      </c>
      <c r="AF1032" s="60">
        <v>0</v>
      </c>
      <c r="AG1032" s="60">
        <v>0</v>
      </c>
      <c r="AH1032" s="60">
        <v>0</v>
      </c>
      <c r="AI1032" s="60">
        <v>59.51</v>
      </c>
      <c r="AJ1032" s="60">
        <v>67.040000000000006</v>
      </c>
      <c r="AK1032" s="60">
        <v>66.44</v>
      </c>
      <c r="AL1032" s="60">
        <v>0</v>
      </c>
      <c r="AM1032" s="60">
        <v>0</v>
      </c>
      <c r="AN1032" s="60">
        <v>0</v>
      </c>
      <c r="AO1032" s="60">
        <v>59.51</v>
      </c>
      <c r="AP1032" s="60">
        <v>67.040000000000006</v>
      </c>
      <c r="AQ1032" s="60">
        <v>66.44</v>
      </c>
      <c r="AR1032" s="61">
        <v>67.040000000000006</v>
      </c>
    </row>
    <row r="1033" spans="1:44" x14ac:dyDescent="0.35">
      <c r="A1033" s="49" t="str">
        <f t="shared" si="88"/>
        <v>37</v>
      </c>
      <c r="B1033" s="27">
        <v>68452</v>
      </c>
      <c r="C1033" s="25" t="str">
        <f>TEXT(128223,"0000000")</f>
        <v>0128223</v>
      </c>
      <c r="D1033" s="27">
        <v>1515</v>
      </c>
      <c r="E1033" s="25" t="s">
        <v>2312</v>
      </c>
      <c r="F1033" s="25" t="s">
        <v>5</v>
      </c>
      <c r="G1033" s="59" t="s">
        <v>2313</v>
      </c>
      <c r="H1033" s="60">
        <v>0</v>
      </c>
      <c r="I1033" s="60">
        <v>0</v>
      </c>
      <c r="J1033" s="60">
        <v>0</v>
      </c>
      <c r="K1033" s="60">
        <v>0</v>
      </c>
      <c r="L1033" s="60">
        <v>0</v>
      </c>
      <c r="M1033" s="60">
        <v>0</v>
      </c>
      <c r="N1033" s="60">
        <v>0</v>
      </c>
      <c r="O1033" s="60">
        <v>0</v>
      </c>
      <c r="P1033" s="60">
        <v>0</v>
      </c>
      <c r="Q1033" s="60">
        <v>0</v>
      </c>
      <c r="R1033" s="60">
        <v>0</v>
      </c>
      <c r="S1033" s="60">
        <v>0</v>
      </c>
      <c r="T1033" s="60">
        <v>0</v>
      </c>
      <c r="U1033" s="60">
        <v>0</v>
      </c>
      <c r="V1033" s="60">
        <v>0</v>
      </c>
      <c r="W1033" s="60">
        <v>0</v>
      </c>
      <c r="X1033" s="60">
        <v>0</v>
      </c>
      <c r="Y1033" s="60">
        <v>0</v>
      </c>
      <c r="Z1033" s="60">
        <v>0</v>
      </c>
      <c r="AA1033" s="60">
        <v>0</v>
      </c>
      <c r="AB1033" s="60">
        <v>0</v>
      </c>
      <c r="AC1033" s="60">
        <v>343.02</v>
      </c>
      <c r="AD1033" s="60">
        <v>420.58</v>
      </c>
      <c r="AE1033" s="60">
        <v>589.66999999999996</v>
      </c>
      <c r="AF1033" s="60">
        <v>0</v>
      </c>
      <c r="AG1033" s="60">
        <v>0</v>
      </c>
      <c r="AH1033" s="60">
        <v>0</v>
      </c>
      <c r="AI1033" s="60">
        <v>343.02</v>
      </c>
      <c r="AJ1033" s="60">
        <v>420.58</v>
      </c>
      <c r="AK1033" s="60">
        <v>589.66999999999996</v>
      </c>
      <c r="AL1033" s="60">
        <v>0</v>
      </c>
      <c r="AM1033" s="60">
        <v>0</v>
      </c>
      <c r="AN1033" s="60">
        <v>0</v>
      </c>
      <c r="AO1033" s="60">
        <v>343.02</v>
      </c>
      <c r="AP1033" s="60">
        <v>420.58</v>
      </c>
      <c r="AQ1033" s="60">
        <v>589.66999999999996</v>
      </c>
      <c r="AR1033" s="61">
        <v>589.66999999999996</v>
      </c>
    </row>
    <row r="1034" spans="1:44" x14ac:dyDescent="0.35">
      <c r="A1034" s="49" t="str">
        <f t="shared" si="88"/>
        <v>37</v>
      </c>
      <c r="B1034" s="27">
        <v>68452</v>
      </c>
      <c r="C1034" s="25" t="str">
        <f>TEXT(3730942,"0000000")</f>
        <v>3730942</v>
      </c>
      <c r="D1034" s="26" t="s">
        <v>2316</v>
      </c>
      <c r="E1034" s="25" t="s">
        <v>2314</v>
      </c>
      <c r="F1034" s="25" t="s">
        <v>5</v>
      </c>
      <c r="G1034" s="59" t="s">
        <v>2315</v>
      </c>
      <c r="H1034" s="60">
        <v>0</v>
      </c>
      <c r="I1034" s="60">
        <v>0</v>
      </c>
      <c r="J1034" s="60">
        <v>0</v>
      </c>
      <c r="K1034" s="60">
        <v>0</v>
      </c>
      <c r="L1034" s="60">
        <v>0</v>
      </c>
      <c r="M1034" s="60">
        <v>0</v>
      </c>
      <c r="N1034" s="60">
        <v>0</v>
      </c>
      <c r="O1034" s="60">
        <v>0</v>
      </c>
      <c r="P1034" s="60">
        <v>0</v>
      </c>
      <c r="Q1034" s="60">
        <v>0</v>
      </c>
      <c r="R1034" s="60">
        <v>0</v>
      </c>
      <c r="S1034" s="60">
        <v>0</v>
      </c>
      <c r="T1034" s="60">
        <v>0</v>
      </c>
      <c r="U1034" s="60">
        <v>0</v>
      </c>
      <c r="V1034" s="60">
        <v>0</v>
      </c>
      <c r="W1034" s="60">
        <v>0</v>
      </c>
      <c r="X1034" s="60">
        <v>0</v>
      </c>
      <c r="Y1034" s="60">
        <v>0</v>
      </c>
      <c r="Z1034" s="60">
        <v>0</v>
      </c>
      <c r="AA1034" s="60">
        <v>0</v>
      </c>
      <c r="AB1034" s="60">
        <v>0</v>
      </c>
      <c r="AC1034" s="60">
        <v>1244.44</v>
      </c>
      <c r="AD1034" s="60">
        <v>1224.45</v>
      </c>
      <c r="AE1034" s="60">
        <v>1357.35</v>
      </c>
      <c r="AF1034" s="60">
        <v>0</v>
      </c>
      <c r="AG1034" s="60">
        <v>0</v>
      </c>
      <c r="AH1034" s="60">
        <v>0</v>
      </c>
      <c r="AI1034" s="60">
        <v>1244.44</v>
      </c>
      <c r="AJ1034" s="60">
        <v>1224.45</v>
      </c>
      <c r="AK1034" s="60">
        <v>1357.35</v>
      </c>
      <c r="AL1034" s="60">
        <v>0</v>
      </c>
      <c r="AM1034" s="60">
        <v>0</v>
      </c>
      <c r="AN1034" s="60">
        <v>0</v>
      </c>
      <c r="AO1034" s="60">
        <v>1244.44</v>
      </c>
      <c r="AP1034" s="60">
        <v>1224.45</v>
      </c>
      <c r="AQ1034" s="60">
        <v>1357.35</v>
      </c>
      <c r="AR1034" s="61">
        <v>1357.35</v>
      </c>
    </row>
    <row r="1035" spans="1:44" x14ac:dyDescent="0.35">
      <c r="A1035" s="49" t="str">
        <f>TEXT(1,"00")</f>
        <v>01</v>
      </c>
      <c r="B1035" s="27">
        <v>61259</v>
      </c>
      <c r="C1035" s="25" t="str">
        <f>TEXT(129932,"0000000")</f>
        <v>0129932</v>
      </c>
      <c r="D1035" s="27">
        <v>1620</v>
      </c>
      <c r="E1035" s="25" t="s">
        <v>116</v>
      </c>
      <c r="F1035" s="25" t="s">
        <v>5</v>
      </c>
      <c r="G1035" s="59" t="s">
        <v>117</v>
      </c>
      <c r="H1035" s="60">
        <v>0</v>
      </c>
      <c r="I1035" s="60">
        <v>0</v>
      </c>
      <c r="J1035" s="60">
        <v>0</v>
      </c>
      <c r="K1035" s="60">
        <v>0</v>
      </c>
      <c r="L1035" s="60">
        <v>0</v>
      </c>
      <c r="M1035" s="60">
        <v>0</v>
      </c>
      <c r="N1035" s="60">
        <v>0</v>
      </c>
      <c r="O1035" s="60">
        <v>0</v>
      </c>
      <c r="P1035" s="60">
        <v>0</v>
      </c>
      <c r="Q1035" s="60">
        <v>0</v>
      </c>
      <c r="R1035" s="60">
        <v>0</v>
      </c>
      <c r="S1035" s="60">
        <v>0</v>
      </c>
      <c r="T1035" s="60">
        <v>0</v>
      </c>
      <c r="U1035" s="60">
        <v>0</v>
      </c>
      <c r="V1035" s="60">
        <v>0</v>
      </c>
      <c r="W1035" s="60">
        <v>0</v>
      </c>
      <c r="X1035" s="60">
        <v>0</v>
      </c>
      <c r="Y1035" s="60">
        <v>0</v>
      </c>
      <c r="Z1035" s="60">
        <v>0</v>
      </c>
      <c r="AA1035" s="60">
        <v>0</v>
      </c>
      <c r="AB1035" s="60">
        <v>0</v>
      </c>
      <c r="AC1035" s="60">
        <v>502.45</v>
      </c>
      <c r="AD1035" s="60">
        <v>509.55</v>
      </c>
      <c r="AE1035" s="60">
        <v>597.6</v>
      </c>
      <c r="AF1035" s="60">
        <v>0</v>
      </c>
      <c r="AG1035" s="60">
        <v>0</v>
      </c>
      <c r="AH1035" s="60">
        <v>0</v>
      </c>
      <c r="AI1035" s="60">
        <v>502.45</v>
      </c>
      <c r="AJ1035" s="60">
        <v>509.55</v>
      </c>
      <c r="AK1035" s="60">
        <v>597.6</v>
      </c>
      <c r="AL1035" s="60">
        <v>0</v>
      </c>
      <c r="AM1035" s="60">
        <v>0</v>
      </c>
      <c r="AN1035" s="60">
        <v>0</v>
      </c>
      <c r="AO1035" s="60">
        <v>502.45</v>
      </c>
      <c r="AP1035" s="60">
        <v>509.55</v>
      </c>
      <c r="AQ1035" s="60">
        <v>597.6</v>
      </c>
      <c r="AR1035" s="61">
        <v>597.6</v>
      </c>
    </row>
    <row r="1036" spans="1:44" x14ac:dyDescent="0.35">
      <c r="A1036" s="49" t="str">
        <f t="shared" ref="A1036:A1045" si="89">TEXT(37,"00")</f>
        <v>37</v>
      </c>
      <c r="B1036" s="27">
        <v>73569</v>
      </c>
      <c r="C1036" s="25" t="str">
        <f>TEXT(136267,"0000000")</f>
        <v>0136267</v>
      </c>
      <c r="D1036" s="26" t="s">
        <v>2323</v>
      </c>
      <c r="E1036" s="25" t="s">
        <v>2321</v>
      </c>
      <c r="F1036" s="25" t="s">
        <v>5</v>
      </c>
      <c r="G1036" s="59" t="s">
        <v>2322</v>
      </c>
      <c r="H1036" s="60">
        <v>0</v>
      </c>
      <c r="I1036" s="60">
        <v>0</v>
      </c>
      <c r="J1036" s="60">
        <v>0</v>
      </c>
      <c r="K1036" s="60">
        <v>0</v>
      </c>
      <c r="L1036" s="60">
        <v>0</v>
      </c>
      <c r="M1036" s="60">
        <v>0</v>
      </c>
      <c r="N1036" s="60">
        <v>0</v>
      </c>
      <c r="O1036" s="60">
        <v>0</v>
      </c>
      <c r="P1036" s="60">
        <v>0</v>
      </c>
      <c r="Q1036" s="60">
        <v>0</v>
      </c>
      <c r="R1036" s="60">
        <v>0</v>
      </c>
      <c r="S1036" s="60">
        <v>0</v>
      </c>
      <c r="T1036" s="60">
        <v>0</v>
      </c>
      <c r="U1036" s="60">
        <v>0</v>
      </c>
      <c r="V1036" s="60">
        <v>0</v>
      </c>
      <c r="W1036" s="60">
        <v>0</v>
      </c>
      <c r="X1036" s="60">
        <v>0</v>
      </c>
      <c r="Y1036" s="60">
        <v>0</v>
      </c>
      <c r="Z1036" s="60">
        <v>0</v>
      </c>
      <c r="AA1036" s="60">
        <v>0</v>
      </c>
      <c r="AB1036" s="60">
        <v>0</v>
      </c>
      <c r="AC1036" s="60">
        <v>1778.73</v>
      </c>
      <c r="AD1036" s="60">
        <v>1804.66</v>
      </c>
      <c r="AE1036" s="60">
        <v>1530.6</v>
      </c>
      <c r="AF1036" s="60">
        <v>0</v>
      </c>
      <c r="AG1036" s="60">
        <v>0</v>
      </c>
      <c r="AH1036" s="60">
        <v>0</v>
      </c>
      <c r="AI1036" s="60">
        <v>1778.73</v>
      </c>
      <c r="AJ1036" s="60">
        <v>1804.66</v>
      </c>
      <c r="AK1036" s="60">
        <v>1530.6</v>
      </c>
      <c r="AL1036" s="60">
        <v>0</v>
      </c>
      <c r="AM1036" s="60">
        <v>0</v>
      </c>
      <c r="AN1036" s="60">
        <v>0</v>
      </c>
      <c r="AO1036" s="60">
        <v>1778.73</v>
      </c>
      <c r="AP1036" s="60">
        <v>1804.66</v>
      </c>
      <c r="AQ1036" s="60">
        <v>1530.6</v>
      </c>
      <c r="AR1036" s="61">
        <v>1804.66</v>
      </c>
    </row>
    <row r="1037" spans="1:44" x14ac:dyDescent="0.35">
      <c r="A1037" s="49" t="str">
        <f t="shared" si="89"/>
        <v>37</v>
      </c>
      <c r="B1037" s="27">
        <v>73569</v>
      </c>
      <c r="C1037" s="25" t="str">
        <f>TEXT(3731221,"0000000")</f>
        <v>3731221</v>
      </c>
      <c r="D1037" s="26" t="s">
        <v>2326</v>
      </c>
      <c r="E1037" s="25" t="s">
        <v>2324</v>
      </c>
      <c r="F1037" s="25" t="s">
        <v>5</v>
      </c>
      <c r="G1037" s="59" t="s">
        <v>2325</v>
      </c>
      <c r="H1037" s="60">
        <v>0</v>
      </c>
      <c r="I1037" s="60">
        <v>0</v>
      </c>
      <c r="J1037" s="60">
        <v>0</v>
      </c>
      <c r="K1037" s="60">
        <v>0</v>
      </c>
      <c r="L1037" s="60">
        <v>0</v>
      </c>
      <c r="M1037" s="60">
        <v>0</v>
      </c>
      <c r="N1037" s="60">
        <v>0</v>
      </c>
      <c r="O1037" s="60">
        <v>0</v>
      </c>
      <c r="P1037" s="60">
        <v>0</v>
      </c>
      <c r="Q1037" s="60">
        <v>0</v>
      </c>
      <c r="R1037" s="60">
        <v>0</v>
      </c>
      <c r="S1037" s="60">
        <v>0</v>
      </c>
      <c r="T1037" s="60">
        <v>0</v>
      </c>
      <c r="U1037" s="60">
        <v>0</v>
      </c>
      <c r="V1037" s="60">
        <v>0</v>
      </c>
      <c r="W1037" s="60">
        <v>0</v>
      </c>
      <c r="X1037" s="60">
        <v>0</v>
      </c>
      <c r="Y1037" s="60">
        <v>0</v>
      </c>
      <c r="Z1037" s="60">
        <v>0</v>
      </c>
      <c r="AA1037" s="60">
        <v>0</v>
      </c>
      <c r="AB1037" s="60">
        <v>0</v>
      </c>
      <c r="AC1037" s="60">
        <v>762.52</v>
      </c>
      <c r="AD1037" s="60">
        <v>700.02</v>
      </c>
      <c r="AE1037" s="60">
        <v>723.14</v>
      </c>
      <c r="AF1037" s="60">
        <v>0</v>
      </c>
      <c r="AG1037" s="60">
        <v>0</v>
      </c>
      <c r="AH1037" s="60">
        <v>0</v>
      </c>
      <c r="AI1037" s="60">
        <v>762.52</v>
      </c>
      <c r="AJ1037" s="60">
        <v>700.02</v>
      </c>
      <c r="AK1037" s="60">
        <v>723.14</v>
      </c>
      <c r="AL1037" s="60">
        <v>0</v>
      </c>
      <c r="AM1037" s="60">
        <v>0</v>
      </c>
      <c r="AN1037" s="60">
        <v>0</v>
      </c>
      <c r="AO1037" s="60">
        <v>762.52</v>
      </c>
      <c r="AP1037" s="60">
        <v>700.02</v>
      </c>
      <c r="AQ1037" s="60">
        <v>723.14</v>
      </c>
      <c r="AR1037" s="61">
        <v>762.52</v>
      </c>
    </row>
    <row r="1038" spans="1:44" x14ac:dyDescent="0.35">
      <c r="A1038" s="49" t="str">
        <f t="shared" si="89"/>
        <v>37</v>
      </c>
      <c r="B1038" s="27">
        <v>73791</v>
      </c>
      <c r="C1038" s="25" t="str">
        <f>TEXT(138222,"0000000")</f>
        <v>0138222</v>
      </c>
      <c r="D1038" s="27">
        <v>1983</v>
      </c>
      <c r="E1038" s="25" t="s">
        <v>2329</v>
      </c>
      <c r="F1038" s="25" t="s">
        <v>5</v>
      </c>
      <c r="G1038" s="59" t="s">
        <v>2330</v>
      </c>
      <c r="H1038" s="60">
        <v>0</v>
      </c>
      <c r="I1038" s="60">
        <v>0</v>
      </c>
      <c r="J1038" s="60">
        <v>0</v>
      </c>
      <c r="K1038" s="60">
        <v>0</v>
      </c>
      <c r="L1038" s="60">
        <v>0</v>
      </c>
      <c r="M1038" s="60">
        <v>0</v>
      </c>
      <c r="N1038" s="60">
        <v>0</v>
      </c>
      <c r="O1038" s="60">
        <v>0</v>
      </c>
      <c r="P1038" s="60">
        <v>0</v>
      </c>
      <c r="Q1038" s="60">
        <v>0</v>
      </c>
      <c r="R1038" s="60">
        <v>0</v>
      </c>
      <c r="S1038" s="60">
        <v>0</v>
      </c>
      <c r="T1038" s="60">
        <v>0</v>
      </c>
      <c r="U1038" s="60">
        <v>0</v>
      </c>
      <c r="V1038" s="60">
        <v>0</v>
      </c>
      <c r="W1038" s="60">
        <v>0</v>
      </c>
      <c r="X1038" s="60">
        <v>0</v>
      </c>
      <c r="Y1038" s="60">
        <v>0</v>
      </c>
      <c r="Z1038" s="60">
        <v>0</v>
      </c>
      <c r="AA1038" s="60">
        <v>0</v>
      </c>
      <c r="AB1038" s="60">
        <v>0</v>
      </c>
      <c r="AC1038" s="60">
        <v>79.97</v>
      </c>
      <c r="AD1038" s="60">
        <v>102.68</v>
      </c>
      <c r="AE1038" s="60">
        <v>111.65</v>
      </c>
      <c r="AF1038" s="60">
        <v>0</v>
      </c>
      <c r="AG1038" s="60">
        <v>0</v>
      </c>
      <c r="AH1038" s="60">
        <v>0</v>
      </c>
      <c r="AI1038" s="60">
        <v>79.97</v>
      </c>
      <c r="AJ1038" s="60">
        <v>102.68</v>
      </c>
      <c r="AK1038" s="60">
        <v>111.65</v>
      </c>
      <c r="AL1038" s="60">
        <v>0</v>
      </c>
      <c r="AM1038" s="60">
        <v>0</v>
      </c>
      <c r="AN1038" s="60">
        <v>0</v>
      </c>
      <c r="AO1038" s="60">
        <v>79.97</v>
      </c>
      <c r="AP1038" s="60">
        <v>102.68</v>
      </c>
      <c r="AQ1038" s="60">
        <v>111.65</v>
      </c>
      <c r="AR1038" s="61">
        <v>111.65</v>
      </c>
    </row>
    <row r="1039" spans="1:44" x14ac:dyDescent="0.35">
      <c r="A1039" s="49" t="str">
        <f t="shared" si="89"/>
        <v>37</v>
      </c>
      <c r="B1039" s="27">
        <v>75416</v>
      </c>
      <c r="C1039" s="25" t="str">
        <f>TEXT(122796,"0000000")</f>
        <v>0122796</v>
      </c>
      <c r="D1039" s="27">
        <v>1262</v>
      </c>
      <c r="E1039" s="25" t="s">
        <v>2333</v>
      </c>
      <c r="F1039" s="25" t="s">
        <v>5</v>
      </c>
      <c r="G1039" s="59" t="s">
        <v>2334</v>
      </c>
      <c r="H1039" s="60">
        <v>0</v>
      </c>
      <c r="I1039" s="60">
        <v>0</v>
      </c>
      <c r="J1039" s="60">
        <v>0</v>
      </c>
      <c r="K1039" s="60">
        <v>0</v>
      </c>
      <c r="L1039" s="60">
        <v>0</v>
      </c>
      <c r="M1039" s="60">
        <v>0</v>
      </c>
      <c r="N1039" s="60">
        <v>0</v>
      </c>
      <c r="O1039" s="60">
        <v>0</v>
      </c>
      <c r="P1039" s="60">
        <v>0</v>
      </c>
      <c r="Q1039" s="60">
        <v>0</v>
      </c>
      <c r="R1039" s="60">
        <v>0</v>
      </c>
      <c r="S1039" s="60">
        <v>0</v>
      </c>
      <c r="T1039" s="60">
        <v>0</v>
      </c>
      <c r="U1039" s="60">
        <v>0</v>
      </c>
      <c r="V1039" s="60">
        <v>0</v>
      </c>
      <c r="W1039" s="60">
        <v>0</v>
      </c>
      <c r="X1039" s="60">
        <v>0</v>
      </c>
      <c r="Y1039" s="60">
        <v>0</v>
      </c>
      <c r="Z1039" s="60">
        <v>0</v>
      </c>
      <c r="AA1039" s="60">
        <v>0</v>
      </c>
      <c r="AB1039" s="60">
        <v>0</v>
      </c>
      <c r="AC1039" s="60">
        <v>47.97</v>
      </c>
      <c r="AD1039" s="60">
        <v>54.59</v>
      </c>
      <c r="AE1039" s="60">
        <v>0</v>
      </c>
      <c r="AF1039" s="60">
        <v>0</v>
      </c>
      <c r="AG1039" s="60">
        <v>0</v>
      </c>
      <c r="AH1039" s="60">
        <v>0</v>
      </c>
      <c r="AI1039" s="60">
        <v>47.97</v>
      </c>
      <c r="AJ1039" s="60">
        <v>54.59</v>
      </c>
      <c r="AK1039" s="60">
        <v>0</v>
      </c>
      <c r="AL1039" s="60">
        <v>0</v>
      </c>
      <c r="AM1039" s="60">
        <v>0</v>
      </c>
      <c r="AN1039" s="60">
        <v>0</v>
      </c>
      <c r="AO1039" s="60">
        <v>47.97</v>
      </c>
      <c r="AP1039" s="60">
        <v>54.59</v>
      </c>
      <c r="AQ1039" s="60">
        <v>0</v>
      </c>
      <c r="AR1039" s="61">
        <v>54.59</v>
      </c>
    </row>
    <row r="1040" spans="1:44" x14ac:dyDescent="0.35">
      <c r="A1040" s="49" t="str">
        <f t="shared" si="89"/>
        <v>37</v>
      </c>
      <c r="B1040" s="27">
        <v>75416</v>
      </c>
      <c r="C1040" s="25" t="str">
        <f>TEXT(138651,"0000000")</f>
        <v>0138651</v>
      </c>
      <c r="D1040" s="27">
        <v>2020</v>
      </c>
      <c r="E1040" s="25" t="s">
        <v>2337</v>
      </c>
      <c r="F1040" s="25" t="s">
        <v>5</v>
      </c>
      <c r="G1040" s="59" t="s">
        <v>2338</v>
      </c>
      <c r="H1040" s="60">
        <v>0</v>
      </c>
      <c r="I1040" s="60">
        <v>0</v>
      </c>
      <c r="J1040" s="60">
        <v>0</v>
      </c>
      <c r="K1040" s="60">
        <v>0</v>
      </c>
      <c r="L1040" s="60">
        <v>0</v>
      </c>
      <c r="M1040" s="60">
        <v>0</v>
      </c>
      <c r="N1040" s="60">
        <v>0</v>
      </c>
      <c r="O1040" s="60">
        <v>0</v>
      </c>
      <c r="P1040" s="60">
        <v>0</v>
      </c>
      <c r="Q1040" s="60">
        <v>0</v>
      </c>
      <c r="R1040" s="60">
        <v>0</v>
      </c>
      <c r="S1040" s="60">
        <v>0</v>
      </c>
      <c r="T1040" s="60">
        <v>0</v>
      </c>
      <c r="U1040" s="60">
        <v>0</v>
      </c>
      <c r="V1040" s="60">
        <v>0</v>
      </c>
      <c r="W1040" s="60">
        <v>0</v>
      </c>
      <c r="X1040" s="60">
        <v>0</v>
      </c>
      <c r="Y1040" s="60">
        <v>0</v>
      </c>
      <c r="Z1040" s="60">
        <v>0</v>
      </c>
      <c r="AA1040" s="60">
        <v>0</v>
      </c>
      <c r="AB1040" s="60">
        <v>0</v>
      </c>
      <c r="AC1040" s="60">
        <v>230.7</v>
      </c>
      <c r="AD1040" s="60">
        <v>164.23</v>
      </c>
      <c r="AE1040" s="60">
        <v>108.94</v>
      </c>
      <c r="AF1040" s="60">
        <v>0</v>
      </c>
      <c r="AG1040" s="60">
        <v>0</v>
      </c>
      <c r="AH1040" s="60">
        <v>0</v>
      </c>
      <c r="AI1040" s="60">
        <v>230.7</v>
      </c>
      <c r="AJ1040" s="60">
        <v>164.23</v>
      </c>
      <c r="AK1040" s="60">
        <v>108.94</v>
      </c>
      <c r="AL1040" s="60">
        <v>0</v>
      </c>
      <c r="AM1040" s="60">
        <v>0</v>
      </c>
      <c r="AN1040" s="60">
        <v>0</v>
      </c>
      <c r="AO1040" s="60">
        <v>230.7</v>
      </c>
      <c r="AP1040" s="60">
        <v>164.23</v>
      </c>
      <c r="AQ1040" s="60">
        <v>108.94</v>
      </c>
      <c r="AR1040" s="61">
        <v>230.7</v>
      </c>
    </row>
    <row r="1041" spans="1:44" x14ac:dyDescent="0.35">
      <c r="A1041" s="49" t="str">
        <f t="shared" si="89"/>
        <v>37</v>
      </c>
      <c r="B1041" s="27">
        <v>75416</v>
      </c>
      <c r="C1041" s="25" t="str">
        <f>TEXT(6119275,"0000000")</f>
        <v>6119275</v>
      </c>
      <c r="D1041" s="27">
        <v>1057</v>
      </c>
      <c r="E1041" s="25" t="s">
        <v>2344</v>
      </c>
      <c r="F1041" s="25" t="s">
        <v>5</v>
      </c>
      <c r="G1041" s="59" t="s">
        <v>2345</v>
      </c>
      <c r="H1041" s="60">
        <v>0</v>
      </c>
      <c r="I1041" s="60">
        <v>0</v>
      </c>
      <c r="J1041" s="60">
        <v>0</v>
      </c>
      <c r="K1041" s="60">
        <v>0</v>
      </c>
      <c r="L1041" s="60">
        <v>0</v>
      </c>
      <c r="M1041" s="60">
        <v>0</v>
      </c>
      <c r="N1041" s="60">
        <v>0</v>
      </c>
      <c r="O1041" s="60">
        <v>0</v>
      </c>
      <c r="P1041" s="60">
        <v>0</v>
      </c>
      <c r="Q1041" s="60">
        <v>0</v>
      </c>
      <c r="R1041" s="60">
        <v>0</v>
      </c>
      <c r="S1041" s="60">
        <v>0</v>
      </c>
      <c r="T1041" s="60">
        <v>0</v>
      </c>
      <c r="U1041" s="60">
        <v>0</v>
      </c>
      <c r="V1041" s="60">
        <v>0</v>
      </c>
      <c r="W1041" s="60">
        <v>0</v>
      </c>
      <c r="X1041" s="60">
        <v>0</v>
      </c>
      <c r="Y1041" s="60">
        <v>0</v>
      </c>
      <c r="Z1041" s="60">
        <v>0</v>
      </c>
      <c r="AA1041" s="60">
        <v>0</v>
      </c>
      <c r="AB1041" s="60">
        <v>0</v>
      </c>
      <c r="AC1041" s="60">
        <v>57.77</v>
      </c>
      <c r="AD1041" s="60">
        <v>60.37</v>
      </c>
      <c r="AE1041" s="60">
        <v>0</v>
      </c>
      <c r="AF1041" s="60">
        <v>0</v>
      </c>
      <c r="AG1041" s="60">
        <v>0</v>
      </c>
      <c r="AH1041" s="60">
        <v>0</v>
      </c>
      <c r="AI1041" s="60">
        <v>57.77</v>
      </c>
      <c r="AJ1041" s="60">
        <v>60.37</v>
      </c>
      <c r="AK1041" s="60">
        <v>0</v>
      </c>
      <c r="AL1041" s="60">
        <v>0</v>
      </c>
      <c r="AM1041" s="60">
        <v>0</v>
      </c>
      <c r="AN1041" s="60">
        <v>0</v>
      </c>
      <c r="AO1041" s="60">
        <v>57.77</v>
      </c>
      <c r="AP1041" s="60">
        <v>60.37</v>
      </c>
      <c r="AQ1041" s="60">
        <v>0</v>
      </c>
      <c r="AR1041" s="61">
        <v>60.37</v>
      </c>
    </row>
    <row r="1042" spans="1:44" x14ac:dyDescent="0.35">
      <c r="A1042" s="49" t="str">
        <f t="shared" si="89"/>
        <v>37</v>
      </c>
      <c r="B1042" s="27">
        <v>76471</v>
      </c>
      <c r="C1042" s="25" t="str">
        <f>TEXT(114678,"0000000")</f>
        <v>0114678</v>
      </c>
      <c r="D1042" s="26" t="s">
        <v>2350</v>
      </c>
      <c r="E1042" s="25" t="s">
        <v>2348</v>
      </c>
      <c r="F1042" s="25" t="s">
        <v>5</v>
      </c>
      <c r="G1042" s="59" t="s">
        <v>2349</v>
      </c>
      <c r="H1042" s="60">
        <v>0</v>
      </c>
      <c r="I1042" s="60">
        <v>0</v>
      </c>
      <c r="J1042" s="60">
        <v>0</v>
      </c>
      <c r="K1042" s="60">
        <v>0</v>
      </c>
      <c r="L1042" s="60">
        <v>0</v>
      </c>
      <c r="M1042" s="60">
        <v>0</v>
      </c>
      <c r="N1042" s="60">
        <v>0</v>
      </c>
      <c r="O1042" s="60">
        <v>0</v>
      </c>
      <c r="P1042" s="60">
        <v>0</v>
      </c>
      <c r="Q1042" s="60">
        <v>0</v>
      </c>
      <c r="R1042" s="60">
        <v>0</v>
      </c>
      <c r="S1042" s="60">
        <v>0</v>
      </c>
      <c r="T1042" s="60">
        <v>0</v>
      </c>
      <c r="U1042" s="60">
        <v>0</v>
      </c>
      <c r="V1042" s="60">
        <v>0</v>
      </c>
      <c r="W1042" s="60">
        <v>0</v>
      </c>
      <c r="X1042" s="60">
        <v>0</v>
      </c>
      <c r="Y1042" s="60">
        <v>0</v>
      </c>
      <c r="Z1042" s="60">
        <v>0</v>
      </c>
      <c r="AA1042" s="60">
        <v>0</v>
      </c>
      <c r="AB1042" s="60">
        <v>0</v>
      </c>
      <c r="AC1042" s="60">
        <v>0</v>
      </c>
      <c r="AD1042" s="60">
        <v>0</v>
      </c>
      <c r="AE1042" s="60">
        <v>0</v>
      </c>
      <c r="AF1042" s="60">
        <v>584.29</v>
      </c>
      <c r="AG1042" s="60">
        <v>566.45000000000005</v>
      </c>
      <c r="AH1042" s="60">
        <v>540.1</v>
      </c>
      <c r="AI1042" s="60">
        <v>584.29</v>
      </c>
      <c r="AJ1042" s="60">
        <v>566.45000000000005</v>
      </c>
      <c r="AK1042" s="60">
        <v>540.1</v>
      </c>
      <c r="AL1042" s="60">
        <v>0</v>
      </c>
      <c r="AM1042" s="60">
        <v>0</v>
      </c>
      <c r="AN1042" s="60">
        <v>0</v>
      </c>
      <c r="AO1042" s="60">
        <v>584.29</v>
      </c>
      <c r="AP1042" s="60">
        <v>566.45000000000005</v>
      </c>
      <c r="AQ1042" s="60">
        <v>540.1</v>
      </c>
      <c r="AR1042" s="61">
        <v>584.29</v>
      </c>
    </row>
    <row r="1043" spans="1:44" x14ac:dyDescent="0.35">
      <c r="A1043" s="49" t="str">
        <f t="shared" si="89"/>
        <v>37</v>
      </c>
      <c r="B1043" s="27">
        <v>76471</v>
      </c>
      <c r="C1043" s="25" t="str">
        <f>TEXT(114694,"0000000")</f>
        <v>0114694</v>
      </c>
      <c r="D1043" s="26" t="s">
        <v>2350</v>
      </c>
      <c r="E1043" s="25" t="s">
        <v>2351</v>
      </c>
      <c r="F1043" s="25" t="s">
        <v>5</v>
      </c>
      <c r="G1043" s="59" t="s">
        <v>2352</v>
      </c>
      <c r="H1043" s="60">
        <v>0</v>
      </c>
      <c r="I1043" s="60">
        <v>0</v>
      </c>
      <c r="J1043" s="60">
        <v>0</v>
      </c>
      <c r="K1043" s="60">
        <v>0</v>
      </c>
      <c r="L1043" s="60">
        <v>0</v>
      </c>
      <c r="M1043" s="60">
        <v>0</v>
      </c>
      <c r="N1043" s="60">
        <v>0</v>
      </c>
      <c r="O1043" s="60">
        <v>0</v>
      </c>
      <c r="P1043" s="60">
        <v>0</v>
      </c>
      <c r="Q1043" s="60">
        <v>0</v>
      </c>
      <c r="R1043" s="60">
        <v>0</v>
      </c>
      <c r="S1043" s="60">
        <v>0</v>
      </c>
      <c r="T1043" s="60">
        <v>0</v>
      </c>
      <c r="U1043" s="60">
        <v>0</v>
      </c>
      <c r="V1043" s="60">
        <v>0</v>
      </c>
      <c r="W1043" s="60">
        <v>0</v>
      </c>
      <c r="X1043" s="60">
        <v>0</v>
      </c>
      <c r="Y1043" s="60">
        <v>0</v>
      </c>
      <c r="Z1043" s="60">
        <v>0</v>
      </c>
      <c r="AA1043" s="60">
        <v>0</v>
      </c>
      <c r="AB1043" s="60">
        <v>0</v>
      </c>
      <c r="AC1043" s="60">
        <v>0</v>
      </c>
      <c r="AD1043" s="60">
        <v>0</v>
      </c>
      <c r="AE1043" s="60">
        <v>0</v>
      </c>
      <c r="AF1043" s="60">
        <v>383.1</v>
      </c>
      <c r="AG1043" s="60">
        <v>381.86</v>
      </c>
      <c r="AH1043" s="60">
        <v>380.91</v>
      </c>
      <c r="AI1043" s="60">
        <v>383.1</v>
      </c>
      <c r="AJ1043" s="60">
        <v>381.86</v>
      </c>
      <c r="AK1043" s="60">
        <v>380.91</v>
      </c>
      <c r="AL1043" s="60">
        <v>0</v>
      </c>
      <c r="AM1043" s="60">
        <v>0</v>
      </c>
      <c r="AN1043" s="60">
        <v>0</v>
      </c>
      <c r="AO1043" s="60">
        <v>383.1</v>
      </c>
      <c r="AP1043" s="60">
        <v>381.86</v>
      </c>
      <c r="AQ1043" s="60">
        <v>380.91</v>
      </c>
      <c r="AR1043" s="61">
        <v>383.1</v>
      </c>
    </row>
    <row r="1044" spans="1:44" x14ac:dyDescent="0.35">
      <c r="A1044" s="49" t="str">
        <f t="shared" si="89"/>
        <v>37</v>
      </c>
      <c r="B1044" s="27">
        <v>76471</v>
      </c>
      <c r="C1044" s="25" t="str">
        <f>TEXT(119271,"0000000")</f>
        <v>0119271</v>
      </c>
      <c r="D1044" s="26" t="s">
        <v>2350</v>
      </c>
      <c r="E1044" s="25" t="s">
        <v>2353</v>
      </c>
      <c r="F1044" s="25" t="s">
        <v>5</v>
      </c>
      <c r="G1044" s="59" t="s">
        <v>2354</v>
      </c>
      <c r="H1044" s="60">
        <v>0</v>
      </c>
      <c r="I1044" s="60">
        <v>0</v>
      </c>
      <c r="J1044" s="60">
        <v>0</v>
      </c>
      <c r="K1044" s="60">
        <v>0</v>
      </c>
      <c r="L1044" s="60">
        <v>0</v>
      </c>
      <c r="M1044" s="60">
        <v>0</v>
      </c>
      <c r="N1044" s="60">
        <v>0</v>
      </c>
      <c r="O1044" s="60">
        <v>0</v>
      </c>
      <c r="P1044" s="60">
        <v>0</v>
      </c>
      <c r="Q1044" s="60">
        <v>0</v>
      </c>
      <c r="R1044" s="60">
        <v>0</v>
      </c>
      <c r="S1044" s="60">
        <v>0</v>
      </c>
      <c r="T1044" s="60">
        <v>0</v>
      </c>
      <c r="U1044" s="60">
        <v>0</v>
      </c>
      <c r="V1044" s="60">
        <v>0</v>
      </c>
      <c r="W1044" s="60">
        <v>0</v>
      </c>
      <c r="X1044" s="60">
        <v>0</v>
      </c>
      <c r="Y1044" s="60">
        <v>0</v>
      </c>
      <c r="Z1044" s="60">
        <v>0</v>
      </c>
      <c r="AA1044" s="60">
        <v>0</v>
      </c>
      <c r="AB1044" s="60">
        <v>0</v>
      </c>
      <c r="AC1044" s="60">
        <v>0</v>
      </c>
      <c r="AD1044" s="60">
        <v>0</v>
      </c>
      <c r="AE1044" s="60">
        <v>0</v>
      </c>
      <c r="AF1044" s="60">
        <v>314.16000000000003</v>
      </c>
      <c r="AG1044" s="60">
        <v>309.11</v>
      </c>
      <c r="AH1044" s="60">
        <v>320.58</v>
      </c>
      <c r="AI1044" s="60">
        <v>314.16000000000003</v>
      </c>
      <c r="AJ1044" s="60">
        <v>309.11</v>
      </c>
      <c r="AK1044" s="60">
        <v>320.58</v>
      </c>
      <c r="AL1044" s="60">
        <v>0</v>
      </c>
      <c r="AM1044" s="60">
        <v>0</v>
      </c>
      <c r="AN1044" s="60">
        <v>0</v>
      </c>
      <c r="AO1044" s="60">
        <v>314.16000000000003</v>
      </c>
      <c r="AP1044" s="60">
        <v>309.11</v>
      </c>
      <c r="AQ1044" s="60">
        <v>320.58</v>
      </c>
      <c r="AR1044" s="61">
        <v>320.58</v>
      </c>
    </row>
    <row r="1045" spans="1:44" x14ac:dyDescent="0.35">
      <c r="A1045" s="49" t="str">
        <f t="shared" si="89"/>
        <v>37</v>
      </c>
      <c r="B1045" s="27">
        <v>76471</v>
      </c>
      <c r="C1045" s="25" t="str">
        <f>TEXT(123042,"0000000")</f>
        <v>0123042</v>
      </c>
      <c r="D1045" s="26" t="s">
        <v>2350</v>
      </c>
      <c r="E1045" s="25" t="s">
        <v>2355</v>
      </c>
      <c r="F1045" s="25" t="s">
        <v>5</v>
      </c>
      <c r="G1045" s="59" t="s">
        <v>2356</v>
      </c>
      <c r="H1045" s="60">
        <v>0</v>
      </c>
      <c r="I1045" s="60">
        <v>0</v>
      </c>
      <c r="J1045" s="60">
        <v>0</v>
      </c>
      <c r="K1045" s="60">
        <v>0</v>
      </c>
      <c r="L1045" s="60">
        <v>0</v>
      </c>
      <c r="M1045" s="60">
        <v>0</v>
      </c>
      <c r="N1045" s="60">
        <v>0</v>
      </c>
      <c r="O1045" s="60">
        <v>0</v>
      </c>
      <c r="P1045" s="60">
        <v>0</v>
      </c>
      <c r="Q1045" s="60">
        <v>0</v>
      </c>
      <c r="R1045" s="60">
        <v>0</v>
      </c>
      <c r="S1045" s="60">
        <v>0</v>
      </c>
      <c r="T1045" s="60">
        <v>0</v>
      </c>
      <c r="U1045" s="60">
        <v>0</v>
      </c>
      <c r="V1045" s="60">
        <v>0</v>
      </c>
      <c r="W1045" s="60">
        <v>0</v>
      </c>
      <c r="X1045" s="60">
        <v>0</v>
      </c>
      <c r="Y1045" s="60">
        <v>0</v>
      </c>
      <c r="Z1045" s="60">
        <v>0</v>
      </c>
      <c r="AA1045" s="60">
        <v>0</v>
      </c>
      <c r="AB1045" s="60">
        <v>0</v>
      </c>
      <c r="AC1045" s="60">
        <v>0</v>
      </c>
      <c r="AD1045" s="60">
        <v>0</v>
      </c>
      <c r="AE1045" s="60">
        <v>0</v>
      </c>
      <c r="AF1045" s="60">
        <v>306.61</v>
      </c>
      <c r="AG1045" s="60">
        <v>302.08</v>
      </c>
      <c r="AH1045" s="60">
        <v>326.58</v>
      </c>
      <c r="AI1045" s="60">
        <v>306.61</v>
      </c>
      <c r="AJ1045" s="60">
        <v>302.08</v>
      </c>
      <c r="AK1045" s="60">
        <v>326.58</v>
      </c>
      <c r="AL1045" s="60">
        <v>0</v>
      </c>
      <c r="AM1045" s="60">
        <v>0</v>
      </c>
      <c r="AN1045" s="60">
        <v>0</v>
      </c>
      <c r="AO1045" s="60">
        <v>306.61</v>
      </c>
      <c r="AP1045" s="60">
        <v>302.08</v>
      </c>
      <c r="AQ1045" s="60">
        <v>326.58</v>
      </c>
      <c r="AR1045" s="61">
        <v>326.58</v>
      </c>
    </row>
    <row r="1046" spans="1:44" ht="31" x14ac:dyDescent="0.35">
      <c r="A1046" s="49" t="str">
        <f>TEXT(1,"00")</f>
        <v>01</v>
      </c>
      <c r="B1046" s="27">
        <v>61259</v>
      </c>
      <c r="C1046" s="25" t="str">
        <f>TEXT(130617,"0000000")</f>
        <v>0130617</v>
      </c>
      <c r="D1046" s="26" t="s">
        <v>120</v>
      </c>
      <c r="E1046" s="25" t="s">
        <v>118</v>
      </c>
      <c r="F1046" s="25" t="s">
        <v>5</v>
      </c>
      <c r="G1046" s="59" t="s">
        <v>119</v>
      </c>
      <c r="H1046" s="60">
        <v>0</v>
      </c>
      <c r="I1046" s="60">
        <v>0</v>
      </c>
      <c r="J1046" s="60">
        <v>0</v>
      </c>
      <c r="K1046" s="60">
        <v>0</v>
      </c>
      <c r="L1046" s="60">
        <v>0</v>
      </c>
      <c r="M1046" s="60">
        <v>0</v>
      </c>
      <c r="N1046" s="60">
        <v>0</v>
      </c>
      <c r="O1046" s="60">
        <v>0</v>
      </c>
      <c r="P1046" s="60">
        <v>0</v>
      </c>
      <c r="Q1046" s="60">
        <v>0</v>
      </c>
      <c r="R1046" s="60">
        <v>0</v>
      </c>
      <c r="S1046" s="60">
        <v>0</v>
      </c>
      <c r="T1046" s="60">
        <v>0</v>
      </c>
      <c r="U1046" s="60">
        <v>0</v>
      </c>
      <c r="V1046" s="60">
        <v>0</v>
      </c>
      <c r="W1046" s="60">
        <v>0</v>
      </c>
      <c r="X1046" s="60">
        <v>0</v>
      </c>
      <c r="Y1046" s="60">
        <v>0</v>
      </c>
      <c r="Z1046" s="60">
        <v>0</v>
      </c>
      <c r="AA1046" s="60">
        <v>0</v>
      </c>
      <c r="AB1046" s="60">
        <v>0</v>
      </c>
      <c r="AC1046" s="60">
        <v>419.88</v>
      </c>
      <c r="AD1046" s="60">
        <v>494.17</v>
      </c>
      <c r="AE1046" s="60">
        <v>621.09</v>
      </c>
      <c r="AF1046" s="60">
        <v>0</v>
      </c>
      <c r="AG1046" s="60">
        <v>0</v>
      </c>
      <c r="AH1046" s="60">
        <v>0</v>
      </c>
      <c r="AI1046" s="60">
        <v>419.88</v>
      </c>
      <c r="AJ1046" s="60">
        <v>494.17</v>
      </c>
      <c r="AK1046" s="60">
        <v>621.09</v>
      </c>
      <c r="AL1046" s="60">
        <v>0</v>
      </c>
      <c r="AM1046" s="60">
        <v>0</v>
      </c>
      <c r="AN1046" s="60">
        <v>0</v>
      </c>
      <c r="AO1046" s="60">
        <v>419.88</v>
      </c>
      <c r="AP1046" s="60">
        <v>494.17</v>
      </c>
      <c r="AQ1046" s="60">
        <v>621.09</v>
      </c>
      <c r="AR1046" s="61">
        <v>621.09</v>
      </c>
    </row>
    <row r="1047" spans="1:44" x14ac:dyDescent="0.35">
      <c r="A1047" s="49" t="str">
        <f t="shared" ref="A1047:A1056" si="90">TEXT(37,"00")</f>
        <v>37</v>
      </c>
      <c r="B1047" s="27">
        <v>76471</v>
      </c>
      <c r="C1047" s="25" t="str">
        <f>TEXT(123059,"0000000")</f>
        <v>0123059</v>
      </c>
      <c r="D1047" s="26" t="s">
        <v>2350</v>
      </c>
      <c r="E1047" s="25" t="s">
        <v>2357</v>
      </c>
      <c r="F1047" s="25" t="s">
        <v>5</v>
      </c>
      <c r="G1047" s="59" t="s">
        <v>2358</v>
      </c>
      <c r="H1047" s="60">
        <v>0</v>
      </c>
      <c r="I1047" s="60">
        <v>0</v>
      </c>
      <c r="J1047" s="60">
        <v>0</v>
      </c>
      <c r="K1047" s="60">
        <v>0</v>
      </c>
      <c r="L1047" s="60">
        <v>0</v>
      </c>
      <c r="M1047" s="60">
        <v>0</v>
      </c>
      <c r="N1047" s="60">
        <v>0</v>
      </c>
      <c r="O1047" s="60">
        <v>0</v>
      </c>
      <c r="P1047" s="60">
        <v>0</v>
      </c>
      <c r="Q1047" s="60">
        <v>0</v>
      </c>
      <c r="R1047" s="60">
        <v>0</v>
      </c>
      <c r="S1047" s="60">
        <v>0</v>
      </c>
      <c r="T1047" s="60">
        <v>0</v>
      </c>
      <c r="U1047" s="60">
        <v>0</v>
      </c>
      <c r="V1047" s="60">
        <v>0</v>
      </c>
      <c r="W1047" s="60">
        <v>0</v>
      </c>
      <c r="X1047" s="60">
        <v>0</v>
      </c>
      <c r="Y1047" s="60">
        <v>0</v>
      </c>
      <c r="Z1047" s="60">
        <v>0</v>
      </c>
      <c r="AA1047" s="60">
        <v>0</v>
      </c>
      <c r="AB1047" s="60">
        <v>0</v>
      </c>
      <c r="AC1047" s="60">
        <v>0</v>
      </c>
      <c r="AD1047" s="60">
        <v>0</v>
      </c>
      <c r="AE1047" s="60">
        <v>0</v>
      </c>
      <c r="AF1047" s="60">
        <v>395.67</v>
      </c>
      <c r="AG1047" s="60">
        <v>394.63</v>
      </c>
      <c r="AH1047" s="60">
        <v>409.62</v>
      </c>
      <c r="AI1047" s="60">
        <v>395.67</v>
      </c>
      <c r="AJ1047" s="60">
        <v>394.63</v>
      </c>
      <c r="AK1047" s="60">
        <v>409.62</v>
      </c>
      <c r="AL1047" s="60">
        <v>0</v>
      </c>
      <c r="AM1047" s="60">
        <v>0</v>
      </c>
      <c r="AN1047" s="60">
        <v>0</v>
      </c>
      <c r="AO1047" s="60">
        <v>395.67</v>
      </c>
      <c r="AP1047" s="60">
        <v>394.63</v>
      </c>
      <c r="AQ1047" s="60">
        <v>409.62</v>
      </c>
      <c r="AR1047" s="61">
        <v>409.62</v>
      </c>
    </row>
    <row r="1048" spans="1:44" x14ac:dyDescent="0.35">
      <c r="A1048" s="49" t="str">
        <f t="shared" si="90"/>
        <v>37</v>
      </c>
      <c r="B1048" s="27">
        <v>76471</v>
      </c>
      <c r="C1048" s="25" t="str">
        <f>TEXT(127605,"0000000")</f>
        <v>0127605</v>
      </c>
      <c r="D1048" s="26" t="s">
        <v>2350</v>
      </c>
      <c r="E1048" s="25" t="s">
        <v>2359</v>
      </c>
      <c r="F1048" s="25" t="s">
        <v>5</v>
      </c>
      <c r="G1048" s="59" t="s">
        <v>2360</v>
      </c>
      <c r="H1048" s="60">
        <v>0</v>
      </c>
      <c r="I1048" s="60">
        <v>0</v>
      </c>
      <c r="J1048" s="60">
        <v>0</v>
      </c>
      <c r="K1048" s="60">
        <v>0</v>
      </c>
      <c r="L1048" s="60">
        <v>0</v>
      </c>
      <c r="M1048" s="60">
        <v>0</v>
      </c>
      <c r="N1048" s="60">
        <v>0</v>
      </c>
      <c r="O1048" s="60">
        <v>0</v>
      </c>
      <c r="P1048" s="60">
        <v>0</v>
      </c>
      <c r="Q1048" s="60">
        <v>0</v>
      </c>
      <c r="R1048" s="60">
        <v>0</v>
      </c>
      <c r="S1048" s="60">
        <v>0</v>
      </c>
      <c r="T1048" s="60">
        <v>0</v>
      </c>
      <c r="U1048" s="60">
        <v>0</v>
      </c>
      <c r="V1048" s="60">
        <v>0</v>
      </c>
      <c r="W1048" s="60">
        <v>0</v>
      </c>
      <c r="X1048" s="60">
        <v>0</v>
      </c>
      <c r="Y1048" s="60">
        <v>0</v>
      </c>
      <c r="Z1048" s="60">
        <v>0</v>
      </c>
      <c r="AA1048" s="60">
        <v>0</v>
      </c>
      <c r="AB1048" s="60">
        <v>0</v>
      </c>
      <c r="AC1048" s="60">
        <v>0</v>
      </c>
      <c r="AD1048" s="60">
        <v>0</v>
      </c>
      <c r="AE1048" s="60">
        <v>0</v>
      </c>
      <c r="AF1048" s="60">
        <v>407.43</v>
      </c>
      <c r="AG1048" s="60">
        <v>411.66</v>
      </c>
      <c r="AH1048" s="60">
        <v>403.93</v>
      </c>
      <c r="AI1048" s="60">
        <v>407.43</v>
      </c>
      <c r="AJ1048" s="60">
        <v>411.66</v>
      </c>
      <c r="AK1048" s="60">
        <v>403.93</v>
      </c>
      <c r="AL1048" s="60">
        <v>0</v>
      </c>
      <c r="AM1048" s="60">
        <v>0</v>
      </c>
      <c r="AN1048" s="60">
        <v>0</v>
      </c>
      <c r="AO1048" s="60">
        <v>407.43</v>
      </c>
      <c r="AP1048" s="60">
        <v>411.66</v>
      </c>
      <c r="AQ1048" s="60">
        <v>403.93</v>
      </c>
      <c r="AR1048" s="61">
        <v>411.66</v>
      </c>
    </row>
    <row r="1049" spans="1:44" x14ac:dyDescent="0.35">
      <c r="A1049" s="49" t="str">
        <f t="shared" si="90"/>
        <v>37</v>
      </c>
      <c r="B1049" s="27">
        <v>76471</v>
      </c>
      <c r="C1049" s="25" t="str">
        <f>TEXT(137067,"0000000")</f>
        <v>0137067</v>
      </c>
      <c r="D1049" s="26" t="s">
        <v>2350</v>
      </c>
      <c r="E1049" s="25" t="s">
        <v>2361</v>
      </c>
      <c r="F1049" s="25" t="s">
        <v>5</v>
      </c>
      <c r="G1049" s="59" t="s">
        <v>2362</v>
      </c>
      <c r="H1049" s="60">
        <v>0</v>
      </c>
      <c r="I1049" s="60">
        <v>0</v>
      </c>
      <c r="J1049" s="60">
        <v>0</v>
      </c>
      <c r="K1049" s="60">
        <v>0</v>
      </c>
      <c r="L1049" s="60">
        <v>0</v>
      </c>
      <c r="M1049" s="60">
        <v>0</v>
      </c>
      <c r="N1049" s="60">
        <v>0</v>
      </c>
      <c r="O1049" s="60">
        <v>0</v>
      </c>
      <c r="P1049" s="60">
        <v>0</v>
      </c>
      <c r="Q1049" s="60">
        <v>0</v>
      </c>
      <c r="R1049" s="60">
        <v>0</v>
      </c>
      <c r="S1049" s="60">
        <v>0</v>
      </c>
      <c r="T1049" s="60">
        <v>0</v>
      </c>
      <c r="U1049" s="60">
        <v>0</v>
      </c>
      <c r="V1049" s="60">
        <v>0</v>
      </c>
      <c r="W1049" s="60">
        <v>0</v>
      </c>
      <c r="X1049" s="60">
        <v>0</v>
      </c>
      <c r="Y1049" s="60">
        <v>0</v>
      </c>
      <c r="Z1049" s="60">
        <v>0</v>
      </c>
      <c r="AA1049" s="60">
        <v>0</v>
      </c>
      <c r="AB1049" s="60">
        <v>0</v>
      </c>
      <c r="AC1049" s="60">
        <v>0</v>
      </c>
      <c r="AD1049" s="60">
        <v>0</v>
      </c>
      <c r="AE1049" s="60">
        <v>0</v>
      </c>
      <c r="AF1049" s="60">
        <v>398.56</v>
      </c>
      <c r="AG1049" s="60">
        <v>386.47</v>
      </c>
      <c r="AH1049" s="60">
        <v>288.5</v>
      </c>
      <c r="AI1049" s="60">
        <v>398.56</v>
      </c>
      <c r="AJ1049" s="60">
        <v>386.47</v>
      </c>
      <c r="AK1049" s="60">
        <v>288.5</v>
      </c>
      <c r="AL1049" s="60">
        <v>0</v>
      </c>
      <c r="AM1049" s="60">
        <v>0</v>
      </c>
      <c r="AN1049" s="60">
        <v>0</v>
      </c>
      <c r="AO1049" s="60">
        <v>398.56</v>
      </c>
      <c r="AP1049" s="60">
        <v>386.47</v>
      </c>
      <c r="AQ1049" s="60">
        <v>288.5</v>
      </c>
      <c r="AR1049" s="61">
        <v>398.56</v>
      </c>
    </row>
    <row r="1050" spans="1:44" x14ac:dyDescent="0.35">
      <c r="A1050" s="49" t="str">
        <f t="shared" si="90"/>
        <v>37</v>
      </c>
      <c r="B1050" s="27">
        <v>76471</v>
      </c>
      <c r="C1050" s="25" t="str">
        <f>TEXT(138768,"0000000")</f>
        <v>0138768</v>
      </c>
      <c r="D1050" s="26" t="s">
        <v>2350</v>
      </c>
      <c r="E1050" s="25" t="s">
        <v>2363</v>
      </c>
      <c r="F1050" s="25" t="s">
        <v>5</v>
      </c>
      <c r="G1050" s="59" t="s">
        <v>2364</v>
      </c>
      <c r="H1050" s="60">
        <v>0</v>
      </c>
      <c r="I1050" s="60">
        <v>0</v>
      </c>
      <c r="J1050" s="60">
        <v>0</v>
      </c>
      <c r="K1050" s="60">
        <v>0</v>
      </c>
      <c r="L1050" s="60">
        <v>0</v>
      </c>
      <c r="M1050" s="60">
        <v>0</v>
      </c>
      <c r="N1050" s="60">
        <v>0</v>
      </c>
      <c r="O1050" s="60">
        <v>0</v>
      </c>
      <c r="P1050" s="60">
        <v>0</v>
      </c>
      <c r="Q1050" s="60">
        <v>0</v>
      </c>
      <c r="R1050" s="60">
        <v>0</v>
      </c>
      <c r="S1050" s="60">
        <v>0</v>
      </c>
      <c r="T1050" s="60">
        <v>0</v>
      </c>
      <c r="U1050" s="60">
        <v>0</v>
      </c>
      <c r="V1050" s="60">
        <v>0</v>
      </c>
      <c r="W1050" s="60">
        <v>0</v>
      </c>
      <c r="X1050" s="60">
        <v>0</v>
      </c>
      <c r="Y1050" s="60">
        <v>0</v>
      </c>
      <c r="Z1050" s="60">
        <v>0</v>
      </c>
      <c r="AA1050" s="60">
        <v>0</v>
      </c>
      <c r="AB1050" s="60">
        <v>0</v>
      </c>
      <c r="AC1050" s="60">
        <v>0</v>
      </c>
      <c r="AD1050" s="60">
        <v>0</v>
      </c>
      <c r="AE1050" s="60">
        <v>0</v>
      </c>
      <c r="AF1050" s="60">
        <v>314.49</v>
      </c>
      <c r="AG1050" s="60">
        <v>312.23</v>
      </c>
      <c r="AH1050" s="60">
        <v>214</v>
      </c>
      <c r="AI1050" s="60">
        <v>314.49</v>
      </c>
      <c r="AJ1050" s="60">
        <v>312.23</v>
      </c>
      <c r="AK1050" s="60">
        <v>214</v>
      </c>
      <c r="AL1050" s="60">
        <v>0</v>
      </c>
      <c r="AM1050" s="60">
        <v>0</v>
      </c>
      <c r="AN1050" s="60">
        <v>0</v>
      </c>
      <c r="AO1050" s="60">
        <v>314.49</v>
      </c>
      <c r="AP1050" s="60">
        <v>312.23</v>
      </c>
      <c r="AQ1050" s="60">
        <v>214</v>
      </c>
      <c r="AR1050" s="61">
        <v>314.49</v>
      </c>
    </row>
    <row r="1051" spans="1:44" x14ac:dyDescent="0.35">
      <c r="A1051" s="49" t="str">
        <f t="shared" si="90"/>
        <v>37</v>
      </c>
      <c r="B1051" s="27">
        <v>76471</v>
      </c>
      <c r="C1051" s="25" t="str">
        <f>TEXT(138776,"0000000")</f>
        <v>0138776</v>
      </c>
      <c r="D1051" s="26" t="s">
        <v>2350</v>
      </c>
      <c r="E1051" s="25" t="s">
        <v>2365</v>
      </c>
      <c r="F1051" s="25" t="s">
        <v>5</v>
      </c>
      <c r="G1051" s="59" t="s">
        <v>2366</v>
      </c>
      <c r="H1051" s="60">
        <v>0</v>
      </c>
      <c r="I1051" s="60">
        <v>0</v>
      </c>
      <c r="J1051" s="60">
        <v>0</v>
      </c>
      <c r="K1051" s="60">
        <v>0</v>
      </c>
      <c r="L1051" s="60">
        <v>0</v>
      </c>
      <c r="M1051" s="60">
        <v>0</v>
      </c>
      <c r="N1051" s="60">
        <v>0</v>
      </c>
      <c r="O1051" s="60">
        <v>0</v>
      </c>
      <c r="P1051" s="60">
        <v>0</v>
      </c>
      <c r="Q1051" s="60">
        <v>0</v>
      </c>
      <c r="R1051" s="60">
        <v>0</v>
      </c>
      <c r="S1051" s="60">
        <v>0</v>
      </c>
      <c r="T1051" s="60">
        <v>0</v>
      </c>
      <c r="U1051" s="60">
        <v>0</v>
      </c>
      <c r="V1051" s="60">
        <v>0</v>
      </c>
      <c r="W1051" s="60">
        <v>0</v>
      </c>
      <c r="X1051" s="60">
        <v>0</v>
      </c>
      <c r="Y1051" s="60">
        <v>0</v>
      </c>
      <c r="Z1051" s="60">
        <v>0</v>
      </c>
      <c r="AA1051" s="60">
        <v>0</v>
      </c>
      <c r="AB1051" s="60">
        <v>0</v>
      </c>
      <c r="AC1051" s="60">
        <v>0</v>
      </c>
      <c r="AD1051" s="60">
        <v>0</v>
      </c>
      <c r="AE1051" s="60">
        <v>0</v>
      </c>
      <c r="AF1051" s="60">
        <v>396.33</v>
      </c>
      <c r="AG1051" s="60">
        <v>342</v>
      </c>
      <c r="AH1051" s="60">
        <v>298</v>
      </c>
      <c r="AI1051" s="60">
        <v>396.33</v>
      </c>
      <c r="AJ1051" s="60">
        <v>342</v>
      </c>
      <c r="AK1051" s="60">
        <v>298</v>
      </c>
      <c r="AL1051" s="60">
        <v>0</v>
      </c>
      <c r="AM1051" s="60">
        <v>0</v>
      </c>
      <c r="AN1051" s="60">
        <v>0</v>
      </c>
      <c r="AO1051" s="60">
        <v>396.33</v>
      </c>
      <c r="AP1051" s="60">
        <v>342</v>
      </c>
      <c r="AQ1051" s="60">
        <v>298</v>
      </c>
      <c r="AR1051" s="61">
        <v>396.33</v>
      </c>
    </row>
    <row r="1052" spans="1:44" x14ac:dyDescent="0.35">
      <c r="A1052" s="49" t="str">
        <f t="shared" si="90"/>
        <v>37</v>
      </c>
      <c r="B1052" s="27">
        <v>77099</v>
      </c>
      <c r="C1052" s="25" t="str">
        <f>TEXT(136077,"0000000")</f>
        <v>0136077</v>
      </c>
      <c r="D1052" s="27">
        <v>1889</v>
      </c>
      <c r="E1052" s="25" t="s">
        <v>2369</v>
      </c>
      <c r="F1052" s="25" t="s">
        <v>5</v>
      </c>
      <c r="G1052" s="59" t="s">
        <v>2370</v>
      </c>
      <c r="H1052" s="60">
        <v>0</v>
      </c>
      <c r="I1052" s="60">
        <v>0</v>
      </c>
      <c r="J1052" s="60">
        <v>0</v>
      </c>
      <c r="K1052" s="60">
        <v>0</v>
      </c>
      <c r="L1052" s="60">
        <v>0</v>
      </c>
      <c r="M1052" s="60">
        <v>0</v>
      </c>
      <c r="N1052" s="60">
        <v>0</v>
      </c>
      <c r="O1052" s="60">
        <v>0</v>
      </c>
      <c r="P1052" s="60">
        <v>0</v>
      </c>
      <c r="Q1052" s="60">
        <v>0</v>
      </c>
      <c r="R1052" s="60">
        <v>0</v>
      </c>
      <c r="S1052" s="60">
        <v>0</v>
      </c>
      <c r="T1052" s="60">
        <v>0</v>
      </c>
      <c r="U1052" s="60">
        <v>0</v>
      </c>
      <c r="V1052" s="60">
        <v>0</v>
      </c>
      <c r="W1052" s="60">
        <v>0</v>
      </c>
      <c r="X1052" s="60">
        <v>0</v>
      </c>
      <c r="Y1052" s="60">
        <v>0</v>
      </c>
      <c r="Z1052" s="60">
        <v>0</v>
      </c>
      <c r="AA1052" s="60">
        <v>0</v>
      </c>
      <c r="AB1052" s="60">
        <v>0</v>
      </c>
      <c r="AC1052" s="60">
        <v>276.88</v>
      </c>
      <c r="AD1052" s="60">
        <v>329.74</v>
      </c>
      <c r="AE1052" s="60">
        <v>340.23</v>
      </c>
      <c r="AF1052" s="60">
        <v>0</v>
      </c>
      <c r="AG1052" s="60">
        <v>0</v>
      </c>
      <c r="AH1052" s="60">
        <v>0</v>
      </c>
      <c r="AI1052" s="60">
        <v>276.88</v>
      </c>
      <c r="AJ1052" s="60">
        <v>329.74</v>
      </c>
      <c r="AK1052" s="60">
        <v>340.23</v>
      </c>
      <c r="AL1052" s="60">
        <v>0</v>
      </c>
      <c r="AM1052" s="60">
        <v>0</v>
      </c>
      <c r="AN1052" s="60">
        <v>0</v>
      </c>
      <c r="AO1052" s="60">
        <v>276.88</v>
      </c>
      <c r="AP1052" s="60">
        <v>329.74</v>
      </c>
      <c r="AQ1052" s="60">
        <v>340.23</v>
      </c>
      <c r="AR1052" s="61">
        <v>340.23</v>
      </c>
    </row>
    <row r="1053" spans="1:44" x14ac:dyDescent="0.35">
      <c r="A1053" s="49" t="str">
        <f t="shared" si="90"/>
        <v>37</v>
      </c>
      <c r="B1053" s="27">
        <v>77107</v>
      </c>
      <c r="C1053" s="25" t="str">
        <f>TEXT(136473,"0000000")</f>
        <v>0136473</v>
      </c>
      <c r="D1053" s="27">
        <v>1903</v>
      </c>
      <c r="E1053" s="25" t="s">
        <v>2371</v>
      </c>
      <c r="F1053" s="25" t="s">
        <v>5</v>
      </c>
      <c r="G1053" s="59" t="s">
        <v>2372</v>
      </c>
      <c r="H1053" s="60">
        <v>0</v>
      </c>
      <c r="I1053" s="60">
        <v>0</v>
      </c>
      <c r="J1053" s="60">
        <v>0</v>
      </c>
      <c r="K1053" s="60">
        <v>0</v>
      </c>
      <c r="L1053" s="60">
        <v>0</v>
      </c>
      <c r="M1053" s="60">
        <v>0</v>
      </c>
      <c r="N1053" s="60">
        <v>0</v>
      </c>
      <c r="O1053" s="60">
        <v>0</v>
      </c>
      <c r="P1053" s="60">
        <v>0</v>
      </c>
      <c r="Q1053" s="60">
        <v>0</v>
      </c>
      <c r="R1053" s="60">
        <v>0</v>
      </c>
      <c r="S1053" s="60">
        <v>0</v>
      </c>
      <c r="T1053" s="60">
        <v>0</v>
      </c>
      <c r="U1053" s="60">
        <v>0</v>
      </c>
      <c r="V1053" s="60">
        <v>0</v>
      </c>
      <c r="W1053" s="60">
        <v>0</v>
      </c>
      <c r="X1053" s="60">
        <v>0</v>
      </c>
      <c r="Y1053" s="60">
        <v>0</v>
      </c>
      <c r="Z1053" s="60">
        <v>0</v>
      </c>
      <c r="AA1053" s="60">
        <v>0</v>
      </c>
      <c r="AB1053" s="60">
        <v>0</v>
      </c>
      <c r="AC1053" s="60">
        <v>387.95</v>
      </c>
      <c r="AD1053" s="60">
        <v>354.6</v>
      </c>
      <c r="AE1053" s="60">
        <v>310.05</v>
      </c>
      <c r="AF1053" s="60">
        <v>0</v>
      </c>
      <c r="AG1053" s="60">
        <v>0</v>
      </c>
      <c r="AH1053" s="60">
        <v>0</v>
      </c>
      <c r="AI1053" s="60">
        <v>387.95</v>
      </c>
      <c r="AJ1053" s="60">
        <v>354.6</v>
      </c>
      <c r="AK1053" s="60">
        <v>310.05</v>
      </c>
      <c r="AL1053" s="60">
        <v>0</v>
      </c>
      <c r="AM1053" s="60">
        <v>0</v>
      </c>
      <c r="AN1053" s="60">
        <v>0</v>
      </c>
      <c r="AO1053" s="60">
        <v>387.95</v>
      </c>
      <c r="AP1053" s="60">
        <v>354.6</v>
      </c>
      <c r="AQ1053" s="60">
        <v>310.05</v>
      </c>
      <c r="AR1053" s="61">
        <v>387.95</v>
      </c>
    </row>
    <row r="1054" spans="1:44" x14ac:dyDescent="0.35">
      <c r="A1054" s="49" t="str">
        <f t="shared" si="90"/>
        <v>37</v>
      </c>
      <c r="B1054" s="27">
        <v>77156</v>
      </c>
      <c r="C1054" s="25" t="str">
        <f>TEXT(137323,"0000000")</f>
        <v>0137323</v>
      </c>
      <c r="D1054" s="27">
        <v>1968</v>
      </c>
      <c r="E1054" s="25" t="s">
        <v>2373</v>
      </c>
      <c r="F1054" s="25" t="s">
        <v>5</v>
      </c>
      <c r="G1054" s="59" t="s">
        <v>2374</v>
      </c>
      <c r="H1054" s="60">
        <v>0</v>
      </c>
      <c r="I1054" s="60">
        <v>0</v>
      </c>
      <c r="J1054" s="60">
        <v>0</v>
      </c>
      <c r="K1054" s="60">
        <v>0</v>
      </c>
      <c r="L1054" s="60">
        <v>0</v>
      </c>
      <c r="M1054" s="60">
        <v>0</v>
      </c>
      <c r="N1054" s="60">
        <v>0</v>
      </c>
      <c r="O1054" s="60">
        <v>0</v>
      </c>
      <c r="P1054" s="60">
        <v>0</v>
      </c>
      <c r="Q1054" s="60">
        <v>0</v>
      </c>
      <c r="R1054" s="60">
        <v>0</v>
      </c>
      <c r="S1054" s="60">
        <v>0</v>
      </c>
      <c r="T1054" s="60">
        <v>0</v>
      </c>
      <c r="U1054" s="60">
        <v>0</v>
      </c>
      <c r="V1054" s="60">
        <v>0</v>
      </c>
      <c r="W1054" s="60">
        <v>0</v>
      </c>
      <c r="X1054" s="60">
        <v>0</v>
      </c>
      <c r="Y1054" s="60">
        <v>0</v>
      </c>
      <c r="Z1054" s="60">
        <v>0</v>
      </c>
      <c r="AA1054" s="60">
        <v>0</v>
      </c>
      <c r="AB1054" s="60">
        <v>0</v>
      </c>
      <c r="AC1054" s="60">
        <v>232.22</v>
      </c>
      <c r="AD1054" s="60">
        <v>205.67</v>
      </c>
      <c r="AE1054" s="60">
        <v>195.4</v>
      </c>
      <c r="AF1054" s="60">
        <v>0</v>
      </c>
      <c r="AG1054" s="60">
        <v>0</v>
      </c>
      <c r="AH1054" s="60">
        <v>0</v>
      </c>
      <c r="AI1054" s="60">
        <v>232.22</v>
      </c>
      <c r="AJ1054" s="60">
        <v>205.67</v>
      </c>
      <c r="AK1054" s="60">
        <v>195.4</v>
      </c>
      <c r="AL1054" s="60">
        <v>0</v>
      </c>
      <c r="AM1054" s="60">
        <v>0</v>
      </c>
      <c r="AN1054" s="60">
        <v>0</v>
      </c>
      <c r="AO1054" s="60">
        <v>232.22</v>
      </c>
      <c r="AP1054" s="60">
        <v>205.67</v>
      </c>
      <c r="AQ1054" s="60">
        <v>195.4</v>
      </c>
      <c r="AR1054" s="61">
        <v>232.22</v>
      </c>
    </row>
    <row r="1055" spans="1:44" x14ac:dyDescent="0.35">
      <c r="A1055" s="49" t="str">
        <f t="shared" si="90"/>
        <v>37</v>
      </c>
      <c r="B1055" s="27">
        <v>77164</v>
      </c>
      <c r="C1055" s="25" t="str">
        <f>TEXT(137356,"0000000")</f>
        <v>0137356</v>
      </c>
      <c r="D1055" s="27">
        <v>1967</v>
      </c>
      <c r="E1055" s="25" t="s">
        <v>2375</v>
      </c>
      <c r="F1055" s="25" t="s">
        <v>5</v>
      </c>
      <c r="G1055" s="59" t="s">
        <v>2376</v>
      </c>
      <c r="H1055" s="60">
        <v>0</v>
      </c>
      <c r="I1055" s="60">
        <v>0</v>
      </c>
      <c r="J1055" s="60">
        <v>0</v>
      </c>
      <c r="K1055" s="60">
        <v>0</v>
      </c>
      <c r="L1055" s="60">
        <v>0</v>
      </c>
      <c r="M1055" s="60">
        <v>0</v>
      </c>
      <c r="N1055" s="60">
        <v>0</v>
      </c>
      <c r="O1055" s="60">
        <v>0</v>
      </c>
      <c r="P1055" s="60">
        <v>0</v>
      </c>
      <c r="Q1055" s="60">
        <v>0</v>
      </c>
      <c r="R1055" s="60">
        <v>0</v>
      </c>
      <c r="S1055" s="60">
        <v>0</v>
      </c>
      <c r="T1055" s="60">
        <v>0</v>
      </c>
      <c r="U1055" s="60">
        <v>0</v>
      </c>
      <c r="V1055" s="60">
        <v>0</v>
      </c>
      <c r="W1055" s="60">
        <v>0</v>
      </c>
      <c r="X1055" s="60">
        <v>0</v>
      </c>
      <c r="Y1055" s="60">
        <v>0</v>
      </c>
      <c r="Z1055" s="60">
        <v>0</v>
      </c>
      <c r="AA1055" s="60">
        <v>0</v>
      </c>
      <c r="AB1055" s="60">
        <v>0</v>
      </c>
      <c r="AC1055" s="60">
        <v>385.81</v>
      </c>
      <c r="AD1055" s="60">
        <v>380.47</v>
      </c>
      <c r="AE1055" s="60">
        <v>379.76</v>
      </c>
      <c r="AF1055" s="60">
        <v>0</v>
      </c>
      <c r="AG1055" s="60">
        <v>0</v>
      </c>
      <c r="AH1055" s="60">
        <v>0</v>
      </c>
      <c r="AI1055" s="60">
        <v>385.81</v>
      </c>
      <c r="AJ1055" s="60">
        <v>380.47</v>
      </c>
      <c r="AK1055" s="60">
        <v>379.76</v>
      </c>
      <c r="AL1055" s="60">
        <v>0</v>
      </c>
      <c r="AM1055" s="60">
        <v>0</v>
      </c>
      <c r="AN1055" s="60">
        <v>0</v>
      </c>
      <c r="AO1055" s="60">
        <v>385.81</v>
      </c>
      <c r="AP1055" s="60">
        <v>380.47</v>
      </c>
      <c r="AQ1055" s="60">
        <v>379.76</v>
      </c>
      <c r="AR1055" s="61">
        <v>385.81</v>
      </c>
    </row>
    <row r="1056" spans="1:44" x14ac:dyDescent="0.35">
      <c r="A1056" s="49" t="str">
        <f t="shared" si="90"/>
        <v>37</v>
      </c>
      <c r="B1056" s="27">
        <v>77172</v>
      </c>
      <c r="C1056" s="25" t="str">
        <f>TEXT(138099,"0000000")</f>
        <v>0138099</v>
      </c>
      <c r="D1056" s="27">
        <v>1966</v>
      </c>
      <c r="E1056" s="25" t="s">
        <v>2377</v>
      </c>
      <c r="F1056" s="25" t="s">
        <v>5</v>
      </c>
      <c r="G1056" s="59" t="s">
        <v>2378</v>
      </c>
      <c r="H1056" s="60">
        <v>0</v>
      </c>
      <c r="I1056" s="60">
        <v>0</v>
      </c>
      <c r="J1056" s="60">
        <v>0</v>
      </c>
      <c r="K1056" s="60">
        <v>0</v>
      </c>
      <c r="L1056" s="60">
        <v>0</v>
      </c>
      <c r="M1056" s="60">
        <v>0</v>
      </c>
      <c r="N1056" s="60">
        <v>0</v>
      </c>
      <c r="O1056" s="60">
        <v>0</v>
      </c>
      <c r="P1056" s="60">
        <v>0</v>
      </c>
      <c r="Q1056" s="60">
        <v>0</v>
      </c>
      <c r="R1056" s="60">
        <v>0</v>
      </c>
      <c r="S1056" s="60">
        <v>0</v>
      </c>
      <c r="T1056" s="60">
        <v>0</v>
      </c>
      <c r="U1056" s="60">
        <v>0</v>
      </c>
      <c r="V1056" s="60">
        <v>0</v>
      </c>
      <c r="W1056" s="60">
        <v>0</v>
      </c>
      <c r="X1056" s="60">
        <v>0</v>
      </c>
      <c r="Y1056" s="60">
        <v>0</v>
      </c>
      <c r="Z1056" s="60">
        <v>0</v>
      </c>
      <c r="AA1056" s="60">
        <v>0</v>
      </c>
      <c r="AB1056" s="60">
        <v>0</v>
      </c>
      <c r="AC1056" s="60">
        <v>189.89</v>
      </c>
      <c r="AD1056" s="60">
        <v>166.51</v>
      </c>
      <c r="AE1056" s="60">
        <v>152.65</v>
      </c>
      <c r="AF1056" s="60">
        <v>0</v>
      </c>
      <c r="AG1056" s="60">
        <v>0</v>
      </c>
      <c r="AH1056" s="60">
        <v>0</v>
      </c>
      <c r="AI1056" s="60">
        <v>189.89</v>
      </c>
      <c r="AJ1056" s="60">
        <v>166.51</v>
      </c>
      <c r="AK1056" s="60">
        <v>152.65</v>
      </c>
      <c r="AL1056" s="60">
        <v>0</v>
      </c>
      <c r="AM1056" s="60">
        <v>0</v>
      </c>
      <c r="AN1056" s="60">
        <v>0</v>
      </c>
      <c r="AO1056" s="60">
        <v>189.89</v>
      </c>
      <c r="AP1056" s="60">
        <v>166.51</v>
      </c>
      <c r="AQ1056" s="60">
        <v>152.65</v>
      </c>
      <c r="AR1056" s="61">
        <v>189.89</v>
      </c>
    </row>
    <row r="1057" spans="1:44" x14ac:dyDescent="0.35">
      <c r="A1057" s="49" t="str">
        <f>TEXT(1,"00")</f>
        <v>01</v>
      </c>
      <c r="B1057" s="27">
        <v>61259</v>
      </c>
      <c r="C1057" s="25" t="str">
        <f>TEXT(130633,"0000000")</f>
        <v>0130633</v>
      </c>
      <c r="D1057" s="26" t="s">
        <v>123</v>
      </c>
      <c r="E1057" s="25" t="s">
        <v>121</v>
      </c>
      <c r="F1057" s="25" t="s">
        <v>5</v>
      </c>
      <c r="G1057" s="59" t="s">
        <v>122</v>
      </c>
      <c r="H1057" s="60">
        <v>0</v>
      </c>
      <c r="I1057" s="60">
        <v>0</v>
      </c>
      <c r="J1057" s="60">
        <v>0</v>
      </c>
      <c r="K1057" s="60">
        <v>0</v>
      </c>
      <c r="L1057" s="60">
        <v>0</v>
      </c>
      <c r="M1057" s="60">
        <v>0</v>
      </c>
      <c r="N1057" s="60">
        <v>0</v>
      </c>
      <c r="O1057" s="60">
        <v>0</v>
      </c>
      <c r="P1057" s="60">
        <v>0</v>
      </c>
      <c r="Q1057" s="60">
        <v>0</v>
      </c>
      <c r="R1057" s="60">
        <v>0</v>
      </c>
      <c r="S1057" s="60">
        <v>0</v>
      </c>
      <c r="T1057" s="60">
        <v>0</v>
      </c>
      <c r="U1057" s="60">
        <v>0</v>
      </c>
      <c r="V1057" s="60">
        <v>0</v>
      </c>
      <c r="W1057" s="60">
        <v>0</v>
      </c>
      <c r="X1057" s="60">
        <v>0</v>
      </c>
      <c r="Y1057" s="60">
        <v>0</v>
      </c>
      <c r="Z1057" s="60">
        <v>0</v>
      </c>
      <c r="AA1057" s="60">
        <v>0</v>
      </c>
      <c r="AB1057" s="60">
        <v>0</v>
      </c>
      <c r="AC1057" s="60">
        <v>496.29</v>
      </c>
      <c r="AD1057" s="60">
        <v>474.97</v>
      </c>
      <c r="AE1057" s="60">
        <v>479.83</v>
      </c>
      <c r="AF1057" s="60">
        <v>0</v>
      </c>
      <c r="AG1057" s="60">
        <v>0</v>
      </c>
      <c r="AH1057" s="60">
        <v>0</v>
      </c>
      <c r="AI1057" s="60">
        <v>496.29</v>
      </c>
      <c r="AJ1057" s="60">
        <v>474.97</v>
      </c>
      <c r="AK1057" s="60">
        <v>479.83</v>
      </c>
      <c r="AL1057" s="60">
        <v>0</v>
      </c>
      <c r="AM1057" s="60">
        <v>0</v>
      </c>
      <c r="AN1057" s="60">
        <v>0</v>
      </c>
      <c r="AO1057" s="60">
        <v>496.29</v>
      </c>
      <c r="AP1057" s="60">
        <v>474.97</v>
      </c>
      <c r="AQ1057" s="60">
        <v>479.83</v>
      </c>
      <c r="AR1057" s="61">
        <v>496.29</v>
      </c>
    </row>
    <row r="1058" spans="1:44" x14ac:dyDescent="0.35">
      <c r="A1058" s="49" t="str">
        <f t="shared" ref="A1058:A1067" si="91">TEXT(38,"00")</f>
        <v>38</v>
      </c>
      <c r="B1058" s="27">
        <v>68478</v>
      </c>
      <c r="C1058" s="25" t="str">
        <f>TEXT(101337,"0000000")</f>
        <v>0101337</v>
      </c>
      <c r="D1058" s="26" t="s">
        <v>2385</v>
      </c>
      <c r="E1058" s="25" t="s">
        <v>2383</v>
      </c>
      <c r="F1058" s="25" t="s">
        <v>5</v>
      </c>
      <c r="G1058" s="59" t="s">
        <v>2384</v>
      </c>
      <c r="H1058" s="60">
        <v>0</v>
      </c>
      <c r="I1058" s="60">
        <v>0</v>
      </c>
      <c r="J1058" s="60">
        <v>0</v>
      </c>
      <c r="K1058" s="60">
        <v>0</v>
      </c>
      <c r="L1058" s="60">
        <v>0</v>
      </c>
      <c r="M1058" s="60">
        <v>0</v>
      </c>
      <c r="N1058" s="60">
        <v>0</v>
      </c>
      <c r="O1058" s="60">
        <v>0</v>
      </c>
      <c r="P1058" s="60">
        <v>0</v>
      </c>
      <c r="Q1058" s="60">
        <v>0</v>
      </c>
      <c r="R1058" s="60">
        <v>0</v>
      </c>
      <c r="S1058" s="60">
        <v>0</v>
      </c>
      <c r="T1058" s="60">
        <v>0</v>
      </c>
      <c r="U1058" s="60">
        <v>0</v>
      </c>
      <c r="V1058" s="60">
        <v>0</v>
      </c>
      <c r="W1058" s="60">
        <v>0</v>
      </c>
      <c r="X1058" s="60">
        <v>0</v>
      </c>
      <c r="Y1058" s="60">
        <v>0</v>
      </c>
      <c r="Z1058" s="60">
        <v>0</v>
      </c>
      <c r="AA1058" s="60">
        <v>0</v>
      </c>
      <c r="AB1058" s="60">
        <v>0</v>
      </c>
      <c r="AC1058" s="60">
        <v>170.58</v>
      </c>
      <c r="AD1058" s="60">
        <v>212.4</v>
      </c>
      <c r="AE1058" s="60">
        <v>292.43</v>
      </c>
      <c r="AF1058" s="60">
        <v>0</v>
      </c>
      <c r="AG1058" s="60">
        <v>0</v>
      </c>
      <c r="AH1058" s="60">
        <v>0</v>
      </c>
      <c r="AI1058" s="60">
        <v>170.58</v>
      </c>
      <c r="AJ1058" s="60">
        <v>212.4</v>
      </c>
      <c r="AK1058" s="60">
        <v>292.43</v>
      </c>
      <c r="AL1058" s="60">
        <v>0</v>
      </c>
      <c r="AM1058" s="60">
        <v>0</v>
      </c>
      <c r="AN1058" s="60">
        <v>0</v>
      </c>
      <c r="AO1058" s="60">
        <v>170.58</v>
      </c>
      <c r="AP1058" s="60">
        <v>212.4</v>
      </c>
      <c r="AQ1058" s="60">
        <v>292.43</v>
      </c>
      <c r="AR1058" s="61">
        <v>292.43</v>
      </c>
    </row>
    <row r="1059" spans="1:44" x14ac:dyDescent="0.35">
      <c r="A1059" s="49" t="str">
        <f t="shared" si="91"/>
        <v>38</v>
      </c>
      <c r="B1059" s="27">
        <v>68478</v>
      </c>
      <c r="C1059" s="25" t="str">
        <f>TEXT(101352,"0000000")</f>
        <v>0101352</v>
      </c>
      <c r="D1059" s="26" t="s">
        <v>2388</v>
      </c>
      <c r="E1059" s="25" t="s">
        <v>2386</v>
      </c>
      <c r="F1059" s="25" t="s">
        <v>5</v>
      </c>
      <c r="G1059" s="59" t="s">
        <v>2387</v>
      </c>
      <c r="H1059" s="60">
        <v>0</v>
      </c>
      <c r="I1059" s="60">
        <v>0</v>
      </c>
      <c r="J1059" s="60">
        <v>0</v>
      </c>
      <c r="K1059" s="60">
        <v>0</v>
      </c>
      <c r="L1059" s="60">
        <v>0</v>
      </c>
      <c r="M1059" s="60">
        <v>0</v>
      </c>
      <c r="N1059" s="60">
        <v>0</v>
      </c>
      <c r="O1059" s="60">
        <v>0</v>
      </c>
      <c r="P1059" s="60">
        <v>0</v>
      </c>
      <c r="Q1059" s="60">
        <v>0</v>
      </c>
      <c r="R1059" s="60">
        <v>0</v>
      </c>
      <c r="S1059" s="60">
        <v>0</v>
      </c>
      <c r="T1059" s="60">
        <v>0</v>
      </c>
      <c r="U1059" s="60">
        <v>0</v>
      </c>
      <c r="V1059" s="60">
        <v>0</v>
      </c>
      <c r="W1059" s="60">
        <v>0</v>
      </c>
      <c r="X1059" s="60">
        <v>0</v>
      </c>
      <c r="Y1059" s="60">
        <v>0</v>
      </c>
      <c r="Z1059" s="60">
        <v>0</v>
      </c>
      <c r="AA1059" s="60">
        <v>0</v>
      </c>
      <c r="AB1059" s="60">
        <v>0</v>
      </c>
      <c r="AC1059" s="60">
        <v>252.89</v>
      </c>
      <c r="AD1059" s="60">
        <v>271.41000000000003</v>
      </c>
      <c r="AE1059" s="60">
        <v>337.53</v>
      </c>
      <c r="AF1059" s="60">
        <v>0</v>
      </c>
      <c r="AG1059" s="60">
        <v>0</v>
      </c>
      <c r="AH1059" s="60">
        <v>0</v>
      </c>
      <c r="AI1059" s="60">
        <v>252.89</v>
      </c>
      <c r="AJ1059" s="60">
        <v>271.41000000000003</v>
      </c>
      <c r="AK1059" s="60">
        <v>337.53</v>
      </c>
      <c r="AL1059" s="60">
        <v>0</v>
      </c>
      <c r="AM1059" s="60">
        <v>0</v>
      </c>
      <c r="AN1059" s="60">
        <v>0</v>
      </c>
      <c r="AO1059" s="60">
        <v>252.89</v>
      </c>
      <c r="AP1059" s="60">
        <v>271.41000000000003</v>
      </c>
      <c r="AQ1059" s="60">
        <v>337.53</v>
      </c>
      <c r="AR1059" s="61">
        <v>337.53</v>
      </c>
    </row>
    <row r="1060" spans="1:44" x14ac:dyDescent="0.35">
      <c r="A1060" s="49" t="str">
        <f t="shared" si="91"/>
        <v>38</v>
      </c>
      <c r="B1060" s="27">
        <v>68478</v>
      </c>
      <c r="C1060" s="25" t="str">
        <f>TEXT(101774,"0000000")</f>
        <v>0101774</v>
      </c>
      <c r="D1060" s="26" t="s">
        <v>2391</v>
      </c>
      <c r="E1060" s="25" t="s">
        <v>2389</v>
      </c>
      <c r="F1060" s="25" t="s">
        <v>5</v>
      </c>
      <c r="G1060" s="59" t="s">
        <v>2390</v>
      </c>
      <c r="H1060" s="60">
        <v>0</v>
      </c>
      <c r="I1060" s="60">
        <v>0</v>
      </c>
      <c r="J1060" s="60">
        <v>0</v>
      </c>
      <c r="K1060" s="60">
        <v>0</v>
      </c>
      <c r="L1060" s="60">
        <v>0</v>
      </c>
      <c r="M1060" s="60">
        <v>0</v>
      </c>
      <c r="N1060" s="60">
        <v>0</v>
      </c>
      <c r="O1060" s="60">
        <v>0</v>
      </c>
      <c r="P1060" s="60">
        <v>0</v>
      </c>
      <c r="Q1060" s="60">
        <v>0</v>
      </c>
      <c r="R1060" s="60">
        <v>0</v>
      </c>
      <c r="S1060" s="60">
        <v>0</v>
      </c>
      <c r="T1060" s="60">
        <v>0</v>
      </c>
      <c r="U1060" s="60">
        <v>0</v>
      </c>
      <c r="V1060" s="60">
        <v>0</v>
      </c>
      <c r="W1060" s="60">
        <v>0</v>
      </c>
      <c r="X1060" s="60">
        <v>0</v>
      </c>
      <c r="Y1060" s="60">
        <v>0</v>
      </c>
      <c r="Z1060" s="60">
        <v>0</v>
      </c>
      <c r="AA1060" s="60">
        <v>0</v>
      </c>
      <c r="AB1060" s="60">
        <v>0</v>
      </c>
      <c r="AC1060" s="60">
        <v>91.82</v>
      </c>
      <c r="AD1060" s="60">
        <v>74.400000000000006</v>
      </c>
      <c r="AE1060" s="60">
        <v>245.13</v>
      </c>
      <c r="AF1060" s="60">
        <v>0</v>
      </c>
      <c r="AG1060" s="60">
        <v>0</v>
      </c>
      <c r="AH1060" s="60">
        <v>0</v>
      </c>
      <c r="AI1060" s="60">
        <v>91.82</v>
      </c>
      <c r="AJ1060" s="60">
        <v>74.400000000000006</v>
      </c>
      <c r="AK1060" s="60">
        <v>245.13</v>
      </c>
      <c r="AL1060" s="60">
        <v>0</v>
      </c>
      <c r="AM1060" s="60">
        <v>0</v>
      </c>
      <c r="AN1060" s="60">
        <v>0</v>
      </c>
      <c r="AO1060" s="60">
        <v>91.82</v>
      </c>
      <c r="AP1060" s="60">
        <v>74.400000000000006</v>
      </c>
      <c r="AQ1060" s="60">
        <v>245.13</v>
      </c>
      <c r="AR1060" s="61">
        <v>245.13</v>
      </c>
    </row>
    <row r="1061" spans="1:44" x14ac:dyDescent="0.35">
      <c r="A1061" s="49" t="str">
        <f t="shared" si="91"/>
        <v>38</v>
      </c>
      <c r="B1061" s="27">
        <v>68478</v>
      </c>
      <c r="C1061" s="25" t="str">
        <f>TEXT(107300,"0000000")</f>
        <v>0107300</v>
      </c>
      <c r="D1061" s="26" t="s">
        <v>2394</v>
      </c>
      <c r="E1061" s="25" t="s">
        <v>2392</v>
      </c>
      <c r="F1061" s="25" t="s">
        <v>5</v>
      </c>
      <c r="G1061" s="59" t="s">
        <v>2393</v>
      </c>
      <c r="H1061" s="60">
        <v>0</v>
      </c>
      <c r="I1061" s="60">
        <v>0</v>
      </c>
      <c r="J1061" s="60">
        <v>0</v>
      </c>
      <c r="K1061" s="60">
        <v>0</v>
      </c>
      <c r="L1061" s="60">
        <v>0</v>
      </c>
      <c r="M1061" s="60">
        <v>0</v>
      </c>
      <c r="N1061" s="60">
        <v>0</v>
      </c>
      <c r="O1061" s="60">
        <v>0</v>
      </c>
      <c r="P1061" s="60">
        <v>0</v>
      </c>
      <c r="Q1061" s="60">
        <v>0</v>
      </c>
      <c r="R1061" s="60">
        <v>0</v>
      </c>
      <c r="S1061" s="60">
        <v>0</v>
      </c>
      <c r="T1061" s="60">
        <v>0</v>
      </c>
      <c r="U1061" s="60">
        <v>0</v>
      </c>
      <c r="V1061" s="60">
        <v>0</v>
      </c>
      <c r="W1061" s="60">
        <v>0</v>
      </c>
      <c r="X1061" s="60">
        <v>0</v>
      </c>
      <c r="Y1061" s="60">
        <v>0</v>
      </c>
      <c r="Z1061" s="60">
        <v>0</v>
      </c>
      <c r="AA1061" s="60">
        <v>0</v>
      </c>
      <c r="AB1061" s="60">
        <v>0</v>
      </c>
      <c r="AC1061" s="60">
        <v>411.93</v>
      </c>
      <c r="AD1061" s="60">
        <v>198.79</v>
      </c>
      <c r="AE1061" s="60">
        <v>237.35</v>
      </c>
      <c r="AF1061" s="60">
        <v>0</v>
      </c>
      <c r="AG1061" s="60">
        <v>0</v>
      </c>
      <c r="AH1061" s="60">
        <v>0</v>
      </c>
      <c r="AI1061" s="60">
        <v>411.93</v>
      </c>
      <c r="AJ1061" s="60">
        <v>198.79</v>
      </c>
      <c r="AK1061" s="60">
        <v>237.35</v>
      </c>
      <c r="AL1061" s="60">
        <v>0</v>
      </c>
      <c r="AM1061" s="60">
        <v>0</v>
      </c>
      <c r="AN1061" s="60">
        <v>0</v>
      </c>
      <c r="AO1061" s="60">
        <v>411.93</v>
      </c>
      <c r="AP1061" s="60">
        <v>198.79</v>
      </c>
      <c r="AQ1061" s="60">
        <v>237.35</v>
      </c>
      <c r="AR1061" s="61">
        <v>411.93</v>
      </c>
    </row>
    <row r="1062" spans="1:44" x14ac:dyDescent="0.35">
      <c r="A1062" s="49" t="str">
        <f t="shared" si="91"/>
        <v>38</v>
      </c>
      <c r="B1062" s="27">
        <v>68478</v>
      </c>
      <c r="C1062" s="25" t="str">
        <f>TEXT(118141,"0000000")</f>
        <v>0118141</v>
      </c>
      <c r="D1062" s="27">
        <v>1028</v>
      </c>
      <c r="E1062" s="25" t="s">
        <v>2395</v>
      </c>
      <c r="F1062" s="25" t="s">
        <v>5</v>
      </c>
      <c r="G1062" s="59" t="s">
        <v>2396</v>
      </c>
      <c r="H1062" s="60">
        <v>0</v>
      </c>
      <c r="I1062" s="60">
        <v>0</v>
      </c>
      <c r="J1062" s="60">
        <v>0</v>
      </c>
      <c r="K1062" s="60">
        <v>0</v>
      </c>
      <c r="L1062" s="60">
        <v>0</v>
      </c>
      <c r="M1062" s="60">
        <v>0</v>
      </c>
      <c r="N1062" s="60">
        <v>0</v>
      </c>
      <c r="O1062" s="60">
        <v>0</v>
      </c>
      <c r="P1062" s="60">
        <v>0</v>
      </c>
      <c r="Q1062" s="60">
        <v>0</v>
      </c>
      <c r="R1062" s="60">
        <v>0</v>
      </c>
      <c r="S1062" s="60">
        <v>0</v>
      </c>
      <c r="T1062" s="60">
        <v>0</v>
      </c>
      <c r="U1062" s="60">
        <v>0</v>
      </c>
      <c r="V1062" s="60">
        <v>0</v>
      </c>
      <c r="W1062" s="60">
        <v>0</v>
      </c>
      <c r="X1062" s="60">
        <v>0</v>
      </c>
      <c r="Y1062" s="60">
        <v>0</v>
      </c>
      <c r="Z1062" s="60">
        <v>0</v>
      </c>
      <c r="AA1062" s="60">
        <v>0</v>
      </c>
      <c r="AB1062" s="60">
        <v>0</v>
      </c>
      <c r="AC1062" s="60">
        <v>1890.82</v>
      </c>
      <c r="AD1062" s="60">
        <v>1709.25</v>
      </c>
      <c r="AE1062" s="60">
        <v>2981.9</v>
      </c>
      <c r="AF1062" s="60">
        <v>0</v>
      </c>
      <c r="AG1062" s="60">
        <v>0</v>
      </c>
      <c r="AH1062" s="60">
        <v>0</v>
      </c>
      <c r="AI1062" s="60">
        <v>1890.82</v>
      </c>
      <c r="AJ1062" s="60">
        <v>1709.25</v>
      </c>
      <c r="AK1062" s="60">
        <v>2981.9</v>
      </c>
      <c r="AL1062" s="60">
        <v>0</v>
      </c>
      <c r="AM1062" s="60">
        <v>0</v>
      </c>
      <c r="AN1062" s="60">
        <v>0</v>
      </c>
      <c r="AO1062" s="60">
        <v>1890.82</v>
      </c>
      <c r="AP1062" s="60">
        <v>1709.25</v>
      </c>
      <c r="AQ1062" s="60">
        <v>2981.9</v>
      </c>
      <c r="AR1062" s="61">
        <v>2981.9</v>
      </c>
    </row>
    <row r="1063" spans="1:44" x14ac:dyDescent="0.35">
      <c r="A1063" s="49" t="str">
        <f t="shared" si="91"/>
        <v>38</v>
      </c>
      <c r="B1063" s="27">
        <v>68478</v>
      </c>
      <c r="C1063" s="25" t="str">
        <f>TEXT(123505,"0000000")</f>
        <v>0123505</v>
      </c>
      <c r="D1063" s="27">
        <v>1270</v>
      </c>
      <c r="E1063" s="25" t="s">
        <v>2397</v>
      </c>
      <c r="F1063" s="25" t="s">
        <v>5</v>
      </c>
      <c r="G1063" s="59" t="s">
        <v>2398</v>
      </c>
      <c r="H1063" s="60">
        <v>0</v>
      </c>
      <c r="I1063" s="60">
        <v>0</v>
      </c>
      <c r="J1063" s="60">
        <v>0</v>
      </c>
      <c r="K1063" s="60">
        <v>0</v>
      </c>
      <c r="L1063" s="60">
        <v>0</v>
      </c>
      <c r="M1063" s="60">
        <v>0</v>
      </c>
      <c r="N1063" s="60">
        <v>0</v>
      </c>
      <c r="O1063" s="60">
        <v>0</v>
      </c>
      <c r="P1063" s="60">
        <v>0</v>
      </c>
      <c r="Q1063" s="60">
        <v>0</v>
      </c>
      <c r="R1063" s="60">
        <v>0</v>
      </c>
      <c r="S1063" s="60">
        <v>0</v>
      </c>
      <c r="T1063" s="60">
        <v>0</v>
      </c>
      <c r="U1063" s="60">
        <v>0</v>
      </c>
      <c r="V1063" s="60">
        <v>0</v>
      </c>
      <c r="W1063" s="60">
        <v>0</v>
      </c>
      <c r="X1063" s="60">
        <v>0</v>
      </c>
      <c r="Y1063" s="60">
        <v>0</v>
      </c>
      <c r="Z1063" s="60">
        <v>0</v>
      </c>
      <c r="AA1063" s="60">
        <v>0</v>
      </c>
      <c r="AB1063" s="60">
        <v>0</v>
      </c>
      <c r="AC1063" s="60">
        <v>435.48</v>
      </c>
      <c r="AD1063" s="60">
        <v>420.26</v>
      </c>
      <c r="AE1063" s="60">
        <v>410.24</v>
      </c>
      <c r="AF1063" s="60">
        <v>0</v>
      </c>
      <c r="AG1063" s="60">
        <v>0</v>
      </c>
      <c r="AH1063" s="60">
        <v>0</v>
      </c>
      <c r="AI1063" s="60">
        <v>435.48</v>
      </c>
      <c r="AJ1063" s="60">
        <v>420.26</v>
      </c>
      <c r="AK1063" s="60">
        <v>410.24</v>
      </c>
      <c r="AL1063" s="60">
        <v>0</v>
      </c>
      <c r="AM1063" s="60">
        <v>0</v>
      </c>
      <c r="AN1063" s="60">
        <v>0</v>
      </c>
      <c r="AO1063" s="60">
        <v>435.48</v>
      </c>
      <c r="AP1063" s="60">
        <v>420.26</v>
      </c>
      <c r="AQ1063" s="60">
        <v>410.24</v>
      </c>
      <c r="AR1063" s="61">
        <v>435.48</v>
      </c>
    </row>
    <row r="1064" spans="1:44" x14ac:dyDescent="0.35">
      <c r="A1064" s="49" t="str">
        <f t="shared" si="91"/>
        <v>38</v>
      </c>
      <c r="B1064" s="27">
        <v>68478</v>
      </c>
      <c r="C1064" s="25" t="str">
        <f>TEXT(127530,"0000000")</f>
        <v>0127530</v>
      </c>
      <c r="D1064" s="27">
        <v>1502</v>
      </c>
      <c r="E1064" s="25" t="s">
        <v>2399</v>
      </c>
      <c r="F1064" s="25" t="s">
        <v>5</v>
      </c>
      <c r="G1064" s="59" t="s">
        <v>2400</v>
      </c>
      <c r="H1064" s="60">
        <v>0</v>
      </c>
      <c r="I1064" s="60">
        <v>0</v>
      </c>
      <c r="J1064" s="60">
        <v>0</v>
      </c>
      <c r="K1064" s="60">
        <v>0</v>
      </c>
      <c r="L1064" s="60">
        <v>0</v>
      </c>
      <c r="M1064" s="60">
        <v>0</v>
      </c>
      <c r="N1064" s="60">
        <v>0</v>
      </c>
      <c r="O1064" s="60">
        <v>0</v>
      </c>
      <c r="P1064" s="60">
        <v>0</v>
      </c>
      <c r="Q1064" s="60">
        <v>0</v>
      </c>
      <c r="R1064" s="60">
        <v>0</v>
      </c>
      <c r="S1064" s="60">
        <v>0</v>
      </c>
      <c r="T1064" s="60">
        <v>0</v>
      </c>
      <c r="U1064" s="60">
        <v>0</v>
      </c>
      <c r="V1064" s="60">
        <v>0</v>
      </c>
      <c r="W1064" s="60">
        <v>0</v>
      </c>
      <c r="X1064" s="60">
        <v>0</v>
      </c>
      <c r="Y1064" s="60">
        <v>0</v>
      </c>
      <c r="Z1064" s="60">
        <v>0</v>
      </c>
      <c r="AA1064" s="60">
        <v>0</v>
      </c>
      <c r="AB1064" s="60">
        <v>0</v>
      </c>
      <c r="AC1064" s="60">
        <v>280.23</v>
      </c>
      <c r="AD1064" s="60">
        <v>335.48</v>
      </c>
      <c r="AE1064" s="60">
        <v>351.86</v>
      </c>
      <c r="AF1064" s="60">
        <v>0</v>
      </c>
      <c r="AG1064" s="60">
        <v>0</v>
      </c>
      <c r="AH1064" s="60">
        <v>0</v>
      </c>
      <c r="AI1064" s="60">
        <v>280.23</v>
      </c>
      <c r="AJ1064" s="60">
        <v>335.48</v>
      </c>
      <c r="AK1064" s="60">
        <v>351.86</v>
      </c>
      <c r="AL1064" s="60">
        <v>0</v>
      </c>
      <c r="AM1064" s="60">
        <v>0</v>
      </c>
      <c r="AN1064" s="60">
        <v>0</v>
      </c>
      <c r="AO1064" s="60">
        <v>280.23</v>
      </c>
      <c r="AP1064" s="60">
        <v>335.48</v>
      </c>
      <c r="AQ1064" s="60">
        <v>351.86</v>
      </c>
      <c r="AR1064" s="61">
        <v>351.86</v>
      </c>
    </row>
    <row r="1065" spans="1:44" x14ac:dyDescent="0.35">
      <c r="A1065" s="49" t="str">
        <f t="shared" si="91"/>
        <v>38</v>
      </c>
      <c r="B1065" s="27">
        <v>68478</v>
      </c>
      <c r="C1065" s="25" t="str">
        <f>TEXT(6040935,"0000000")</f>
        <v>6040935</v>
      </c>
      <c r="D1065" s="26" t="s">
        <v>2403</v>
      </c>
      <c r="E1065" s="25" t="s">
        <v>2401</v>
      </c>
      <c r="F1065" s="25" t="s">
        <v>5</v>
      </c>
      <c r="G1065" s="59" t="s">
        <v>2402</v>
      </c>
      <c r="H1065" s="60">
        <v>0</v>
      </c>
      <c r="I1065" s="60">
        <v>0</v>
      </c>
      <c r="J1065" s="60">
        <v>0</v>
      </c>
      <c r="K1065" s="60">
        <v>0</v>
      </c>
      <c r="L1065" s="60">
        <v>0</v>
      </c>
      <c r="M1065" s="60">
        <v>0</v>
      </c>
      <c r="N1065" s="60">
        <v>0</v>
      </c>
      <c r="O1065" s="60">
        <v>0</v>
      </c>
      <c r="P1065" s="60">
        <v>0</v>
      </c>
      <c r="Q1065" s="60">
        <v>0</v>
      </c>
      <c r="R1065" s="60">
        <v>0</v>
      </c>
      <c r="S1065" s="60">
        <v>0</v>
      </c>
      <c r="T1065" s="60">
        <v>0</v>
      </c>
      <c r="U1065" s="60">
        <v>0</v>
      </c>
      <c r="V1065" s="60">
        <v>0</v>
      </c>
      <c r="W1065" s="60">
        <v>0</v>
      </c>
      <c r="X1065" s="60">
        <v>0</v>
      </c>
      <c r="Y1065" s="60">
        <v>0</v>
      </c>
      <c r="Z1065" s="60">
        <v>0</v>
      </c>
      <c r="AA1065" s="60">
        <v>0</v>
      </c>
      <c r="AB1065" s="60">
        <v>0</v>
      </c>
      <c r="AC1065" s="60">
        <v>529</v>
      </c>
      <c r="AD1065" s="60">
        <v>565.61</v>
      </c>
      <c r="AE1065" s="60">
        <v>689.46</v>
      </c>
      <c r="AF1065" s="60">
        <v>0</v>
      </c>
      <c r="AG1065" s="60">
        <v>0</v>
      </c>
      <c r="AH1065" s="60">
        <v>0</v>
      </c>
      <c r="AI1065" s="60">
        <v>529</v>
      </c>
      <c r="AJ1065" s="60">
        <v>565.61</v>
      </c>
      <c r="AK1065" s="60">
        <v>689.46</v>
      </c>
      <c r="AL1065" s="60">
        <v>0</v>
      </c>
      <c r="AM1065" s="60">
        <v>0</v>
      </c>
      <c r="AN1065" s="60">
        <v>0</v>
      </c>
      <c r="AO1065" s="60">
        <v>529</v>
      </c>
      <c r="AP1065" s="60">
        <v>565.61</v>
      </c>
      <c r="AQ1065" s="60">
        <v>689.46</v>
      </c>
      <c r="AR1065" s="61">
        <v>689.46</v>
      </c>
    </row>
    <row r="1066" spans="1:44" x14ac:dyDescent="0.35">
      <c r="A1066" s="49" t="str">
        <f t="shared" si="91"/>
        <v>38</v>
      </c>
      <c r="B1066" s="27">
        <v>76927</v>
      </c>
      <c r="C1066" s="25" t="str">
        <f>TEXT(132183,"0000000")</f>
        <v>0132183</v>
      </c>
      <c r="D1066" s="27">
        <v>1742</v>
      </c>
      <c r="E1066" s="25" t="s">
        <v>2404</v>
      </c>
      <c r="F1066" s="25" t="s">
        <v>5</v>
      </c>
      <c r="G1066" s="59" t="s">
        <v>2405</v>
      </c>
      <c r="H1066" s="60">
        <v>0</v>
      </c>
      <c r="I1066" s="60">
        <v>0</v>
      </c>
      <c r="J1066" s="60">
        <v>0</v>
      </c>
      <c r="K1066" s="60">
        <v>0</v>
      </c>
      <c r="L1066" s="60">
        <v>0</v>
      </c>
      <c r="M1066" s="60">
        <v>0</v>
      </c>
      <c r="N1066" s="60">
        <v>0</v>
      </c>
      <c r="O1066" s="60">
        <v>0</v>
      </c>
      <c r="P1066" s="60">
        <v>0</v>
      </c>
      <c r="Q1066" s="60">
        <v>0</v>
      </c>
      <c r="R1066" s="60">
        <v>0</v>
      </c>
      <c r="S1066" s="60">
        <v>0</v>
      </c>
      <c r="T1066" s="60">
        <v>0</v>
      </c>
      <c r="U1066" s="60">
        <v>0</v>
      </c>
      <c r="V1066" s="60">
        <v>0</v>
      </c>
      <c r="W1066" s="60">
        <v>0</v>
      </c>
      <c r="X1066" s="60">
        <v>0</v>
      </c>
      <c r="Y1066" s="60">
        <v>0</v>
      </c>
      <c r="Z1066" s="60">
        <v>0</v>
      </c>
      <c r="AA1066" s="60">
        <v>0</v>
      </c>
      <c r="AB1066" s="60">
        <v>0</v>
      </c>
      <c r="AC1066" s="60">
        <v>404.03</v>
      </c>
      <c r="AD1066" s="60">
        <v>366.06</v>
      </c>
      <c r="AE1066" s="60">
        <v>331.8</v>
      </c>
      <c r="AF1066" s="60">
        <v>0</v>
      </c>
      <c r="AG1066" s="60">
        <v>0</v>
      </c>
      <c r="AH1066" s="60">
        <v>0</v>
      </c>
      <c r="AI1066" s="60">
        <v>404.03</v>
      </c>
      <c r="AJ1066" s="60">
        <v>366.06</v>
      </c>
      <c r="AK1066" s="60">
        <v>331.8</v>
      </c>
      <c r="AL1066" s="60">
        <v>0</v>
      </c>
      <c r="AM1066" s="60">
        <v>0</v>
      </c>
      <c r="AN1066" s="60">
        <v>0</v>
      </c>
      <c r="AO1066" s="60">
        <v>404.03</v>
      </c>
      <c r="AP1066" s="60">
        <v>366.06</v>
      </c>
      <c r="AQ1066" s="60">
        <v>331.8</v>
      </c>
      <c r="AR1066" s="61">
        <v>404.03</v>
      </c>
    </row>
    <row r="1067" spans="1:44" x14ac:dyDescent="0.35">
      <c r="A1067" s="49" t="str">
        <f t="shared" si="91"/>
        <v>38</v>
      </c>
      <c r="B1067" s="27">
        <v>77131</v>
      </c>
      <c r="C1067" s="25" t="str">
        <f>TEXT(137307,"0000000")</f>
        <v>0137307</v>
      </c>
      <c r="D1067" s="27">
        <v>1954</v>
      </c>
      <c r="E1067" s="25" t="s">
        <v>2406</v>
      </c>
      <c r="F1067" s="25" t="s">
        <v>5</v>
      </c>
      <c r="G1067" s="59" t="s">
        <v>2407</v>
      </c>
      <c r="H1067" s="60">
        <v>0</v>
      </c>
      <c r="I1067" s="60">
        <v>0</v>
      </c>
      <c r="J1067" s="60">
        <v>0</v>
      </c>
      <c r="K1067" s="60">
        <v>0</v>
      </c>
      <c r="L1067" s="60">
        <v>0</v>
      </c>
      <c r="M1067" s="60">
        <v>0</v>
      </c>
      <c r="N1067" s="60">
        <v>0</v>
      </c>
      <c r="O1067" s="60">
        <v>0</v>
      </c>
      <c r="P1067" s="60">
        <v>0</v>
      </c>
      <c r="Q1067" s="60">
        <v>0</v>
      </c>
      <c r="R1067" s="60">
        <v>0</v>
      </c>
      <c r="S1067" s="60">
        <v>0</v>
      </c>
      <c r="T1067" s="60">
        <v>0</v>
      </c>
      <c r="U1067" s="60">
        <v>0</v>
      </c>
      <c r="V1067" s="60">
        <v>0</v>
      </c>
      <c r="W1067" s="60">
        <v>0</v>
      </c>
      <c r="X1067" s="60">
        <v>0</v>
      </c>
      <c r="Y1067" s="60">
        <v>0</v>
      </c>
      <c r="Z1067" s="60">
        <v>0</v>
      </c>
      <c r="AA1067" s="60">
        <v>0</v>
      </c>
      <c r="AB1067" s="60">
        <v>0</v>
      </c>
      <c r="AC1067" s="60">
        <v>132.08000000000001</v>
      </c>
      <c r="AD1067" s="60">
        <v>136.43</v>
      </c>
      <c r="AE1067" s="60">
        <v>136.5</v>
      </c>
      <c r="AF1067" s="60">
        <v>0</v>
      </c>
      <c r="AG1067" s="60">
        <v>0</v>
      </c>
      <c r="AH1067" s="60">
        <v>0</v>
      </c>
      <c r="AI1067" s="60">
        <v>132.08000000000001</v>
      </c>
      <c r="AJ1067" s="60">
        <v>136.43</v>
      </c>
      <c r="AK1067" s="60">
        <v>136.5</v>
      </c>
      <c r="AL1067" s="60">
        <v>0</v>
      </c>
      <c r="AM1067" s="60">
        <v>0</v>
      </c>
      <c r="AN1067" s="60">
        <v>0</v>
      </c>
      <c r="AO1067" s="60">
        <v>132.08000000000001</v>
      </c>
      <c r="AP1067" s="60">
        <v>136.43</v>
      </c>
      <c r="AQ1067" s="60">
        <v>136.5</v>
      </c>
      <c r="AR1067" s="61">
        <v>136.5</v>
      </c>
    </row>
    <row r="1068" spans="1:44" ht="31" x14ac:dyDescent="0.35">
      <c r="A1068" s="49" t="str">
        <f>TEXT(1,"00")</f>
        <v>01</v>
      </c>
      <c r="B1068" s="27">
        <v>61259</v>
      </c>
      <c r="C1068" s="25" t="str">
        <f>TEXT(130666,"0000000")</f>
        <v>0130666</v>
      </c>
      <c r="D1068" s="26" t="s">
        <v>126</v>
      </c>
      <c r="E1068" s="25" t="s">
        <v>124</v>
      </c>
      <c r="F1068" s="25" t="s">
        <v>5</v>
      </c>
      <c r="G1068" s="59" t="s">
        <v>125</v>
      </c>
      <c r="H1068" s="60">
        <v>0</v>
      </c>
      <c r="I1068" s="60">
        <v>0</v>
      </c>
      <c r="J1068" s="60">
        <v>0</v>
      </c>
      <c r="K1068" s="60">
        <v>0</v>
      </c>
      <c r="L1068" s="60">
        <v>0</v>
      </c>
      <c r="M1068" s="60">
        <v>0</v>
      </c>
      <c r="N1068" s="60">
        <v>0</v>
      </c>
      <c r="O1068" s="60">
        <v>0</v>
      </c>
      <c r="P1068" s="60">
        <v>0</v>
      </c>
      <c r="Q1068" s="60">
        <v>0</v>
      </c>
      <c r="R1068" s="60">
        <v>0</v>
      </c>
      <c r="S1068" s="60">
        <v>0</v>
      </c>
      <c r="T1068" s="60">
        <v>0</v>
      </c>
      <c r="U1068" s="60">
        <v>0</v>
      </c>
      <c r="V1068" s="60">
        <v>0</v>
      </c>
      <c r="W1068" s="60">
        <v>0</v>
      </c>
      <c r="X1068" s="60">
        <v>0</v>
      </c>
      <c r="Y1068" s="60">
        <v>0</v>
      </c>
      <c r="Z1068" s="60">
        <v>0</v>
      </c>
      <c r="AA1068" s="60">
        <v>0</v>
      </c>
      <c r="AB1068" s="60">
        <v>0</v>
      </c>
      <c r="AC1068" s="60">
        <v>411.21</v>
      </c>
      <c r="AD1068" s="60">
        <v>440.15</v>
      </c>
      <c r="AE1068" s="60">
        <v>508.64</v>
      </c>
      <c r="AF1068" s="60">
        <v>0</v>
      </c>
      <c r="AG1068" s="60">
        <v>0</v>
      </c>
      <c r="AH1068" s="60">
        <v>0</v>
      </c>
      <c r="AI1068" s="60">
        <v>411.21</v>
      </c>
      <c r="AJ1068" s="60">
        <v>440.15</v>
      </c>
      <c r="AK1068" s="60">
        <v>508.64</v>
      </c>
      <c r="AL1068" s="60">
        <v>0</v>
      </c>
      <c r="AM1068" s="60">
        <v>0</v>
      </c>
      <c r="AN1068" s="60">
        <v>0</v>
      </c>
      <c r="AO1068" s="60">
        <v>411.21</v>
      </c>
      <c r="AP1068" s="60">
        <v>440.15</v>
      </c>
      <c r="AQ1068" s="60">
        <v>508.64</v>
      </c>
      <c r="AR1068" s="61">
        <v>508.64</v>
      </c>
    </row>
    <row r="1069" spans="1:44" x14ac:dyDescent="0.35">
      <c r="A1069" s="49" t="str">
        <f t="shared" ref="A1069:A1078" si="92">TEXT(39,"00")</f>
        <v>39</v>
      </c>
      <c r="B1069" s="27">
        <v>10397</v>
      </c>
      <c r="C1069" s="25" t="str">
        <f>TEXT(124958,"0000000")</f>
        <v>0124958</v>
      </c>
      <c r="D1069" s="27">
        <v>1360</v>
      </c>
      <c r="E1069" s="25" t="s">
        <v>2410</v>
      </c>
      <c r="F1069" s="25" t="s">
        <v>5</v>
      </c>
      <c r="G1069" s="59" t="s">
        <v>2411</v>
      </c>
      <c r="H1069" s="60">
        <v>0</v>
      </c>
      <c r="I1069" s="60">
        <v>0</v>
      </c>
      <c r="J1069" s="60">
        <v>0</v>
      </c>
      <c r="K1069" s="60">
        <v>0</v>
      </c>
      <c r="L1069" s="60">
        <v>0</v>
      </c>
      <c r="M1069" s="60">
        <v>0</v>
      </c>
      <c r="N1069" s="60">
        <v>0</v>
      </c>
      <c r="O1069" s="60">
        <v>0</v>
      </c>
      <c r="P1069" s="60">
        <v>0</v>
      </c>
      <c r="Q1069" s="60">
        <v>0</v>
      </c>
      <c r="R1069" s="60">
        <v>0</v>
      </c>
      <c r="S1069" s="60">
        <v>0</v>
      </c>
      <c r="T1069" s="60">
        <v>0</v>
      </c>
      <c r="U1069" s="60">
        <v>0</v>
      </c>
      <c r="V1069" s="60">
        <v>0</v>
      </c>
      <c r="W1069" s="60">
        <v>0</v>
      </c>
      <c r="X1069" s="60">
        <v>0</v>
      </c>
      <c r="Y1069" s="60">
        <v>0</v>
      </c>
      <c r="Z1069" s="60">
        <v>0</v>
      </c>
      <c r="AA1069" s="60">
        <v>0</v>
      </c>
      <c r="AB1069" s="60">
        <v>0</v>
      </c>
      <c r="AC1069" s="60">
        <v>478.83</v>
      </c>
      <c r="AD1069" s="60">
        <v>0</v>
      </c>
      <c r="AE1069" s="60">
        <v>0</v>
      </c>
      <c r="AF1069" s="60">
        <v>0</v>
      </c>
      <c r="AG1069" s="60">
        <v>0</v>
      </c>
      <c r="AH1069" s="60">
        <v>0</v>
      </c>
      <c r="AI1069" s="60">
        <v>478.83</v>
      </c>
      <c r="AJ1069" s="60">
        <v>0</v>
      </c>
      <c r="AK1069" s="60">
        <v>0</v>
      </c>
      <c r="AL1069" s="60">
        <v>0</v>
      </c>
      <c r="AM1069" s="60">
        <v>498.5</v>
      </c>
      <c r="AN1069" s="60">
        <v>683.12</v>
      </c>
      <c r="AO1069" s="60">
        <v>478.83</v>
      </c>
      <c r="AP1069" s="60">
        <v>498.5</v>
      </c>
      <c r="AQ1069" s="60">
        <v>683.12</v>
      </c>
      <c r="AR1069" s="61">
        <v>683.12</v>
      </c>
    </row>
    <row r="1070" spans="1:44" ht="31" x14ac:dyDescent="0.35">
      <c r="A1070" s="49" t="str">
        <f t="shared" si="92"/>
        <v>39</v>
      </c>
      <c r="B1070" s="27">
        <v>68585</v>
      </c>
      <c r="C1070" s="25" t="str">
        <f>TEXT(101956,"0000000")</f>
        <v>0101956</v>
      </c>
      <c r="D1070" s="26" t="s">
        <v>2423</v>
      </c>
      <c r="E1070" s="25" t="s">
        <v>2421</v>
      </c>
      <c r="F1070" s="25" t="s">
        <v>5</v>
      </c>
      <c r="G1070" s="59" t="s">
        <v>2422</v>
      </c>
      <c r="H1070" s="60">
        <v>0</v>
      </c>
      <c r="I1070" s="60">
        <v>0</v>
      </c>
      <c r="J1070" s="60">
        <v>0</v>
      </c>
      <c r="K1070" s="60">
        <v>0</v>
      </c>
      <c r="L1070" s="60">
        <v>0</v>
      </c>
      <c r="M1070" s="60">
        <v>0</v>
      </c>
      <c r="N1070" s="60">
        <v>0</v>
      </c>
      <c r="O1070" s="60">
        <v>0</v>
      </c>
      <c r="P1070" s="60">
        <v>0</v>
      </c>
      <c r="Q1070" s="60">
        <v>0</v>
      </c>
      <c r="R1070" s="60">
        <v>0</v>
      </c>
      <c r="S1070" s="60">
        <v>0</v>
      </c>
      <c r="T1070" s="60">
        <v>0</v>
      </c>
      <c r="U1070" s="60">
        <v>0</v>
      </c>
      <c r="V1070" s="60">
        <v>0</v>
      </c>
      <c r="W1070" s="60">
        <v>0</v>
      </c>
      <c r="X1070" s="60">
        <v>0</v>
      </c>
      <c r="Y1070" s="60">
        <v>0</v>
      </c>
      <c r="Z1070" s="60">
        <v>0</v>
      </c>
      <c r="AA1070" s="60">
        <v>0</v>
      </c>
      <c r="AB1070" s="60">
        <v>0</v>
      </c>
      <c r="AC1070" s="60">
        <v>639.33000000000004</v>
      </c>
      <c r="AD1070" s="60">
        <v>579.91999999999996</v>
      </c>
      <c r="AE1070" s="60">
        <v>537.6</v>
      </c>
      <c r="AF1070" s="60">
        <v>0</v>
      </c>
      <c r="AG1070" s="60">
        <v>0</v>
      </c>
      <c r="AH1070" s="60">
        <v>0</v>
      </c>
      <c r="AI1070" s="60">
        <v>639.33000000000004</v>
      </c>
      <c r="AJ1070" s="60">
        <v>579.91999999999996</v>
      </c>
      <c r="AK1070" s="60">
        <v>537.6</v>
      </c>
      <c r="AL1070" s="60">
        <v>0</v>
      </c>
      <c r="AM1070" s="60">
        <v>0</v>
      </c>
      <c r="AN1070" s="60">
        <v>0</v>
      </c>
      <c r="AO1070" s="60">
        <v>639.33000000000004</v>
      </c>
      <c r="AP1070" s="60">
        <v>579.91999999999996</v>
      </c>
      <c r="AQ1070" s="60">
        <v>537.6</v>
      </c>
      <c r="AR1070" s="61">
        <v>639.33000000000004</v>
      </c>
    </row>
    <row r="1071" spans="1:44" x14ac:dyDescent="0.35">
      <c r="A1071" s="49" t="str">
        <f t="shared" si="92"/>
        <v>39</v>
      </c>
      <c r="B1071" s="27">
        <v>68585</v>
      </c>
      <c r="C1071" s="25" t="str">
        <f>TEXT(133678,"0000000")</f>
        <v>0133678</v>
      </c>
      <c r="D1071" s="27">
        <v>1782</v>
      </c>
      <c r="E1071" s="25" t="s">
        <v>2426</v>
      </c>
      <c r="F1071" s="25" t="s">
        <v>5</v>
      </c>
      <c r="G1071" s="59" t="s">
        <v>2427</v>
      </c>
      <c r="H1071" s="60">
        <v>0</v>
      </c>
      <c r="I1071" s="60">
        <v>0</v>
      </c>
      <c r="J1071" s="60">
        <v>0</v>
      </c>
      <c r="K1071" s="60">
        <v>0</v>
      </c>
      <c r="L1071" s="60">
        <v>0</v>
      </c>
      <c r="M1071" s="60">
        <v>0</v>
      </c>
      <c r="N1071" s="60">
        <v>0</v>
      </c>
      <c r="O1071" s="60">
        <v>0</v>
      </c>
      <c r="P1071" s="60">
        <v>0</v>
      </c>
      <c r="Q1071" s="60">
        <v>0</v>
      </c>
      <c r="R1071" s="60">
        <v>0</v>
      </c>
      <c r="S1071" s="60">
        <v>0</v>
      </c>
      <c r="T1071" s="60">
        <v>0</v>
      </c>
      <c r="U1071" s="60">
        <v>0</v>
      </c>
      <c r="V1071" s="60">
        <v>0</v>
      </c>
      <c r="W1071" s="60">
        <v>0</v>
      </c>
      <c r="X1071" s="60">
        <v>0</v>
      </c>
      <c r="Y1071" s="60">
        <v>0</v>
      </c>
      <c r="Z1071" s="60">
        <v>0</v>
      </c>
      <c r="AA1071" s="60">
        <v>0</v>
      </c>
      <c r="AB1071" s="60">
        <v>0</v>
      </c>
      <c r="AC1071" s="60">
        <v>532.15</v>
      </c>
      <c r="AD1071" s="60">
        <v>517.03</v>
      </c>
      <c r="AE1071" s="60">
        <v>549.29</v>
      </c>
      <c r="AF1071" s="60">
        <v>0</v>
      </c>
      <c r="AG1071" s="60">
        <v>0</v>
      </c>
      <c r="AH1071" s="60">
        <v>0</v>
      </c>
      <c r="AI1071" s="60">
        <v>532.15</v>
      </c>
      <c r="AJ1071" s="60">
        <v>517.03</v>
      </c>
      <c r="AK1071" s="60">
        <v>549.29</v>
      </c>
      <c r="AL1071" s="60">
        <v>0</v>
      </c>
      <c r="AM1071" s="60">
        <v>0</v>
      </c>
      <c r="AN1071" s="60">
        <v>0</v>
      </c>
      <c r="AO1071" s="60">
        <v>532.15</v>
      </c>
      <c r="AP1071" s="60">
        <v>517.03</v>
      </c>
      <c r="AQ1071" s="60">
        <v>549.29</v>
      </c>
      <c r="AR1071" s="61">
        <v>549.29</v>
      </c>
    </row>
    <row r="1072" spans="1:44" x14ac:dyDescent="0.35">
      <c r="A1072" s="49" t="str">
        <f t="shared" si="92"/>
        <v>39</v>
      </c>
      <c r="B1072" s="27">
        <v>68585</v>
      </c>
      <c r="C1072" s="25" t="str">
        <f>TEXT(6116594,"0000000")</f>
        <v>6116594</v>
      </c>
      <c r="D1072" s="26" t="s">
        <v>2430</v>
      </c>
      <c r="E1072" s="25" t="s">
        <v>2428</v>
      </c>
      <c r="F1072" s="25" t="s">
        <v>5</v>
      </c>
      <c r="G1072" s="59" t="s">
        <v>2429</v>
      </c>
      <c r="H1072" s="60">
        <v>0</v>
      </c>
      <c r="I1072" s="60">
        <v>0</v>
      </c>
      <c r="J1072" s="60">
        <v>0</v>
      </c>
      <c r="K1072" s="60">
        <v>0</v>
      </c>
      <c r="L1072" s="60">
        <v>0</v>
      </c>
      <c r="M1072" s="60">
        <v>0</v>
      </c>
      <c r="N1072" s="60">
        <v>0</v>
      </c>
      <c r="O1072" s="60">
        <v>0</v>
      </c>
      <c r="P1072" s="60">
        <v>0</v>
      </c>
      <c r="Q1072" s="60">
        <v>0</v>
      </c>
      <c r="R1072" s="60">
        <v>0</v>
      </c>
      <c r="S1072" s="60">
        <v>0</v>
      </c>
      <c r="T1072" s="60">
        <v>0</v>
      </c>
      <c r="U1072" s="60">
        <v>0</v>
      </c>
      <c r="V1072" s="60">
        <v>0</v>
      </c>
      <c r="W1072" s="60">
        <v>0</v>
      </c>
      <c r="X1072" s="60">
        <v>0</v>
      </c>
      <c r="Y1072" s="60">
        <v>0</v>
      </c>
      <c r="Z1072" s="60">
        <v>0</v>
      </c>
      <c r="AA1072" s="60">
        <v>0</v>
      </c>
      <c r="AB1072" s="60">
        <v>0</v>
      </c>
      <c r="AC1072" s="60">
        <v>414.34</v>
      </c>
      <c r="AD1072" s="60">
        <v>404.21</v>
      </c>
      <c r="AE1072" s="60">
        <v>395.66</v>
      </c>
      <c r="AF1072" s="60">
        <v>0</v>
      </c>
      <c r="AG1072" s="60">
        <v>0</v>
      </c>
      <c r="AH1072" s="60">
        <v>0</v>
      </c>
      <c r="AI1072" s="60">
        <v>414.34</v>
      </c>
      <c r="AJ1072" s="60">
        <v>404.21</v>
      </c>
      <c r="AK1072" s="60">
        <v>395.66</v>
      </c>
      <c r="AL1072" s="60">
        <v>0</v>
      </c>
      <c r="AM1072" s="60">
        <v>0</v>
      </c>
      <c r="AN1072" s="60">
        <v>0</v>
      </c>
      <c r="AO1072" s="60">
        <v>414.34</v>
      </c>
      <c r="AP1072" s="60">
        <v>404.21</v>
      </c>
      <c r="AQ1072" s="60">
        <v>395.66</v>
      </c>
      <c r="AR1072" s="61">
        <v>414.34</v>
      </c>
    </row>
    <row r="1073" spans="1:44" x14ac:dyDescent="0.35">
      <c r="A1073" s="49" t="str">
        <f t="shared" si="92"/>
        <v>39</v>
      </c>
      <c r="B1073" s="27">
        <v>68585</v>
      </c>
      <c r="C1073" s="25" t="str">
        <f>TEXT(6118921,"0000000")</f>
        <v>6118921</v>
      </c>
      <c r="D1073" s="26" t="s">
        <v>2433</v>
      </c>
      <c r="E1073" s="25" t="s">
        <v>2431</v>
      </c>
      <c r="F1073" s="25" t="s">
        <v>5</v>
      </c>
      <c r="G1073" s="59" t="s">
        <v>2432</v>
      </c>
      <c r="H1073" s="60">
        <v>0</v>
      </c>
      <c r="I1073" s="60">
        <v>0</v>
      </c>
      <c r="J1073" s="60">
        <v>0</v>
      </c>
      <c r="K1073" s="60">
        <v>0</v>
      </c>
      <c r="L1073" s="60">
        <v>0</v>
      </c>
      <c r="M1073" s="60">
        <v>0</v>
      </c>
      <c r="N1073" s="60">
        <v>0</v>
      </c>
      <c r="O1073" s="60">
        <v>0</v>
      </c>
      <c r="P1073" s="60">
        <v>0</v>
      </c>
      <c r="Q1073" s="60">
        <v>0</v>
      </c>
      <c r="R1073" s="60">
        <v>0</v>
      </c>
      <c r="S1073" s="60">
        <v>0</v>
      </c>
      <c r="T1073" s="60">
        <v>0</v>
      </c>
      <c r="U1073" s="60">
        <v>0</v>
      </c>
      <c r="V1073" s="60">
        <v>0</v>
      </c>
      <c r="W1073" s="60">
        <v>0</v>
      </c>
      <c r="X1073" s="60">
        <v>0</v>
      </c>
      <c r="Y1073" s="60">
        <v>0</v>
      </c>
      <c r="Z1073" s="60">
        <v>0</v>
      </c>
      <c r="AA1073" s="60">
        <v>0</v>
      </c>
      <c r="AB1073" s="60">
        <v>0</v>
      </c>
      <c r="AC1073" s="60">
        <v>418.05</v>
      </c>
      <c r="AD1073" s="60">
        <v>406.06</v>
      </c>
      <c r="AE1073" s="60">
        <v>409.79</v>
      </c>
      <c r="AF1073" s="60">
        <v>0</v>
      </c>
      <c r="AG1073" s="60">
        <v>0</v>
      </c>
      <c r="AH1073" s="60">
        <v>0</v>
      </c>
      <c r="AI1073" s="60">
        <v>418.05</v>
      </c>
      <c r="AJ1073" s="60">
        <v>406.06</v>
      </c>
      <c r="AK1073" s="60">
        <v>409.79</v>
      </c>
      <c r="AL1073" s="60">
        <v>0</v>
      </c>
      <c r="AM1073" s="60">
        <v>0</v>
      </c>
      <c r="AN1073" s="60">
        <v>0</v>
      </c>
      <c r="AO1073" s="60">
        <v>418.05</v>
      </c>
      <c r="AP1073" s="60">
        <v>406.06</v>
      </c>
      <c r="AQ1073" s="60">
        <v>409.79</v>
      </c>
      <c r="AR1073" s="61">
        <v>418.05</v>
      </c>
    </row>
    <row r="1074" spans="1:44" x14ac:dyDescent="0.35">
      <c r="A1074" s="49" t="str">
        <f t="shared" si="92"/>
        <v>39</v>
      </c>
      <c r="B1074" s="27">
        <v>68627</v>
      </c>
      <c r="C1074" s="25" t="str">
        <f>TEXT(117796,"0000000")</f>
        <v>0117796</v>
      </c>
      <c r="D1074" s="27">
        <v>1003</v>
      </c>
      <c r="E1074" s="25" t="s">
        <v>2440</v>
      </c>
      <c r="F1074" s="25" t="s">
        <v>5</v>
      </c>
      <c r="G1074" s="59" t="s">
        <v>2441</v>
      </c>
      <c r="H1074" s="60">
        <v>0</v>
      </c>
      <c r="I1074" s="60">
        <v>0</v>
      </c>
      <c r="J1074" s="60">
        <v>0</v>
      </c>
      <c r="K1074" s="60">
        <v>0</v>
      </c>
      <c r="L1074" s="60">
        <v>0</v>
      </c>
      <c r="M1074" s="60">
        <v>0</v>
      </c>
      <c r="N1074" s="60">
        <v>0</v>
      </c>
      <c r="O1074" s="60">
        <v>0</v>
      </c>
      <c r="P1074" s="60">
        <v>0</v>
      </c>
      <c r="Q1074" s="60">
        <v>0</v>
      </c>
      <c r="R1074" s="60">
        <v>0</v>
      </c>
      <c r="S1074" s="60">
        <v>0</v>
      </c>
      <c r="T1074" s="60">
        <v>0</v>
      </c>
      <c r="U1074" s="60">
        <v>0</v>
      </c>
      <c r="V1074" s="60">
        <v>0</v>
      </c>
      <c r="W1074" s="60">
        <v>0</v>
      </c>
      <c r="X1074" s="60">
        <v>0</v>
      </c>
      <c r="Y1074" s="60">
        <v>0</v>
      </c>
      <c r="Z1074" s="60">
        <v>0</v>
      </c>
      <c r="AA1074" s="60">
        <v>0</v>
      </c>
      <c r="AB1074" s="60">
        <v>0</v>
      </c>
      <c r="AC1074" s="60">
        <v>219.1</v>
      </c>
      <c r="AD1074" s="60">
        <v>207.52</v>
      </c>
      <c r="AE1074" s="60">
        <v>222.59</v>
      </c>
      <c r="AF1074" s="60">
        <v>0</v>
      </c>
      <c r="AG1074" s="60">
        <v>0</v>
      </c>
      <c r="AH1074" s="60">
        <v>0</v>
      </c>
      <c r="AI1074" s="60">
        <v>219.1</v>
      </c>
      <c r="AJ1074" s="60">
        <v>207.52</v>
      </c>
      <c r="AK1074" s="60">
        <v>222.59</v>
      </c>
      <c r="AL1074" s="60">
        <v>0</v>
      </c>
      <c r="AM1074" s="60">
        <v>0</v>
      </c>
      <c r="AN1074" s="60">
        <v>0</v>
      </c>
      <c r="AO1074" s="60">
        <v>219.1</v>
      </c>
      <c r="AP1074" s="60">
        <v>207.52</v>
      </c>
      <c r="AQ1074" s="60">
        <v>222.59</v>
      </c>
      <c r="AR1074" s="61">
        <v>222.59</v>
      </c>
    </row>
    <row r="1075" spans="1:44" x14ac:dyDescent="0.35">
      <c r="A1075" s="49" t="str">
        <f t="shared" si="92"/>
        <v>39</v>
      </c>
      <c r="B1075" s="27">
        <v>68627</v>
      </c>
      <c r="C1075" s="25" t="str">
        <f>TEXT(127191,"0000000")</f>
        <v>0127191</v>
      </c>
      <c r="D1075" s="27">
        <v>1489</v>
      </c>
      <c r="E1075" s="25" t="s">
        <v>2444</v>
      </c>
      <c r="F1075" s="25" t="s">
        <v>5</v>
      </c>
      <c r="G1075" s="59" t="s">
        <v>2445</v>
      </c>
      <c r="H1075" s="60">
        <v>0</v>
      </c>
      <c r="I1075" s="60">
        <v>0</v>
      </c>
      <c r="J1075" s="60">
        <v>0</v>
      </c>
      <c r="K1075" s="60">
        <v>0</v>
      </c>
      <c r="L1075" s="60">
        <v>0</v>
      </c>
      <c r="M1075" s="60">
        <v>0</v>
      </c>
      <c r="N1075" s="60">
        <v>0</v>
      </c>
      <c r="O1075" s="60">
        <v>0</v>
      </c>
      <c r="P1075" s="60">
        <v>0</v>
      </c>
      <c r="Q1075" s="60">
        <v>0</v>
      </c>
      <c r="R1075" s="60">
        <v>0</v>
      </c>
      <c r="S1075" s="60">
        <v>0</v>
      </c>
      <c r="T1075" s="60">
        <v>0</v>
      </c>
      <c r="U1075" s="60">
        <v>0</v>
      </c>
      <c r="V1075" s="60">
        <v>0</v>
      </c>
      <c r="W1075" s="60">
        <v>0</v>
      </c>
      <c r="X1075" s="60">
        <v>0</v>
      </c>
      <c r="Y1075" s="60">
        <v>0</v>
      </c>
      <c r="Z1075" s="60">
        <v>0</v>
      </c>
      <c r="AA1075" s="60">
        <v>0</v>
      </c>
      <c r="AB1075" s="60">
        <v>0</v>
      </c>
      <c r="AC1075" s="60">
        <v>2521.54</v>
      </c>
      <c r="AD1075" s="60">
        <v>2607.42</v>
      </c>
      <c r="AE1075" s="60">
        <v>1481.89</v>
      </c>
      <c r="AF1075" s="60">
        <v>0</v>
      </c>
      <c r="AG1075" s="60">
        <v>0</v>
      </c>
      <c r="AH1075" s="60">
        <v>0</v>
      </c>
      <c r="AI1075" s="60">
        <v>2521.54</v>
      </c>
      <c r="AJ1075" s="60">
        <v>2607.42</v>
      </c>
      <c r="AK1075" s="60">
        <v>1481.89</v>
      </c>
      <c r="AL1075" s="60">
        <v>0</v>
      </c>
      <c r="AM1075" s="60">
        <v>0</v>
      </c>
      <c r="AN1075" s="60">
        <v>0</v>
      </c>
      <c r="AO1075" s="60">
        <v>2521.54</v>
      </c>
      <c r="AP1075" s="60">
        <v>2607.42</v>
      </c>
      <c r="AQ1075" s="60">
        <v>1481.89</v>
      </c>
      <c r="AR1075" s="61">
        <v>2607.42</v>
      </c>
    </row>
    <row r="1076" spans="1:44" x14ac:dyDescent="0.35">
      <c r="A1076" s="49" t="str">
        <f t="shared" si="92"/>
        <v>39</v>
      </c>
      <c r="B1076" s="27">
        <v>68627</v>
      </c>
      <c r="C1076" s="25" t="str">
        <f>TEXT(129890,"0000000")</f>
        <v>0129890</v>
      </c>
      <c r="D1076" s="27">
        <v>1646</v>
      </c>
      <c r="E1076" s="25" t="s">
        <v>2446</v>
      </c>
      <c r="F1076" s="25" t="s">
        <v>5</v>
      </c>
      <c r="G1076" s="59" t="s">
        <v>2447</v>
      </c>
      <c r="H1076" s="60">
        <v>0</v>
      </c>
      <c r="I1076" s="60">
        <v>0</v>
      </c>
      <c r="J1076" s="60">
        <v>0</v>
      </c>
      <c r="K1076" s="60">
        <v>0</v>
      </c>
      <c r="L1076" s="60">
        <v>0</v>
      </c>
      <c r="M1076" s="60">
        <v>0</v>
      </c>
      <c r="N1076" s="60">
        <v>0</v>
      </c>
      <c r="O1076" s="60">
        <v>0</v>
      </c>
      <c r="P1076" s="60">
        <v>0</v>
      </c>
      <c r="Q1076" s="60">
        <v>0</v>
      </c>
      <c r="R1076" s="60">
        <v>0</v>
      </c>
      <c r="S1076" s="60">
        <v>0</v>
      </c>
      <c r="T1076" s="60">
        <v>0</v>
      </c>
      <c r="U1076" s="60">
        <v>0</v>
      </c>
      <c r="V1076" s="60">
        <v>0</v>
      </c>
      <c r="W1076" s="60">
        <v>0</v>
      </c>
      <c r="X1076" s="60">
        <v>0</v>
      </c>
      <c r="Y1076" s="60">
        <v>0</v>
      </c>
      <c r="Z1076" s="60">
        <v>0</v>
      </c>
      <c r="AA1076" s="60">
        <v>0</v>
      </c>
      <c r="AB1076" s="60">
        <v>0</v>
      </c>
      <c r="AC1076" s="60">
        <v>256.42</v>
      </c>
      <c r="AD1076" s="60">
        <v>305.58</v>
      </c>
      <c r="AE1076" s="60">
        <v>240.4</v>
      </c>
      <c r="AF1076" s="60">
        <v>0</v>
      </c>
      <c r="AG1076" s="60">
        <v>0</v>
      </c>
      <c r="AH1076" s="60">
        <v>0</v>
      </c>
      <c r="AI1076" s="60">
        <v>256.42</v>
      </c>
      <c r="AJ1076" s="60">
        <v>305.58</v>
      </c>
      <c r="AK1076" s="60">
        <v>240.4</v>
      </c>
      <c r="AL1076" s="60">
        <v>0</v>
      </c>
      <c r="AM1076" s="60">
        <v>0</v>
      </c>
      <c r="AN1076" s="60">
        <v>0</v>
      </c>
      <c r="AO1076" s="60">
        <v>256.42</v>
      </c>
      <c r="AP1076" s="60">
        <v>305.58</v>
      </c>
      <c r="AQ1076" s="60">
        <v>240.4</v>
      </c>
      <c r="AR1076" s="61">
        <v>305.58</v>
      </c>
    </row>
    <row r="1077" spans="1:44" x14ac:dyDescent="0.35">
      <c r="A1077" s="49" t="str">
        <f t="shared" si="92"/>
        <v>39</v>
      </c>
      <c r="B1077" s="27">
        <v>68627</v>
      </c>
      <c r="C1077" s="25" t="str">
        <f>TEXT(129916,"0000000")</f>
        <v>0129916</v>
      </c>
      <c r="D1077" s="27">
        <v>1644</v>
      </c>
      <c r="E1077" s="25" t="s">
        <v>2448</v>
      </c>
      <c r="F1077" s="25" t="s">
        <v>5</v>
      </c>
      <c r="G1077" s="59" t="s">
        <v>2449</v>
      </c>
      <c r="H1077" s="60">
        <v>0</v>
      </c>
      <c r="I1077" s="60">
        <v>0</v>
      </c>
      <c r="J1077" s="60">
        <v>0</v>
      </c>
      <c r="K1077" s="60">
        <v>0</v>
      </c>
      <c r="L1077" s="60">
        <v>0</v>
      </c>
      <c r="M1077" s="60">
        <v>0</v>
      </c>
      <c r="N1077" s="60">
        <v>0</v>
      </c>
      <c r="O1077" s="60">
        <v>0</v>
      </c>
      <c r="P1077" s="60">
        <v>0</v>
      </c>
      <c r="Q1077" s="60">
        <v>0</v>
      </c>
      <c r="R1077" s="60">
        <v>0</v>
      </c>
      <c r="S1077" s="60">
        <v>0</v>
      </c>
      <c r="T1077" s="60">
        <v>0</v>
      </c>
      <c r="U1077" s="60">
        <v>0</v>
      </c>
      <c r="V1077" s="60">
        <v>0</v>
      </c>
      <c r="W1077" s="60">
        <v>0</v>
      </c>
      <c r="X1077" s="60">
        <v>0</v>
      </c>
      <c r="Y1077" s="60">
        <v>0</v>
      </c>
      <c r="Z1077" s="60">
        <v>0</v>
      </c>
      <c r="AA1077" s="60">
        <v>0</v>
      </c>
      <c r="AB1077" s="60">
        <v>0</v>
      </c>
      <c r="AC1077" s="60">
        <v>605.46</v>
      </c>
      <c r="AD1077" s="60">
        <v>605.04</v>
      </c>
      <c r="AE1077" s="60">
        <v>610.72</v>
      </c>
      <c r="AF1077" s="60">
        <v>0</v>
      </c>
      <c r="AG1077" s="60">
        <v>0</v>
      </c>
      <c r="AH1077" s="60">
        <v>0</v>
      </c>
      <c r="AI1077" s="60">
        <v>605.46</v>
      </c>
      <c r="AJ1077" s="60">
        <v>605.04</v>
      </c>
      <c r="AK1077" s="60">
        <v>610.72</v>
      </c>
      <c r="AL1077" s="60">
        <v>0</v>
      </c>
      <c r="AM1077" s="60">
        <v>0</v>
      </c>
      <c r="AN1077" s="60">
        <v>0</v>
      </c>
      <c r="AO1077" s="60">
        <v>605.46</v>
      </c>
      <c r="AP1077" s="60">
        <v>605.04</v>
      </c>
      <c r="AQ1077" s="60">
        <v>610.72</v>
      </c>
      <c r="AR1077" s="61">
        <v>610.72</v>
      </c>
    </row>
    <row r="1078" spans="1:44" x14ac:dyDescent="0.35">
      <c r="A1078" s="49" t="str">
        <f t="shared" si="92"/>
        <v>39</v>
      </c>
      <c r="B1078" s="27">
        <v>68627</v>
      </c>
      <c r="C1078" s="25" t="str">
        <f>TEXT(132050,"0000000")</f>
        <v>0132050</v>
      </c>
      <c r="D1078" s="27">
        <v>1731</v>
      </c>
      <c r="E1078" s="25" t="s">
        <v>2450</v>
      </c>
      <c r="F1078" s="25" t="s">
        <v>5</v>
      </c>
      <c r="G1078" s="59" t="s">
        <v>2451</v>
      </c>
      <c r="H1078" s="60">
        <v>0</v>
      </c>
      <c r="I1078" s="60">
        <v>0</v>
      </c>
      <c r="J1078" s="60">
        <v>0</v>
      </c>
      <c r="K1078" s="60">
        <v>0</v>
      </c>
      <c r="L1078" s="60">
        <v>0</v>
      </c>
      <c r="M1078" s="60">
        <v>0</v>
      </c>
      <c r="N1078" s="60">
        <v>0</v>
      </c>
      <c r="O1078" s="60">
        <v>0</v>
      </c>
      <c r="P1078" s="60">
        <v>0</v>
      </c>
      <c r="Q1078" s="60">
        <v>0</v>
      </c>
      <c r="R1078" s="60">
        <v>0</v>
      </c>
      <c r="S1078" s="60">
        <v>0</v>
      </c>
      <c r="T1078" s="60">
        <v>0</v>
      </c>
      <c r="U1078" s="60">
        <v>0</v>
      </c>
      <c r="V1078" s="60">
        <v>0</v>
      </c>
      <c r="W1078" s="60">
        <v>0</v>
      </c>
      <c r="X1078" s="60">
        <v>0</v>
      </c>
      <c r="Y1078" s="60">
        <v>0</v>
      </c>
      <c r="Z1078" s="60">
        <v>0</v>
      </c>
      <c r="AA1078" s="60">
        <v>0</v>
      </c>
      <c r="AB1078" s="60">
        <v>0</v>
      </c>
      <c r="AC1078" s="60">
        <v>186.36</v>
      </c>
      <c r="AD1078" s="60">
        <v>219.13</v>
      </c>
      <c r="AE1078" s="60">
        <v>240.31</v>
      </c>
      <c r="AF1078" s="60">
        <v>0</v>
      </c>
      <c r="AG1078" s="60">
        <v>0</v>
      </c>
      <c r="AH1078" s="60">
        <v>0</v>
      </c>
      <c r="AI1078" s="60">
        <v>186.36</v>
      </c>
      <c r="AJ1078" s="60">
        <v>219.13</v>
      </c>
      <c r="AK1078" s="60">
        <v>240.31</v>
      </c>
      <c r="AL1078" s="60">
        <v>0</v>
      </c>
      <c r="AM1078" s="60">
        <v>0</v>
      </c>
      <c r="AN1078" s="60">
        <v>0</v>
      </c>
      <c r="AO1078" s="60">
        <v>186.36</v>
      </c>
      <c r="AP1078" s="60">
        <v>219.13</v>
      </c>
      <c r="AQ1078" s="60">
        <v>240.31</v>
      </c>
      <c r="AR1078" s="61">
        <v>240.31</v>
      </c>
    </row>
    <row r="1079" spans="1:44" x14ac:dyDescent="0.35">
      <c r="A1079" s="49" t="str">
        <f>TEXT(1,"00")</f>
        <v>01</v>
      </c>
      <c r="B1079" s="27">
        <v>61259</v>
      </c>
      <c r="C1079" s="25" t="str">
        <f>TEXT(130732,"0000000")</f>
        <v>0130732</v>
      </c>
      <c r="D1079" s="27">
        <v>1663</v>
      </c>
      <c r="E1079" s="25" t="s">
        <v>127</v>
      </c>
      <c r="F1079" s="25" t="s">
        <v>5</v>
      </c>
      <c r="G1079" s="59" t="s">
        <v>128</v>
      </c>
      <c r="H1079" s="60">
        <v>0</v>
      </c>
      <c r="I1079" s="60">
        <v>0</v>
      </c>
      <c r="J1079" s="60">
        <v>0</v>
      </c>
      <c r="K1079" s="60">
        <v>0</v>
      </c>
      <c r="L1079" s="60">
        <v>0</v>
      </c>
      <c r="M1079" s="60">
        <v>0</v>
      </c>
      <c r="N1079" s="60">
        <v>0</v>
      </c>
      <c r="O1079" s="60">
        <v>0</v>
      </c>
      <c r="P1079" s="60">
        <v>0</v>
      </c>
      <c r="Q1079" s="60">
        <v>0</v>
      </c>
      <c r="R1079" s="60">
        <v>0</v>
      </c>
      <c r="S1079" s="60">
        <v>0</v>
      </c>
      <c r="T1079" s="60">
        <v>0</v>
      </c>
      <c r="U1079" s="60">
        <v>0</v>
      </c>
      <c r="V1079" s="60">
        <v>0</v>
      </c>
      <c r="W1079" s="60">
        <v>0</v>
      </c>
      <c r="X1079" s="60">
        <v>0</v>
      </c>
      <c r="Y1079" s="60">
        <v>0</v>
      </c>
      <c r="Z1079" s="60">
        <v>0</v>
      </c>
      <c r="AA1079" s="60">
        <v>0</v>
      </c>
      <c r="AB1079" s="60">
        <v>0</v>
      </c>
      <c r="AC1079" s="60">
        <v>208.06</v>
      </c>
      <c r="AD1079" s="60">
        <v>212.89</v>
      </c>
      <c r="AE1079" s="60">
        <v>274.79000000000002</v>
      </c>
      <c r="AF1079" s="60">
        <v>0</v>
      </c>
      <c r="AG1079" s="60">
        <v>0</v>
      </c>
      <c r="AH1079" s="60">
        <v>0</v>
      </c>
      <c r="AI1079" s="60">
        <v>208.06</v>
      </c>
      <c r="AJ1079" s="60">
        <v>212.89</v>
      </c>
      <c r="AK1079" s="60">
        <v>274.79000000000002</v>
      </c>
      <c r="AL1079" s="60">
        <v>0</v>
      </c>
      <c r="AM1079" s="60">
        <v>0</v>
      </c>
      <c r="AN1079" s="60">
        <v>0</v>
      </c>
      <c r="AO1079" s="60">
        <v>208.06</v>
      </c>
      <c r="AP1079" s="60">
        <v>212.89</v>
      </c>
      <c r="AQ1079" s="60">
        <v>274.79000000000002</v>
      </c>
      <c r="AR1079" s="61">
        <v>274.79000000000002</v>
      </c>
    </row>
    <row r="1080" spans="1:44" x14ac:dyDescent="0.35">
      <c r="A1080" s="49" t="str">
        <f t="shared" ref="A1080:A1089" si="93">TEXT(39,"00")</f>
        <v>39</v>
      </c>
      <c r="B1080" s="27">
        <v>68627</v>
      </c>
      <c r="C1080" s="25" t="str">
        <f>TEXT(133116,"0000000")</f>
        <v>0133116</v>
      </c>
      <c r="D1080" s="27">
        <v>1762</v>
      </c>
      <c r="E1080" s="25" t="s">
        <v>2452</v>
      </c>
      <c r="F1080" s="25" t="s">
        <v>5</v>
      </c>
      <c r="G1080" s="59" t="s">
        <v>2453</v>
      </c>
      <c r="H1080" s="60">
        <v>0</v>
      </c>
      <c r="I1080" s="60">
        <v>0</v>
      </c>
      <c r="J1080" s="60">
        <v>0</v>
      </c>
      <c r="K1080" s="60">
        <v>0</v>
      </c>
      <c r="L1080" s="60">
        <v>0</v>
      </c>
      <c r="M1080" s="60">
        <v>0</v>
      </c>
      <c r="N1080" s="60">
        <v>0</v>
      </c>
      <c r="O1080" s="60">
        <v>0</v>
      </c>
      <c r="P1080" s="60">
        <v>0</v>
      </c>
      <c r="Q1080" s="60">
        <v>0</v>
      </c>
      <c r="R1080" s="60">
        <v>0</v>
      </c>
      <c r="S1080" s="60">
        <v>0</v>
      </c>
      <c r="T1080" s="60">
        <v>0</v>
      </c>
      <c r="U1080" s="60">
        <v>0</v>
      </c>
      <c r="V1080" s="60">
        <v>0</v>
      </c>
      <c r="W1080" s="60">
        <v>0</v>
      </c>
      <c r="X1080" s="60">
        <v>0</v>
      </c>
      <c r="Y1080" s="60">
        <v>0</v>
      </c>
      <c r="Z1080" s="60">
        <v>0</v>
      </c>
      <c r="AA1080" s="60">
        <v>0</v>
      </c>
      <c r="AB1080" s="60">
        <v>0</v>
      </c>
      <c r="AC1080" s="60">
        <v>185.12</v>
      </c>
      <c r="AD1080" s="60">
        <v>180.22</v>
      </c>
      <c r="AE1080" s="60">
        <v>318.69</v>
      </c>
      <c r="AF1080" s="60">
        <v>0</v>
      </c>
      <c r="AG1080" s="60">
        <v>0</v>
      </c>
      <c r="AH1080" s="60">
        <v>0</v>
      </c>
      <c r="AI1080" s="60">
        <v>185.12</v>
      </c>
      <c r="AJ1080" s="60">
        <v>180.22</v>
      </c>
      <c r="AK1080" s="60">
        <v>318.69</v>
      </c>
      <c r="AL1080" s="60">
        <v>0</v>
      </c>
      <c r="AM1080" s="60">
        <v>0</v>
      </c>
      <c r="AN1080" s="60">
        <v>0</v>
      </c>
      <c r="AO1080" s="60">
        <v>185.12</v>
      </c>
      <c r="AP1080" s="60">
        <v>180.22</v>
      </c>
      <c r="AQ1080" s="60">
        <v>318.69</v>
      </c>
      <c r="AR1080" s="61">
        <v>318.69</v>
      </c>
    </row>
    <row r="1081" spans="1:44" x14ac:dyDescent="0.35">
      <c r="A1081" s="49" t="str">
        <f t="shared" si="93"/>
        <v>39</v>
      </c>
      <c r="B1081" s="27">
        <v>68627</v>
      </c>
      <c r="C1081" s="25" t="str">
        <f>TEXT(136028,"0000000")</f>
        <v>0136028</v>
      </c>
      <c r="D1081" s="27">
        <v>1878</v>
      </c>
      <c r="E1081" s="25" t="s">
        <v>2454</v>
      </c>
      <c r="F1081" s="25" t="s">
        <v>5</v>
      </c>
      <c r="G1081" s="59" t="s">
        <v>2455</v>
      </c>
      <c r="H1081" s="60">
        <v>0</v>
      </c>
      <c r="I1081" s="60">
        <v>0</v>
      </c>
      <c r="J1081" s="60">
        <v>0</v>
      </c>
      <c r="K1081" s="60">
        <v>0</v>
      </c>
      <c r="L1081" s="60">
        <v>0</v>
      </c>
      <c r="M1081" s="60">
        <v>0</v>
      </c>
      <c r="N1081" s="60">
        <v>0</v>
      </c>
      <c r="O1081" s="60">
        <v>0</v>
      </c>
      <c r="P1081" s="60">
        <v>0</v>
      </c>
      <c r="Q1081" s="60">
        <v>0</v>
      </c>
      <c r="R1081" s="60">
        <v>0</v>
      </c>
      <c r="S1081" s="60">
        <v>0</v>
      </c>
      <c r="T1081" s="60">
        <v>0</v>
      </c>
      <c r="U1081" s="60">
        <v>0</v>
      </c>
      <c r="V1081" s="60">
        <v>0</v>
      </c>
      <c r="W1081" s="60">
        <v>0</v>
      </c>
      <c r="X1081" s="60">
        <v>0</v>
      </c>
      <c r="Y1081" s="60">
        <v>0</v>
      </c>
      <c r="Z1081" s="60">
        <v>0</v>
      </c>
      <c r="AA1081" s="60">
        <v>0</v>
      </c>
      <c r="AB1081" s="60">
        <v>0</v>
      </c>
      <c r="AC1081" s="60">
        <v>129.06</v>
      </c>
      <c r="AD1081" s="60">
        <v>155.72</v>
      </c>
      <c r="AE1081" s="60">
        <v>227.48</v>
      </c>
      <c r="AF1081" s="60">
        <v>0</v>
      </c>
      <c r="AG1081" s="60">
        <v>0</v>
      </c>
      <c r="AH1081" s="60">
        <v>0</v>
      </c>
      <c r="AI1081" s="60">
        <v>129.06</v>
      </c>
      <c r="AJ1081" s="60">
        <v>155.72</v>
      </c>
      <c r="AK1081" s="60">
        <v>227.48</v>
      </c>
      <c r="AL1081" s="60">
        <v>0</v>
      </c>
      <c r="AM1081" s="60">
        <v>0</v>
      </c>
      <c r="AN1081" s="60">
        <v>0</v>
      </c>
      <c r="AO1081" s="60">
        <v>129.06</v>
      </c>
      <c r="AP1081" s="60">
        <v>155.72</v>
      </c>
      <c r="AQ1081" s="60">
        <v>227.48</v>
      </c>
      <c r="AR1081" s="61">
        <v>227.48</v>
      </c>
    </row>
    <row r="1082" spans="1:44" x14ac:dyDescent="0.35">
      <c r="A1082" s="49" t="str">
        <f t="shared" si="93"/>
        <v>39</v>
      </c>
      <c r="B1082" s="27">
        <v>68627</v>
      </c>
      <c r="C1082" s="25" t="str">
        <f>TEXT(136135,"0000000")</f>
        <v>0136135</v>
      </c>
      <c r="D1082" s="27">
        <v>1879</v>
      </c>
      <c r="E1082" s="25" t="s">
        <v>2456</v>
      </c>
      <c r="F1082" s="25" t="s">
        <v>5</v>
      </c>
      <c r="G1082" s="59" t="s">
        <v>2457</v>
      </c>
      <c r="H1082" s="60">
        <v>0</v>
      </c>
      <c r="I1082" s="60">
        <v>0</v>
      </c>
      <c r="J1082" s="60">
        <v>0</v>
      </c>
      <c r="K1082" s="60">
        <v>0</v>
      </c>
      <c r="L1082" s="60">
        <v>0</v>
      </c>
      <c r="M1082" s="60">
        <v>0</v>
      </c>
      <c r="N1082" s="60">
        <v>0</v>
      </c>
      <c r="O1082" s="60">
        <v>0</v>
      </c>
      <c r="P1082" s="60">
        <v>0</v>
      </c>
      <c r="Q1082" s="60">
        <v>0</v>
      </c>
      <c r="R1082" s="60">
        <v>0</v>
      </c>
      <c r="S1082" s="60">
        <v>0</v>
      </c>
      <c r="T1082" s="60">
        <v>0</v>
      </c>
      <c r="U1082" s="60">
        <v>0</v>
      </c>
      <c r="V1082" s="60">
        <v>0</v>
      </c>
      <c r="W1082" s="60">
        <v>0</v>
      </c>
      <c r="X1082" s="60">
        <v>0</v>
      </c>
      <c r="Y1082" s="60">
        <v>0</v>
      </c>
      <c r="Z1082" s="60">
        <v>0</v>
      </c>
      <c r="AA1082" s="60">
        <v>0</v>
      </c>
      <c r="AB1082" s="60">
        <v>0</v>
      </c>
      <c r="AC1082" s="60">
        <v>257.39</v>
      </c>
      <c r="AD1082" s="60">
        <v>242.7</v>
      </c>
      <c r="AE1082" s="60">
        <v>160.47999999999999</v>
      </c>
      <c r="AF1082" s="60">
        <v>0</v>
      </c>
      <c r="AG1082" s="60">
        <v>0</v>
      </c>
      <c r="AH1082" s="60">
        <v>0</v>
      </c>
      <c r="AI1082" s="60">
        <v>257.39</v>
      </c>
      <c r="AJ1082" s="60">
        <v>242.7</v>
      </c>
      <c r="AK1082" s="60">
        <v>160.47999999999999</v>
      </c>
      <c r="AL1082" s="60">
        <v>0</v>
      </c>
      <c r="AM1082" s="60">
        <v>0</v>
      </c>
      <c r="AN1082" s="60">
        <v>0</v>
      </c>
      <c r="AO1082" s="60">
        <v>257.39</v>
      </c>
      <c r="AP1082" s="60">
        <v>242.7</v>
      </c>
      <c r="AQ1082" s="60">
        <v>160.47999999999999</v>
      </c>
      <c r="AR1082" s="61">
        <v>257.39</v>
      </c>
    </row>
    <row r="1083" spans="1:44" x14ac:dyDescent="0.35">
      <c r="A1083" s="49" t="str">
        <f t="shared" si="93"/>
        <v>39</v>
      </c>
      <c r="B1083" s="27">
        <v>68627</v>
      </c>
      <c r="C1083" s="25" t="str">
        <f>TEXT(6119309,"0000000")</f>
        <v>6119309</v>
      </c>
      <c r="D1083" s="26" t="s">
        <v>2460</v>
      </c>
      <c r="E1083" s="25" t="s">
        <v>2458</v>
      </c>
      <c r="F1083" s="25" t="s">
        <v>5</v>
      </c>
      <c r="G1083" s="59" t="s">
        <v>2459</v>
      </c>
      <c r="H1083" s="60">
        <v>0</v>
      </c>
      <c r="I1083" s="60">
        <v>0</v>
      </c>
      <c r="J1083" s="60">
        <v>0</v>
      </c>
      <c r="K1083" s="60">
        <v>0</v>
      </c>
      <c r="L1083" s="60">
        <v>0</v>
      </c>
      <c r="M1083" s="60">
        <v>0</v>
      </c>
      <c r="N1083" s="60">
        <v>0</v>
      </c>
      <c r="O1083" s="60">
        <v>0</v>
      </c>
      <c r="P1083" s="60">
        <v>0</v>
      </c>
      <c r="Q1083" s="60">
        <v>0</v>
      </c>
      <c r="R1083" s="60">
        <v>0</v>
      </c>
      <c r="S1083" s="60">
        <v>0</v>
      </c>
      <c r="T1083" s="60">
        <v>0</v>
      </c>
      <c r="U1083" s="60">
        <v>0</v>
      </c>
      <c r="V1083" s="60">
        <v>0</v>
      </c>
      <c r="W1083" s="60">
        <v>0</v>
      </c>
      <c r="X1083" s="60">
        <v>0</v>
      </c>
      <c r="Y1083" s="60">
        <v>0</v>
      </c>
      <c r="Z1083" s="60">
        <v>0</v>
      </c>
      <c r="AA1083" s="60">
        <v>0</v>
      </c>
      <c r="AB1083" s="60">
        <v>0</v>
      </c>
      <c r="AC1083" s="60">
        <v>774</v>
      </c>
      <c r="AD1083" s="60">
        <v>794.69</v>
      </c>
      <c r="AE1083" s="60">
        <v>785.1</v>
      </c>
      <c r="AF1083" s="60">
        <v>0</v>
      </c>
      <c r="AG1083" s="60">
        <v>0</v>
      </c>
      <c r="AH1083" s="60">
        <v>0</v>
      </c>
      <c r="AI1083" s="60">
        <v>774</v>
      </c>
      <c r="AJ1083" s="60">
        <v>794.69</v>
      </c>
      <c r="AK1083" s="60">
        <v>785.1</v>
      </c>
      <c r="AL1083" s="60">
        <v>0</v>
      </c>
      <c r="AM1083" s="60">
        <v>0</v>
      </c>
      <c r="AN1083" s="60">
        <v>0</v>
      </c>
      <c r="AO1083" s="60">
        <v>774</v>
      </c>
      <c r="AP1083" s="60">
        <v>794.69</v>
      </c>
      <c r="AQ1083" s="60">
        <v>785.1</v>
      </c>
      <c r="AR1083" s="61">
        <v>794.69</v>
      </c>
    </row>
    <row r="1084" spans="1:44" ht="31" x14ac:dyDescent="0.35">
      <c r="A1084" s="49" t="str">
        <f t="shared" si="93"/>
        <v>39</v>
      </c>
      <c r="B1084" s="27">
        <v>68650</v>
      </c>
      <c r="C1084" s="25" t="str">
        <f>TEXT(125849,"0000000")</f>
        <v>0125849</v>
      </c>
      <c r="D1084" s="27">
        <v>1398</v>
      </c>
      <c r="E1084" s="25" t="s">
        <v>2465</v>
      </c>
      <c r="F1084" s="25" t="s">
        <v>5</v>
      </c>
      <c r="G1084" s="59" t="s">
        <v>2466</v>
      </c>
      <c r="H1084" s="60">
        <v>0</v>
      </c>
      <c r="I1084" s="60">
        <v>0</v>
      </c>
      <c r="J1084" s="60">
        <v>0</v>
      </c>
      <c r="K1084" s="60">
        <v>0</v>
      </c>
      <c r="L1084" s="60">
        <v>0</v>
      </c>
      <c r="M1084" s="60">
        <v>0</v>
      </c>
      <c r="N1084" s="60">
        <v>0</v>
      </c>
      <c r="O1084" s="60">
        <v>0</v>
      </c>
      <c r="P1084" s="60">
        <v>0</v>
      </c>
      <c r="Q1084" s="60">
        <v>0</v>
      </c>
      <c r="R1084" s="60">
        <v>0</v>
      </c>
      <c r="S1084" s="60">
        <v>0</v>
      </c>
      <c r="T1084" s="60">
        <v>0</v>
      </c>
      <c r="U1084" s="60">
        <v>0</v>
      </c>
      <c r="V1084" s="60">
        <v>0</v>
      </c>
      <c r="W1084" s="60">
        <v>0</v>
      </c>
      <c r="X1084" s="60">
        <v>0</v>
      </c>
      <c r="Y1084" s="60">
        <v>0</v>
      </c>
      <c r="Z1084" s="60">
        <v>0</v>
      </c>
      <c r="AA1084" s="60">
        <v>0</v>
      </c>
      <c r="AB1084" s="60">
        <v>0</v>
      </c>
      <c r="AC1084" s="60">
        <v>1664.09</v>
      </c>
      <c r="AD1084" s="60">
        <v>1522.61</v>
      </c>
      <c r="AE1084" s="60">
        <v>1204.43</v>
      </c>
      <c r="AF1084" s="60">
        <v>0</v>
      </c>
      <c r="AG1084" s="60">
        <v>0</v>
      </c>
      <c r="AH1084" s="60">
        <v>0</v>
      </c>
      <c r="AI1084" s="60">
        <v>1664.09</v>
      </c>
      <c r="AJ1084" s="60">
        <v>1522.61</v>
      </c>
      <c r="AK1084" s="60">
        <v>1204.43</v>
      </c>
      <c r="AL1084" s="60">
        <v>0</v>
      </c>
      <c r="AM1084" s="60">
        <v>0</v>
      </c>
      <c r="AN1084" s="60">
        <v>0</v>
      </c>
      <c r="AO1084" s="60">
        <v>1664.09</v>
      </c>
      <c r="AP1084" s="60">
        <v>1522.61</v>
      </c>
      <c r="AQ1084" s="60">
        <v>1204.43</v>
      </c>
      <c r="AR1084" s="61">
        <v>1664.09</v>
      </c>
    </row>
    <row r="1085" spans="1:44" x14ac:dyDescent="0.35">
      <c r="A1085" s="49" t="str">
        <f t="shared" si="93"/>
        <v>39</v>
      </c>
      <c r="B1085" s="27">
        <v>68676</v>
      </c>
      <c r="C1085" s="25" t="str">
        <f>TEXT(108647,"0000000")</f>
        <v>0108647</v>
      </c>
      <c r="D1085" s="26" t="s">
        <v>2471</v>
      </c>
      <c r="E1085" s="25" t="s">
        <v>2469</v>
      </c>
      <c r="F1085" s="25" t="s">
        <v>5</v>
      </c>
      <c r="G1085" s="59" t="s">
        <v>2470</v>
      </c>
      <c r="H1085" s="60">
        <v>0</v>
      </c>
      <c r="I1085" s="60">
        <v>0</v>
      </c>
      <c r="J1085" s="60">
        <v>0</v>
      </c>
      <c r="K1085" s="60">
        <v>0</v>
      </c>
      <c r="L1085" s="60">
        <v>0</v>
      </c>
      <c r="M1085" s="60">
        <v>0</v>
      </c>
      <c r="N1085" s="60">
        <v>0</v>
      </c>
      <c r="O1085" s="60">
        <v>0</v>
      </c>
      <c r="P1085" s="60">
        <v>0</v>
      </c>
      <c r="Q1085" s="60">
        <v>0</v>
      </c>
      <c r="R1085" s="60">
        <v>0</v>
      </c>
      <c r="S1085" s="60">
        <v>0</v>
      </c>
      <c r="T1085" s="60">
        <v>0</v>
      </c>
      <c r="U1085" s="60">
        <v>0</v>
      </c>
      <c r="V1085" s="60">
        <v>0</v>
      </c>
      <c r="W1085" s="60">
        <v>0</v>
      </c>
      <c r="X1085" s="60">
        <v>0</v>
      </c>
      <c r="Y1085" s="60">
        <v>0</v>
      </c>
      <c r="Z1085" s="60">
        <v>0</v>
      </c>
      <c r="AA1085" s="60">
        <v>0</v>
      </c>
      <c r="AB1085" s="60">
        <v>0</v>
      </c>
      <c r="AC1085" s="60">
        <v>345.33</v>
      </c>
      <c r="AD1085" s="60">
        <v>340.96</v>
      </c>
      <c r="AE1085" s="60">
        <v>388.04</v>
      </c>
      <c r="AF1085" s="60">
        <v>0</v>
      </c>
      <c r="AG1085" s="60">
        <v>0</v>
      </c>
      <c r="AH1085" s="60">
        <v>0</v>
      </c>
      <c r="AI1085" s="60">
        <v>345.33</v>
      </c>
      <c r="AJ1085" s="60">
        <v>340.96</v>
      </c>
      <c r="AK1085" s="60">
        <v>388.04</v>
      </c>
      <c r="AL1085" s="60">
        <v>0</v>
      </c>
      <c r="AM1085" s="60">
        <v>0</v>
      </c>
      <c r="AN1085" s="60">
        <v>0</v>
      </c>
      <c r="AO1085" s="60">
        <v>345.33</v>
      </c>
      <c r="AP1085" s="60">
        <v>340.96</v>
      </c>
      <c r="AQ1085" s="60">
        <v>388.04</v>
      </c>
      <c r="AR1085" s="61">
        <v>388.04</v>
      </c>
    </row>
    <row r="1086" spans="1:44" x14ac:dyDescent="0.35">
      <c r="A1086" s="49" t="str">
        <f t="shared" si="93"/>
        <v>39</v>
      </c>
      <c r="B1086" s="27">
        <v>68676</v>
      </c>
      <c r="C1086" s="25" t="str">
        <f>TEXT(114876,"0000000")</f>
        <v>0114876</v>
      </c>
      <c r="D1086" s="27">
        <v>1553</v>
      </c>
      <c r="E1086" s="25" t="s">
        <v>2472</v>
      </c>
      <c r="F1086" s="25" t="s">
        <v>5</v>
      </c>
      <c r="G1086" s="59" t="s">
        <v>2473</v>
      </c>
      <c r="H1086" s="60">
        <v>0</v>
      </c>
      <c r="I1086" s="60">
        <v>0</v>
      </c>
      <c r="J1086" s="60">
        <v>0</v>
      </c>
      <c r="K1086" s="60">
        <v>0</v>
      </c>
      <c r="L1086" s="60">
        <v>0</v>
      </c>
      <c r="M1086" s="60">
        <v>0</v>
      </c>
      <c r="N1086" s="60">
        <v>0</v>
      </c>
      <c r="O1086" s="60">
        <v>0</v>
      </c>
      <c r="P1086" s="60">
        <v>0</v>
      </c>
      <c r="Q1086" s="60">
        <v>0</v>
      </c>
      <c r="R1086" s="60">
        <v>0</v>
      </c>
      <c r="S1086" s="60">
        <v>0</v>
      </c>
      <c r="T1086" s="60">
        <v>0</v>
      </c>
      <c r="U1086" s="60">
        <v>0</v>
      </c>
      <c r="V1086" s="60">
        <v>0</v>
      </c>
      <c r="W1086" s="60">
        <v>0</v>
      </c>
      <c r="X1086" s="60">
        <v>0</v>
      </c>
      <c r="Y1086" s="60">
        <v>0</v>
      </c>
      <c r="Z1086" s="60">
        <v>0</v>
      </c>
      <c r="AA1086" s="60">
        <v>0</v>
      </c>
      <c r="AB1086" s="60">
        <v>0</v>
      </c>
      <c r="AC1086" s="60">
        <v>395.25</v>
      </c>
      <c r="AD1086" s="60">
        <v>379.8</v>
      </c>
      <c r="AE1086" s="60">
        <v>414.54</v>
      </c>
      <c r="AF1086" s="60">
        <v>0</v>
      </c>
      <c r="AG1086" s="60">
        <v>0</v>
      </c>
      <c r="AH1086" s="60">
        <v>0</v>
      </c>
      <c r="AI1086" s="60">
        <v>395.25</v>
      </c>
      <c r="AJ1086" s="60">
        <v>379.8</v>
      </c>
      <c r="AK1086" s="60">
        <v>414.54</v>
      </c>
      <c r="AL1086" s="60">
        <v>0</v>
      </c>
      <c r="AM1086" s="60">
        <v>0</v>
      </c>
      <c r="AN1086" s="60">
        <v>0</v>
      </c>
      <c r="AO1086" s="60">
        <v>395.25</v>
      </c>
      <c r="AP1086" s="60">
        <v>379.8</v>
      </c>
      <c r="AQ1086" s="60">
        <v>414.54</v>
      </c>
      <c r="AR1086" s="61">
        <v>414.54</v>
      </c>
    </row>
    <row r="1087" spans="1:44" x14ac:dyDescent="0.35">
      <c r="A1087" s="49" t="str">
        <f t="shared" si="93"/>
        <v>39</v>
      </c>
      <c r="B1087" s="27">
        <v>68676</v>
      </c>
      <c r="C1087" s="25" t="str">
        <f>TEXT(117853,"0000000")</f>
        <v>0117853</v>
      </c>
      <c r="D1087" s="27">
        <v>1027</v>
      </c>
      <c r="E1087" s="25" t="s">
        <v>2474</v>
      </c>
      <c r="F1087" s="25" t="s">
        <v>5</v>
      </c>
      <c r="G1087" s="59" t="s">
        <v>2475</v>
      </c>
      <c r="H1087" s="60">
        <v>0</v>
      </c>
      <c r="I1087" s="60">
        <v>0</v>
      </c>
      <c r="J1087" s="60">
        <v>0</v>
      </c>
      <c r="K1087" s="60">
        <v>0</v>
      </c>
      <c r="L1087" s="60">
        <v>0</v>
      </c>
      <c r="M1087" s="60">
        <v>0</v>
      </c>
      <c r="N1087" s="60">
        <v>0</v>
      </c>
      <c r="O1087" s="60">
        <v>0</v>
      </c>
      <c r="P1087" s="60">
        <v>0</v>
      </c>
      <c r="Q1087" s="60">
        <v>0</v>
      </c>
      <c r="R1087" s="60">
        <v>0</v>
      </c>
      <c r="S1087" s="60">
        <v>0</v>
      </c>
      <c r="T1087" s="60">
        <v>0</v>
      </c>
      <c r="U1087" s="60">
        <v>0</v>
      </c>
      <c r="V1087" s="60">
        <v>0</v>
      </c>
      <c r="W1087" s="60">
        <v>0</v>
      </c>
      <c r="X1087" s="60">
        <v>0</v>
      </c>
      <c r="Y1087" s="60">
        <v>0</v>
      </c>
      <c r="Z1087" s="60">
        <v>0</v>
      </c>
      <c r="AA1087" s="60">
        <v>0</v>
      </c>
      <c r="AB1087" s="60">
        <v>0</v>
      </c>
      <c r="AC1087" s="60">
        <v>226.29</v>
      </c>
      <c r="AD1087" s="60">
        <v>212.56</v>
      </c>
      <c r="AE1087" s="60">
        <v>244.58</v>
      </c>
      <c r="AF1087" s="60">
        <v>0</v>
      </c>
      <c r="AG1087" s="60">
        <v>0</v>
      </c>
      <c r="AH1087" s="60">
        <v>0</v>
      </c>
      <c r="AI1087" s="60">
        <v>226.29</v>
      </c>
      <c r="AJ1087" s="60">
        <v>212.56</v>
      </c>
      <c r="AK1087" s="60">
        <v>244.58</v>
      </c>
      <c r="AL1087" s="60">
        <v>0</v>
      </c>
      <c r="AM1087" s="60">
        <v>0</v>
      </c>
      <c r="AN1087" s="60">
        <v>0</v>
      </c>
      <c r="AO1087" s="60">
        <v>226.29</v>
      </c>
      <c r="AP1087" s="60">
        <v>212.56</v>
      </c>
      <c r="AQ1087" s="60">
        <v>244.58</v>
      </c>
      <c r="AR1087" s="61">
        <v>244.58</v>
      </c>
    </row>
    <row r="1088" spans="1:44" x14ac:dyDescent="0.35">
      <c r="A1088" s="49" t="str">
        <f t="shared" si="93"/>
        <v>39</v>
      </c>
      <c r="B1088" s="27">
        <v>68676</v>
      </c>
      <c r="C1088" s="25" t="str">
        <f>TEXT(118497,"0000000")</f>
        <v>0118497</v>
      </c>
      <c r="D1088" s="27">
        <v>1048</v>
      </c>
      <c r="E1088" s="25" t="s">
        <v>2476</v>
      </c>
      <c r="F1088" s="25" t="s">
        <v>5</v>
      </c>
      <c r="G1088" s="59" t="s">
        <v>2477</v>
      </c>
      <c r="H1088" s="60">
        <v>0</v>
      </c>
      <c r="I1088" s="60">
        <v>0</v>
      </c>
      <c r="J1088" s="60">
        <v>0</v>
      </c>
      <c r="K1088" s="60">
        <v>0</v>
      </c>
      <c r="L1088" s="60">
        <v>0</v>
      </c>
      <c r="M1088" s="60">
        <v>0</v>
      </c>
      <c r="N1088" s="60">
        <v>0</v>
      </c>
      <c r="O1088" s="60">
        <v>0</v>
      </c>
      <c r="P1088" s="60">
        <v>0</v>
      </c>
      <c r="Q1088" s="60">
        <v>0</v>
      </c>
      <c r="R1088" s="60">
        <v>0</v>
      </c>
      <c r="S1088" s="60">
        <v>0</v>
      </c>
      <c r="T1088" s="60">
        <v>0</v>
      </c>
      <c r="U1088" s="60">
        <v>0</v>
      </c>
      <c r="V1088" s="60">
        <v>0</v>
      </c>
      <c r="W1088" s="60">
        <v>0</v>
      </c>
      <c r="X1088" s="60">
        <v>0</v>
      </c>
      <c r="Y1088" s="60">
        <v>0</v>
      </c>
      <c r="Z1088" s="60">
        <v>0</v>
      </c>
      <c r="AA1088" s="60">
        <v>0</v>
      </c>
      <c r="AB1088" s="60">
        <v>0</v>
      </c>
      <c r="AC1088" s="60">
        <v>702.22</v>
      </c>
      <c r="AD1088" s="60">
        <v>687.68</v>
      </c>
      <c r="AE1088" s="60">
        <v>753.2</v>
      </c>
      <c r="AF1088" s="60">
        <v>0</v>
      </c>
      <c r="AG1088" s="60">
        <v>0</v>
      </c>
      <c r="AH1088" s="60">
        <v>0</v>
      </c>
      <c r="AI1088" s="60">
        <v>702.22</v>
      </c>
      <c r="AJ1088" s="60">
        <v>687.68</v>
      </c>
      <c r="AK1088" s="60">
        <v>753.2</v>
      </c>
      <c r="AL1088" s="60">
        <v>0</v>
      </c>
      <c r="AM1088" s="60">
        <v>0</v>
      </c>
      <c r="AN1088" s="60">
        <v>0</v>
      </c>
      <c r="AO1088" s="60">
        <v>702.22</v>
      </c>
      <c r="AP1088" s="60">
        <v>687.68</v>
      </c>
      <c r="AQ1088" s="60">
        <v>753.2</v>
      </c>
      <c r="AR1088" s="61">
        <v>753.2</v>
      </c>
    </row>
    <row r="1089" spans="1:44" x14ac:dyDescent="0.35">
      <c r="A1089" s="49" t="str">
        <f t="shared" si="93"/>
        <v>39</v>
      </c>
      <c r="B1089" s="27">
        <v>68676</v>
      </c>
      <c r="C1089" s="25" t="str">
        <f>TEXT(120725,"0000000")</f>
        <v>0120725</v>
      </c>
      <c r="D1089" s="27">
        <v>1142</v>
      </c>
      <c r="E1089" s="25" t="s">
        <v>2478</v>
      </c>
      <c r="F1089" s="25" t="s">
        <v>5</v>
      </c>
      <c r="G1089" s="59" t="s">
        <v>2479</v>
      </c>
      <c r="H1089" s="60">
        <v>0</v>
      </c>
      <c r="I1089" s="60">
        <v>0</v>
      </c>
      <c r="J1089" s="60">
        <v>0</v>
      </c>
      <c r="K1089" s="60">
        <v>0</v>
      </c>
      <c r="L1089" s="60">
        <v>0</v>
      </c>
      <c r="M1089" s="60">
        <v>0</v>
      </c>
      <c r="N1089" s="60">
        <v>0</v>
      </c>
      <c r="O1089" s="60">
        <v>0</v>
      </c>
      <c r="P1089" s="60">
        <v>0</v>
      </c>
      <c r="Q1089" s="60">
        <v>0</v>
      </c>
      <c r="R1089" s="60">
        <v>0</v>
      </c>
      <c r="S1089" s="60">
        <v>0</v>
      </c>
      <c r="T1089" s="60">
        <v>0</v>
      </c>
      <c r="U1089" s="60">
        <v>0</v>
      </c>
      <c r="V1089" s="60">
        <v>0</v>
      </c>
      <c r="W1089" s="60">
        <v>0</v>
      </c>
      <c r="X1089" s="60">
        <v>0</v>
      </c>
      <c r="Y1089" s="60">
        <v>0</v>
      </c>
      <c r="Z1089" s="60">
        <v>0</v>
      </c>
      <c r="AA1089" s="60">
        <v>0</v>
      </c>
      <c r="AB1089" s="60">
        <v>0</v>
      </c>
      <c r="AC1089" s="60">
        <v>349</v>
      </c>
      <c r="AD1089" s="60">
        <v>371.01</v>
      </c>
      <c r="AE1089" s="60">
        <v>446.05</v>
      </c>
      <c r="AF1089" s="60">
        <v>0</v>
      </c>
      <c r="AG1089" s="60">
        <v>0</v>
      </c>
      <c r="AH1089" s="60">
        <v>0</v>
      </c>
      <c r="AI1089" s="60">
        <v>349</v>
      </c>
      <c r="AJ1089" s="60">
        <v>371.01</v>
      </c>
      <c r="AK1089" s="60">
        <v>446.05</v>
      </c>
      <c r="AL1089" s="60">
        <v>0</v>
      </c>
      <c r="AM1089" s="60">
        <v>0</v>
      </c>
      <c r="AN1089" s="60">
        <v>0</v>
      </c>
      <c r="AO1089" s="60">
        <v>349</v>
      </c>
      <c r="AP1089" s="60">
        <v>371.01</v>
      </c>
      <c r="AQ1089" s="60">
        <v>446.05</v>
      </c>
      <c r="AR1089" s="61">
        <v>446.05</v>
      </c>
    </row>
    <row r="1090" spans="1:44" x14ac:dyDescent="0.35">
      <c r="A1090" s="49" t="str">
        <f>TEXT(1,"00")</f>
        <v>01</v>
      </c>
      <c r="B1090" s="27">
        <v>61259</v>
      </c>
      <c r="C1090" s="25" t="str">
        <f>TEXT(132514,"0000000")</f>
        <v>0132514</v>
      </c>
      <c r="D1090" s="27">
        <v>1708</v>
      </c>
      <c r="E1090" s="25" t="s">
        <v>129</v>
      </c>
      <c r="F1090" s="25" t="s">
        <v>5</v>
      </c>
      <c r="G1090" s="59" t="s">
        <v>130</v>
      </c>
      <c r="H1090" s="60">
        <v>0</v>
      </c>
      <c r="I1090" s="60">
        <v>0</v>
      </c>
      <c r="J1090" s="60">
        <v>0</v>
      </c>
      <c r="K1090" s="60">
        <v>0</v>
      </c>
      <c r="L1090" s="60">
        <v>0</v>
      </c>
      <c r="M1090" s="60">
        <v>0</v>
      </c>
      <c r="N1090" s="60">
        <v>0</v>
      </c>
      <c r="O1090" s="60">
        <v>0</v>
      </c>
      <c r="P1090" s="60">
        <v>0</v>
      </c>
      <c r="Q1090" s="60">
        <v>0</v>
      </c>
      <c r="R1090" s="60">
        <v>0</v>
      </c>
      <c r="S1090" s="60">
        <v>0</v>
      </c>
      <c r="T1090" s="60">
        <v>0</v>
      </c>
      <c r="U1090" s="60">
        <v>0</v>
      </c>
      <c r="V1090" s="60">
        <v>0</v>
      </c>
      <c r="W1090" s="60">
        <v>0</v>
      </c>
      <c r="X1090" s="60">
        <v>0</v>
      </c>
      <c r="Y1090" s="60">
        <v>0</v>
      </c>
      <c r="Z1090" s="60">
        <v>0</v>
      </c>
      <c r="AA1090" s="60">
        <v>0</v>
      </c>
      <c r="AB1090" s="60">
        <v>0</v>
      </c>
      <c r="AC1090" s="60">
        <v>306.92</v>
      </c>
      <c r="AD1090" s="60">
        <v>290.7</v>
      </c>
      <c r="AE1090" s="60">
        <v>297.10000000000002</v>
      </c>
      <c r="AF1090" s="60">
        <v>0</v>
      </c>
      <c r="AG1090" s="60">
        <v>0</v>
      </c>
      <c r="AH1090" s="60">
        <v>0</v>
      </c>
      <c r="AI1090" s="60">
        <v>306.92</v>
      </c>
      <c r="AJ1090" s="60">
        <v>290.7</v>
      </c>
      <c r="AK1090" s="60">
        <v>297.10000000000002</v>
      </c>
      <c r="AL1090" s="60">
        <v>0</v>
      </c>
      <c r="AM1090" s="60">
        <v>0</v>
      </c>
      <c r="AN1090" s="60">
        <v>0</v>
      </c>
      <c r="AO1090" s="60">
        <v>306.92</v>
      </c>
      <c r="AP1090" s="60">
        <v>290.7</v>
      </c>
      <c r="AQ1090" s="60">
        <v>297.10000000000002</v>
      </c>
      <c r="AR1090" s="61">
        <v>306.92</v>
      </c>
    </row>
    <row r="1091" spans="1:44" x14ac:dyDescent="0.35">
      <c r="A1091" s="49" t="str">
        <f t="shared" ref="A1091:A1100" si="94">TEXT(39,"00")</f>
        <v>39</v>
      </c>
      <c r="B1091" s="27">
        <v>68676</v>
      </c>
      <c r="C1091" s="25" t="str">
        <f>TEXT(120733,"0000000")</f>
        <v>0120733</v>
      </c>
      <c r="D1091" s="27">
        <v>1143</v>
      </c>
      <c r="E1091" s="25" t="s">
        <v>2480</v>
      </c>
      <c r="F1091" s="25" t="s">
        <v>5</v>
      </c>
      <c r="G1091" s="59" t="s">
        <v>2481</v>
      </c>
      <c r="H1091" s="60">
        <v>0</v>
      </c>
      <c r="I1091" s="60">
        <v>0</v>
      </c>
      <c r="J1091" s="60">
        <v>0</v>
      </c>
      <c r="K1091" s="60">
        <v>0</v>
      </c>
      <c r="L1091" s="60">
        <v>0</v>
      </c>
      <c r="M1091" s="60">
        <v>0</v>
      </c>
      <c r="N1091" s="60">
        <v>0</v>
      </c>
      <c r="O1091" s="60">
        <v>0</v>
      </c>
      <c r="P1091" s="60">
        <v>0</v>
      </c>
      <c r="Q1091" s="60">
        <v>0</v>
      </c>
      <c r="R1091" s="60">
        <v>0</v>
      </c>
      <c r="S1091" s="60">
        <v>0</v>
      </c>
      <c r="T1091" s="60">
        <v>0</v>
      </c>
      <c r="U1091" s="60">
        <v>0</v>
      </c>
      <c r="V1091" s="60">
        <v>0</v>
      </c>
      <c r="W1091" s="60">
        <v>0</v>
      </c>
      <c r="X1091" s="60">
        <v>0</v>
      </c>
      <c r="Y1091" s="60">
        <v>0</v>
      </c>
      <c r="Z1091" s="60">
        <v>0</v>
      </c>
      <c r="AA1091" s="60">
        <v>0</v>
      </c>
      <c r="AB1091" s="60">
        <v>0</v>
      </c>
      <c r="AC1091" s="60">
        <v>411.08</v>
      </c>
      <c r="AD1091" s="60">
        <v>435.2</v>
      </c>
      <c r="AE1091" s="60">
        <v>468.94</v>
      </c>
      <c r="AF1091" s="60">
        <v>0</v>
      </c>
      <c r="AG1091" s="60">
        <v>0</v>
      </c>
      <c r="AH1091" s="60">
        <v>0</v>
      </c>
      <c r="AI1091" s="60">
        <v>411.08</v>
      </c>
      <c r="AJ1091" s="60">
        <v>435.2</v>
      </c>
      <c r="AK1091" s="60">
        <v>468.94</v>
      </c>
      <c r="AL1091" s="60">
        <v>0</v>
      </c>
      <c r="AM1091" s="60">
        <v>0</v>
      </c>
      <c r="AN1091" s="60">
        <v>0</v>
      </c>
      <c r="AO1091" s="60">
        <v>411.08</v>
      </c>
      <c r="AP1091" s="60">
        <v>435.2</v>
      </c>
      <c r="AQ1091" s="60">
        <v>468.94</v>
      </c>
      <c r="AR1091" s="61">
        <v>468.94</v>
      </c>
    </row>
    <row r="1092" spans="1:44" x14ac:dyDescent="0.35">
      <c r="A1092" s="49" t="str">
        <f t="shared" si="94"/>
        <v>39</v>
      </c>
      <c r="B1092" s="27">
        <v>68676</v>
      </c>
      <c r="C1092" s="25" t="str">
        <f>TEXT(121541,"0000000")</f>
        <v>0121541</v>
      </c>
      <c r="D1092" s="27">
        <v>1552</v>
      </c>
      <c r="E1092" s="25" t="s">
        <v>2482</v>
      </c>
      <c r="F1092" s="25" t="s">
        <v>5</v>
      </c>
      <c r="G1092" s="59" t="s">
        <v>2483</v>
      </c>
      <c r="H1092" s="60">
        <v>0</v>
      </c>
      <c r="I1092" s="60">
        <v>0</v>
      </c>
      <c r="J1092" s="60">
        <v>0</v>
      </c>
      <c r="K1092" s="60">
        <v>0</v>
      </c>
      <c r="L1092" s="60">
        <v>0</v>
      </c>
      <c r="M1092" s="60">
        <v>0</v>
      </c>
      <c r="N1092" s="60">
        <v>0</v>
      </c>
      <c r="O1092" s="60">
        <v>0</v>
      </c>
      <c r="P1092" s="60">
        <v>0</v>
      </c>
      <c r="Q1092" s="60">
        <v>0</v>
      </c>
      <c r="R1092" s="60">
        <v>0</v>
      </c>
      <c r="S1092" s="60">
        <v>0</v>
      </c>
      <c r="T1092" s="60">
        <v>0</v>
      </c>
      <c r="U1092" s="60">
        <v>0</v>
      </c>
      <c r="V1092" s="60">
        <v>0</v>
      </c>
      <c r="W1092" s="60">
        <v>0</v>
      </c>
      <c r="X1092" s="60">
        <v>0</v>
      </c>
      <c r="Y1092" s="60">
        <v>0</v>
      </c>
      <c r="Z1092" s="60">
        <v>0</v>
      </c>
      <c r="AA1092" s="60">
        <v>0</v>
      </c>
      <c r="AB1092" s="60">
        <v>0</v>
      </c>
      <c r="AC1092" s="60">
        <v>255.14</v>
      </c>
      <c r="AD1092" s="60">
        <v>260.25</v>
      </c>
      <c r="AE1092" s="60">
        <v>301.57</v>
      </c>
      <c r="AF1092" s="60">
        <v>0</v>
      </c>
      <c r="AG1092" s="60">
        <v>0</v>
      </c>
      <c r="AH1092" s="60">
        <v>0</v>
      </c>
      <c r="AI1092" s="60">
        <v>255.14</v>
      </c>
      <c r="AJ1092" s="60">
        <v>260.25</v>
      </c>
      <c r="AK1092" s="60">
        <v>301.57</v>
      </c>
      <c r="AL1092" s="60">
        <v>0</v>
      </c>
      <c r="AM1092" s="60">
        <v>0</v>
      </c>
      <c r="AN1092" s="60">
        <v>0</v>
      </c>
      <c r="AO1092" s="60">
        <v>255.14</v>
      </c>
      <c r="AP1092" s="60">
        <v>260.25</v>
      </c>
      <c r="AQ1092" s="60">
        <v>301.57</v>
      </c>
      <c r="AR1092" s="61">
        <v>301.57</v>
      </c>
    </row>
    <row r="1093" spans="1:44" x14ac:dyDescent="0.35">
      <c r="A1093" s="49" t="str">
        <f t="shared" si="94"/>
        <v>39</v>
      </c>
      <c r="B1093" s="27">
        <v>68676</v>
      </c>
      <c r="C1093" s="25" t="str">
        <f>TEXT(136283,"0000000")</f>
        <v>0136283</v>
      </c>
      <c r="D1093" s="27">
        <v>1890</v>
      </c>
      <c r="E1093" s="25" t="s">
        <v>2484</v>
      </c>
      <c r="F1093" s="25" t="s">
        <v>5</v>
      </c>
      <c r="G1093" s="59" t="s">
        <v>2485</v>
      </c>
      <c r="H1093" s="60">
        <v>0</v>
      </c>
      <c r="I1093" s="60">
        <v>0</v>
      </c>
      <c r="J1093" s="60">
        <v>0</v>
      </c>
      <c r="K1093" s="60">
        <v>0</v>
      </c>
      <c r="L1093" s="60">
        <v>0</v>
      </c>
      <c r="M1093" s="60">
        <v>0</v>
      </c>
      <c r="N1093" s="60">
        <v>0</v>
      </c>
      <c r="O1093" s="60">
        <v>0</v>
      </c>
      <c r="P1093" s="60">
        <v>0</v>
      </c>
      <c r="Q1093" s="60">
        <v>0</v>
      </c>
      <c r="R1093" s="60">
        <v>0</v>
      </c>
      <c r="S1093" s="60">
        <v>0</v>
      </c>
      <c r="T1093" s="60">
        <v>0</v>
      </c>
      <c r="U1093" s="60">
        <v>0</v>
      </c>
      <c r="V1093" s="60">
        <v>0</v>
      </c>
      <c r="W1093" s="60">
        <v>0</v>
      </c>
      <c r="X1093" s="60">
        <v>0</v>
      </c>
      <c r="Y1093" s="60">
        <v>0</v>
      </c>
      <c r="Z1093" s="60">
        <v>0</v>
      </c>
      <c r="AA1093" s="60">
        <v>0</v>
      </c>
      <c r="AB1093" s="60">
        <v>0</v>
      </c>
      <c r="AC1093" s="60">
        <v>178.75</v>
      </c>
      <c r="AD1093" s="60">
        <v>0</v>
      </c>
      <c r="AE1093" s="60">
        <v>0</v>
      </c>
      <c r="AF1093" s="60">
        <v>0</v>
      </c>
      <c r="AG1093" s="60">
        <v>0</v>
      </c>
      <c r="AH1093" s="60">
        <v>0</v>
      </c>
      <c r="AI1093" s="60">
        <v>178.75</v>
      </c>
      <c r="AJ1093" s="60">
        <v>0</v>
      </c>
      <c r="AK1093" s="60">
        <v>0</v>
      </c>
      <c r="AL1093" s="60">
        <v>0</v>
      </c>
      <c r="AM1093" s="60">
        <v>186.47</v>
      </c>
      <c r="AN1093" s="60">
        <v>210.52</v>
      </c>
      <c r="AO1093" s="60">
        <v>178.75</v>
      </c>
      <c r="AP1093" s="60">
        <v>186.47</v>
      </c>
      <c r="AQ1093" s="60">
        <v>210.52</v>
      </c>
      <c r="AR1093" s="61">
        <v>210.52</v>
      </c>
    </row>
    <row r="1094" spans="1:44" x14ac:dyDescent="0.35">
      <c r="A1094" s="49" t="str">
        <f t="shared" si="94"/>
        <v>39</v>
      </c>
      <c r="B1094" s="27">
        <v>68676</v>
      </c>
      <c r="C1094" s="25" t="str">
        <f>TEXT(139865,"0000000")</f>
        <v>0139865</v>
      </c>
      <c r="D1094" s="27">
        <v>2064</v>
      </c>
      <c r="E1094" s="25" t="s">
        <v>2486</v>
      </c>
      <c r="F1094" s="25" t="s">
        <v>5</v>
      </c>
      <c r="G1094" s="59" t="s">
        <v>2487</v>
      </c>
      <c r="H1094" s="60">
        <v>0</v>
      </c>
      <c r="I1094" s="60">
        <v>0</v>
      </c>
      <c r="J1094" s="60">
        <v>0</v>
      </c>
      <c r="K1094" s="60">
        <v>0</v>
      </c>
      <c r="L1094" s="60">
        <v>0</v>
      </c>
      <c r="M1094" s="60">
        <v>0</v>
      </c>
      <c r="N1094" s="60">
        <v>0</v>
      </c>
      <c r="O1094" s="60">
        <v>0</v>
      </c>
      <c r="P1094" s="60">
        <v>0</v>
      </c>
      <c r="Q1094" s="60">
        <v>0</v>
      </c>
      <c r="R1094" s="60">
        <v>0</v>
      </c>
      <c r="S1094" s="60">
        <v>0</v>
      </c>
      <c r="T1094" s="60">
        <v>0</v>
      </c>
      <c r="U1094" s="60">
        <v>0</v>
      </c>
      <c r="V1094" s="60">
        <v>0</v>
      </c>
      <c r="W1094" s="60">
        <v>0</v>
      </c>
      <c r="X1094" s="60">
        <v>0</v>
      </c>
      <c r="Y1094" s="60">
        <v>0</v>
      </c>
      <c r="Z1094" s="60">
        <v>0</v>
      </c>
      <c r="AA1094" s="60">
        <v>0</v>
      </c>
      <c r="AB1094" s="60">
        <v>0</v>
      </c>
      <c r="AC1094" s="60">
        <v>127.45</v>
      </c>
      <c r="AD1094" s="60">
        <v>72.180000000000007</v>
      </c>
      <c r="AE1094" s="60">
        <v>39.200000000000003</v>
      </c>
      <c r="AF1094" s="60">
        <v>0</v>
      </c>
      <c r="AG1094" s="60">
        <v>0</v>
      </c>
      <c r="AH1094" s="60">
        <v>0</v>
      </c>
      <c r="AI1094" s="60">
        <v>127.45</v>
      </c>
      <c r="AJ1094" s="60">
        <v>72.180000000000007</v>
      </c>
      <c r="AK1094" s="60">
        <v>39.200000000000003</v>
      </c>
      <c r="AL1094" s="60">
        <v>0</v>
      </c>
      <c r="AM1094" s="60">
        <v>0</v>
      </c>
      <c r="AN1094" s="60">
        <v>0</v>
      </c>
      <c r="AO1094" s="60">
        <v>127.45</v>
      </c>
      <c r="AP1094" s="60">
        <v>72.180000000000007</v>
      </c>
      <c r="AQ1094" s="60">
        <v>39.200000000000003</v>
      </c>
      <c r="AR1094" s="61">
        <v>127.45</v>
      </c>
    </row>
    <row r="1095" spans="1:44" x14ac:dyDescent="0.35">
      <c r="A1095" s="49" t="str">
        <f t="shared" si="94"/>
        <v>39</v>
      </c>
      <c r="B1095" s="27">
        <v>68676</v>
      </c>
      <c r="C1095" s="25" t="str">
        <f>TEXT(139923,"0000000")</f>
        <v>0139923</v>
      </c>
      <c r="D1095" s="27">
        <v>2063</v>
      </c>
      <c r="E1095" s="25" t="s">
        <v>2490</v>
      </c>
      <c r="F1095" s="25" t="s">
        <v>5</v>
      </c>
      <c r="G1095" s="59" t="s">
        <v>2491</v>
      </c>
      <c r="H1095" s="60">
        <v>0</v>
      </c>
      <c r="I1095" s="60">
        <v>0</v>
      </c>
      <c r="J1095" s="60">
        <v>0</v>
      </c>
      <c r="K1095" s="60">
        <v>0</v>
      </c>
      <c r="L1095" s="60">
        <v>0</v>
      </c>
      <c r="M1095" s="60">
        <v>0</v>
      </c>
      <c r="N1095" s="60">
        <v>0</v>
      </c>
      <c r="O1095" s="60">
        <v>0</v>
      </c>
      <c r="P1095" s="60">
        <v>0</v>
      </c>
      <c r="Q1095" s="60">
        <v>0</v>
      </c>
      <c r="R1095" s="60">
        <v>0</v>
      </c>
      <c r="S1095" s="60">
        <v>0</v>
      </c>
      <c r="T1095" s="60">
        <v>0</v>
      </c>
      <c r="U1095" s="60">
        <v>0</v>
      </c>
      <c r="V1095" s="60">
        <v>0</v>
      </c>
      <c r="W1095" s="60">
        <v>0</v>
      </c>
      <c r="X1095" s="60">
        <v>0</v>
      </c>
      <c r="Y1095" s="60">
        <v>0</v>
      </c>
      <c r="Z1095" s="60">
        <v>0</v>
      </c>
      <c r="AA1095" s="60">
        <v>0</v>
      </c>
      <c r="AB1095" s="60">
        <v>0</v>
      </c>
      <c r="AC1095" s="60">
        <v>155.57</v>
      </c>
      <c r="AD1095" s="60">
        <v>81.38</v>
      </c>
      <c r="AE1095" s="60">
        <v>64</v>
      </c>
      <c r="AF1095" s="60">
        <v>0</v>
      </c>
      <c r="AG1095" s="60">
        <v>0</v>
      </c>
      <c r="AH1095" s="60">
        <v>0</v>
      </c>
      <c r="AI1095" s="60">
        <v>155.57</v>
      </c>
      <c r="AJ1095" s="60">
        <v>81.38</v>
      </c>
      <c r="AK1095" s="60">
        <v>64</v>
      </c>
      <c r="AL1095" s="60">
        <v>0</v>
      </c>
      <c r="AM1095" s="60">
        <v>0</v>
      </c>
      <c r="AN1095" s="60">
        <v>0</v>
      </c>
      <c r="AO1095" s="60">
        <v>155.57</v>
      </c>
      <c r="AP1095" s="60">
        <v>81.38</v>
      </c>
      <c r="AQ1095" s="60">
        <v>64</v>
      </c>
      <c r="AR1095" s="61">
        <v>155.57</v>
      </c>
    </row>
    <row r="1096" spans="1:44" x14ac:dyDescent="0.35">
      <c r="A1096" s="49" t="str">
        <f t="shared" si="94"/>
        <v>39</v>
      </c>
      <c r="B1096" s="27">
        <v>68676</v>
      </c>
      <c r="C1096" s="25" t="str">
        <f>TEXT(140616,"0000000")</f>
        <v>0140616</v>
      </c>
      <c r="D1096" s="27">
        <v>2109</v>
      </c>
      <c r="E1096" s="25" t="s">
        <v>2492</v>
      </c>
      <c r="F1096" s="25" t="s">
        <v>5</v>
      </c>
      <c r="G1096" s="59" t="s">
        <v>2493</v>
      </c>
      <c r="H1096" s="60">
        <v>0</v>
      </c>
      <c r="I1096" s="60">
        <v>0</v>
      </c>
      <c r="J1096" s="60">
        <v>0</v>
      </c>
      <c r="K1096" s="60">
        <v>0</v>
      </c>
      <c r="L1096" s="60">
        <v>0</v>
      </c>
      <c r="M1096" s="60">
        <v>0</v>
      </c>
      <c r="N1096" s="60">
        <v>0</v>
      </c>
      <c r="O1096" s="60">
        <v>0</v>
      </c>
      <c r="P1096" s="60">
        <v>0</v>
      </c>
      <c r="Q1096" s="60">
        <v>0</v>
      </c>
      <c r="R1096" s="60">
        <v>0</v>
      </c>
      <c r="S1096" s="60">
        <v>0</v>
      </c>
      <c r="T1096" s="60">
        <v>0</v>
      </c>
      <c r="U1096" s="60">
        <v>0</v>
      </c>
      <c r="V1096" s="60">
        <v>0</v>
      </c>
      <c r="W1096" s="60">
        <v>0</v>
      </c>
      <c r="X1096" s="60">
        <v>0</v>
      </c>
      <c r="Y1096" s="60">
        <v>0</v>
      </c>
      <c r="Z1096" s="60">
        <v>0</v>
      </c>
      <c r="AA1096" s="60">
        <v>0</v>
      </c>
      <c r="AB1096" s="60">
        <v>0</v>
      </c>
      <c r="AC1096" s="60">
        <v>69.5</v>
      </c>
      <c r="AD1096" s="60">
        <v>44.93</v>
      </c>
      <c r="AE1096" s="60">
        <v>0</v>
      </c>
      <c r="AF1096" s="60">
        <v>0</v>
      </c>
      <c r="AG1096" s="60">
        <v>0</v>
      </c>
      <c r="AH1096" s="60">
        <v>0</v>
      </c>
      <c r="AI1096" s="60">
        <v>69.5</v>
      </c>
      <c r="AJ1096" s="60">
        <v>44.93</v>
      </c>
      <c r="AK1096" s="60">
        <v>0</v>
      </c>
      <c r="AL1096" s="60">
        <v>0</v>
      </c>
      <c r="AM1096" s="60">
        <v>0</v>
      </c>
      <c r="AN1096" s="60">
        <v>0</v>
      </c>
      <c r="AO1096" s="60">
        <v>69.5</v>
      </c>
      <c r="AP1096" s="60">
        <v>44.93</v>
      </c>
      <c r="AQ1096" s="60">
        <v>0</v>
      </c>
      <c r="AR1096" s="61">
        <v>69.5</v>
      </c>
    </row>
    <row r="1097" spans="1:44" x14ac:dyDescent="0.35">
      <c r="A1097" s="49" t="str">
        <f t="shared" si="94"/>
        <v>39</v>
      </c>
      <c r="B1097" s="27">
        <v>68676</v>
      </c>
      <c r="C1097" s="25" t="str">
        <f>TEXT(141358,"0000000")</f>
        <v>0141358</v>
      </c>
      <c r="D1097" s="27">
        <v>2124</v>
      </c>
      <c r="E1097" s="25" t="s">
        <v>2494</v>
      </c>
      <c r="F1097" s="25" t="s">
        <v>5</v>
      </c>
      <c r="G1097" s="59" t="s">
        <v>2495</v>
      </c>
      <c r="H1097" s="60">
        <v>0</v>
      </c>
      <c r="I1097" s="60">
        <v>0</v>
      </c>
      <c r="J1097" s="60">
        <v>0</v>
      </c>
      <c r="K1097" s="60">
        <v>0</v>
      </c>
      <c r="L1097" s="60">
        <v>0</v>
      </c>
      <c r="M1097" s="60">
        <v>0</v>
      </c>
      <c r="N1097" s="60">
        <v>0</v>
      </c>
      <c r="O1097" s="60">
        <v>0</v>
      </c>
      <c r="P1097" s="60">
        <v>0</v>
      </c>
      <c r="Q1097" s="60">
        <v>0</v>
      </c>
      <c r="R1097" s="60">
        <v>0</v>
      </c>
      <c r="S1097" s="60">
        <v>0</v>
      </c>
      <c r="T1097" s="60">
        <v>0</v>
      </c>
      <c r="U1097" s="60">
        <v>0</v>
      </c>
      <c r="V1097" s="60">
        <v>0</v>
      </c>
      <c r="W1097" s="60">
        <v>0</v>
      </c>
      <c r="X1097" s="60">
        <v>0</v>
      </c>
      <c r="Y1097" s="60">
        <v>0</v>
      </c>
      <c r="Z1097" s="60">
        <v>0</v>
      </c>
      <c r="AA1097" s="60">
        <v>0</v>
      </c>
      <c r="AB1097" s="60">
        <v>0</v>
      </c>
      <c r="AC1097" s="60">
        <v>29.19</v>
      </c>
      <c r="AD1097" s="60">
        <v>0</v>
      </c>
      <c r="AE1097" s="60">
        <v>0</v>
      </c>
      <c r="AF1097" s="60">
        <v>0</v>
      </c>
      <c r="AG1097" s="60">
        <v>0</v>
      </c>
      <c r="AH1097" s="60">
        <v>0</v>
      </c>
      <c r="AI1097" s="60">
        <v>29.19</v>
      </c>
      <c r="AJ1097" s="60">
        <v>0</v>
      </c>
      <c r="AK1097" s="60">
        <v>0</v>
      </c>
      <c r="AL1097" s="60">
        <v>0</v>
      </c>
      <c r="AM1097" s="60">
        <v>0</v>
      </c>
      <c r="AN1097" s="60">
        <v>0</v>
      </c>
      <c r="AO1097" s="60">
        <v>29.19</v>
      </c>
      <c r="AP1097" s="60">
        <v>0</v>
      </c>
      <c r="AQ1097" s="60">
        <v>0</v>
      </c>
      <c r="AR1097" s="61">
        <v>29.19</v>
      </c>
    </row>
    <row r="1098" spans="1:44" x14ac:dyDescent="0.35">
      <c r="A1098" s="49" t="str">
        <f t="shared" si="94"/>
        <v>39</v>
      </c>
      <c r="B1098" s="27">
        <v>75499</v>
      </c>
      <c r="C1098" s="25" t="str">
        <f>TEXT(102384,"0000000")</f>
        <v>0102384</v>
      </c>
      <c r="D1098" s="26" t="s">
        <v>2500</v>
      </c>
      <c r="E1098" s="25" t="s">
        <v>2498</v>
      </c>
      <c r="F1098" s="25" t="s">
        <v>5</v>
      </c>
      <c r="G1098" s="59" t="s">
        <v>2499</v>
      </c>
      <c r="H1098" s="60">
        <v>0</v>
      </c>
      <c r="I1098" s="60">
        <v>0</v>
      </c>
      <c r="J1098" s="60">
        <v>0</v>
      </c>
      <c r="K1098" s="60">
        <v>0</v>
      </c>
      <c r="L1098" s="60">
        <v>0</v>
      </c>
      <c r="M1098" s="60">
        <v>0</v>
      </c>
      <c r="N1098" s="60">
        <v>0</v>
      </c>
      <c r="O1098" s="60">
        <v>0</v>
      </c>
      <c r="P1098" s="60">
        <v>0</v>
      </c>
      <c r="Q1098" s="60">
        <v>0</v>
      </c>
      <c r="R1098" s="60">
        <v>0</v>
      </c>
      <c r="S1098" s="60">
        <v>0</v>
      </c>
      <c r="T1098" s="60">
        <v>0</v>
      </c>
      <c r="U1098" s="60">
        <v>0</v>
      </c>
      <c r="V1098" s="60">
        <v>0</v>
      </c>
      <c r="W1098" s="60">
        <v>0</v>
      </c>
      <c r="X1098" s="60">
        <v>0</v>
      </c>
      <c r="Y1098" s="60">
        <v>0</v>
      </c>
      <c r="Z1098" s="60">
        <v>0</v>
      </c>
      <c r="AA1098" s="60">
        <v>0</v>
      </c>
      <c r="AB1098" s="60">
        <v>0</v>
      </c>
      <c r="AC1098" s="60">
        <v>374.12</v>
      </c>
      <c r="AD1098" s="60">
        <v>358.61</v>
      </c>
      <c r="AE1098" s="60">
        <v>374.89</v>
      </c>
      <c r="AF1098" s="60">
        <v>0</v>
      </c>
      <c r="AG1098" s="60">
        <v>0</v>
      </c>
      <c r="AH1098" s="60">
        <v>0</v>
      </c>
      <c r="AI1098" s="60">
        <v>374.12</v>
      </c>
      <c r="AJ1098" s="60">
        <v>358.61</v>
      </c>
      <c r="AK1098" s="60">
        <v>374.89</v>
      </c>
      <c r="AL1098" s="60">
        <v>0</v>
      </c>
      <c r="AM1098" s="60">
        <v>0</v>
      </c>
      <c r="AN1098" s="60">
        <v>0</v>
      </c>
      <c r="AO1098" s="60">
        <v>374.12</v>
      </c>
      <c r="AP1098" s="60">
        <v>358.61</v>
      </c>
      <c r="AQ1098" s="60">
        <v>374.89</v>
      </c>
      <c r="AR1098" s="61">
        <v>374.89</v>
      </c>
    </row>
    <row r="1099" spans="1:44" x14ac:dyDescent="0.35">
      <c r="A1099" s="49" t="str">
        <f t="shared" si="94"/>
        <v>39</v>
      </c>
      <c r="B1099" s="27">
        <v>75499</v>
      </c>
      <c r="C1099" s="25" t="str">
        <f>TEXT(102392,"0000000")</f>
        <v>0102392</v>
      </c>
      <c r="D1099" s="26" t="s">
        <v>2503</v>
      </c>
      <c r="E1099" s="25" t="s">
        <v>2501</v>
      </c>
      <c r="F1099" s="25" t="s">
        <v>5</v>
      </c>
      <c r="G1099" s="59" t="s">
        <v>2502</v>
      </c>
      <c r="H1099" s="60">
        <v>0</v>
      </c>
      <c r="I1099" s="60">
        <v>0</v>
      </c>
      <c r="J1099" s="60">
        <v>0</v>
      </c>
      <c r="K1099" s="60">
        <v>0</v>
      </c>
      <c r="L1099" s="60">
        <v>0</v>
      </c>
      <c r="M1099" s="60">
        <v>0</v>
      </c>
      <c r="N1099" s="60">
        <v>0</v>
      </c>
      <c r="O1099" s="60">
        <v>0</v>
      </c>
      <c r="P1099" s="60">
        <v>0</v>
      </c>
      <c r="Q1099" s="60">
        <v>0</v>
      </c>
      <c r="R1099" s="60">
        <v>0</v>
      </c>
      <c r="S1099" s="60">
        <v>0</v>
      </c>
      <c r="T1099" s="60">
        <v>0</v>
      </c>
      <c r="U1099" s="60">
        <v>0</v>
      </c>
      <c r="V1099" s="60">
        <v>0</v>
      </c>
      <c r="W1099" s="60">
        <v>0</v>
      </c>
      <c r="X1099" s="60">
        <v>0</v>
      </c>
      <c r="Y1099" s="60">
        <v>0</v>
      </c>
      <c r="Z1099" s="60">
        <v>0</v>
      </c>
      <c r="AA1099" s="60">
        <v>0</v>
      </c>
      <c r="AB1099" s="60">
        <v>0</v>
      </c>
      <c r="AC1099" s="60">
        <v>456.64</v>
      </c>
      <c r="AD1099" s="60">
        <v>498.91</v>
      </c>
      <c r="AE1099" s="60">
        <v>521.74</v>
      </c>
      <c r="AF1099" s="60">
        <v>0</v>
      </c>
      <c r="AG1099" s="60">
        <v>0</v>
      </c>
      <c r="AH1099" s="60">
        <v>0</v>
      </c>
      <c r="AI1099" s="60">
        <v>456.64</v>
      </c>
      <c r="AJ1099" s="60">
        <v>498.91</v>
      </c>
      <c r="AK1099" s="60">
        <v>521.74</v>
      </c>
      <c r="AL1099" s="60">
        <v>0</v>
      </c>
      <c r="AM1099" s="60">
        <v>0</v>
      </c>
      <c r="AN1099" s="60">
        <v>0</v>
      </c>
      <c r="AO1099" s="60">
        <v>456.64</v>
      </c>
      <c r="AP1099" s="60">
        <v>498.91</v>
      </c>
      <c r="AQ1099" s="60">
        <v>521.74</v>
      </c>
      <c r="AR1099" s="61">
        <v>521.74</v>
      </c>
    </row>
    <row r="1100" spans="1:44" x14ac:dyDescent="0.35">
      <c r="A1100" s="49" t="str">
        <f t="shared" si="94"/>
        <v>39</v>
      </c>
      <c r="B1100" s="27">
        <v>75499</v>
      </c>
      <c r="C1100" s="25" t="str">
        <f>TEXT(6118665,"0000000")</f>
        <v>6118665</v>
      </c>
      <c r="D1100" s="26" t="s">
        <v>2506</v>
      </c>
      <c r="E1100" s="25" t="s">
        <v>2504</v>
      </c>
      <c r="F1100" s="25" t="s">
        <v>5</v>
      </c>
      <c r="G1100" s="59" t="s">
        <v>2505</v>
      </c>
      <c r="H1100" s="60">
        <v>0</v>
      </c>
      <c r="I1100" s="60">
        <v>0</v>
      </c>
      <c r="J1100" s="60">
        <v>0</v>
      </c>
      <c r="K1100" s="60">
        <v>0</v>
      </c>
      <c r="L1100" s="60">
        <v>0</v>
      </c>
      <c r="M1100" s="60">
        <v>0</v>
      </c>
      <c r="N1100" s="60">
        <v>0</v>
      </c>
      <c r="O1100" s="60">
        <v>0</v>
      </c>
      <c r="P1100" s="60">
        <v>0</v>
      </c>
      <c r="Q1100" s="60">
        <v>0</v>
      </c>
      <c r="R1100" s="60">
        <v>0</v>
      </c>
      <c r="S1100" s="60">
        <v>0</v>
      </c>
      <c r="T1100" s="60">
        <v>0</v>
      </c>
      <c r="U1100" s="60">
        <v>0</v>
      </c>
      <c r="V1100" s="60">
        <v>0</v>
      </c>
      <c r="W1100" s="60">
        <v>0</v>
      </c>
      <c r="X1100" s="60">
        <v>0</v>
      </c>
      <c r="Y1100" s="60">
        <v>0</v>
      </c>
      <c r="Z1100" s="60">
        <v>0</v>
      </c>
      <c r="AA1100" s="60">
        <v>0</v>
      </c>
      <c r="AB1100" s="60">
        <v>0</v>
      </c>
      <c r="AC1100" s="60">
        <v>348.5</v>
      </c>
      <c r="AD1100" s="60">
        <v>344.7</v>
      </c>
      <c r="AE1100" s="60">
        <v>356.45</v>
      </c>
      <c r="AF1100" s="60">
        <v>0</v>
      </c>
      <c r="AG1100" s="60">
        <v>0</v>
      </c>
      <c r="AH1100" s="60">
        <v>0</v>
      </c>
      <c r="AI1100" s="60">
        <v>348.5</v>
      </c>
      <c r="AJ1100" s="60">
        <v>344.7</v>
      </c>
      <c r="AK1100" s="60">
        <v>356.45</v>
      </c>
      <c r="AL1100" s="60">
        <v>0</v>
      </c>
      <c r="AM1100" s="60">
        <v>0</v>
      </c>
      <c r="AN1100" s="60">
        <v>0</v>
      </c>
      <c r="AO1100" s="60">
        <v>348.5</v>
      </c>
      <c r="AP1100" s="60">
        <v>344.7</v>
      </c>
      <c r="AQ1100" s="60">
        <v>356.45</v>
      </c>
      <c r="AR1100" s="61">
        <v>356.45</v>
      </c>
    </row>
    <row r="1101" spans="1:44" ht="31" x14ac:dyDescent="0.35">
      <c r="A1101" s="49" t="str">
        <f>TEXT(1,"00")</f>
        <v>01</v>
      </c>
      <c r="B1101" s="27">
        <v>61259</v>
      </c>
      <c r="C1101" s="25" t="str">
        <f>TEXT(134015,"0000000")</f>
        <v>0134015</v>
      </c>
      <c r="D1101" s="27">
        <v>1783</v>
      </c>
      <c r="E1101" s="25" t="s">
        <v>131</v>
      </c>
      <c r="F1101" s="25" t="s">
        <v>5</v>
      </c>
      <c r="G1101" s="59" t="s">
        <v>132</v>
      </c>
      <c r="H1101" s="60">
        <v>0</v>
      </c>
      <c r="I1101" s="60">
        <v>0</v>
      </c>
      <c r="J1101" s="60">
        <v>0</v>
      </c>
      <c r="K1101" s="60">
        <v>0</v>
      </c>
      <c r="L1101" s="60">
        <v>0</v>
      </c>
      <c r="M1101" s="60">
        <v>0</v>
      </c>
      <c r="N1101" s="60">
        <v>0</v>
      </c>
      <c r="O1101" s="60">
        <v>0</v>
      </c>
      <c r="P1101" s="60">
        <v>0</v>
      </c>
      <c r="Q1101" s="60">
        <v>0</v>
      </c>
      <c r="R1101" s="60">
        <v>0</v>
      </c>
      <c r="S1101" s="60">
        <v>0</v>
      </c>
      <c r="T1101" s="60">
        <v>0</v>
      </c>
      <c r="U1101" s="60">
        <v>0</v>
      </c>
      <c r="V1101" s="60">
        <v>0</v>
      </c>
      <c r="W1101" s="60">
        <v>0</v>
      </c>
      <c r="X1101" s="60">
        <v>0</v>
      </c>
      <c r="Y1101" s="60">
        <v>0</v>
      </c>
      <c r="Z1101" s="60">
        <v>0</v>
      </c>
      <c r="AA1101" s="60">
        <v>0</v>
      </c>
      <c r="AB1101" s="60">
        <v>0</v>
      </c>
      <c r="AC1101" s="60">
        <v>625.91</v>
      </c>
      <c r="AD1101" s="60">
        <v>587.29999999999995</v>
      </c>
      <c r="AE1101" s="60">
        <v>596.9</v>
      </c>
      <c r="AF1101" s="60">
        <v>0</v>
      </c>
      <c r="AG1101" s="60">
        <v>0</v>
      </c>
      <c r="AH1101" s="60">
        <v>0</v>
      </c>
      <c r="AI1101" s="60">
        <v>625.91</v>
      </c>
      <c r="AJ1101" s="60">
        <v>587.29999999999995</v>
      </c>
      <c r="AK1101" s="60">
        <v>596.9</v>
      </c>
      <c r="AL1101" s="60">
        <v>0</v>
      </c>
      <c r="AM1101" s="60">
        <v>0</v>
      </c>
      <c r="AN1101" s="60">
        <v>0</v>
      </c>
      <c r="AO1101" s="60">
        <v>625.91</v>
      </c>
      <c r="AP1101" s="60">
        <v>587.29999999999995</v>
      </c>
      <c r="AQ1101" s="60">
        <v>596.9</v>
      </c>
      <c r="AR1101" s="61">
        <v>625.91</v>
      </c>
    </row>
    <row r="1102" spans="1:44" x14ac:dyDescent="0.35">
      <c r="A1102" s="49" t="str">
        <f>TEXT(41,"00")</f>
        <v>41</v>
      </c>
      <c r="B1102" s="27">
        <v>68916</v>
      </c>
      <c r="C1102" s="25" t="str">
        <f>TEXT(112284,"0000000")</f>
        <v>0112284</v>
      </c>
      <c r="D1102" s="26" t="s">
        <v>2557</v>
      </c>
      <c r="E1102" s="25" t="s">
        <v>2555</v>
      </c>
      <c r="F1102" s="25" t="s">
        <v>5</v>
      </c>
      <c r="G1102" s="59" t="s">
        <v>2556</v>
      </c>
      <c r="H1102" s="60">
        <v>0</v>
      </c>
      <c r="I1102" s="60">
        <v>0</v>
      </c>
      <c r="J1102" s="60">
        <v>0</v>
      </c>
      <c r="K1102" s="60">
        <v>0</v>
      </c>
      <c r="L1102" s="60">
        <v>0</v>
      </c>
      <c r="M1102" s="60">
        <v>0</v>
      </c>
      <c r="N1102" s="60">
        <v>0</v>
      </c>
      <c r="O1102" s="60">
        <v>0</v>
      </c>
      <c r="P1102" s="60">
        <v>0</v>
      </c>
      <c r="Q1102" s="60">
        <v>0</v>
      </c>
      <c r="R1102" s="60">
        <v>0</v>
      </c>
      <c r="S1102" s="60">
        <v>0</v>
      </c>
      <c r="T1102" s="60">
        <v>0</v>
      </c>
      <c r="U1102" s="60">
        <v>0</v>
      </c>
      <c r="V1102" s="60">
        <v>0</v>
      </c>
      <c r="W1102" s="60">
        <v>0</v>
      </c>
      <c r="X1102" s="60">
        <v>0</v>
      </c>
      <c r="Y1102" s="60">
        <v>0</v>
      </c>
      <c r="Z1102" s="60">
        <v>0</v>
      </c>
      <c r="AA1102" s="60">
        <v>0</v>
      </c>
      <c r="AB1102" s="60">
        <v>0</v>
      </c>
      <c r="AC1102" s="60">
        <v>1011.82</v>
      </c>
      <c r="AD1102" s="60">
        <v>1046.3</v>
      </c>
      <c r="AE1102" s="60">
        <v>751.6</v>
      </c>
      <c r="AF1102" s="60">
        <v>0</v>
      </c>
      <c r="AG1102" s="60">
        <v>0</v>
      </c>
      <c r="AH1102" s="60">
        <v>0</v>
      </c>
      <c r="AI1102" s="60">
        <v>1011.82</v>
      </c>
      <c r="AJ1102" s="60">
        <v>1046.3</v>
      </c>
      <c r="AK1102" s="60">
        <v>751.6</v>
      </c>
      <c r="AL1102" s="60">
        <v>0</v>
      </c>
      <c r="AM1102" s="60">
        <v>0</v>
      </c>
      <c r="AN1102" s="60">
        <v>0</v>
      </c>
      <c r="AO1102" s="60">
        <v>1011.82</v>
      </c>
      <c r="AP1102" s="60">
        <v>1046.3</v>
      </c>
      <c r="AQ1102" s="60">
        <v>751.6</v>
      </c>
      <c r="AR1102" s="61">
        <v>1046.3</v>
      </c>
    </row>
    <row r="1103" spans="1:44" x14ac:dyDescent="0.35">
      <c r="A1103" s="49" t="str">
        <f>TEXT(41,"00")</f>
        <v>41</v>
      </c>
      <c r="B1103" s="27">
        <v>68924</v>
      </c>
      <c r="C1103" s="25" t="str">
        <f>TEXT(127548,"0000000")</f>
        <v>0127548</v>
      </c>
      <c r="D1103" s="27">
        <v>1500</v>
      </c>
      <c r="E1103" s="25" t="s">
        <v>2560</v>
      </c>
      <c r="F1103" s="25" t="s">
        <v>5</v>
      </c>
      <c r="G1103" s="59" t="s">
        <v>2561</v>
      </c>
      <c r="H1103" s="60">
        <v>0</v>
      </c>
      <c r="I1103" s="60">
        <v>0</v>
      </c>
      <c r="J1103" s="60">
        <v>0</v>
      </c>
      <c r="K1103" s="60">
        <v>0</v>
      </c>
      <c r="L1103" s="60">
        <v>0</v>
      </c>
      <c r="M1103" s="60">
        <v>0</v>
      </c>
      <c r="N1103" s="60">
        <v>0</v>
      </c>
      <c r="O1103" s="60">
        <v>0</v>
      </c>
      <c r="P1103" s="60">
        <v>0</v>
      </c>
      <c r="Q1103" s="60">
        <v>0</v>
      </c>
      <c r="R1103" s="60">
        <v>0</v>
      </c>
      <c r="S1103" s="60">
        <v>0</v>
      </c>
      <c r="T1103" s="60">
        <v>0</v>
      </c>
      <c r="U1103" s="60">
        <v>0</v>
      </c>
      <c r="V1103" s="60">
        <v>0</v>
      </c>
      <c r="W1103" s="60">
        <v>0</v>
      </c>
      <c r="X1103" s="60">
        <v>0</v>
      </c>
      <c r="Y1103" s="60">
        <v>0</v>
      </c>
      <c r="Z1103" s="60">
        <v>0</v>
      </c>
      <c r="AA1103" s="60">
        <v>0</v>
      </c>
      <c r="AB1103" s="60">
        <v>0</v>
      </c>
      <c r="AC1103" s="60">
        <v>413.14</v>
      </c>
      <c r="AD1103" s="60">
        <v>428.56</v>
      </c>
      <c r="AE1103" s="60">
        <v>448.59</v>
      </c>
      <c r="AF1103" s="60">
        <v>0</v>
      </c>
      <c r="AG1103" s="60">
        <v>0</v>
      </c>
      <c r="AH1103" s="60">
        <v>0</v>
      </c>
      <c r="AI1103" s="60">
        <v>413.14</v>
      </c>
      <c r="AJ1103" s="60">
        <v>428.56</v>
      </c>
      <c r="AK1103" s="60">
        <v>448.59</v>
      </c>
      <c r="AL1103" s="60">
        <v>0</v>
      </c>
      <c r="AM1103" s="60">
        <v>0</v>
      </c>
      <c r="AN1103" s="60">
        <v>0</v>
      </c>
      <c r="AO1103" s="60">
        <v>413.14</v>
      </c>
      <c r="AP1103" s="60">
        <v>428.56</v>
      </c>
      <c r="AQ1103" s="60">
        <v>448.59</v>
      </c>
      <c r="AR1103" s="61">
        <v>448.59</v>
      </c>
    </row>
    <row r="1104" spans="1:44" x14ac:dyDescent="0.35">
      <c r="A1104" s="49" t="str">
        <f>TEXT(41,"00")</f>
        <v>41</v>
      </c>
      <c r="B1104" s="27">
        <v>68999</v>
      </c>
      <c r="C1104" s="25" t="str">
        <f>TEXT(134197,"0000000")</f>
        <v>0134197</v>
      </c>
      <c r="D1104" s="26" t="s">
        <v>2578</v>
      </c>
      <c r="E1104" s="25" t="s">
        <v>2576</v>
      </c>
      <c r="F1104" s="25" t="s">
        <v>5</v>
      </c>
      <c r="G1104" s="59" t="s">
        <v>2577</v>
      </c>
      <c r="H1104" s="60">
        <v>0</v>
      </c>
      <c r="I1104" s="60">
        <v>0</v>
      </c>
      <c r="J1104" s="60">
        <v>0</v>
      </c>
      <c r="K1104" s="60">
        <v>0</v>
      </c>
      <c r="L1104" s="60">
        <v>0</v>
      </c>
      <c r="M1104" s="60">
        <v>0</v>
      </c>
      <c r="N1104" s="60">
        <v>0</v>
      </c>
      <c r="O1104" s="60">
        <v>0</v>
      </c>
      <c r="P1104" s="60">
        <v>0</v>
      </c>
      <c r="Q1104" s="60">
        <v>0</v>
      </c>
      <c r="R1104" s="60">
        <v>0</v>
      </c>
      <c r="S1104" s="60">
        <v>0</v>
      </c>
      <c r="T1104" s="60">
        <v>0</v>
      </c>
      <c r="U1104" s="60">
        <v>0</v>
      </c>
      <c r="V1104" s="60">
        <v>0</v>
      </c>
      <c r="W1104" s="60">
        <v>0</v>
      </c>
      <c r="X1104" s="60">
        <v>0</v>
      </c>
      <c r="Y1104" s="60">
        <v>0</v>
      </c>
      <c r="Z1104" s="60">
        <v>0</v>
      </c>
      <c r="AA1104" s="60">
        <v>0</v>
      </c>
      <c r="AB1104" s="60">
        <v>0</v>
      </c>
      <c r="AC1104" s="60">
        <v>485.22</v>
      </c>
      <c r="AD1104" s="60">
        <v>505.93</v>
      </c>
      <c r="AE1104" s="60">
        <v>616.03</v>
      </c>
      <c r="AF1104" s="60">
        <v>0</v>
      </c>
      <c r="AG1104" s="60">
        <v>0</v>
      </c>
      <c r="AH1104" s="60">
        <v>0</v>
      </c>
      <c r="AI1104" s="60">
        <v>485.22</v>
      </c>
      <c r="AJ1104" s="60">
        <v>505.93</v>
      </c>
      <c r="AK1104" s="60">
        <v>616.03</v>
      </c>
      <c r="AL1104" s="60">
        <v>0</v>
      </c>
      <c r="AM1104" s="60">
        <v>0</v>
      </c>
      <c r="AN1104" s="60">
        <v>0</v>
      </c>
      <c r="AO1104" s="60">
        <v>485.22</v>
      </c>
      <c r="AP1104" s="60">
        <v>505.93</v>
      </c>
      <c r="AQ1104" s="60">
        <v>616.03</v>
      </c>
      <c r="AR1104" s="61">
        <v>616.03</v>
      </c>
    </row>
    <row r="1105" spans="1:44" x14ac:dyDescent="0.35">
      <c r="A1105" s="49" t="str">
        <f>TEXT(41,"00")</f>
        <v>41</v>
      </c>
      <c r="B1105" s="27">
        <v>69005</v>
      </c>
      <c r="C1105" s="25" t="str">
        <f>TEXT(132076,"0000000")</f>
        <v>0132076</v>
      </c>
      <c r="D1105" s="27">
        <v>1736</v>
      </c>
      <c r="E1105" s="25" t="s">
        <v>2587</v>
      </c>
      <c r="F1105" s="25" t="s">
        <v>5</v>
      </c>
      <c r="G1105" s="59" t="s">
        <v>2588</v>
      </c>
      <c r="H1105" s="60">
        <v>0</v>
      </c>
      <c r="I1105" s="60">
        <v>0</v>
      </c>
      <c r="J1105" s="60">
        <v>0</v>
      </c>
      <c r="K1105" s="60">
        <v>0</v>
      </c>
      <c r="L1105" s="60">
        <v>0</v>
      </c>
      <c r="M1105" s="60">
        <v>0</v>
      </c>
      <c r="N1105" s="60">
        <v>0</v>
      </c>
      <c r="O1105" s="60">
        <v>0</v>
      </c>
      <c r="P1105" s="60">
        <v>0</v>
      </c>
      <c r="Q1105" s="60">
        <v>0</v>
      </c>
      <c r="R1105" s="60">
        <v>0</v>
      </c>
      <c r="S1105" s="60">
        <v>0</v>
      </c>
      <c r="T1105" s="60">
        <v>0</v>
      </c>
      <c r="U1105" s="60">
        <v>0</v>
      </c>
      <c r="V1105" s="60">
        <v>0</v>
      </c>
      <c r="W1105" s="60">
        <v>0</v>
      </c>
      <c r="X1105" s="60">
        <v>0</v>
      </c>
      <c r="Y1105" s="60">
        <v>0</v>
      </c>
      <c r="Z1105" s="60">
        <v>0</v>
      </c>
      <c r="AA1105" s="60">
        <v>0</v>
      </c>
      <c r="AB1105" s="60">
        <v>0</v>
      </c>
      <c r="AC1105" s="60">
        <v>278.27999999999997</v>
      </c>
      <c r="AD1105" s="60">
        <v>264.98</v>
      </c>
      <c r="AE1105" s="60">
        <v>277.89999999999998</v>
      </c>
      <c r="AF1105" s="60">
        <v>0</v>
      </c>
      <c r="AG1105" s="60">
        <v>0</v>
      </c>
      <c r="AH1105" s="60">
        <v>0</v>
      </c>
      <c r="AI1105" s="60">
        <v>278.27999999999997</v>
      </c>
      <c r="AJ1105" s="60">
        <v>264.98</v>
      </c>
      <c r="AK1105" s="60">
        <v>277.89999999999998</v>
      </c>
      <c r="AL1105" s="60">
        <v>0</v>
      </c>
      <c r="AM1105" s="60">
        <v>0</v>
      </c>
      <c r="AN1105" s="60">
        <v>0</v>
      </c>
      <c r="AO1105" s="60">
        <v>278.27999999999997</v>
      </c>
      <c r="AP1105" s="60">
        <v>264.98</v>
      </c>
      <c r="AQ1105" s="60">
        <v>277.89999999999998</v>
      </c>
      <c r="AR1105" s="61">
        <v>278.27999999999997</v>
      </c>
    </row>
    <row r="1106" spans="1:44" x14ac:dyDescent="0.35">
      <c r="A1106" s="49" t="str">
        <f t="shared" ref="A1106:A1111" si="95">TEXT(42,"00")</f>
        <v>42</v>
      </c>
      <c r="B1106" s="27">
        <v>69112</v>
      </c>
      <c r="C1106" s="25" t="str">
        <f>TEXT(124255,"0000000")</f>
        <v>0124255</v>
      </c>
      <c r="D1106" s="27">
        <v>1319</v>
      </c>
      <c r="E1106" s="25" t="s">
        <v>2626</v>
      </c>
      <c r="F1106" s="25" t="s">
        <v>5</v>
      </c>
      <c r="G1106" s="59" t="s">
        <v>2627</v>
      </c>
      <c r="H1106" s="60">
        <v>0</v>
      </c>
      <c r="I1106" s="60">
        <v>0</v>
      </c>
      <c r="J1106" s="60">
        <v>0</v>
      </c>
      <c r="K1106" s="60">
        <v>0</v>
      </c>
      <c r="L1106" s="60">
        <v>0</v>
      </c>
      <c r="M1106" s="60">
        <v>0</v>
      </c>
      <c r="N1106" s="60">
        <v>0</v>
      </c>
      <c r="O1106" s="60">
        <v>0</v>
      </c>
      <c r="P1106" s="60">
        <v>0</v>
      </c>
      <c r="Q1106" s="60">
        <v>0</v>
      </c>
      <c r="R1106" s="60">
        <v>0</v>
      </c>
      <c r="S1106" s="60">
        <v>0</v>
      </c>
      <c r="T1106" s="60">
        <v>0</v>
      </c>
      <c r="U1106" s="60">
        <v>0</v>
      </c>
      <c r="V1106" s="60">
        <v>0</v>
      </c>
      <c r="W1106" s="60">
        <v>0</v>
      </c>
      <c r="X1106" s="60">
        <v>0</v>
      </c>
      <c r="Y1106" s="60">
        <v>0</v>
      </c>
      <c r="Z1106" s="60">
        <v>0</v>
      </c>
      <c r="AA1106" s="60">
        <v>0</v>
      </c>
      <c r="AB1106" s="60">
        <v>0</v>
      </c>
      <c r="AC1106" s="60">
        <v>307.5</v>
      </c>
      <c r="AD1106" s="60">
        <v>311.81</v>
      </c>
      <c r="AE1106" s="60">
        <v>305.5</v>
      </c>
      <c r="AF1106" s="60">
        <v>0</v>
      </c>
      <c r="AG1106" s="60">
        <v>0</v>
      </c>
      <c r="AH1106" s="60">
        <v>0</v>
      </c>
      <c r="AI1106" s="60">
        <v>307.5</v>
      </c>
      <c r="AJ1106" s="60">
        <v>311.81</v>
      </c>
      <c r="AK1106" s="60">
        <v>305.5</v>
      </c>
      <c r="AL1106" s="60">
        <v>0</v>
      </c>
      <c r="AM1106" s="60">
        <v>0</v>
      </c>
      <c r="AN1106" s="60">
        <v>0</v>
      </c>
      <c r="AO1106" s="60">
        <v>307.5</v>
      </c>
      <c r="AP1106" s="60">
        <v>311.81</v>
      </c>
      <c r="AQ1106" s="60">
        <v>305.5</v>
      </c>
      <c r="AR1106" s="61">
        <v>311.81</v>
      </c>
    </row>
    <row r="1107" spans="1:44" x14ac:dyDescent="0.35">
      <c r="A1107" s="49" t="str">
        <f t="shared" si="95"/>
        <v>42</v>
      </c>
      <c r="B1107" s="27">
        <v>69112</v>
      </c>
      <c r="C1107" s="25" t="str">
        <f>TEXT(137877,"0000000")</f>
        <v>0137877</v>
      </c>
      <c r="D1107" s="27">
        <v>1994</v>
      </c>
      <c r="E1107" s="25" t="s">
        <v>2628</v>
      </c>
      <c r="F1107" s="25" t="s">
        <v>5</v>
      </c>
      <c r="G1107" s="59" t="s">
        <v>2629</v>
      </c>
      <c r="H1107" s="60">
        <v>0</v>
      </c>
      <c r="I1107" s="60">
        <v>0</v>
      </c>
      <c r="J1107" s="60">
        <v>0</v>
      </c>
      <c r="K1107" s="60">
        <v>0</v>
      </c>
      <c r="L1107" s="60">
        <v>0</v>
      </c>
      <c r="M1107" s="60">
        <v>0</v>
      </c>
      <c r="N1107" s="60">
        <v>0</v>
      </c>
      <c r="O1107" s="60">
        <v>0</v>
      </c>
      <c r="P1107" s="60">
        <v>0</v>
      </c>
      <c r="Q1107" s="60">
        <v>0</v>
      </c>
      <c r="R1107" s="60">
        <v>0</v>
      </c>
      <c r="S1107" s="60">
        <v>0</v>
      </c>
      <c r="T1107" s="60">
        <v>0</v>
      </c>
      <c r="U1107" s="60">
        <v>0</v>
      </c>
      <c r="V1107" s="60">
        <v>0</v>
      </c>
      <c r="W1107" s="60">
        <v>0</v>
      </c>
      <c r="X1107" s="60">
        <v>0</v>
      </c>
      <c r="Y1107" s="60">
        <v>0</v>
      </c>
      <c r="Z1107" s="60">
        <v>0</v>
      </c>
      <c r="AA1107" s="60">
        <v>0</v>
      </c>
      <c r="AB1107" s="60">
        <v>0</v>
      </c>
      <c r="AC1107" s="60">
        <v>244.97</v>
      </c>
      <c r="AD1107" s="60">
        <v>216.74</v>
      </c>
      <c r="AE1107" s="60">
        <v>227.71</v>
      </c>
      <c r="AF1107" s="60">
        <v>0</v>
      </c>
      <c r="AG1107" s="60">
        <v>0</v>
      </c>
      <c r="AH1107" s="60">
        <v>0</v>
      </c>
      <c r="AI1107" s="60">
        <v>244.97</v>
      </c>
      <c r="AJ1107" s="60">
        <v>216.74</v>
      </c>
      <c r="AK1107" s="60">
        <v>227.71</v>
      </c>
      <c r="AL1107" s="60">
        <v>0</v>
      </c>
      <c r="AM1107" s="60">
        <v>0</v>
      </c>
      <c r="AN1107" s="60">
        <v>0</v>
      </c>
      <c r="AO1107" s="60">
        <v>244.97</v>
      </c>
      <c r="AP1107" s="60">
        <v>216.74</v>
      </c>
      <c r="AQ1107" s="60">
        <v>227.71</v>
      </c>
      <c r="AR1107" s="61">
        <v>244.97</v>
      </c>
    </row>
    <row r="1108" spans="1:44" x14ac:dyDescent="0.35">
      <c r="A1108" s="49" t="str">
        <f t="shared" si="95"/>
        <v>42</v>
      </c>
      <c r="B1108" s="27">
        <v>69112</v>
      </c>
      <c r="C1108" s="25" t="str">
        <f>TEXT(137885,"0000000")</f>
        <v>0137885</v>
      </c>
      <c r="D1108" s="27">
        <v>1995</v>
      </c>
      <c r="E1108" s="25" t="s">
        <v>2630</v>
      </c>
      <c r="F1108" s="25" t="s">
        <v>5</v>
      </c>
      <c r="G1108" s="59" t="s">
        <v>2631</v>
      </c>
      <c r="H1108" s="60">
        <v>0</v>
      </c>
      <c r="I1108" s="60">
        <v>0</v>
      </c>
      <c r="J1108" s="60">
        <v>0</v>
      </c>
      <c r="K1108" s="60">
        <v>0</v>
      </c>
      <c r="L1108" s="60">
        <v>0</v>
      </c>
      <c r="M1108" s="60">
        <v>0</v>
      </c>
      <c r="N1108" s="60">
        <v>0</v>
      </c>
      <c r="O1108" s="60">
        <v>0</v>
      </c>
      <c r="P1108" s="60">
        <v>0</v>
      </c>
      <c r="Q1108" s="60">
        <v>0</v>
      </c>
      <c r="R1108" s="60">
        <v>0</v>
      </c>
      <c r="S1108" s="60">
        <v>0</v>
      </c>
      <c r="T1108" s="60">
        <v>0</v>
      </c>
      <c r="U1108" s="60">
        <v>0</v>
      </c>
      <c r="V1108" s="60">
        <v>0</v>
      </c>
      <c r="W1108" s="60">
        <v>0</v>
      </c>
      <c r="X1108" s="60">
        <v>0</v>
      </c>
      <c r="Y1108" s="60">
        <v>0</v>
      </c>
      <c r="Z1108" s="60">
        <v>0</v>
      </c>
      <c r="AA1108" s="60">
        <v>0</v>
      </c>
      <c r="AB1108" s="60">
        <v>0</v>
      </c>
      <c r="AC1108" s="60">
        <v>284.8</v>
      </c>
      <c r="AD1108" s="60">
        <v>296.27999999999997</v>
      </c>
      <c r="AE1108" s="60">
        <v>226.87</v>
      </c>
      <c r="AF1108" s="60">
        <v>0</v>
      </c>
      <c r="AG1108" s="60">
        <v>0</v>
      </c>
      <c r="AH1108" s="60">
        <v>0</v>
      </c>
      <c r="AI1108" s="60">
        <v>284.8</v>
      </c>
      <c r="AJ1108" s="60">
        <v>296.27999999999997</v>
      </c>
      <c r="AK1108" s="60">
        <v>226.87</v>
      </c>
      <c r="AL1108" s="60">
        <v>0</v>
      </c>
      <c r="AM1108" s="60">
        <v>0</v>
      </c>
      <c r="AN1108" s="60">
        <v>0</v>
      </c>
      <c r="AO1108" s="60">
        <v>284.8</v>
      </c>
      <c r="AP1108" s="60">
        <v>296.27999999999997</v>
      </c>
      <c r="AQ1108" s="60">
        <v>226.87</v>
      </c>
      <c r="AR1108" s="61">
        <v>296.27999999999997</v>
      </c>
    </row>
    <row r="1109" spans="1:44" x14ac:dyDescent="0.35">
      <c r="A1109" s="49" t="str">
        <f t="shared" si="95"/>
        <v>42</v>
      </c>
      <c r="B1109" s="27">
        <v>75010</v>
      </c>
      <c r="C1109" s="25" t="str">
        <f>TEXT(138891,"0000000")</f>
        <v>0138891</v>
      </c>
      <c r="D1109" s="27">
        <v>2031</v>
      </c>
      <c r="E1109" s="25" t="s">
        <v>2667</v>
      </c>
      <c r="F1109" s="25" t="s">
        <v>5</v>
      </c>
      <c r="G1109" s="59" t="s">
        <v>2668</v>
      </c>
      <c r="H1109" s="60">
        <v>0</v>
      </c>
      <c r="I1109" s="60">
        <v>0</v>
      </c>
      <c r="J1109" s="60">
        <v>0</v>
      </c>
      <c r="K1109" s="60">
        <v>0</v>
      </c>
      <c r="L1109" s="60">
        <v>0</v>
      </c>
      <c r="M1109" s="60">
        <v>0</v>
      </c>
      <c r="N1109" s="60">
        <v>0</v>
      </c>
      <c r="O1109" s="60">
        <v>0</v>
      </c>
      <c r="P1109" s="60">
        <v>0</v>
      </c>
      <c r="Q1109" s="60">
        <v>0</v>
      </c>
      <c r="R1109" s="60">
        <v>0</v>
      </c>
      <c r="S1109" s="60">
        <v>0</v>
      </c>
      <c r="T1109" s="60">
        <v>0</v>
      </c>
      <c r="U1109" s="60">
        <v>0</v>
      </c>
      <c r="V1109" s="60">
        <v>0</v>
      </c>
      <c r="W1109" s="60">
        <v>0</v>
      </c>
      <c r="X1109" s="60">
        <v>0</v>
      </c>
      <c r="Y1109" s="60">
        <v>0</v>
      </c>
      <c r="Z1109" s="60">
        <v>0</v>
      </c>
      <c r="AA1109" s="60">
        <v>0</v>
      </c>
      <c r="AB1109" s="60">
        <v>0</v>
      </c>
      <c r="AC1109" s="60">
        <v>110.03</v>
      </c>
      <c r="AD1109" s="60">
        <v>92.82</v>
      </c>
      <c r="AE1109" s="60">
        <v>38.96</v>
      </c>
      <c r="AF1109" s="60">
        <v>0</v>
      </c>
      <c r="AG1109" s="60">
        <v>0</v>
      </c>
      <c r="AH1109" s="60">
        <v>0</v>
      </c>
      <c r="AI1109" s="60">
        <v>110.03</v>
      </c>
      <c r="AJ1109" s="60">
        <v>92.82</v>
      </c>
      <c r="AK1109" s="60">
        <v>38.96</v>
      </c>
      <c r="AL1109" s="60">
        <v>0</v>
      </c>
      <c r="AM1109" s="60">
        <v>0</v>
      </c>
      <c r="AN1109" s="60">
        <v>0</v>
      </c>
      <c r="AO1109" s="60">
        <v>110.03</v>
      </c>
      <c r="AP1109" s="60">
        <v>92.82</v>
      </c>
      <c r="AQ1109" s="60">
        <v>38.96</v>
      </c>
      <c r="AR1109" s="61">
        <v>110.03</v>
      </c>
    </row>
    <row r="1110" spans="1:44" x14ac:dyDescent="0.35">
      <c r="A1110" s="49" t="str">
        <f t="shared" si="95"/>
        <v>42</v>
      </c>
      <c r="B1110" s="27">
        <v>77198</v>
      </c>
      <c r="C1110" s="25" t="str">
        <f>TEXT(138362,"0000000")</f>
        <v>0138362</v>
      </c>
      <c r="D1110" s="27">
        <v>2011</v>
      </c>
      <c r="E1110" s="25" t="s">
        <v>2677</v>
      </c>
      <c r="F1110" s="25" t="s">
        <v>5</v>
      </c>
      <c r="G1110" s="59" t="s">
        <v>2678</v>
      </c>
      <c r="H1110" s="60">
        <v>0</v>
      </c>
      <c r="I1110" s="60">
        <v>0</v>
      </c>
      <c r="J1110" s="60">
        <v>0</v>
      </c>
      <c r="K1110" s="60">
        <v>0</v>
      </c>
      <c r="L1110" s="60">
        <v>0</v>
      </c>
      <c r="M1110" s="60">
        <v>0</v>
      </c>
      <c r="N1110" s="60">
        <v>0</v>
      </c>
      <c r="O1110" s="60">
        <v>0</v>
      </c>
      <c r="P1110" s="60">
        <v>0</v>
      </c>
      <c r="Q1110" s="60">
        <v>0</v>
      </c>
      <c r="R1110" s="60">
        <v>0</v>
      </c>
      <c r="S1110" s="60">
        <v>0</v>
      </c>
      <c r="T1110" s="60">
        <v>0</v>
      </c>
      <c r="U1110" s="60">
        <v>0</v>
      </c>
      <c r="V1110" s="60">
        <v>0</v>
      </c>
      <c r="W1110" s="60">
        <v>0</v>
      </c>
      <c r="X1110" s="60">
        <v>0</v>
      </c>
      <c r="Y1110" s="60">
        <v>0</v>
      </c>
      <c r="Z1110" s="60">
        <v>0</v>
      </c>
      <c r="AA1110" s="60">
        <v>0</v>
      </c>
      <c r="AB1110" s="60">
        <v>0</v>
      </c>
      <c r="AC1110" s="60">
        <v>147.81</v>
      </c>
      <c r="AD1110" s="60">
        <v>194.53</v>
      </c>
      <c r="AE1110" s="60">
        <v>244.49</v>
      </c>
      <c r="AF1110" s="60">
        <v>0</v>
      </c>
      <c r="AG1110" s="60">
        <v>0</v>
      </c>
      <c r="AH1110" s="60">
        <v>0</v>
      </c>
      <c r="AI1110" s="60">
        <v>147.81</v>
      </c>
      <c r="AJ1110" s="60">
        <v>194.53</v>
      </c>
      <c r="AK1110" s="60">
        <v>244.49</v>
      </c>
      <c r="AL1110" s="60">
        <v>0</v>
      </c>
      <c r="AM1110" s="60">
        <v>0</v>
      </c>
      <c r="AN1110" s="60">
        <v>0</v>
      </c>
      <c r="AO1110" s="60">
        <v>147.81</v>
      </c>
      <c r="AP1110" s="60">
        <v>194.53</v>
      </c>
      <c r="AQ1110" s="60">
        <v>244.49</v>
      </c>
      <c r="AR1110" s="61">
        <v>244.49</v>
      </c>
    </row>
    <row r="1111" spans="1:44" x14ac:dyDescent="0.35">
      <c r="A1111" s="49" t="str">
        <f t="shared" si="95"/>
        <v>42</v>
      </c>
      <c r="B1111" s="27">
        <v>77206</v>
      </c>
      <c r="C1111" s="25" t="str">
        <f>TEXT(138370,"0000000")</f>
        <v>0138370</v>
      </c>
      <c r="D1111" s="27">
        <v>2012</v>
      </c>
      <c r="E1111" s="25" t="s">
        <v>2679</v>
      </c>
      <c r="F1111" s="25" t="s">
        <v>5</v>
      </c>
      <c r="G1111" s="59" t="s">
        <v>2680</v>
      </c>
      <c r="H1111" s="60">
        <v>0</v>
      </c>
      <c r="I1111" s="60">
        <v>0</v>
      </c>
      <c r="J1111" s="60">
        <v>0</v>
      </c>
      <c r="K1111" s="60">
        <v>0</v>
      </c>
      <c r="L1111" s="60">
        <v>0</v>
      </c>
      <c r="M1111" s="60">
        <v>0</v>
      </c>
      <c r="N1111" s="60">
        <v>0</v>
      </c>
      <c r="O1111" s="60">
        <v>0</v>
      </c>
      <c r="P1111" s="60">
        <v>0</v>
      </c>
      <c r="Q1111" s="60">
        <v>0</v>
      </c>
      <c r="R1111" s="60">
        <v>0</v>
      </c>
      <c r="S1111" s="60">
        <v>0</v>
      </c>
      <c r="T1111" s="60">
        <v>0</v>
      </c>
      <c r="U1111" s="60">
        <v>0</v>
      </c>
      <c r="V1111" s="60">
        <v>0</v>
      </c>
      <c r="W1111" s="60">
        <v>0</v>
      </c>
      <c r="X1111" s="60">
        <v>0</v>
      </c>
      <c r="Y1111" s="60">
        <v>0</v>
      </c>
      <c r="Z1111" s="60">
        <v>0</v>
      </c>
      <c r="AA1111" s="60">
        <v>0</v>
      </c>
      <c r="AB1111" s="60">
        <v>0</v>
      </c>
      <c r="AC1111" s="60">
        <v>103.08</v>
      </c>
      <c r="AD1111" s="60">
        <v>96.97</v>
      </c>
      <c r="AE1111" s="60">
        <v>133.78</v>
      </c>
      <c r="AF1111" s="60">
        <v>0</v>
      </c>
      <c r="AG1111" s="60">
        <v>0</v>
      </c>
      <c r="AH1111" s="60">
        <v>0</v>
      </c>
      <c r="AI1111" s="60">
        <v>103.08</v>
      </c>
      <c r="AJ1111" s="60">
        <v>96.97</v>
      </c>
      <c r="AK1111" s="60">
        <v>133.78</v>
      </c>
      <c r="AL1111" s="60">
        <v>0</v>
      </c>
      <c r="AM1111" s="60">
        <v>0</v>
      </c>
      <c r="AN1111" s="60">
        <v>0</v>
      </c>
      <c r="AO1111" s="60">
        <v>103.08</v>
      </c>
      <c r="AP1111" s="60">
        <v>96.97</v>
      </c>
      <c r="AQ1111" s="60">
        <v>133.78</v>
      </c>
      <c r="AR1111" s="61">
        <v>133.78</v>
      </c>
    </row>
    <row r="1112" spans="1:44" x14ac:dyDescent="0.35">
      <c r="A1112" s="49" t="str">
        <f>TEXT(1,"00")</f>
        <v>01</v>
      </c>
      <c r="B1112" s="27">
        <v>61259</v>
      </c>
      <c r="C1112" s="25" t="str">
        <f>TEXT(3030772,"0000000")</f>
        <v>3030772</v>
      </c>
      <c r="D1112" s="26" t="s">
        <v>135</v>
      </c>
      <c r="E1112" s="25" t="s">
        <v>133</v>
      </c>
      <c r="F1112" s="25" t="s">
        <v>5</v>
      </c>
      <c r="G1112" s="59" t="s">
        <v>134</v>
      </c>
      <c r="H1112" s="60">
        <v>0</v>
      </c>
      <c r="I1112" s="60">
        <v>0</v>
      </c>
      <c r="J1112" s="60">
        <v>0</v>
      </c>
      <c r="K1112" s="60">
        <v>0</v>
      </c>
      <c r="L1112" s="60">
        <v>0</v>
      </c>
      <c r="M1112" s="60">
        <v>0</v>
      </c>
      <c r="N1112" s="60">
        <v>0</v>
      </c>
      <c r="O1112" s="60">
        <v>0</v>
      </c>
      <c r="P1112" s="60">
        <v>0</v>
      </c>
      <c r="Q1112" s="60">
        <v>0</v>
      </c>
      <c r="R1112" s="60">
        <v>0</v>
      </c>
      <c r="S1112" s="60">
        <v>0</v>
      </c>
      <c r="T1112" s="60">
        <v>0</v>
      </c>
      <c r="U1112" s="60">
        <v>0</v>
      </c>
      <c r="V1112" s="60">
        <v>0</v>
      </c>
      <c r="W1112" s="60">
        <v>0</v>
      </c>
      <c r="X1112" s="60">
        <v>0</v>
      </c>
      <c r="Y1112" s="60">
        <v>0</v>
      </c>
      <c r="Z1112" s="60">
        <v>0</v>
      </c>
      <c r="AA1112" s="60">
        <v>0</v>
      </c>
      <c r="AB1112" s="60">
        <v>0</v>
      </c>
      <c r="AC1112" s="60">
        <v>714.38</v>
      </c>
      <c r="AD1112" s="60">
        <v>735.31</v>
      </c>
      <c r="AE1112" s="60">
        <v>758.1</v>
      </c>
      <c r="AF1112" s="60">
        <v>0</v>
      </c>
      <c r="AG1112" s="60">
        <v>0</v>
      </c>
      <c r="AH1112" s="60">
        <v>0</v>
      </c>
      <c r="AI1112" s="60">
        <v>714.38</v>
      </c>
      <c r="AJ1112" s="60">
        <v>735.31</v>
      </c>
      <c r="AK1112" s="60">
        <v>758.1</v>
      </c>
      <c r="AL1112" s="60">
        <v>0</v>
      </c>
      <c r="AM1112" s="60">
        <v>0</v>
      </c>
      <c r="AN1112" s="60">
        <v>0</v>
      </c>
      <c r="AO1112" s="60">
        <v>714.38</v>
      </c>
      <c r="AP1112" s="60">
        <v>735.31</v>
      </c>
      <c r="AQ1112" s="60">
        <v>758.1</v>
      </c>
      <c r="AR1112" s="61">
        <v>758.1</v>
      </c>
    </row>
    <row r="1113" spans="1:44" x14ac:dyDescent="0.35">
      <c r="A1113" s="49" t="str">
        <f>TEXT(42,"00")</f>
        <v>42</v>
      </c>
      <c r="B1113" s="27">
        <v>77214</v>
      </c>
      <c r="C1113" s="25" t="str">
        <f>TEXT(138388,"0000000")</f>
        <v>0138388</v>
      </c>
      <c r="D1113" s="27">
        <v>2013</v>
      </c>
      <c r="E1113" s="25" t="s">
        <v>2681</v>
      </c>
      <c r="F1113" s="25" t="s">
        <v>5</v>
      </c>
      <c r="G1113" s="59" t="s">
        <v>2682</v>
      </c>
      <c r="H1113" s="60">
        <v>0</v>
      </c>
      <c r="I1113" s="60">
        <v>0</v>
      </c>
      <c r="J1113" s="60">
        <v>0</v>
      </c>
      <c r="K1113" s="60">
        <v>0</v>
      </c>
      <c r="L1113" s="60">
        <v>0</v>
      </c>
      <c r="M1113" s="60">
        <v>0</v>
      </c>
      <c r="N1113" s="60">
        <v>0</v>
      </c>
      <c r="O1113" s="60">
        <v>0</v>
      </c>
      <c r="P1113" s="60">
        <v>0</v>
      </c>
      <c r="Q1113" s="60">
        <v>0</v>
      </c>
      <c r="R1113" s="60">
        <v>0</v>
      </c>
      <c r="S1113" s="60">
        <v>0</v>
      </c>
      <c r="T1113" s="60">
        <v>0</v>
      </c>
      <c r="U1113" s="60">
        <v>0</v>
      </c>
      <c r="V1113" s="60">
        <v>0</v>
      </c>
      <c r="W1113" s="60">
        <v>0</v>
      </c>
      <c r="X1113" s="60">
        <v>0</v>
      </c>
      <c r="Y1113" s="60">
        <v>0</v>
      </c>
      <c r="Z1113" s="60">
        <v>0</v>
      </c>
      <c r="AA1113" s="60">
        <v>0</v>
      </c>
      <c r="AB1113" s="60">
        <v>0</v>
      </c>
      <c r="AC1113" s="60">
        <v>40.54</v>
      </c>
      <c r="AD1113" s="60">
        <v>41.34</v>
      </c>
      <c r="AE1113" s="60">
        <v>48.61</v>
      </c>
      <c r="AF1113" s="60">
        <v>0</v>
      </c>
      <c r="AG1113" s="60">
        <v>0</v>
      </c>
      <c r="AH1113" s="60">
        <v>0</v>
      </c>
      <c r="AI1113" s="60">
        <v>40.54</v>
      </c>
      <c r="AJ1113" s="60">
        <v>41.34</v>
      </c>
      <c r="AK1113" s="60">
        <v>48.61</v>
      </c>
      <c r="AL1113" s="60">
        <v>0</v>
      </c>
      <c r="AM1113" s="60">
        <v>0</v>
      </c>
      <c r="AN1113" s="60">
        <v>0</v>
      </c>
      <c r="AO1113" s="60">
        <v>40.54</v>
      </c>
      <c r="AP1113" s="60">
        <v>41.34</v>
      </c>
      <c r="AQ1113" s="60">
        <v>48.61</v>
      </c>
      <c r="AR1113" s="61">
        <v>48.61</v>
      </c>
    </row>
    <row r="1114" spans="1:44" x14ac:dyDescent="0.35">
      <c r="A1114" s="49" t="str">
        <f>TEXT(42,"00")</f>
        <v>42</v>
      </c>
      <c r="B1114" s="27">
        <v>77222</v>
      </c>
      <c r="C1114" s="25" t="str">
        <f>TEXT(138396,"0000000")</f>
        <v>0138396</v>
      </c>
      <c r="D1114" s="27">
        <v>2014</v>
      </c>
      <c r="E1114" s="25" t="s">
        <v>2683</v>
      </c>
      <c r="F1114" s="25" t="s">
        <v>5</v>
      </c>
      <c r="G1114" s="59" t="s">
        <v>2684</v>
      </c>
      <c r="H1114" s="60">
        <v>0</v>
      </c>
      <c r="I1114" s="60">
        <v>0</v>
      </c>
      <c r="J1114" s="60">
        <v>0</v>
      </c>
      <c r="K1114" s="60">
        <v>0</v>
      </c>
      <c r="L1114" s="60">
        <v>0</v>
      </c>
      <c r="M1114" s="60">
        <v>0</v>
      </c>
      <c r="N1114" s="60">
        <v>0</v>
      </c>
      <c r="O1114" s="60">
        <v>0</v>
      </c>
      <c r="P1114" s="60">
        <v>0</v>
      </c>
      <c r="Q1114" s="60">
        <v>0</v>
      </c>
      <c r="R1114" s="60">
        <v>0</v>
      </c>
      <c r="S1114" s="60">
        <v>0</v>
      </c>
      <c r="T1114" s="60">
        <v>0</v>
      </c>
      <c r="U1114" s="60">
        <v>0</v>
      </c>
      <c r="V1114" s="60">
        <v>0</v>
      </c>
      <c r="W1114" s="60">
        <v>0</v>
      </c>
      <c r="X1114" s="60">
        <v>0</v>
      </c>
      <c r="Y1114" s="60">
        <v>0</v>
      </c>
      <c r="Z1114" s="60">
        <v>0</v>
      </c>
      <c r="AA1114" s="60">
        <v>0</v>
      </c>
      <c r="AB1114" s="60">
        <v>0</v>
      </c>
      <c r="AC1114" s="60">
        <v>73.86</v>
      </c>
      <c r="AD1114" s="60">
        <v>98.48</v>
      </c>
      <c r="AE1114" s="60">
        <v>158.5</v>
      </c>
      <c r="AF1114" s="60">
        <v>0</v>
      </c>
      <c r="AG1114" s="60">
        <v>0</v>
      </c>
      <c r="AH1114" s="60">
        <v>0</v>
      </c>
      <c r="AI1114" s="60">
        <v>73.86</v>
      </c>
      <c r="AJ1114" s="60">
        <v>98.48</v>
      </c>
      <c r="AK1114" s="60">
        <v>158.5</v>
      </c>
      <c r="AL1114" s="60">
        <v>0</v>
      </c>
      <c r="AM1114" s="60">
        <v>0</v>
      </c>
      <c r="AN1114" s="60">
        <v>0</v>
      </c>
      <c r="AO1114" s="60">
        <v>73.86</v>
      </c>
      <c r="AP1114" s="60">
        <v>98.48</v>
      </c>
      <c r="AQ1114" s="60">
        <v>158.5</v>
      </c>
      <c r="AR1114" s="61">
        <v>158.5</v>
      </c>
    </row>
    <row r="1115" spans="1:44" x14ac:dyDescent="0.35">
      <c r="A1115" s="49" t="str">
        <f t="shared" ref="A1115:A1122" si="96">TEXT(43,"00")</f>
        <v>43</v>
      </c>
      <c r="B1115" s="27">
        <v>10439</v>
      </c>
      <c r="C1115" s="25" t="str">
        <f>TEXT(113704,"0000000")</f>
        <v>0113704</v>
      </c>
      <c r="D1115" s="26" t="s">
        <v>2701</v>
      </c>
      <c r="E1115" s="25" t="s">
        <v>2699</v>
      </c>
      <c r="F1115" s="25" t="s">
        <v>5</v>
      </c>
      <c r="G1115" s="59" t="s">
        <v>2700</v>
      </c>
      <c r="H1115" s="60">
        <v>0</v>
      </c>
      <c r="I1115" s="60">
        <v>0</v>
      </c>
      <c r="J1115" s="60">
        <v>0</v>
      </c>
      <c r="K1115" s="60">
        <v>0</v>
      </c>
      <c r="L1115" s="60">
        <v>0</v>
      </c>
      <c r="M1115" s="60">
        <v>0</v>
      </c>
      <c r="N1115" s="60">
        <v>0</v>
      </c>
      <c r="O1115" s="60">
        <v>0</v>
      </c>
      <c r="P1115" s="60">
        <v>0</v>
      </c>
      <c r="Q1115" s="60">
        <v>0</v>
      </c>
      <c r="R1115" s="60">
        <v>0</v>
      </c>
      <c r="S1115" s="60">
        <v>0</v>
      </c>
      <c r="T1115" s="60">
        <v>0</v>
      </c>
      <c r="U1115" s="60">
        <v>0</v>
      </c>
      <c r="V1115" s="60">
        <v>0</v>
      </c>
      <c r="W1115" s="60">
        <v>0</v>
      </c>
      <c r="X1115" s="60">
        <v>0</v>
      </c>
      <c r="Y1115" s="60">
        <v>0</v>
      </c>
      <c r="Z1115" s="60">
        <v>0</v>
      </c>
      <c r="AA1115" s="60">
        <v>0</v>
      </c>
      <c r="AB1115" s="60">
        <v>0</v>
      </c>
      <c r="AC1115" s="60">
        <v>446.35</v>
      </c>
      <c r="AD1115" s="60">
        <v>423.81</v>
      </c>
      <c r="AE1115" s="60">
        <v>498.16</v>
      </c>
      <c r="AF1115" s="60">
        <v>0</v>
      </c>
      <c r="AG1115" s="60">
        <v>0</v>
      </c>
      <c r="AH1115" s="60">
        <v>0</v>
      </c>
      <c r="AI1115" s="60">
        <v>446.35</v>
      </c>
      <c r="AJ1115" s="60">
        <v>423.81</v>
      </c>
      <c r="AK1115" s="60">
        <v>498.16</v>
      </c>
      <c r="AL1115" s="60">
        <v>0</v>
      </c>
      <c r="AM1115" s="60">
        <v>0</v>
      </c>
      <c r="AN1115" s="60">
        <v>0</v>
      </c>
      <c r="AO1115" s="60">
        <v>446.35</v>
      </c>
      <c r="AP1115" s="60">
        <v>423.81</v>
      </c>
      <c r="AQ1115" s="60">
        <v>498.16</v>
      </c>
      <c r="AR1115" s="61">
        <v>498.16</v>
      </c>
    </row>
    <row r="1116" spans="1:44" x14ac:dyDescent="0.35">
      <c r="A1116" s="49" t="str">
        <f t="shared" si="96"/>
        <v>43</v>
      </c>
      <c r="B1116" s="27">
        <v>10439</v>
      </c>
      <c r="C1116" s="25" t="str">
        <f>TEXT(116814,"0000000")</f>
        <v>0116814</v>
      </c>
      <c r="D1116" s="26" t="s">
        <v>2704</v>
      </c>
      <c r="E1116" s="25" t="s">
        <v>2702</v>
      </c>
      <c r="F1116" s="25" t="s">
        <v>5</v>
      </c>
      <c r="G1116" s="59" t="s">
        <v>2703</v>
      </c>
      <c r="H1116" s="60">
        <v>0</v>
      </c>
      <c r="I1116" s="60">
        <v>0</v>
      </c>
      <c r="J1116" s="60">
        <v>0</v>
      </c>
      <c r="K1116" s="60">
        <v>0</v>
      </c>
      <c r="L1116" s="60">
        <v>0</v>
      </c>
      <c r="M1116" s="60">
        <v>0</v>
      </c>
      <c r="N1116" s="60">
        <v>0</v>
      </c>
      <c r="O1116" s="60">
        <v>0</v>
      </c>
      <c r="P1116" s="60">
        <v>0</v>
      </c>
      <c r="Q1116" s="60">
        <v>0</v>
      </c>
      <c r="R1116" s="60">
        <v>0</v>
      </c>
      <c r="S1116" s="60">
        <v>0</v>
      </c>
      <c r="T1116" s="60">
        <v>0</v>
      </c>
      <c r="U1116" s="60">
        <v>0</v>
      </c>
      <c r="V1116" s="60">
        <v>0</v>
      </c>
      <c r="W1116" s="60">
        <v>0</v>
      </c>
      <c r="X1116" s="60">
        <v>0</v>
      </c>
      <c r="Y1116" s="60">
        <v>0</v>
      </c>
      <c r="Z1116" s="60">
        <v>0</v>
      </c>
      <c r="AA1116" s="60">
        <v>0</v>
      </c>
      <c r="AB1116" s="60">
        <v>0</v>
      </c>
      <c r="AC1116" s="60">
        <v>174.09</v>
      </c>
      <c r="AD1116" s="60">
        <v>188.96</v>
      </c>
      <c r="AE1116" s="60">
        <v>233.62</v>
      </c>
      <c r="AF1116" s="60">
        <v>0</v>
      </c>
      <c r="AG1116" s="60">
        <v>0</v>
      </c>
      <c r="AH1116" s="60">
        <v>0</v>
      </c>
      <c r="AI1116" s="60">
        <v>174.09</v>
      </c>
      <c r="AJ1116" s="60">
        <v>188.96</v>
      </c>
      <c r="AK1116" s="60">
        <v>233.62</v>
      </c>
      <c r="AL1116" s="60">
        <v>0</v>
      </c>
      <c r="AM1116" s="60">
        <v>0</v>
      </c>
      <c r="AN1116" s="60">
        <v>0</v>
      </c>
      <c r="AO1116" s="60">
        <v>174.09</v>
      </c>
      <c r="AP1116" s="60">
        <v>188.96</v>
      </c>
      <c r="AQ1116" s="60">
        <v>233.62</v>
      </c>
      <c r="AR1116" s="61">
        <v>233.62</v>
      </c>
    </row>
    <row r="1117" spans="1:44" x14ac:dyDescent="0.35">
      <c r="A1117" s="49" t="str">
        <f t="shared" si="96"/>
        <v>43</v>
      </c>
      <c r="B1117" s="27">
        <v>10439</v>
      </c>
      <c r="C1117" s="25" t="str">
        <f>TEXT(119024,"0000000")</f>
        <v>0119024</v>
      </c>
      <c r="D1117" s="27">
        <v>1061</v>
      </c>
      <c r="E1117" s="25" t="s">
        <v>2705</v>
      </c>
      <c r="F1117" s="25" t="s">
        <v>5</v>
      </c>
      <c r="G1117" s="59" t="s">
        <v>2706</v>
      </c>
      <c r="H1117" s="60">
        <v>0</v>
      </c>
      <c r="I1117" s="60">
        <v>0</v>
      </c>
      <c r="J1117" s="60">
        <v>0</v>
      </c>
      <c r="K1117" s="60">
        <v>0</v>
      </c>
      <c r="L1117" s="60">
        <v>0</v>
      </c>
      <c r="M1117" s="60">
        <v>0</v>
      </c>
      <c r="N1117" s="60">
        <v>0</v>
      </c>
      <c r="O1117" s="60">
        <v>0</v>
      </c>
      <c r="P1117" s="60">
        <v>0</v>
      </c>
      <c r="Q1117" s="60">
        <v>0</v>
      </c>
      <c r="R1117" s="60">
        <v>0</v>
      </c>
      <c r="S1117" s="60">
        <v>0</v>
      </c>
      <c r="T1117" s="60">
        <v>0</v>
      </c>
      <c r="U1117" s="60">
        <v>0</v>
      </c>
      <c r="V1117" s="60">
        <v>0</v>
      </c>
      <c r="W1117" s="60">
        <v>0</v>
      </c>
      <c r="X1117" s="60">
        <v>0</v>
      </c>
      <c r="Y1117" s="60">
        <v>0</v>
      </c>
      <c r="Z1117" s="60">
        <v>0</v>
      </c>
      <c r="AA1117" s="60">
        <v>0</v>
      </c>
      <c r="AB1117" s="60">
        <v>0</v>
      </c>
      <c r="AC1117" s="60">
        <v>282.45999999999998</v>
      </c>
      <c r="AD1117" s="60">
        <v>277.14</v>
      </c>
      <c r="AE1117" s="60">
        <v>370.28</v>
      </c>
      <c r="AF1117" s="60">
        <v>0</v>
      </c>
      <c r="AG1117" s="60">
        <v>0</v>
      </c>
      <c r="AH1117" s="60">
        <v>0</v>
      </c>
      <c r="AI1117" s="60">
        <v>282.45999999999998</v>
      </c>
      <c r="AJ1117" s="60">
        <v>277.14</v>
      </c>
      <c r="AK1117" s="60">
        <v>370.28</v>
      </c>
      <c r="AL1117" s="60">
        <v>0</v>
      </c>
      <c r="AM1117" s="60">
        <v>0</v>
      </c>
      <c r="AN1117" s="60">
        <v>0</v>
      </c>
      <c r="AO1117" s="60">
        <v>282.45999999999998</v>
      </c>
      <c r="AP1117" s="60">
        <v>277.14</v>
      </c>
      <c r="AQ1117" s="60">
        <v>370.28</v>
      </c>
      <c r="AR1117" s="61">
        <v>370.28</v>
      </c>
    </row>
    <row r="1118" spans="1:44" x14ac:dyDescent="0.35">
      <c r="A1118" s="49" t="str">
        <f t="shared" si="96"/>
        <v>43</v>
      </c>
      <c r="B1118" s="27">
        <v>10439</v>
      </c>
      <c r="C1118" s="25" t="str">
        <f>TEXT(120642,"0000000")</f>
        <v>0120642</v>
      </c>
      <c r="D1118" s="27">
        <v>1127</v>
      </c>
      <c r="E1118" s="25" t="s">
        <v>2707</v>
      </c>
      <c r="F1118" s="25" t="s">
        <v>5</v>
      </c>
      <c r="G1118" s="59" t="s">
        <v>2708</v>
      </c>
      <c r="H1118" s="60">
        <v>0</v>
      </c>
      <c r="I1118" s="60">
        <v>0</v>
      </c>
      <c r="J1118" s="60">
        <v>0</v>
      </c>
      <c r="K1118" s="60">
        <v>0</v>
      </c>
      <c r="L1118" s="60">
        <v>0</v>
      </c>
      <c r="M1118" s="60">
        <v>0</v>
      </c>
      <c r="N1118" s="60">
        <v>0</v>
      </c>
      <c r="O1118" s="60">
        <v>0</v>
      </c>
      <c r="P1118" s="60">
        <v>0</v>
      </c>
      <c r="Q1118" s="60">
        <v>0</v>
      </c>
      <c r="R1118" s="60">
        <v>0</v>
      </c>
      <c r="S1118" s="60">
        <v>0</v>
      </c>
      <c r="T1118" s="60">
        <v>0</v>
      </c>
      <c r="U1118" s="60">
        <v>0</v>
      </c>
      <c r="V1118" s="60">
        <v>0</v>
      </c>
      <c r="W1118" s="60">
        <v>0</v>
      </c>
      <c r="X1118" s="60">
        <v>0</v>
      </c>
      <c r="Y1118" s="60">
        <v>0</v>
      </c>
      <c r="Z1118" s="60">
        <v>335.96</v>
      </c>
      <c r="AA1118" s="60">
        <v>342.81</v>
      </c>
      <c r="AB1118" s="60">
        <v>424.4</v>
      </c>
      <c r="AC1118" s="60">
        <v>0</v>
      </c>
      <c r="AD1118" s="60">
        <v>0</v>
      </c>
      <c r="AE1118" s="60">
        <v>0</v>
      </c>
      <c r="AF1118" s="60">
        <v>0</v>
      </c>
      <c r="AG1118" s="60">
        <v>0</v>
      </c>
      <c r="AH1118" s="60">
        <v>0</v>
      </c>
      <c r="AI1118" s="60">
        <v>335.96</v>
      </c>
      <c r="AJ1118" s="60">
        <v>342.81</v>
      </c>
      <c r="AK1118" s="60">
        <v>424.4</v>
      </c>
      <c r="AL1118" s="60">
        <v>0</v>
      </c>
      <c r="AM1118" s="60">
        <v>0</v>
      </c>
      <c r="AN1118" s="60">
        <v>0</v>
      </c>
      <c r="AO1118" s="60">
        <v>335.96</v>
      </c>
      <c r="AP1118" s="60">
        <v>342.81</v>
      </c>
      <c r="AQ1118" s="60">
        <v>424.4</v>
      </c>
      <c r="AR1118" s="61">
        <v>424.4</v>
      </c>
    </row>
    <row r="1119" spans="1:44" x14ac:dyDescent="0.35">
      <c r="A1119" s="49" t="str">
        <f t="shared" si="96"/>
        <v>43</v>
      </c>
      <c r="B1119" s="27">
        <v>10439</v>
      </c>
      <c r="C1119" s="25" t="str">
        <f>TEXT(121483,"0000000")</f>
        <v>0121483</v>
      </c>
      <c r="D1119" s="27">
        <v>1167</v>
      </c>
      <c r="E1119" s="25" t="s">
        <v>2709</v>
      </c>
      <c r="F1119" s="25" t="s">
        <v>5</v>
      </c>
      <c r="G1119" s="59" t="s">
        <v>2710</v>
      </c>
      <c r="H1119" s="60">
        <v>0</v>
      </c>
      <c r="I1119" s="60">
        <v>0</v>
      </c>
      <c r="J1119" s="60">
        <v>0</v>
      </c>
      <c r="K1119" s="60">
        <v>0</v>
      </c>
      <c r="L1119" s="60">
        <v>0</v>
      </c>
      <c r="M1119" s="60">
        <v>0</v>
      </c>
      <c r="N1119" s="60">
        <v>0</v>
      </c>
      <c r="O1119" s="60">
        <v>0</v>
      </c>
      <c r="P1119" s="60">
        <v>0</v>
      </c>
      <c r="Q1119" s="60">
        <v>0</v>
      </c>
      <c r="R1119" s="60">
        <v>0</v>
      </c>
      <c r="S1119" s="60">
        <v>0</v>
      </c>
      <c r="T1119" s="60">
        <v>0</v>
      </c>
      <c r="U1119" s="60">
        <v>0</v>
      </c>
      <c r="V1119" s="60">
        <v>0</v>
      </c>
      <c r="W1119" s="60">
        <v>0</v>
      </c>
      <c r="X1119" s="60">
        <v>0</v>
      </c>
      <c r="Y1119" s="60">
        <v>0</v>
      </c>
      <c r="Z1119" s="60">
        <v>0</v>
      </c>
      <c r="AA1119" s="60">
        <v>0</v>
      </c>
      <c r="AB1119" s="60">
        <v>0</v>
      </c>
      <c r="AC1119" s="60">
        <v>487.77</v>
      </c>
      <c r="AD1119" s="60">
        <v>493.23</v>
      </c>
      <c r="AE1119" s="60">
        <v>520.33000000000004</v>
      </c>
      <c r="AF1119" s="60">
        <v>0</v>
      </c>
      <c r="AG1119" s="60">
        <v>0</v>
      </c>
      <c r="AH1119" s="60">
        <v>0</v>
      </c>
      <c r="AI1119" s="60">
        <v>487.77</v>
      </c>
      <c r="AJ1119" s="60">
        <v>493.23</v>
      </c>
      <c r="AK1119" s="60">
        <v>520.33000000000004</v>
      </c>
      <c r="AL1119" s="60">
        <v>0</v>
      </c>
      <c r="AM1119" s="60">
        <v>0</v>
      </c>
      <c r="AN1119" s="60">
        <v>0</v>
      </c>
      <c r="AO1119" s="60">
        <v>487.77</v>
      </c>
      <c r="AP1119" s="60">
        <v>493.23</v>
      </c>
      <c r="AQ1119" s="60">
        <v>520.33000000000004</v>
      </c>
      <c r="AR1119" s="61">
        <v>520.33000000000004</v>
      </c>
    </row>
    <row r="1120" spans="1:44" x14ac:dyDescent="0.35">
      <c r="A1120" s="49" t="str">
        <f t="shared" si="96"/>
        <v>43</v>
      </c>
      <c r="B1120" s="27">
        <v>10439</v>
      </c>
      <c r="C1120" s="25" t="str">
        <f>TEXT(123281,"0000000")</f>
        <v>0123281</v>
      </c>
      <c r="D1120" s="27">
        <v>1193</v>
      </c>
      <c r="E1120" s="25" t="s">
        <v>2711</v>
      </c>
      <c r="F1120" s="25" t="s">
        <v>5</v>
      </c>
      <c r="G1120" s="59" t="s">
        <v>2712</v>
      </c>
      <c r="H1120" s="60">
        <v>0</v>
      </c>
      <c r="I1120" s="60">
        <v>0</v>
      </c>
      <c r="J1120" s="60">
        <v>0</v>
      </c>
      <c r="K1120" s="60">
        <v>0</v>
      </c>
      <c r="L1120" s="60">
        <v>0</v>
      </c>
      <c r="M1120" s="60">
        <v>0</v>
      </c>
      <c r="N1120" s="60">
        <v>0</v>
      </c>
      <c r="O1120" s="60">
        <v>0</v>
      </c>
      <c r="P1120" s="60">
        <v>0</v>
      </c>
      <c r="Q1120" s="60">
        <v>0</v>
      </c>
      <c r="R1120" s="60">
        <v>0</v>
      </c>
      <c r="S1120" s="60">
        <v>0</v>
      </c>
      <c r="T1120" s="60">
        <v>0</v>
      </c>
      <c r="U1120" s="60">
        <v>0</v>
      </c>
      <c r="V1120" s="60">
        <v>0</v>
      </c>
      <c r="W1120" s="60">
        <v>0</v>
      </c>
      <c r="X1120" s="60">
        <v>0</v>
      </c>
      <c r="Y1120" s="60">
        <v>0</v>
      </c>
      <c r="Z1120" s="60">
        <v>365.86</v>
      </c>
      <c r="AA1120" s="60">
        <v>389.85</v>
      </c>
      <c r="AB1120" s="60">
        <v>496.1</v>
      </c>
      <c r="AC1120" s="60">
        <v>0</v>
      </c>
      <c r="AD1120" s="60">
        <v>0</v>
      </c>
      <c r="AE1120" s="60">
        <v>0</v>
      </c>
      <c r="AF1120" s="60">
        <v>0</v>
      </c>
      <c r="AG1120" s="60">
        <v>0</v>
      </c>
      <c r="AH1120" s="60">
        <v>0</v>
      </c>
      <c r="AI1120" s="60">
        <v>365.86</v>
      </c>
      <c r="AJ1120" s="60">
        <v>389.85</v>
      </c>
      <c r="AK1120" s="60">
        <v>496.1</v>
      </c>
      <c r="AL1120" s="60">
        <v>0</v>
      </c>
      <c r="AM1120" s="60">
        <v>0</v>
      </c>
      <c r="AN1120" s="60">
        <v>0</v>
      </c>
      <c r="AO1120" s="60">
        <v>365.86</v>
      </c>
      <c r="AP1120" s="60">
        <v>389.85</v>
      </c>
      <c r="AQ1120" s="60">
        <v>496.1</v>
      </c>
      <c r="AR1120" s="61">
        <v>496.1</v>
      </c>
    </row>
    <row r="1121" spans="1:44" x14ac:dyDescent="0.35">
      <c r="A1121" s="49" t="str">
        <f t="shared" si="96"/>
        <v>43</v>
      </c>
      <c r="B1121" s="27">
        <v>10439</v>
      </c>
      <c r="C1121" s="25" t="str">
        <f>TEXT(123794,"0000000")</f>
        <v>0123794</v>
      </c>
      <c r="D1121" s="27">
        <v>1282</v>
      </c>
      <c r="E1121" s="25" t="s">
        <v>2713</v>
      </c>
      <c r="F1121" s="25" t="s">
        <v>5</v>
      </c>
      <c r="G1121" s="59" t="s">
        <v>2714</v>
      </c>
      <c r="H1121" s="60">
        <v>0</v>
      </c>
      <c r="I1121" s="60">
        <v>0</v>
      </c>
      <c r="J1121" s="60">
        <v>0</v>
      </c>
      <c r="K1121" s="60">
        <v>0</v>
      </c>
      <c r="L1121" s="60">
        <v>0</v>
      </c>
      <c r="M1121" s="60">
        <v>0</v>
      </c>
      <c r="N1121" s="60">
        <v>0</v>
      </c>
      <c r="O1121" s="60">
        <v>0</v>
      </c>
      <c r="P1121" s="60">
        <v>0</v>
      </c>
      <c r="Q1121" s="60">
        <v>0</v>
      </c>
      <c r="R1121" s="60">
        <v>0</v>
      </c>
      <c r="S1121" s="60">
        <v>0</v>
      </c>
      <c r="T1121" s="60">
        <v>0</v>
      </c>
      <c r="U1121" s="60">
        <v>0</v>
      </c>
      <c r="V1121" s="60">
        <v>0</v>
      </c>
      <c r="W1121" s="60">
        <v>0</v>
      </c>
      <c r="X1121" s="60">
        <v>0</v>
      </c>
      <c r="Y1121" s="60">
        <v>0</v>
      </c>
      <c r="Z1121" s="60">
        <v>0</v>
      </c>
      <c r="AA1121" s="60">
        <v>0</v>
      </c>
      <c r="AB1121" s="60">
        <v>0</v>
      </c>
      <c r="AC1121" s="60">
        <v>285.02</v>
      </c>
      <c r="AD1121" s="60">
        <v>344.59</v>
      </c>
      <c r="AE1121" s="60">
        <v>430.5</v>
      </c>
      <c r="AF1121" s="60">
        <v>0</v>
      </c>
      <c r="AG1121" s="60">
        <v>0</v>
      </c>
      <c r="AH1121" s="60">
        <v>0</v>
      </c>
      <c r="AI1121" s="60">
        <v>285.02</v>
      </c>
      <c r="AJ1121" s="60">
        <v>344.59</v>
      </c>
      <c r="AK1121" s="60">
        <v>430.5</v>
      </c>
      <c r="AL1121" s="60">
        <v>0</v>
      </c>
      <c r="AM1121" s="60">
        <v>0</v>
      </c>
      <c r="AN1121" s="60">
        <v>0</v>
      </c>
      <c r="AO1121" s="60">
        <v>285.02</v>
      </c>
      <c r="AP1121" s="60">
        <v>344.59</v>
      </c>
      <c r="AQ1121" s="60">
        <v>430.5</v>
      </c>
      <c r="AR1121" s="61">
        <v>430.5</v>
      </c>
    </row>
    <row r="1122" spans="1:44" x14ac:dyDescent="0.35">
      <c r="A1122" s="49" t="str">
        <f t="shared" si="96"/>
        <v>43</v>
      </c>
      <c r="B1122" s="27">
        <v>10439</v>
      </c>
      <c r="C1122" s="25" t="str">
        <f>TEXT(124065,"0000000")</f>
        <v>0124065</v>
      </c>
      <c r="D1122" s="27">
        <v>1290</v>
      </c>
      <c r="E1122" s="25" t="s">
        <v>2715</v>
      </c>
      <c r="F1122" s="25" t="s">
        <v>5</v>
      </c>
      <c r="G1122" s="59" t="s">
        <v>2716</v>
      </c>
      <c r="H1122" s="60">
        <v>0</v>
      </c>
      <c r="I1122" s="60">
        <v>0</v>
      </c>
      <c r="J1122" s="60">
        <v>0</v>
      </c>
      <c r="K1122" s="60">
        <v>0</v>
      </c>
      <c r="L1122" s="60">
        <v>0</v>
      </c>
      <c r="M1122" s="60">
        <v>0</v>
      </c>
      <c r="N1122" s="60">
        <v>0</v>
      </c>
      <c r="O1122" s="60">
        <v>0</v>
      </c>
      <c r="P1122" s="60">
        <v>0</v>
      </c>
      <c r="Q1122" s="60">
        <v>0</v>
      </c>
      <c r="R1122" s="60">
        <v>0</v>
      </c>
      <c r="S1122" s="60">
        <v>0</v>
      </c>
      <c r="T1122" s="60">
        <v>0</v>
      </c>
      <c r="U1122" s="60">
        <v>0</v>
      </c>
      <c r="V1122" s="60">
        <v>0</v>
      </c>
      <c r="W1122" s="60">
        <v>0</v>
      </c>
      <c r="X1122" s="60">
        <v>0</v>
      </c>
      <c r="Y1122" s="60">
        <v>0</v>
      </c>
      <c r="Z1122" s="60">
        <v>0</v>
      </c>
      <c r="AA1122" s="60">
        <v>0</v>
      </c>
      <c r="AB1122" s="60">
        <v>0</v>
      </c>
      <c r="AC1122" s="60">
        <v>274.82</v>
      </c>
      <c r="AD1122" s="60">
        <v>255.44</v>
      </c>
      <c r="AE1122" s="60">
        <v>251.86</v>
      </c>
      <c r="AF1122" s="60">
        <v>0</v>
      </c>
      <c r="AG1122" s="60">
        <v>0</v>
      </c>
      <c r="AH1122" s="60">
        <v>0</v>
      </c>
      <c r="AI1122" s="60">
        <v>274.82</v>
      </c>
      <c r="AJ1122" s="60">
        <v>255.44</v>
      </c>
      <c r="AK1122" s="60">
        <v>251.86</v>
      </c>
      <c r="AL1122" s="60">
        <v>0</v>
      </c>
      <c r="AM1122" s="60">
        <v>0</v>
      </c>
      <c r="AN1122" s="60">
        <v>0</v>
      </c>
      <c r="AO1122" s="60">
        <v>274.82</v>
      </c>
      <c r="AP1122" s="60">
        <v>255.44</v>
      </c>
      <c r="AQ1122" s="60">
        <v>251.86</v>
      </c>
      <c r="AR1122" s="61">
        <v>274.82</v>
      </c>
    </row>
    <row r="1123" spans="1:44" x14ac:dyDescent="0.35">
      <c r="A1123" s="49" t="str">
        <f>TEXT(1,"00")</f>
        <v>01</v>
      </c>
      <c r="B1123" s="27">
        <v>61259</v>
      </c>
      <c r="C1123" s="25" t="str">
        <f>TEXT(6111660,"0000000")</f>
        <v>6111660</v>
      </c>
      <c r="D1123" s="26" t="s">
        <v>138</v>
      </c>
      <c r="E1123" s="25" t="s">
        <v>136</v>
      </c>
      <c r="F1123" s="25" t="s">
        <v>5</v>
      </c>
      <c r="G1123" s="59" t="s">
        <v>137</v>
      </c>
      <c r="H1123" s="60">
        <v>0</v>
      </c>
      <c r="I1123" s="60">
        <v>0</v>
      </c>
      <c r="J1123" s="60">
        <v>0</v>
      </c>
      <c r="K1123" s="60">
        <v>0</v>
      </c>
      <c r="L1123" s="60">
        <v>0</v>
      </c>
      <c r="M1123" s="60">
        <v>0</v>
      </c>
      <c r="N1123" s="60">
        <v>0</v>
      </c>
      <c r="O1123" s="60">
        <v>0</v>
      </c>
      <c r="P1123" s="60">
        <v>0</v>
      </c>
      <c r="Q1123" s="60">
        <v>0</v>
      </c>
      <c r="R1123" s="60">
        <v>0</v>
      </c>
      <c r="S1123" s="60">
        <v>0</v>
      </c>
      <c r="T1123" s="60">
        <v>0</v>
      </c>
      <c r="U1123" s="60">
        <v>0</v>
      </c>
      <c r="V1123" s="60">
        <v>0</v>
      </c>
      <c r="W1123" s="60">
        <v>0</v>
      </c>
      <c r="X1123" s="60">
        <v>0</v>
      </c>
      <c r="Y1123" s="60">
        <v>0</v>
      </c>
      <c r="Z1123" s="60">
        <v>0</v>
      </c>
      <c r="AA1123" s="60">
        <v>0</v>
      </c>
      <c r="AB1123" s="60">
        <v>0</v>
      </c>
      <c r="AC1123" s="60">
        <v>190.56</v>
      </c>
      <c r="AD1123" s="60">
        <v>208.51</v>
      </c>
      <c r="AE1123" s="60">
        <v>239.38</v>
      </c>
      <c r="AF1123" s="60">
        <v>0</v>
      </c>
      <c r="AG1123" s="60">
        <v>0</v>
      </c>
      <c r="AH1123" s="60">
        <v>0</v>
      </c>
      <c r="AI1123" s="60">
        <v>190.56</v>
      </c>
      <c r="AJ1123" s="60">
        <v>208.51</v>
      </c>
      <c r="AK1123" s="60">
        <v>239.38</v>
      </c>
      <c r="AL1123" s="60">
        <v>0</v>
      </c>
      <c r="AM1123" s="60">
        <v>0</v>
      </c>
      <c r="AN1123" s="60">
        <v>0</v>
      </c>
      <c r="AO1123" s="60">
        <v>190.56</v>
      </c>
      <c r="AP1123" s="60">
        <v>208.51</v>
      </c>
      <c r="AQ1123" s="60">
        <v>239.38</v>
      </c>
      <c r="AR1123" s="61">
        <v>239.38</v>
      </c>
    </row>
    <row r="1124" spans="1:44" x14ac:dyDescent="0.35">
      <c r="A1124" s="49" t="str">
        <f t="shared" ref="A1124:A1133" si="97">TEXT(43,"00")</f>
        <v>43</v>
      </c>
      <c r="B1124" s="27">
        <v>10439</v>
      </c>
      <c r="C1124" s="25" t="str">
        <f>TEXT(125781,"0000000")</f>
        <v>0125781</v>
      </c>
      <c r="D1124" s="27">
        <v>1393</v>
      </c>
      <c r="E1124" s="25" t="s">
        <v>2717</v>
      </c>
      <c r="F1124" s="25" t="s">
        <v>5</v>
      </c>
      <c r="G1124" s="59" t="s">
        <v>2718</v>
      </c>
      <c r="H1124" s="60">
        <v>0</v>
      </c>
      <c r="I1124" s="60">
        <v>0</v>
      </c>
      <c r="J1124" s="60">
        <v>0</v>
      </c>
      <c r="K1124" s="60">
        <v>0</v>
      </c>
      <c r="L1124" s="60">
        <v>0</v>
      </c>
      <c r="M1124" s="60">
        <v>0</v>
      </c>
      <c r="N1124" s="60">
        <v>0</v>
      </c>
      <c r="O1124" s="60">
        <v>0</v>
      </c>
      <c r="P1124" s="60">
        <v>0</v>
      </c>
      <c r="Q1124" s="60">
        <v>0</v>
      </c>
      <c r="R1124" s="60">
        <v>0</v>
      </c>
      <c r="S1124" s="60">
        <v>0</v>
      </c>
      <c r="T1124" s="60">
        <v>0</v>
      </c>
      <c r="U1124" s="60">
        <v>0</v>
      </c>
      <c r="V1124" s="60">
        <v>0</v>
      </c>
      <c r="W1124" s="60">
        <v>0</v>
      </c>
      <c r="X1124" s="60">
        <v>0</v>
      </c>
      <c r="Y1124" s="60">
        <v>0</v>
      </c>
      <c r="Z1124" s="60">
        <v>448.87</v>
      </c>
      <c r="AA1124" s="60">
        <v>460.33</v>
      </c>
      <c r="AB1124" s="60">
        <v>591.39</v>
      </c>
      <c r="AC1124" s="60">
        <v>0</v>
      </c>
      <c r="AD1124" s="60">
        <v>0</v>
      </c>
      <c r="AE1124" s="60">
        <v>0</v>
      </c>
      <c r="AF1124" s="60">
        <v>0</v>
      </c>
      <c r="AG1124" s="60">
        <v>0</v>
      </c>
      <c r="AH1124" s="60">
        <v>0</v>
      </c>
      <c r="AI1124" s="60">
        <v>448.87</v>
      </c>
      <c r="AJ1124" s="60">
        <v>460.33</v>
      </c>
      <c r="AK1124" s="60">
        <v>591.39</v>
      </c>
      <c r="AL1124" s="60">
        <v>0</v>
      </c>
      <c r="AM1124" s="60">
        <v>0</v>
      </c>
      <c r="AN1124" s="60">
        <v>0</v>
      </c>
      <c r="AO1124" s="60">
        <v>448.87</v>
      </c>
      <c r="AP1124" s="60">
        <v>460.33</v>
      </c>
      <c r="AQ1124" s="60">
        <v>591.39</v>
      </c>
      <c r="AR1124" s="61">
        <v>591.39</v>
      </c>
    </row>
    <row r="1125" spans="1:44" x14ac:dyDescent="0.35">
      <c r="A1125" s="49" t="str">
        <f t="shared" si="97"/>
        <v>43</v>
      </c>
      <c r="B1125" s="27">
        <v>10439</v>
      </c>
      <c r="C1125" s="25" t="str">
        <f>TEXT(125799,"0000000")</f>
        <v>0125799</v>
      </c>
      <c r="D1125" s="27">
        <v>1394</v>
      </c>
      <c r="E1125" s="25" t="s">
        <v>2719</v>
      </c>
      <c r="F1125" s="25" t="s">
        <v>5</v>
      </c>
      <c r="G1125" s="59" t="s">
        <v>2720</v>
      </c>
      <c r="H1125" s="60">
        <v>0</v>
      </c>
      <c r="I1125" s="60">
        <v>0</v>
      </c>
      <c r="J1125" s="60">
        <v>0</v>
      </c>
      <c r="K1125" s="60">
        <v>0</v>
      </c>
      <c r="L1125" s="60">
        <v>0</v>
      </c>
      <c r="M1125" s="60">
        <v>0</v>
      </c>
      <c r="N1125" s="60">
        <v>0</v>
      </c>
      <c r="O1125" s="60">
        <v>0</v>
      </c>
      <c r="P1125" s="60">
        <v>0</v>
      </c>
      <c r="Q1125" s="60">
        <v>0</v>
      </c>
      <c r="R1125" s="60">
        <v>0</v>
      </c>
      <c r="S1125" s="60">
        <v>0</v>
      </c>
      <c r="T1125" s="60">
        <v>0</v>
      </c>
      <c r="U1125" s="60">
        <v>0</v>
      </c>
      <c r="V1125" s="60">
        <v>0</v>
      </c>
      <c r="W1125" s="60">
        <v>0</v>
      </c>
      <c r="X1125" s="60">
        <v>0</v>
      </c>
      <c r="Y1125" s="60">
        <v>0</v>
      </c>
      <c r="Z1125" s="60">
        <v>460.44</v>
      </c>
      <c r="AA1125" s="60">
        <v>466.67</v>
      </c>
      <c r="AB1125" s="60">
        <v>487.6</v>
      </c>
      <c r="AC1125" s="60">
        <v>0</v>
      </c>
      <c r="AD1125" s="60">
        <v>0</v>
      </c>
      <c r="AE1125" s="60">
        <v>0</v>
      </c>
      <c r="AF1125" s="60">
        <v>0</v>
      </c>
      <c r="AG1125" s="60">
        <v>0</v>
      </c>
      <c r="AH1125" s="60">
        <v>0</v>
      </c>
      <c r="AI1125" s="60">
        <v>460.44</v>
      </c>
      <c r="AJ1125" s="60">
        <v>466.67</v>
      </c>
      <c r="AK1125" s="60">
        <v>487.6</v>
      </c>
      <c r="AL1125" s="60">
        <v>0</v>
      </c>
      <c r="AM1125" s="60">
        <v>0</v>
      </c>
      <c r="AN1125" s="60">
        <v>0</v>
      </c>
      <c r="AO1125" s="60">
        <v>460.44</v>
      </c>
      <c r="AP1125" s="60">
        <v>466.67</v>
      </c>
      <c r="AQ1125" s="60">
        <v>487.6</v>
      </c>
      <c r="AR1125" s="61">
        <v>487.6</v>
      </c>
    </row>
    <row r="1126" spans="1:44" x14ac:dyDescent="0.35">
      <c r="A1126" s="49" t="str">
        <f t="shared" si="97"/>
        <v>43</v>
      </c>
      <c r="B1126" s="27">
        <v>10439</v>
      </c>
      <c r="C1126" s="25" t="str">
        <f>TEXT(128090,"0000000")</f>
        <v>0128090</v>
      </c>
      <c r="D1126" s="27">
        <v>1516</v>
      </c>
      <c r="E1126" s="25" t="s">
        <v>2721</v>
      </c>
      <c r="F1126" s="25" t="s">
        <v>5</v>
      </c>
      <c r="G1126" s="59" t="s">
        <v>2722</v>
      </c>
      <c r="H1126" s="60">
        <v>0</v>
      </c>
      <c r="I1126" s="60">
        <v>0</v>
      </c>
      <c r="J1126" s="60">
        <v>0</v>
      </c>
      <c r="K1126" s="60">
        <v>0</v>
      </c>
      <c r="L1126" s="60">
        <v>0</v>
      </c>
      <c r="M1126" s="60">
        <v>0</v>
      </c>
      <c r="N1126" s="60">
        <v>0</v>
      </c>
      <c r="O1126" s="60">
        <v>0</v>
      </c>
      <c r="P1126" s="60">
        <v>0</v>
      </c>
      <c r="Q1126" s="60">
        <v>0</v>
      </c>
      <c r="R1126" s="60">
        <v>0</v>
      </c>
      <c r="S1126" s="60">
        <v>0</v>
      </c>
      <c r="T1126" s="60">
        <v>0</v>
      </c>
      <c r="U1126" s="60">
        <v>0</v>
      </c>
      <c r="V1126" s="60">
        <v>0</v>
      </c>
      <c r="W1126" s="60">
        <v>0</v>
      </c>
      <c r="X1126" s="60">
        <v>0</v>
      </c>
      <c r="Y1126" s="60">
        <v>0</v>
      </c>
      <c r="Z1126" s="60">
        <v>595.16999999999996</v>
      </c>
      <c r="AA1126" s="60">
        <v>624.79999999999995</v>
      </c>
      <c r="AB1126" s="60">
        <v>600.6</v>
      </c>
      <c r="AC1126" s="60">
        <v>0</v>
      </c>
      <c r="AD1126" s="60">
        <v>0</v>
      </c>
      <c r="AE1126" s="60">
        <v>0</v>
      </c>
      <c r="AF1126" s="60">
        <v>0</v>
      </c>
      <c r="AG1126" s="60">
        <v>0</v>
      </c>
      <c r="AH1126" s="60">
        <v>0</v>
      </c>
      <c r="AI1126" s="60">
        <v>595.16999999999996</v>
      </c>
      <c r="AJ1126" s="60">
        <v>624.79999999999995</v>
      </c>
      <c r="AK1126" s="60">
        <v>600.6</v>
      </c>
      <c r="AL1126" s="60">
        <v>0</v>
      </c>
      <c r="AM1126" s="60">
        <v>0</v>
      </c>
      <c r="AN1126" s="60">
        <v>0</v>
      </c>
      <c r="AO1126" s="60">
        <v>595.16999999999996</v>
      </c>
      <c r="AP1126" s="60">
        <v>624.79999999999995</v>
      </c>
      <c r="AQ1126" s="60">
        <v>600.6</v>
      </c>
      <c r="AR1126" s="61">
        <v>624.79999999999995</v>
      </c>
    </row>
    <row r="1127" spans="1:44" x14ac:dyDescent="0.35">
      <c r="A1127" s="49" t="str">
        <f t="shared" si="97"/>
        <v>43</v>
      </c>
      <c r="B1127" s="27">
        <v>10439</v>
      </c>
      <c r="C1127" s="25" t="str">
        <f>TEXT(129213,"0000000")</f>
        <v>0129213</v>
      </c>
      <c r="D1127" s="27">
        <v>1618</v>
      </c>
      <c r="E1127" s="25" t="s">
        <v>2723</v>
      </c>
      <c r="F1127" s="25" t="s">
        <v>5</v>
      </c>
      <c r="G1127" s="59" t="s">
        <v>2724</v>
      </c>
      <c r="H1127" s="60">
        <v>0</v>
      </c>
      <c r="I1127" s="60">
        <v>0</v>
      </c>
      <c r="J1127" s="60">
        <v>0</v>
      </c>
      <c r="K1127" s="60">
        <v>0</v>
      </c>
      <c r="L1127" s="60">
        <v>0</v>
      </c>
      <c r="M1127" s="60">
        <v>0</v>
      </c>
      <c r="N1127" s="60">
        <v>0</v>
      </c>
      <c r="O1127" s="60">
        <v>0</v>
      </c>
      <c r="P1127" s="60">
        <v>0</v>
      </c>
      <c r="Q1127" s="60">
        <v>0</v>
      </c>
      <c r="R1127" s="60">
        <v>0</v>
      </c>
      <c r="S1127" s="60">
        <v>0</v>
      </c>
      <c r="T1127" s="60">
        <v>0</v>
      </c>
      <c r="U1127" s="60">
        <v>0</v>
      </c>
      <c r="V1127" s="60">
        <v>0</v>
      </c>
      <c r="W1127" s="60">
        <v>0</v>
      </c>
      <c r="X1127" s="60">
        <v>0</v>
      </c>
      <c r="Y1127" s="60">
        <v>0</v>
      </c>
      <c r="Z1127" s="60">
        <v>0</v>
      </c>
      <c r="AA1127" s="60">
        <v>0</v>
      </c>
      <c r="AB1127" s="60">
        <v>0</v>
      </c>
      <c r="AC1127" s="60">
        <v>397.64</v>
      </c>
      <c r="AD1127" s="60">
        <v>374.44</v>
      </c>
      <c r="AE1127" s="60">
        <v>346.7</v>
      </c>
      <c r="AF1127" s="60">
        <v>0</v>
      </c>
      <c r="AG1127" s="60">
        <v>0</v>
      </c>
      <c r="AH1127" s="60">
        <v>0</v>
      </c>
      <c r="AI1127" s="60">
        <v>397.64</v>
      </c>
      <c r="AJ1127" s="60">
        <v>374.44</v>
      </c>
      <c r="AK1127" s="60">
        <v>346.7</v>
      </c>
      <c r="AL1127" s="60">
        <v>0</v>
      </c>
      <c r="AM1127" s="60">
        <v>0</v>
      </c>
      <c r="AN1127" s="60">
        <v>0</v>
      </c>
      <c r="AO1127" s="60">
        <v>397.64</v>
      </c>
      <c r="AP1127" s="60">
        <v>374.44</v>
      </c>
      <c r="AQ1127" s="60">
        <v>346.7</v>
      </c>
      <c r="AR1127" s="61">
        <v>397.64</v>
      </c>
    </row>
    <row r="1128" spans="1:44" x14ac:dyDescent="0.35">
      <c r="A1128" s="49" t="str">
        <f t="shared" si="97"/>
        <v>43</v>
      </c>
      <c r="B1128" s="27">
        <v>10439</v>
      </c>
      <c r="C1128" s="25" t="str">
        <f>TEXT(131110,"0000000")</f>
        <v>0131110</v>
      </c>
      <c r="D1128" s="27">
        <v>1687</v>
      </c>
      <c r="E1128" s="25" t="s">
        <v>2725</v>
      </c>
      <c r="F1128" s="25" t="s">
        <v>5</v>
      </c>
      <c r="G1128" s="59" t="s">
        <v>2726</v>
      </c>
      <c r="H1128" s="60">
        <v>0</v>
      </c>
      <c r="I1128" s="60">
        <v>0</v>
      </c>
      <c r="J1128" s="60">
        <v>0</v>
      </c>
      <c r="K1128" s="60">
        <v>0</v>
      </c>
      <c r="L1128" s="60">
        <v>0</v>
      </c>
      <c r="M1128" s="60">
        <v>0</v>
      </c>
      <c r="N1128" s="60">
        <v>0</v>
      </c>
      <c r="O1128" s="60">
        <v>0</v>
      </c>
      <c r="P1128" s="60">
        <v>0</v>
      </c>
      <c r="Q1128" s="60">
        <v>0</v>
      </c>
      <c r="R1128" s="60">
        <v>0</v>
      </c>
      <c r="S1128" s="60">
        <v>0</v>
      </c>
      <c r="T1128" s="60">
        <v>0</v>
      </c>
      <c r="U1128" s="60">
        <v>0</v>
      </c>
      <c r="V1128" s="60">
        <v>0</v>
      </c>
      <c r="W1128" s="60">
        <v>0</v>
      </c>
      <c r="X1128" s="60">
        <v>0</v>
      </c>
      <c r="Y1128" s="60">
        <v>0</v>
      </c>
      <c r="Z1128" s="60">
        <v>0</v>
      </c>
      <c r="AA1128" s="60">
        <v>0</v>
      </c>
      <c r="AB1128" s="60">
        <v>0</v>
      </c>
      <c r="AC1128" s="60">
        <v>502.37</v>
      </c>
      <c r="AD1128" s="60">
        <v>510.13</v>
      </c>
      <c r="AE1128" s="60">
        <v>594.64</v>
      </c>
      <c r="AF1128" s="60">
        <v>0</v>
      </c>
      <c r="AG1128" s="60">
        <v>0</v>
      </c>
      <c r="AH1128" s="60">
        <v>0</v>
      </c>
      <c r="AI1128" s="60">
        <v>502.37</v>
      </c>
      <c r="AJ1128" s="60">
        <v>510.13</v>
      </c>
      <c r="AK1128" s="60">
        <v>594.64</v>
      </c>
      <c r="AL1128" s="60">
        <v>0</v>
      </c>
      <c r="AM1128" s="60">
        <v>0</v>
      </c>
      <c r="AN1128" s="60">
        <v>0</v>
      </c>
      <c r="AO1128" s="60">
        <v>502.37</v>
      </c>
      <c r="AP1128" s="60">
        <v>510.13</v>
      </c>
      <c r="AQ1128" s="60">
        <v>594.64</v>
      </c>
      <c r="AR1128" s="61">
        <v>594.64</v>
      </c>
    </row>
    <row r="1129" spans="1:44" x14ac:dyDescent="0.35">
      <c r="A1129" s="49" t="str">
        <f t="shared" si="97"/>
        <v>43</v>
      </c>
      <c r="B1129" s="27">
        <v>10439</v>
      </c>
      <c r="C1129" s="25" t="str">
        <f>TEXT(133496,"0000000")</f>
        <v>0133496</v>
      </c>
      <c r="D1129" s="27">
        <v>1778</v>
      </c>
      <c r="E1129" s="25" t="s">
        <v>2731</v>
      </c>
      <c r="F1129" s="25" t="s">
        <v>5</v>
      </c>
      <c r="G1129" s="59" t="s">
        <v>2732</v>
      </c>
      <c r="H1129" s="60">
        <v>0</v>
      </c>
      <c r="I1129" s="60">
        <v>0</v>
      </c>
      <c r="J1129" s="60">
        <v>0</v>
      </c>
      <c r="K1129" s="60">
        <v>0</v>
      </c>
      <c r="L1129" s="60">
        <v>0</v>
      </c>
      <c r="M1129" s="60">
        <v>0</v>
      </c>
      <c r="N1129" s="60">
        <v>0</v>
      </c>
      <c r="O1129" s="60">
        <v>0</v>
      </c>
      <c r="P1129" s="60">
        <v>0</v>
      </c>
      <c r="Q1129" s="60">
        <v>0</v>
      </c>
      <c r="R1129" s="60">
        <v>0</v>
      </c>
      <c r="S1129" s="60">
        <v>0</v>
      </c>
      <c r="T1129" s="60">
        <v>0</v>
      </c>
      <c r="U1129" s="60">
        <v>0</v>
      </c>
      <c r="V1129" s="60">
        <v>0</v>
      </c>
      <c r="W1129" s="60">
        <v>0</v>
      </c>
      <c r="X1129" s="60">
        <v>0</v>
      </c>
      <c r="Y1129" s="60">
        <v>0</v>
      </c>
      <c r="Z1129" s="60">
        <v>0</v>
      </c>
      <c r="AA1129" s="60">
        <v>0</v>
      </c>
      <c r="AB1129" s="60">
        <v>0</v>
      </c>
      <c r="AC1129" s="60">
        <v>531.1</v>
      </c>
      <c r="AD1129" s="60">
        <v>548.11</v>
      </c>
      <c r="AE1129" s="60">
        <v>594.25</v>
      </c>
      <c r="AF1129" s="60">
        <v>0</v>
      </c>
      <c r="AG1129" s="60">
        <v>0</v>
      </c>
      <c r="AH1129" s="60">
        <v>0</v>
      </c>
      <c r="AI1129" s="60">
        <v>531.1</v>
      </c>
      <c r="AJ1129" s="60">
        <v>548.11</v>
      </c>
      <c r="AK1129" s="60">
        <v>594.25</v>
      </c>
      <c r="AL1129" s="60">
        <v>0</v>
      </c>
      <c r="AM1129" s="60">
        <v>0</v>
      </c>
      <c r="AN1129" s="60">
        <v>0</v>
      </c>
      <c r="AO1129" s="60">
        <v>531.1</v>
      </c>
      <c r="AP1129" s="60">
        <v>548.11</v>
      </c>
      <c r="AQ1129" s="60">
        <v>594.25</v>
      </c>
      <c r="AR1129" s="61">
        <v>594.25</v>
      </c>
    </row>
    <row r="1130" spans="1:44" x14ac:dyDescent="0.35">
      <c r="A1130" s="49" t="str">
        <f t="shared" si="97"/>
        <v>43</v>
      </c>
      <c r="B1130" s="27">
        <v>69369</v>
      </c>
      <c r="C1130" s="25" t="str">
        <f>TEXT(106633,"0000000")</f>
        <v>0106633</v>
      </c>
      <c r="D1130" s="26" t="s">
        <v>2737</v>
      </c>
      <c r="E1130" s="25" t="s">
        <v>2735</v>
      </c>
      <c r="F1130" s="25" t="s">
        <v>5</v>
      </c>
      <c r="G1130" s="59" t="s">
        <v>2736</v>
      </c>
      <c r="H1130" s="60">
        <v>0</v>
      </c>
      <c r="I1130" s="60">
        <v>0</v>
      </c>
      <c r="J1130" s="60">
        <v>0</v>
      </c>
      <c r="K1130" s="60">
        <v>0</v>
      </c>
      <c r="L1130" s="60">
        <v>0</v>
      </c>
      <c r="M1130" s="60">
        <v>0</v>
      </c>
      <c r="N1130" s="60">
        <v>0</v>
      </c>
      <c r="O1130" s="60">
        <v>0</v>
      </c>
      <c r="P1130" s="60">
        <v>0</v>
      </c>
      <c r="Q1130" s="60">
        <v>0</v>
      </c>
      <c r="R1130" s="60">
        <v>0</v>
      </c>
      <c r="S1130" s="60">
        <v>0</v>
      </c>
      <c r="T1130" s="60">
        <v>0</v>
      </c>
      <c r="U1130" s="60">
        <v>0</v>
      </c>
      <c r="V1130" s="60">
        <v>0</v>
      </c>
      <c r="W1130" s="60">
        <v>0</v>
      </c>
      <c r="X1130" s="60">
        <v>0</v>
      </c>
      <c r="Y1130" s="60">
        <v>0</v>
      </c>
      <c r="Z1130" s="60">
        <v>0</v>
      </c>
      <c r="AA1130" s="60">
        <v>0</v>
      </c>
      <c r="AB1130" s="60">
        <v>0</v>
      </c>
      <c r="AC1130" s="60">
        <v>393.08</v>
      </c>
      <c r="AD1130" s="60">
        <v>399.85</v>
      </c>
      <c r="AE1130" s="60">
        <v>405.15</v>
      </c>
      <c r="AF1130" s="60">
        <v>0</v>
      </c>
      <c r="AG1130" s="60">
        <v>0</v>
      </c>
      <c r="AH1130" s="60">
        <v>0</v>
      </c>
      <c r="AI1130" s="60">
        <v>393.08</v>
      </c>
      <c r="AJ1130" s="60">
        <v>399.85</v>
      </c>
      <c r="AK1130" s="60">
        <v>405.15</v>
      </c>
      <c r="AL1130" s="60">
        <v>0</v>
      </c>
      <c r="AM1130" s="60">
        <v>0</v>
      </c>
      <c r="AN1130" s="60">
        <v>0</v>
      </c>
      <c r="AO1130" s="60">
        <v>393.08</v>
      </c>
      <c r="AP1130" s="60">
        <v>399.85</v>
      </c>
      <c r="AQ1130" s="60">
        <v>405.15</v>
      </c>
      <c r="AR1130" s="61">
        <v>405.15</v>
      </c>
    </row>
    <row r="1131" spans="1:44" x14ac:dyDescent="0.35">
      <c r="A1131" s="49" t="str">
        <f t="shared" si="97"/>
        <v>43</v>
      </c>
      <c r="B1131" s="27">
        <v>69369</v>
      </c>
      <c r="C1131" s="25" t="str">
        <f>TEXT(125526,"0000000")</f>
        <v>0125526</v>
      </c>
      <c r="D1131" s="27">
        <v>1375</v>
      </c>
      <c r="E1131" s="25" t="s">
        <v>2738</v>
      </c>
      <c r="F1131" s="25" t="s">
        <v>5</v>
      </c>
      <c r="G1131" s="59" t="s">
        <v>2739</v>
      </c>
      <c r="H1131" s="60">
        <v>0</v>
      </c>
      <c r="I1131" s="60">
        <v>0</v>
      </c>
      <c r="J1131" s="60">
        <v>0</v>
      </c>
      <c r="K1131" s="60">
        <v>0</v>
      </c>
      <c r="L1131" s="60">
        <v>0</v>
      </c>
      <c r="M1131" s="60">
        <v>0</v>
      </c>
      <c r="N1131" s="60">
        <v>0</v>
      </c>
      <c r="O1131" s="60">
        <v>0</v>
      </c>
      <c r="P1131" s="60">
        <v>0</v>
      </c>
      <c r="Q1131" s="60">
        <v>0</v>
      </c>
      <c r="R1131" s="60">
        <v>0</v>
      </c>
      <c r="S1131" s="60">
        <v>0</v>
      </c>
      <c r="T1131" s="60">
        <v>0</v>
      </c>
      <c r="U1131" s="60">
        <v>0</v>
      </c>
      <c r="V1131" s="60">
        <v>0</v>
      </c>
      <c r="W1131" s="60">
        <v>0</v>
      </c>
      <c r="X1131" s="60">
        <v>0</v>
      </c>
      <c r="Y1131" s="60">
        <v>0</v>
      </c>
      <c r="Z1131" s="60">
        <v>0</v>
      </c>
      <c r="AA1131" s="60">
        <v>0</v>
      </c>
      <c r="AB1131" s="60">
        <v>0</v>
      </c>
      <c r="AC1131" s="60">
        <v>417.1</v>
      </c>
      <c r="AD1131" s="60">
        <v>350.11</v>
      </c>
      <c r="AE1131" s="60">
        <v>340</v>
      </c>
      <c r="AF1131" s="60">
        <v>0</v>
      </c>
      <c r="AG1131" s="60">
        <v>0</v>
      </c>
      <c r="AH1131" s="60">
        <v>0</v>
      </c>
      <c r="AI1131" s="60">
        <v>417.1</v>
      </c>
      <c r="AJ1131" s="60">
        <v>350.11</v>
      </c>
      <c r="AK1131" s="60">
        <v>340</v>
      </c>
      <c r="AL1131" s="60">
        <v>0</v>
      </c>
      <c r="AM1131" s="60">
        <v>0</v>
      </c>
      <c r="AN1131" s="60">
        <v>0</v>
      </c>
      <c r="AO1131" s="60">
        <v>417.1</v>
      </c>
      <c r="AP1131" s="60">
        <v>350.11</v>
      </c>
      <c r="AQ1131" s="60">
        <v>340</v>
      </c>
      <c r="AR1131" s="61">
        <v>417.1</v>
      </c>
    </row>
    <row r="1132" spans="1:44" x14ac:dyDescent="0.35">
      <c r="A1132" s="49" t="str">
        <f t="shared" si="97"/>
        <v>43</v>
      </c>
      <c r="B1132" s="27">
        <v>69369</v>
      </c>
      <c r="C1132" s="25" t="str">
        <f>TEXT(129924,"0000000")</f>
        <v>0129924</v>
      </c>
      <c r="D1132" s="27">
        <v>1609</v>
      </c>
      <c r="E1132" s="25" t="s">
        <v>2740</v>
      </c>
      <c r="F1132" s="25" t="s">
        <v>5</v>
      </c>
      <c r="G1132" s="59" t="s">
        <v>2741</v>
      </c>
      <c r="H1132" s="60">
        <v>0</v>
      </c>
      <c r="I1132" s="60">
        <v>0</v>
      </c>
      <c r="J1132" s="60">
        <v>0</v>
      </c>
      <c r="K1132" s="60">
        <v>0</v>
      </c>
      <c r="L1132" s="60">
        <v>0</v>
      </c>
      <c r="M1132" s="60">
        <v>0</v>
      </c>
      <c r="N1132" s="60">
        <v>0</v>
      </c>
      <c r="O1132" s="60">
        <v>0</v>
      </c>
      <c r="P1132" s="60">
        <v>0</v>
      </c>
      <c r="Q1132" s="60">
        <v>0</v>
      </c>
      <c r="R1132" s="60">
        <v>0</v>
      </c>
      <c r="S1132" s="60">
        <v>0</v>
      </c>
      <c r="T1132" s="60">
        <v>0</v>
      </c>
      <c r="U1132" s="60">
        <v>0</v>
      </c>
      <c r="V1132" s="60">
        <v>0</v>
      </c>
      <c r="W1132" s="60">
        <v>0</v>
      </c>
      <c r="X1132" s="60">
        <v>0</v>
      </c>
      <c r="Y1132" s="60">
        <v>0</v>
      </c>
      <c r="Z1132" s="60">
        <v>0</v>
      </c>
      <c r="AA1132" s="60">
        <v>0</v>
      </c>
      <c r="AB1132" s="60">
        <v>0</v>
      </c>
      <c r="AC1132" s="60">
        <v>367.55</v>
      </c>
      <c r="AD1132" s="60">
        <v>381.4</v>
      </c>
      <c r="AE1132" s="60">
        <v>404.07</v>
      </c>
      <c r="AF1132" s="60">
        <v>0</v>
      </c>
      <c r="AG1132" s="60">
        <v>0</v>
      </c>
      <c r="AH1132" s="60">
        <v>0</v>
      </c>
      <c r="AI1132" s="60">
        <v>367.55</v>
      </c>
      <c r="AJ1132" s="60">
        <v>381.4</v>
      </c>
      <c r="AK1132" s="60">
        <v>404.07</v>
      </c>
      <c r="AL1132" s="60">
        <v>0</v>
      </c>
      <c r="AM1132" s="60">
        <v>0</v>
      </c>
      <c r="AN1132" s="60">
        <v>0</v>
      </c>
      <c r="AO1132" s="60">
        <v>367.55</v>
      </c>
      <c r="AP1132" s="60">
        <v>381.4</v>
      </c>
      <c r="AQ1132" s="60">
        <v>404.07</v>
      </c>
      <c r="AR1132" s="61">
        <v>404.07</v>
      </c>
    </row>
    <row r="1133" spans="1:44" ht="31" x14ac:dyDescent="0.35">
      <c r="A1133" s="49" t="str">
        <f t="shared" si="97"/>
        <v>43</v>
      </c>
      <c r="B1133" s="27">
        <v>69427</v>
      </c>
      <c r="C1133" s="25" t="str">
        <f>TEXT(107151,"0000000")</f>
        <v>0107151</v>
      </c>
      <c r="D1133" s="26" t="s">
        <v>2756</v>
      </c>
      <c r="E1133" s="25" t="s">
        <v>2754</v>
      </c>
      <c r="F1133" s="25" t="s">
        <v>5</v>
      </c>
      <c r="G1133" s="59" t="s">
        <v>2755</v>
      </c>
      <c r="H1133" s="60">
        <v>0</v>
      </c>
      <c r="I1133" s="60">
        <v>0</v>
      </c>
      <c r="J1133" s="60">
        <v>0</v>
      </c>
      <c r="K1133" s="60">
        <v>0</v>
      </c>
      <c r="L1133" s="60">
        <v>0</v>
      </c>
      <c r="M1133" s="60">
        <v>0</v>
      </c>
      <c r="N1133" s="60">
        <v>0</v>
      </c>
      <c r="O1133" s="60">
        <v>0</v>
      </c>
      <c r="P1133" s="60">
        <v>0</v>
      </c>
      <c r="Q1133" s="60">
        <v>0</v>
      </c>
      <c r="R1133" s="60">
        <v>0</v>
      </c>
      <c r="S1133" s="60">
        <v>0</v>
      </c>
      <c r="T1133" s="60">
        <v>0</v>
      </c>
      <c r="U1133" s="60">
        <v>0</v>
      </c>
      <c r="V1133" s="60">
        <v>0</v>
      </c>
      <c r="W1133" s="60">
        <v>0</v>
      </c>
      <c r="X1133" s="60">
        <v>0</v>
      </c>
      <c r="Y1133" s="60">
        <v>0</v>
      </c>
      <c r="Z1133" s="60">
        <v>0</v>
      </c>
      <c r="AA1133" s="60">
        <v>0</v>
      </c>
      <c r="AB1133" s="60">
        <v>0</v>
      </c>
      <c r="AC1133" s="60">
        <v>477.46</v>
      </c>
      <c r="AD1133" s="60">
        <v>399.44</v>
      </c>
      <c r="AE1133" s="60">
        <v>512.61</v>
      </c>
      <c r="AF1133" s="60">
        <v>0</v>
      </c>
      <c r="AG1133" s="60">
        <v>0</v>
      </c>
      <c r="AH1133" s="60">
        <v>0</v>
      </c>
      <c r="AI1133" s="60">
        <v>477.46</v>
      </c>
      <c r="AJ1133" s="60">
        <v>399.44</v>
      </c>
      <c r="AK1133" s="60">
        <v>512.61</v>
      </c>
      <c r="AL1133" s="60">
        <v>0</v>
      </c>
      <c r="AM1133" s="60">
        <v>0</v>
      </c>
      <c r="AN1133" s="60">
        <v>0</v>
      </c>
      <c r="AO1133" s="60">
        <v>477.46</v>
      </c>
      <c r="AP1133" s="60">
        <v>399.44</v>
      </c>
      <c r="AQ1133" s="60">
        <v>512.61</v>
      </c>
      <c r="AR1133" s="61">
        <v>512.61</v>
      </c>
    </row>
    <row r="1134" spans="1:44" x14ac:dyDescent="0.35">
      <c r="A1134" s="49" t="str">
        <f>TEXT(1,"00")</f>
        <v>01</v>
      </c>
      <c r="B1134" s="27">
        <v>61259</v>
      </c>
      <c r="C1134" s="25" t="str">
        <f>TEXT(6113807,"0000000")</f>
        <v>6113807</v>
      </c>
      <c r="D1134" s="26" t="s">
        <v>141</v>
      </c>
      <c r="E1134" s="25" t="s">
        <v>139</v>
      </c>
      <c r="F1134" s="25" t="s">
        <v>5</v>
      </c>
      <c r="G1134" s="59" t="s">
        <v>140</v>
      </c>
      <c r="H1134" s="60">
        <v>0</v>
      </c>
      <c r="I1134" s="60">
        <v>0</v>
      </c>
      <c r="J1134" s="60">
        <v>0</v>
      </c>
      <c r="K1134" s="60">
        <v>0</v>
      </c>
      <c r="L1134" s="60">
        <v>0</v>
      </c>
      <c r="M1134" s="60">
        <v>0</v>
      </c>
      <c r="N1134" s="60">
        <v>0</v>
      </c>
      <c r="O1134" s="60">
        <v>0</v>
      </c>
      <c r="P1134" s="60">
        <v>0</v>
      </c>
      <c r="Q1134" s="60">
        <v>0</v>
      </c>
      <c r="R1134" s="60">
        <v>0</v>
      </c>
      <c r="S1134" s="60">
        <v>0</v>
      </c>
      <c r="T1134" s="60">
        <v>0</v>
      </c>
      <c r="U1134" s="60">
        <v>0</v>
      </c>
      <c r="V1134" s="60">
        <v>0</v>
      </c>
      <c r="W1134" s="60">
        <v>0</v>
      </c>
      <c r="X1134" s="60">
        <v>0</v>
      </c>
      <c r="Y1134" s="60">
        <v>0</v>
      </c>
      <c r="Z1134" s="60">
        <v>0</v>
      </c>
      <c r="AA1134" s="60">
        <v>0</v>
      </c>
      <c r="AB1134" s="60">
        <v>0</v>
      </c>
      <c r="AC1134" s="60">
        <v>208.09</v>
      </c>
      <c r="AD1134" s="60">
        <v>0</v>
      </c>
      <c r="AE1134" s="60">
        <v>0</v>
      </c>
      <c r="AF1134" s="60">
        <v>0</v>
      </c>
      <c r="AG1134" s="60">
        <v>0</v>
      </c>
      <c r="AH1134" s="60">
        <v>0</v>
      </c>
      <c r="AI1134" s="60">
        <v>208.09</v>
      </c>
      <c r="AJ1134" s="60">
        <v>0</v>
      </c>
      <c r="AK1134" s="60">
        <v>0</v>
      </c>
      <c r="AL1134" s="60">
        <v>0</v>
      </c>
      <c r="AM1134" s="60">
        <v>223.62</v>
      </c>
      <c r="AN1134" s="60">
        <v>229.2</v>
      </c>
      <c r="AO1134" s="60">
        <v>208.09</v>
      </c>
      <c r="AP1134" s="60">
        <v>223.62</v>
      </c>
      <c r="AQ1134" s="60">
        <v>229.2</v>
      </c>
      <c r="AR1134" s="61">
        <v>229.2</v>
      </c>
    </row>
    <row r="1135" spans="1:44" x14ac:dyDescent="0.35">
      <c r="A1135" s="49" t="str">
        <f t="shared" ref="A1135:A1144" si="98">TEXT(43,"00")</f>
        <v>43</v>
      </c>
      <c r="B1135" s="27">
        <v>69427</v>
      </c>
      <c r="C1135" s="25" t="str">
        <f>TEXT(116889,"0000000")</f>
        <v>0116889</v>
      </c>
      <c r="D1135" s="26" t="s">
        <v>2759</v>
      </c>
      <c r="E1135" s="25" t="s">
        <v>2757</v>
      </c>
      <c r="F1135" s="25" t="s">
        <v>5</v>
      </c>
      <c r="G1135" s="59" t="s">
        <v>2758</v>
      </c>
      <c r="H1135" s="60">
        <v>0</v>
      </c>
      <c r="I1135" s="60">
        <v>0</v>
      </c>
      <c r="J1135" s="60">
        <v>0</v>
      </c>
      <c r="K1135" s="60">
        <v>0</v>
      </c>
      <c r="L1135" s="60">
        <v>0</v>
      </c>
      <c r="M1135" s="60">
        <v>0</v>
      </c>
      <c r="N1135" s="60">
        <v>0</v>
      </c>
      <c r="O1135" s="60">
        <v>0</v>
      </c>
      <c r="P1135" s="60">
        <v>0</v>
      </c>
      <c r="Q1135" s="60">
        <v>0</v>
      </c>
      <c r="R1135" s="60">
        <v>0</v>
      </c>
      <c r="S1135" s="60">
        <v>0</v>
      </c>
      <c r="T1135" s="60">
        <v>0</v>
      </c>
      <c r="U1135" s="60">
        <v>0</v>
      </c>
      <c r="V1135" s="60">
        <v>0</v>
      </c>
      <c r="W1135" s="60">
        <v>0</v>
      </c>
      <c r="X1135" s="60">
        <v>0</v>
      </c>
      <c r="Y1135" s="60">
        <v>0</v>
      </c>
      <c r="Z1135" s="60">
        <v>0</v>
      </c>
      <c r="AA1135" s="60">
        <v>0</v>
      </c>
      <c r="AB1135" s="60">
        <v>0</v>
      </c>
      <c r="AC1135" s="60">
        <v>491.48</v>
      </c>
      <c r="AD1135" s="60">
        <v>498.88</v>
      </c>
      <c r="AE1135" s="60">
        <v>531.87</v>
      </c>
      <c r="AF1135" s="60">
        <v>0</v>
      </c>
      <c r="AG1135" s="60">
        <v>0</v>
      </c>
      <c r="AH1135" s="60">
        <v>0</v>
      </c>
      <c r="AI1135" s="60">
        <v>491.48</v>
      </c>
      <c r="AJ1135" s="60">
        <v>498.88</v>
      </c>
      <c r="AK1135" s="60">
        <v>531.87</v>
      </c>
      <c r="AL1135" s="60">
        <v>0</v>
      </c>
      <c r="AM1135" s="60">
        <v>0</v>
      </c>
      <c r="AN1135" s="60">
        <v>0</v>
      </c>
      <c r="AO1135" s="60">
        <v>491.48</v>
      </c>
      <c r="AP1135" s="60">
        <v>498.88</v>
      </c>
      <c r="AQ1135" s="60">
        <v>531.87</v>
      </c>
      <c r="AR1135" s="61">
        <v>531.87</v>
      </c>
    </row>
    <row r="1136" spans="1:44" x14ac:dyDescent="0.35">
      <c r="A1136" s="49" t="str">
        <f t="shared" si="98"/>
        <v>43</v>
      </c>
      <c r="B1136" s="27">
        <v>69427</v>
      </c>
      <c r="C1136" s="25" t="str">
        <f>TEXT(125617,"0000000")</f>
        <v>0125617</v>
      </c>
      <c r="D1136" s="27">
        <v>1387</v>
      </c>
      <c r="E1136" s="25" t="s">
        <v>2760</v>
      </c>
      <c r="F1136" s="25" t="s">
        <v>5</v>
      </c>
      <c r="G1136" s="59" t="s">
        <v>2761</v>
      </c>
      <c r="H1136" s="60">
        <v>0</v>
      </c>
      <c r="I1136" s="60">
        <v>0</v>
      </c>
      <c r="J1136" s="60">
        <v>0</v>
      </c>
      <c r="K1136" s="60">
        <v>0</v>
      </c>
      <c r="L1136" s="60">
        <v>0</v>
      </c>
      <c r="M1136" s="60">
        <v>0</v>
      </c>
      <c r="N1136" s="60">
        <v>0</v>
      </c>
      <c r="O1136" s="60">
        <v>0</v>
      </c>
      <c r="P1136" s="60">
        <v>0</v>
      </c>
      <c r="Q1136" s="60">
        <v>0</v>
      </c>
      <c r="R1136" s="60">
        <v>0</v>
      </c>
      <c r="S1136" s="60">
        <v>0</v>
      </c>
      <c r="T1136" s="60">
        <v>0</v>
      </c>
      <c r="U1136" s="60">
        <v>0</v>
      </c>
      <c r="V1136" s="60">
        <v>0</v>
      </c>
      <c r="W1136" s="60">
        <v>0</v>
      </c>
      <c r="X1136" s="60">
        <v>0</v>
      </c>
      <c r="Y1136" s="60">
        <v>0</v>
      </c>
      <c r="Z1136" s="60">
        <v>0</v>
      </c>
      <c r="AA1136" s="60">
        <v>0</v>
      </c>
      <c r="AB1136" s="60">
        <v>0</v>
      </c>
      <c r="AC1136" s="60">
        <v>321.57</v>
      </c>
      <c r="AD1136" s="60">
        <v>347.16</v>
      </c>
      <c r="AE1136" s="60">
        <v>370.72</v>
      </c>
      <c r="AF1136" s="60">
        <v>0</v>
      </c>
      <c r="AG1136" s="60">
        <v>0</v>
      </c>
      <c r="AH1136" s="60">
        <v>0</v>
      </c>
      <c r="AI1136" s="60">
        <v>321.57</v>
      </c>
      <c r="AJ1136" s="60">
        <v>347.16</v>
      </c>
      <c r="AK1136" s="60">
        <v>370.72</v>
      </c>
      <c r="AL1136" s="60">
        <v>0</v>
      </c>
      <c r="AM1136" s="60">
        <v>0</v>
      </c>
      <c r="AN1136" s="60">
        <v>0</v>
      </c>
      <c r="AO1136" s="60">
        <v>321.57</v>
      </c>
      <c r="AP1136" s="60">
        <v>347.16</v>
      </c>
      <c r="AQ1136" s="60">
        <v>370.72</v>
      </c>
      <c r="AR1136" s="61">
        <v>370.72</v>
      </c>
    </row>
    <row r="1137" spans="1:44" x14ac:dyDescent="0.35">
      <c r="A1137" s="49" t="str">
        <f t="shared" si="98"/>
        <v>43</v>
      </c>
      <c r="B1137" s="27">
        <v>69427</v>
      </c>
      <c r="C1137" s="25" t="str">
        <f>TEXT(132274,"0000000")</f>
        <v>0132274</v>
      </c>
      <c r="D1137" s="27">
        <v>1737</v>
      </c>
      <c r="E1137" s="25" t="s">
        <v>2766</v>
      </c>
      <c r="F1137" s="25" t="s">
        <v>5</v>
      </c>
      <c r="G1137" s="59" t="s">
        <v>2767</v>
      </c>
      <c r="H1137" s="60">
        <v>0</v>
      </c>
      <c r="I1137" s="60">
        <v>0</v>
      </c>
      <c r="J1137" s="60">
        <v>0</v>
      </c>
      <c r="K1137" s="60">
        <v>0</v>
      </c>
      <c r="L1137" s="60">
        <v>0</v>
      </c>
      <c r="M1137" s="60">
        <v>0</v>
      </c>
      <c r="N1137" s="60">
        <v>0</v>
      </c>
      <c r="O1137" s="60">
        <v>0</v>
      </c>
      <c r="P1137" s="60">
        <v>0</v>
      </c>
      <c r="Q1137" s="60">
        <v>0</v>
      </c>
      <c r="R1137" s="60">
        <v>0</v>
      </c>
      <c r="S1137" s="60">
        <v>0</v>
      </c>
      <c r="T1137" s="60">
        <v>0</v>
      </c>
      <c r="U1137" s="60">
        <v>0</v>
      </c>
      <c r="V1137" s="60">
        <v>0</v>
      </c>
      <c r="W1137" s="60">
        <v>0</v>
      </c>
      <c r="X1137" s="60">
        <v>0</v>
      </c>
      <c r="Y1137" s="60">
        <v>0</v>
      </c>
      <c r="Z1137" s="60">
        <v>0</v>
      </c>
      <c r="AA1137" s="60">
        <v>0</v>
      </c>
      <c r="AB1137" s="60">
        <v>0</v>
      </c>
      <c r="AC1137" s="60">
        <v>399.74</v>
      </c>
      <c r="AD1137" s="60">
        <v>422.44</v>
      </c>
      <c r="AE1137" s="60">
        <v>463.4</v>
      </c>
      <c r="AF1137" s="60">
        <v>0</v>
      </c>
      <c r="AG1137" s="60">
        <v>0</v>
      </c>
      <c r="AH1137" s="60">
        <v>0</v>
      </c>
      <c r="AI1137" s="60">
        <v>399.74</v>
      </c>
      <c r="AJ1137" s="60">
        <v>422.44</v>
      </c>
      <c r="AK1137" s="60">
        <v>463.4</v>
      </c>
      <c r="AL1137" s="60">
        <v>0</v>
      </c>
      <c r="AM1137" s="60">
        <v>0</v>
      </c>
      <c r="AN1137" s="60">
        <v>0</v>
      </c>
      <c r="AO1137" s="60">
        <v>399.74</v>
      </c>
      <c r="AP1137" s="60">
        <v>422.44</v>
      </c>
      <c r="AQ1137" s="60">
        <v>463.4</v>
      </c>
      <c r="AR1137" s="61">
        <v>463.4</v>
      </c>
    </row>
    <row r="1138" spans="1:44" x14ac:dyDescent="0.35">
      <c r="A1138" s="49" t="str">
        <f t="shared" si="98"/>
        <v>43</v>
      </c>
      <c r="B1138" s="27">
        <v>69427</v>
      </c>
      <c r="C1138" s="25" t="str">
        <f>TEXT(4330676,"0000000")</f>
        <v>4330676</v>
      </c>
      <c r="D1138" s="26" t="s">
        <v>2773</v>
      </c>
      <c r="E1138" s="25" t="s">
        <v>2771</v>
      </c>
      <c r="F1138" s="25" t="s">
        <v>5</v>
      </c>
      <c r="G1138" s="59" t="s">
        <v>2772</v>
      </c>
      <c r="H1138" s="60">
        <v>0</v>
      </c>
      <c r="I1138" s="60">
        <v>0</v>
      </c>
      <c r="J1138" s="60">
        <v>0</v>
      </c>
      <c r="K1138" s="60">
        <v>0</v>
      </c>
      <c r="L1138" s="60">
        <v>0</v>
      </c>
      <c r="M1138" s="60">
        <v>0</v>
      </c>
      <c r="N1138" s="60">
        <v>0</v>
      </c>
      <c r="O1138" s="60">
        <v>0</v>
      </c>
      <c r="P1138" s="60">
        <v>0</v>
      </c>
      <c r="Q1138" s="60">
        <v>0</v>
      </c>
      <c r="R1138" s="60">
        <v>0</v>
      </c>
      <c r="S1138" s="60">
        <v>0</v>
      </c>
      <c r="T1138" s="60">
        <v>0</v>
      </c>
      <c r="U1138" s="60">
        <v>0</v>
      </c>
      <c r="V1138" s="60">
        <v>0</v>
      </c>
      <c r="W1138" s="60">
        <v>0</v>
      </c>
      <c r="X1138" s="60">
        <v>0</v>
      </c>
      <c r="Y1138" s="60">
        <v>0</v>
      </c>
      <c r="Z1138" s="60">
        <v>0</v>
      </c>
      <c r="AA1138" s="60">
        <v>0</v>
      </c>
      <c r="AB1138" s="60">
        <v>0</v>
      </c>
      <c r="AC1138" s="60">
        <v>129.65</v>
      </c>
      <c r="AD1138" s="60">
        <v>85.54</v>
      </c>
      <c r="AE1138" s="60">
        <v>138.38999999999999</v>
      </c>
      <c r="AF1138" s="60">
        <v>0</v>
      </c>
      <c r="AG1138" s="60">
        <v>0</v>
      </c>
      <c r="AH1138" s="60">
        <v>0</v>
      </c>
      <c r="AI1138" s="60">
        <v>129.65</v>
      </c>
      <c r="AJ1138" s="60">
        <v>85.54</v>
      </c>
      <c r="AK1138" s="60">
        <v>138.38999999999999</v>
      </c>
      <c r="AL1138" s="60">
        <v>0</v>
      </c>
      <c r="AM1138" s="60">
        <v>0</v>
      </c>
      <c r="AN1138" s="60">
        <v>0</v>
      </c>
      <c r="AO1138" s="60">
        <v>129.65</v>
      </c>
      <c r="AP1138" s="60">
        <v>85.54</v>
      </c>
      <c r="AQ1138" s="60">
        <v>138.38999999999999</v>
      </c>
      <c r="AR1138" s="61">
        <v>138.38999999999999</v>
      </c>
    </row>
    <row r="1139" spans="1:44" x14ac:dyDescent="0.35">
      <c r="A1139" s="49" t="str">
        <f t="shared" si="98"/>
        <v>43</v>
      </c>
      <c r="B1139" s="27">
        <v>69427</v>
      </c>
      <c r="C1139" s="25" t="str">
        <f>TEXT(4330726,"0000000")</f>
        <v>4330726</v>
      </c>
      <c r="D1139" s="26" t="s">
        <v>2776</v>
      </c>
      <c r="E1139" s="25" t="s">
        <v>2774</v>
      </c>
      <c r="F1139" s="25" t="s">
        <v>5</v>
      </c>
      <c r="G1139" s="59" t="s">
        <v>2775</v>
      </c>
      <c r="H1139" s="60">
        <v>0</v>
      </c>
      <c r="I1139" s="60">
        <v>0</v>
      </c>
      <c r="J1139" s="60">
        <v>0</v>
      </c>
      <c r="K1139" s="60">
        <v>0</v>
      </c>
      <c r="L1139" s="60">
        <v>0</v>
      </c>
      <c r="M1139" s="60">
        <v>0</v>
      </c>
      <c r="N1139" s="60">
        <v>0</v>
      </c>
      <c r="O1139" s="60">
        <v>0</v>
      </c>
      <c r="P1139" s="60">
        <v>0</v>
      </c>
      <c r="Q1139" s="60">
        <v>0</v>
      </c>
      <c r="R1139" s="60">
        <v>0</v>
      </c>
      <c r="S1139" s="60">
        <v>0</v>
      </c>
      <c r="T1139" s="60">
        <v>0</v>
      </c>
      <c r="U1139" s="60">
        <v>0</v>
      </c>
      <c r="V1139" s="60">
        <v>0</v>
      </c>
      <c r="W1139" s="60">
        <v>0</v>
      </c>
      <c r="X1139" s="60">
        <v>0</v>
      </c>
      <c r="Y1139" s="60">
        <v>0</v>
      </c>
      <c r="Z1139" s="60">
        <v>0</v>
      </c>
      <c r="AA1139" s="60">
        <v>0</v>
      </c>
      <c r="AB1139" s="60">
        <v>0</v>
      </c>
      <c r="AC1139" s="60">
        <v>362.25</v>
      </c>
      <c r="AD1139" s="60">
        <v>326.55</v>
      </c>
      <c r="AE1139" s="60">
        <v>383.69</v>
      </c>
      <c r="AF1139" s="60">
        <v>0</v>
      </c>
      <c r="AG1139" s="60">
        <v>0</v>
      </c>
      <c r="AH1139" s="60">
        <v>0</v>
      </c>
      <c r="AI1139" s="60">
        <v>362.25</v>
      </c>
      <c r="AJ1139" s="60">
        <v>326.55</v>
      </c>
      <c r="AK1139" s="60">
        <v>383.69</v>
      </c>
      <c r="AL1139" s="60">
        <v>0</v>
      </c>
      <c r="AM1139" s="60">
        <v>0</v>
      </c>
      <c r="AN1139" s="60">
        <v>0</v>
      </c>
      <c r="AO1139" s="60">
        <v>362.25</v>
      </c>
      <c r="AP1139" s="60">
        <v>326.55</v>
      </c>
      <c r="AQ1139" s="60">
        <v>383.69</v>
      </c>
      <c r="AR1139" s="61">
        <v>383.69</v>
      </c>
    </row>
    <row r="1140" spans="1:44" x14ac:dyDescent="0.35">
      <c r="A1140" s="49" t="str">
        <f t="shared" si="98"/>
        <v>43</v>
      </c>
      <c r="B1140" s="27">
        <v>69450</v>
      </c>
      <c r="C1140" s="25" t="str">
        <f>TEXT(123299,"0000000")</f>
        <v>0123299</v>
      </c>
      <c r="D1140" s="27">
        <v>1192</v>
      </c>
      <c r="E1140" s="25" t="s">
        <v>2784</v>
      </c>
      <c r="F1140" s="25" t="s">
        <v>5</v>
      </c>
      <c r="G1140" s="59" t="s">
        <v>2785</v>
      </c>
      <c r="H1140" s="60">
        <v>0</v>
      </c>
      <c r="I1140" s="60">
        <v>0</v>
      </c>
      <c r="J1140" s="60">
        <v>0</v>
      </c>
      <c r="K1140" s="60">
        <v>0</v>
      </c>
      <c r="L1140" s="60">
        <v>0</v>
      </c>
      <c r="M1140" s="60">
        <v>0</v>
      </c>
      <c r="N1140" s="60">
        <v>0</v>
      </c>
      <c r="O1140" s="60">
        <v>0</v>
      </c>
      <c r="P1140" s="60">
        <v>0</v>
      </c>
      <c r="Q1140" s="60">
        <v>0</v>
      </c>
      <c r="R1140" s="60">
        <v>0</v>
      </c>
      <c r="S1140" s="60">
        <v>0</v>
      </c>
      <c r="T1140" s="60">
        <v>0</v>
      </c>
      <c r="U1140" s="60">
        <v>0</v>
      </c>
      <c r="V1140" s="60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v>534.59</v>
      </c>
      <c r="AD1140" s="60">
        <v>508.53</v>
      </c>
      <c r="AE1140" s="60">
        <v>588.4</v>
      </c>
      <c r="AF1140" s="60">
        <v>0</v>
      </c>
      <c r="AG1140" s="60">
        <v>0</v>
      </c>
      <c r="AH1140" s="60">
        <v>0</v>
      </c>
      <c r="AI1140" s="60">
        <v>534.59</v>
      </c>
      <c r="AJ1140" s="60">
        <v>508.53</v>
      </c>
      <c r="AK1140" s="60">
        <v>588.4</v>
      </c>
      <c r="AL1140" s="60">
        <v>0</v>
      </c>
      <c r="AM1140" s="60">
        <v>0</v>
      </c>
      <c r="AN1140" s="60">
        <v>0</v>
      </c>
      <c r="AO1140" s="60">
        <v>534.59</v>
      </c>
      <c r="AP1140" s="60">
        <v>508.53</v>
      </c>
      <c r="AQ1140" s="60">
        <v>588.4</v>
      </c>
      <c r="AR1140" s="61">
        <v>588.4</v>
      </c>
    </row>
    <row r="1141" spans="1:44" x14ac:dyDescent="0.35">
      <c r="A1141" s="49" t="str">
        <f t="shared" si="98"/>
        <v>43</v>
      </c>
      <c r="B1141" s="27">
        <v>69450</v>
      </c>
      <c r="C1141" s="25" t="str">
        <f>TEXT(128108,"0000000")</f>
        <v>0128108</v>
      </c>
      <c r="D1141" s="27">
        <v>1526</v>
      </c>
      <c r="E1141" s="25" t="s">
        <v>2786</v>
      </c>
      <c r="F1141" s="25" t="s">
        <v>5</v>
      </c>
      <c r="G1141" s="59" t="s">
        <v>2787</v>
      </c>
      <c r="H1141" s="60">
        <v>0</v>
      </c>
      <c r="I1141" s="60">
        <v>0</v>
      </c>
      <c r="J1141" s="60">
        <v>0</v>
      </c>
      <c r="K1141" s="60">
        <v>0</v>
      </c>
      <c r="L1141" s="60">
        <v>0</v>
      </c>
      <c r="M1141" s="60">
        <v>0</v>
      </c>
      <c r="N1141" s="60">
        <v>0</v>
      </c>
      <c r="O1141" s="60">
        <v>0</v>
      </c>
      <c r="P1141" s="60">
        <v>0</v>
      </c>
      <c r="Q1141" s="60">
        <v>0</v>
      </c>
      <c r="R1141" s="60">
        <v>0</v>
      </c>
      <c r="S1141" s="60">
        <v>0</v>
      </c>
      <c r="T1141" s="60">
        <v>0</v>
      </c>
      <c r="U1141" s="60">
        <v>0</v>
      </c>
      <c r="V1141" s="60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v>505.82</v>
      </c>
      <c r="AD1141" s="60">
        <v>516.09</v>
      </c>
      <c r="AE1141" s="60">
        <v>586.01</v>
      </c>
      <c r="AF1141" s="60">
        <v>0</v>
      </c>
      <c r="AG1141" s="60">
        <v>0</v>
      </c>
      <c r="AH1141" s="60">
        <v>0</v>
      </c>
      <c r="AI1141" s="60">
        <v>505.82</v>
      </c>
      <c r="AJ1141" s="60">
        <v>516.09</v>
      </c>
      <c r="AK1141" s="60">
        <v>586.01</v>
      </c>
      <c r="AL1141" s="60">
        <v>0</v>
      </c>
      <c r="AM1141" s="60">
        <v>0</v>
      </c>
      <c r="AN1141" s="60">
        <v>0</v>
      </c>
      <c r="AO1141" s="60">
        <v>505.82</v>
      </c>
      <c r="AP1141" s="60">
        <v>516.09</v>
      </c>
      <c r="AQ1141" s="60">
        <v>586.01</v>
      </c>
      <c r="AR1141" s="61">
        <v>586.01</v>
      </c>
    </row>
    <row r="1142" spans="1:44" x14ac:dyDescent="0.35">
      <c r="A1142" s="49" t="str">
        <f t="shared" si="98"/>
        <v>43</v>
      </c>
      <c r="B1142" s="27">
        <v>69450</v>
      </c>
      <c r="C1142" s="25" t="str">
        <f>TEXT(129205,"0000000")</f>
        <v>0129205</v>
      </c>
      <c r="D1142" s="27">
        <v>1608</v>
      </c>
      <c r="E1142" s="25" t="s">
        <v>2788</v>
      </c>
      <c r="F1142" s="25" t="s">
        <v>5</v>
      </c>
      <c r="G1142" s="59" t="s">
        <v>2789</v>
      </c>
      <c r="H1142" s="60">
        <v>0</v>
      </c>
      <c r="I1142" s="60">
        <v>0</v>
      </c>
      <c r="J1142" s="60">
        <v>0</v>
      </c>
      <c r="K1142" s="60">
        <v>0</v>
      </c>
      <c r="L1142" s="60">
        <v>0</v>
      </c>
      <c r="M1142" s="60">
        <v>0</v>
      </c>
      <c r="N1142" s="60">
        <v>0</v>
      </c>
      <c r="O1142" s="60">
        <v>0</v>
      </c>
      <c r="P1142" s="60">
        <v>0</v>
      </c>
      <c r="Q1142" s="60">
        <v>0</v>
      </c>
      <c r="R1142" s="60">
        <v>0</v>
      </c>
      <c r="S1142" s="60">
        <v>0</v>
      </c>
      <c r="T1142" s="60">
        <v>0</v>
      </c>
      <c r="U1142" s="60">
        <v>0</v>
      </c>
      <c r="V1142" s="60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v>423.79</v>
      </c>
      <c r="AD1142" s="60">
        <v>426.34</v>
      </c>
      <c r="AE1142" s="60">
        <v>445.62</v>
      </c>
      <c r="AF1142" s="60">
        <v>0</v>
      </c>
      <c r="AG1142" s="60">
        <v>0</v>
      </c>
      <c r="AH1142" s="60">
        <v>0</v>
      </c>
      <c r="AI1142" s="60">
        <v>423.79</v>
      </c>
      <c r="AJ1142" s="60">
        <v>426.34</v>
      </c>
      <c r="AK1142" s="60">
        <v>445.62</v>
      </c>
      <c r="AL1142" s="60">
        <v>0</v>
      </c>
      <c r="AM1142" s="60">
        <v>0</v>
      </c>
      <c r="AN1142" s="60">
        <v>0</v>
      </c>
      <c r="AO1142" s="60">
        <v>423.79</v>
      </c>
      <c r="AP1142" s="60">
        <v>426.34</v>
      </c>
      <c r="AQ1142" s="60">
        <v>445.62</v>
      </c>
      <c r="AR1142" s="61">
        <v>445.62</v>
      </c>
    </row>
    <row r="1143" spans="1:44" x14ac:dyDescent="0.35">
      <c r="A1143" s="49" t="str">
        <f t="shared" si="98"/>
        <v>43</v>
      </c>
      <c r="B1143" s="27">
        <v>69450</v>
      </c>
      <c r="C1143" s="25" t="str">
        <f>TEXT(129247,"0000000")</f>
        <v>0129247</v>
      </c>
      <c r="D1143" s="27">
        <v>1545</v>
      </c>
      <c r="E1143" s="25" t="s">
        <v>2790</v>
      </c>
      <c r="F1143" s="25" t="s">
        <v>5</v>
      </c>
      <c r="G1143" s="59" t="s">
        <v>2791</v>
      </c>
      <c r="H1143" s="60">
        <v>0</v>
      </c>
      <c r="I1143" s="60">
        <v>0</v>
      </c>
      <c r="J1143" s="60">
        <v>0</v>
      </c>
      <c r="K1143" s="60">
        <v>0</v>
      </c>
      <c r="L1143" s="60">
        <v>0</v>
      </c>
      <c r="M1143" s="60">
        <v>0</v>
      </c>
      <c r="N1143" s="60">
        <v>0</v>
      </c>
      <c r="O1143" s="60">
        <v>0</v>
      </c>
      <c r="P1143" s="60">
        <v>0</v>
      </c>
      <c r="Q1143" s="60">
        <v>0</v>
      </c>
      <c r="R1143" s="60">
        <v>0</v>
      </c>
      <c r="S1143" s="60">
        <v>0</v>
      </c>
      <c r="T1143" s="60">
        <v>0</v>
      </c>
      <c r="U1143" s="60">
        <v>0</v>
      </c>
      <c r="V1143" s="60">
        <v>0</v>
      </c>
      <c r="W1143" s="60">
        <v>0</v>
      </c>
      <c r="X1143" s="60">
        <v>0</v>
      </c>
      <c r="Y1143" s="60">
        <v>0</v>
      </c>
      <c r="Z1143" s="60">
        <v>0</v>
      </c>
      <c r="AA1143" s="60">
        <v>0</v>
      </c>
      <c r="AB1143" s="60">
        <v>0</v>
      </c>
      <c r="AC1143" s="60">
        <v>204.36</v>
      </c>
      <c r="AD1143" s="60">
        <v>198.19</v>
      </c>
      <c r="AE1143" s="60">
        <v>236.1</v>
      </c>
      <c r="AF1143" s="60">
        <v>0</v>
      </c>
      <c r="AG1143" s="60">
        <v>0</v>
      </c>
      <c r="AH1143" s="60">
        <v>0</v>
      </c>
      <c r="AI1143" s="60">
        <v>204.36</v>
      </c>
      <c r="AJ1143" s="60">
        <v>198.19</v>
      </c>
      <c r="AK1143" s="60">
        <v>236.1</v>
      </c>
      <c r="AL1143" s="60">
        <v>0</v>
      </c>
      <c r="AM1143" s="60">
        <v>0</v>
      </c>
      <c r="AN1143" s="60">
        <v>0</v>
      </c>
      <c r="AO1143" s="60">
        <v>204.36</v>
      </c>
      <c r="AP1143" s="60">
        <v>198.19</v>
      </c>
      <c r="AQ1143" s="60">
        <v>236.1</v>
      </c>
      <c r="AR1143" s="61">
        <v>236.1</v>
      </c>
    </row>
    <row r="1144" spans="1:44" x14ac:dyDescent="0.35">
      <c r="A1144" s="49" t="str">
        <f t="shared" si="98"/>
        <v>43</v>
      </c>
      <c r="B1144" s="27">
        <v>69484</v>
      </c>
      <c r="C1144" s="25" t="str">
        <f>TEXT(123760,"0000000")</f>
        <v>0123760</v>
      </c>
      <c r="D1144" s="27">
        <v>1278</v>
      </c>
      <c r="E1144" s="25" t="s">
        <v>2796</v>
      </c>
      <c r="F1144" s="25" t="s">
        <v>5</v>
      </c>
      <c r="G1144" s="59" t="s">
        <v>2797</v>
      </c>
      <c r="H1144" s="60">
        <v>0</v>
      </c>
      <c r="I1144" s="60">
        <v>0</v>
      </c>
      <c r="J1144" s="60">
        <v>0</v>
      </c>
      <c r="K1144" s="60">
        <v>0</v>
      </c>
      <c r="L1144" s="60">
        <v>0</v>
      </c>
      <c r="M1144" s="60">
        <v>0</v>
      </c>
      <c r="N1144" s="60">
        <v>0</v>
      </c>
      <c r="O1144" s="60">
        <v>0</v>
      </c>
      <c r="P1144" s="60">
        <v>0</v>
      </c>
      <c r="Q1144" s="60">
        <v>0</v>
      </c>
      <c r="R1144" s="60">
        <v>0</v>
      </c>
      <c r="S1144" s="60">
        <v>0</v>
      </c>
      <c r="T1144" s="60">
        <v>0</v>
      </c>
      <c r="U1144" s="60">
        <v>0</v>
      </c>
      <c r="V1144" s="60">
        <v>0</v>
      </c>
      <c r="W1144" s="60">
        <v>0</v>
      </c>
      <c r="X1144" s="60">
        <v>0</v>
      </c>
      <c r="Y1144" s="60">
        <v>0</v>
      </c>
      <c r="Z1144" s="60">
        <v>0</v>
      </c>
      <c r="AA1144" s="60">
        <v>0</v>
      </c>
      <c r="AB1144" s="60">
        <v>0</v>
      </c>
      <c r="AC1144" s="60">
        <v>498.03</v>
      </c>
      <c r="AD1144" s="60">
        <v>508.72</v>
      </c>
      <c r="AE1144" s="60">
        <v>519.49</v>
      </c>
      <c r="AF1144" s="60">
        <v>0</v>
      </c>
      <c r="AG1144" s="60">
        <v>0</v>
      </c>
      <c r="AH1144" s="60">
        <v>0</v>
      </c>
      <c r="AI1144" s="60">
        <v>498.03</v>
      </c>
      <c r="AJ1144" s="60">
        <v>508.72</v>
      </c>
      <c r="AK1144" s="60">
        <v>519.49</v>
      </c>
      <c r="AL1144" s="60">
        <v>0</v>
      </c>
      <c r="AM1144" s="60">
        <v>0</v>
      </c>
      <c r="AN1144" s="60">
        <v>0</v>
      </c>
      <c r="AO1144" s="60">
        <v>498.03</v>
      </c>
      <c r="AP1144" s="60">
        <v>508.72</v>
      </c>
      <c r="AQ1144" s="60">
        <v>519.49</v>
      </c>
      <c r="AR1144" s="61">
        <v>519.49</v>
      </c>
    </row>
    <row r="1145" spans="1:44" x14ac:dyDescent="0.35">
      <c r="A1145" s="49" t="str">
        <f>TEXT(1,"00")</f>
        <v>01</v>
      </c>
      <c r="B1145" s="27">
        <v>61259</v>
      </c>
      <c r="C1145" s="25" t="str">
        <f>TEXT(6117568,"0000000")</f>
        <v>6117568</v>
      </c>
      <c r="D1145" s="26" t="s">
        <v>144</v>
      </c>
      <c r="E1145" s="25" t="s">
        <v>142</v>
      </c>
      <c r="F1145" s="25" t="s">
        <v>5</v>
      </c>
      <c r="G1145" s="59" t="s">
        <v>143</v>
      </c>
      <c r="H1145" s="60">
        <v>0</v>
      </c>
      <c r="I1145" s="60">
        <v>0</v>
      </c>
      <c r="J1145" s="60">
        <v>0</v>
      </c>
      <c r="K1145" s="60">
        <v>0</v>
      </c>
      <c r="L1145" s="60">
        <v>0</v>
      </c>
      <c r="M1145" s="60">
        <v>0</v>
      </c>
      <c r="N1145" s="60">
        <v>0</v>
      </c>
      <c r="O1145" s="60">
        <v>0</v>
      </c>
      <c r="P1145" s="60">
        <v>0</v>
      </c>
      <c r="Q1145" s="60">
        <v>0</v>
      </c>
      <c r="R1145" s="60">
        <v>0</v>
      </c>
      <c r="S1145" s="60">
        <v>0</v>
      </c>
      <c r="T1145" s="60">
        <v>0</v>
      </c>
      <c r="U1145" s="60">
        <v>0</v>
      </c>
      <c r="V1145" s="60">
        <v>0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v>354.87</v>
      </c>
      <c r="AD1145" s="60">
        <v>348.59</v>
      </c>
      <c r="AE1145" s="60">
        <v>395.52</v>
      </c>
      <c r="AF1145" s="60">
        <v>0</v>
      </c>
      <c r="AG1145" s="60">
        <v>0</v>
      </c>
      <c r="AH1145" s="60">
        <v>0</v>
      </c>
      <c r="AI1145" s="60">
        <v>354.87</v>
      </c>
      <c r="AJ1145" s="60">
        <v>348.59</v>
      </c>
      <c r="AK1145" s="60">
        <v>395.52</v>
      </c>
      <c r="AL1145" s="60">
        <v>0</v>
      </c>
      <c r="AM1145" s="60">
        <v>0</v>
      </c>
      <c r="AN1145" s="60">
        <v>0</v>
      </c>
      <c r="AO1145" s="60">
        <v>354.87</v>
      </c>
      <c r="AP1145" s="60">
        <v>348.59</v>
      </c>
      <c r="AQ1145" s="60">
        <v>395.52</v>
      </c>
      <c r="AR1145" s="61">
        <v>395.52</v>
      </c>
    </row>
    <row r="1146" spans="1:44" x14ac:dyDescent="0.35">
      <c r="A1146" s="49" t="str">
        <f>TEXT(43,"00")</f>
        <v>43</v>
      </c>
      <c r="B1146" s="27">
        <v>69666</v>
      </c>
      <c r="C1146" s="25" t="str">
        <f>TEXT(129718,"0000000")</f>
        <v>0129718</v>
      </c>
      <c r="D1146" s="27">
        <v>1623</v>
      </c>
      <c r="E1146" s="25" t="s">
        <v>2829</v>
      </c>
      <c r="F1146" s="25" t="s">
        <v>5</v>
      </c>
      <c r="G1146" s="59" t="s">
        <v>2830</v>
      </c>
      <c r="H1146" s="60">
        <v>0</v>
      </c>
      <c r="I1146" s="60">
        <v>0</v>
      </c>
      <c r="J1146" s="60">
        <v>0</v>
      </c>
      <c r="K1146" s="60">
        <v>0</v>
      </c>
      <c r="L1146" s="60">
        <v>0</v>
      </c>
      <c r="M1146" s="60">
        <v>0</v>
      </c>
      <c r="N1146" s="60">
        <v>0</v>
      </c>
      <c r="O1146" s="60">
        <v>0</v>
      </c>
      <c r="P1146" s="60">
        <v>0</v>
      </c>
      <c r="Q1146" s="60">
        <v>0</v>
      </c>
      <c r="R1146" s="60">
        <v>0</v>
      </c>
      <c r="S1146" s="60">
        <v>0</v>
      </c>
      <c r="T1146" s="60">
        <v>0</v>
      </c>
      <c r="U1146" s="60">
        <v>0</v>
      </c>
      <c r="V1146" s="60">
        <v>0</v>
      </c>
      <c r="W1146" s="60">
        <v>0</v>
      </c>
      <c r="X1146" s="60">
        <v>0</v>
      </c>
      <c r="Y1146" s="60">
        <v>0</v>
      </c>
      <c r="Z1146" s="60">
        <v>0</v>
      </c>
      <c r="AA1146" s="60">
        <v>0</v>
      </c>
      <c r="AB1146" s="60">
        <v>0</v>
      </c>
      <c r="AC1146" s="60">
        <v>256.68</v>
      </c>
      <c r="AD1146" s="60">
        <v>369.98</v>
      </c>
      <c r="AE1146" s="60">
        <v>0</v>
      </c>
      <c r="AF1146" s="60">
        <v>0</v>
      </c>
      <c r="AG1146" s="60">
        <v>0</v>
      </c>
      <c r="AH1146" s="60">
        <v>0</v>
      </c>
      <c r="AI1146" s="60">
        <v>256.68</v>
      </c>
      <c r="AJ1146" s="60">
        <v>369.98</v>
      </c>
      <c r="AK1146" s="60">
        <v>0</v>
      </c>
      <c r="AL1146" s="60">
        <v>0</v>
      </c>
      <c r="AM1146" s="60">
        <v>0</v>
      </c>
      <c r="AN1146" s="60">
        <v>0</v>
      </c>
      <c r="AO1146" s="60">
        <v>256.68</v>
      </c>
      <c r="AP1146" s="60">
        <v>369.98</v>
      </c>
      <c r="AQ1146" s="60">
        <v>0</v>
      </c>
      <c r="AR1146" s="61">
        <v>369.98</v>
      </c>
    </row>
    <row r="1147" spans="1:44" x14ac:dyDescent="0.35">
      <c r="A1147" s="49" t="str">
        <f>TEXT(43,"00")</f>
        <v>43</v>
      </c>
      <c r="B1147" s="27">
        <v>69666</v>
      </c>
      <c r="C1147" s="25" t="str">
        <f>TEXT(131656,"0000000")</f>
        <v>0131656</v>
      </c>
      <c r="D1147" s="27">
        <v>1546</v>
      </c>
      <c r="E1147" s="25" t="s">
        <v>2831</v>
      </c>
      <c r="F1147" s="25" t="s">
        <v>5</v>
      </c>
      <c r="G1147" s="59" t="s">
        <v>2832</v>
      </c>
      <c r="H1147" s="60">
        <v>0</v>
      </c>
      <c r="I1147" s="60">
        <v>0</v>
      </c>
      <c r="J1147" s="60">
        <v>0</v>
      </c>
      <c r="K1147" s="60">
        <v>0</v>
      </c>
      <c r="L1147" s="60">
        <v>0</v>
      </c>
      <c r="M1147" s="60">
        <v>0</v>
      </c>
      <c r="N1147" s="60">
        <v>0</v>
      </c>
      <c r="O1147" s="60">
        <v>0</v>
      </c>
      <c r="P1147" s="60">
        <v>0</v>
      </c>
      <c r="Q1147" s="60">
        <v>0</v>
      </c>
      <c r="R1147" s="60">
        <v>0</v>
      </c>
      <c r="S1147" s="60">
        <v>0</v>
      </c>
      <c r="T1147" s="60">
        <v>0</v>
      </c>
      <c r="U1147" s="60">
        <v>0</v>
      </c>
      <c r="V1147" s="60">
        <v>0</v>
      </c>
      <c r="W1147" s="60">
        <v>0</v>
      </c>
      <c r="X1147" s="60">
        <v>0</v>
      </c>
      <c r="Y1147" s="60">
        <v>0</v>
      </c>
      <c r="Z1147" s="60">
        <v>0</v>
      </c>
      <c r="AA1147" s="60">
        <v>0</v>
      </c>
      <c r="AB1147" s="60">
        <v>0</v>
      </c>
      <c r="AC1147" s="60">
        <v>218.83</v>
      </c>
      <c r="AD1147" s="60">
        <v>206.96</v>
      </c>
      <c r="AE1147" s="60">
        <v>223.6</v>
      </c>
      <c r="AF1147" s="60">
        <v>0</v>
      </c>
      <c r="AG1147" s="60">
        <v>0</v>
      </c>
      <c r="AH1147" s="60">
        <v>0</v>
      </c>
      <c r="AI1147" s="60">
        <v>218.83</v>
      </c>
      <c r="AJ1147" s="60">
        <v>206.96</v>
      </c>
      <c r="AK1147" s="60">
        <v>223.6</v>
      </c>
      <c r="AL1147" s="60">
        <v>0</v>
      </c>
      <c r="AM1147" s="60">
        <v>0</v>
      </c>
      <c r="AN1147" s="60">
        <v>0</v>
      </c>
      <c r="AO1147" s="60">
        <v>218.83</v>
      </c>
      <c r="AP1147" s="60">
        <v>206.96</v>
      </c>
      <c r="AQ1147" s="60">
        <v>223.6</v>
      </c>
      <c r="AR1147" s="61">
        <v>223.6</v>
      </c>
    </row>
    <row r="1148" spans="1:44" x14ac:dyDescent="0.35">
      <c r="A1148" s="49" t="str">
        <f>TEXT(43,"00")</f>
        <v>43</v>
      </c>
      <c r="B1148" s="27">
        <v>69666</v>
      </c>
      <c r="C1148" s="25" t="str">
        <f>TEXT(4330585,"0000000")</f>
        <v>4330585</v>
      </c>
      <c r="D1148" s="26" t="s">
        <v>2835</v>
      </c>
      <c r="E1148" s="25" t="s">
        <v>2833</v>
      </c>
      <c r="F1148" s="25" t="s">
        <v>5</v>
      </c>
      <c r="G1148" s="59" t="s">
        <v>2834</v>
      </c>
      <c r="H1148" s="60">
        <v>0</v>
      </c>
      <c r="I1148" s="60">
        <v>0</v>
      </c>
      <c r="J1148" s="60">
        <v>0</v>
      </c>
      <c r="K1148" s="60">
        <v>0</v>
      </c>
      <c r="L1148" s="60">
        <v>0</v>
      </c>
      <c r="M1148" s="60">
        <v>0</v>
      </c>
      <c r="N1148" s="60">
        <v>0</v>
      </c>
      <c r="O1148" s="60">
        <v>0</v>
      </c>
      <c r="P1148" s="60">
        <v>0</v>
      </c>
      <c r="Q1148" s="60">
        <v>0</v>
      </c>
      <c r="R1148" s="60">
        <v>0</v>
      </c>
      <c r="S1148" s="60">
        <v>0</v>
      </c>
      <c r="T1148" s="60">
        <v>0</v>
      </c>
      <c r="U1148" s="60">
        <v>0</v>
      </c>
      <c r="V1148" s="60">
        <v>0</v>
      </c>
      <c r="W1148" s="60">
        <v>0</v>
      </c>
      <c r="X1148" s="60">
        <v>0</v>
      </c>
      <c r="Y1148" s="60">
        <v>0</v>
      </c>
      <c r="Z1148" s="60">
        <v>0</v>
      </c>
      <c r="AA1148" s="60">
        <v>0</v>
      </c>
      <c r="AB1148" s="60">
        <v>0</v>
      </c>
      <c r="AC1148" s="60">
        <v>446.24</v>
      </c>
      <c r="AD1148" s="60">
        <v>484.9</v>
      </c>
      <c r="AE1148" s="60">
        <v>0</v>
      </c>
      <c r="AF1148" s="60">
        <v>0</v>
      </c>
      <c r="AG1148" s="60">
        <v>0</v>
      </c>
      <c r="AH1148" s="60">
        <v>0</v>
      </c>
      <c r="AI1148" s="60">
        <v>446.24</v>
      </c>
      <c r="AJ1148" s="60">
        <v>484.9</v>
      </c>
      <c r="AK1148" s="60">
        <v>0</v>
      </c>
      <c r="AL1148" s="60">
        <v>0</v>
      </c>
      <c r="AM1148" s="60">
        <v>0</v>
      </c>
      <c r="AN1148" s="60">
        <v>0</v>
      </c>
      <c r="AO1148" s="60">
        <v>446.24</v>
      </c>
      <c r="AP1148" s="60">
        <v>484.9</v>
      </c>
      <c r="AQ1148" s="60">
        <v>0</v>
      </c>
      <c r="AR1148" s="61">
        <v>484.9</v>
      </c>
    </row>
    <row r="1149" spans="1:44" x14ac:dyDescent="0.35">
      <c r="A1149" s="49" t="str">
        <f>TEXT(43,"00")</f>
        <v>43</v>
      </c>
      <c r="B1149" s="27">
        <v>77115</v>
      </c>
      <c r="C1149" s="25" t="str">
        <f>TEXT(137059,"0000000")</f>
        <v>0137059</v>
      </c>
      <c r="D1149" s="27">
        <v>1936</v>
      </c>
      <c r="E1149" s="25" t="s">
        <v>2846</v>
      </c>
      <c r="F1149" s="25" t="s">
        <v>5</v>
      </c>
      <c r="G1149" s="59" t="s">
        <v>2847</v>
      </c>
      <c r="H1149" s="60">
        <v>0</v>
      </c>
      <c r="I1149" s="60">
        <v>0</v>
      </c>
      <c r="J1149" s="60">
        <v>0</v>
      </c>
      <c r="K1149" s="60">
        <v>0</v>
      </c>
      <c r="L1149" s="60">
        <v>0</v>
      </c>
      <c r="M1149" s="60">
        <v>0</v>
      </c>
      <c r="N1149" s="60">
        <v>0</v>
      </c>
      <c r="O1149" s="60">
        <v>0</v>
      </c>
      <c r="P1149" s="60">
        <v>0</v>
      </c>
      <c r="Q1149" s="60">
        <v>0</v>
      </c>
      <c r="R1149" s="60">
        <v>0</v>
      </c>
      <c r="S1149" s="60">
        <v>0</v>
      </c>
      <c r="T1149" s="60">
        <v>0</v>
      </c>
      <c r="U1149" s="60">
        <v>0</v>
      </c>
      <c r="V1149" s="60">
        <v>0</v>
      </c>
      <c r="W1149" s="60">
        <v>0</v>
      </c>
      <c r="X1149" s="60">
        <v>0</v>
      </c>
      <c r="Y1149" s="60">
        <v>0</v>
      </c>
      <c r="Z1149" s="60">
        <v>0</v>
      </c>
      <c r="AA1149" s="60">
        <v>0</v>
      </c>
      <c r="AB1149" s="60">
        <v>0</v>
      </c>
      <c r="AC1149" s="60">
        <v>75.790000000000006</v>
      </c>
      <c r="AD1149" s="60">
        <v>53.89</v>
      </c>
      <c r="AE1149" s="60">
        <v>46.1</v>
      </c>
      <c r="AF1149" s="60">
        <v>0</v>
      </c>
      <c r="AG1149" s="60">
        <v>0</v>
      </c>
      <c r="AH1149" s="60">
        <v>0</v>
      </c>
      <c r="AI1149" s="60">
        <v>75.790000000000006</v>
      </c>
      <c r="AJ1149" s="60">
        <v>53.89</v>
      </c>
      <c r="AK1149" s="60">
        <v>46.1</v>
      </c>
      <c r="AL1149" s="60">
        <v>0</v>
      </c>
      <c r="AM1149" s="60">
        <v>0</v>
      </c>
      <c r="AN1149" s="60">
        <v>0</v>
      </c>
      <c r="AO1149" s="60">
        <v>75.790000000000006</v>
      </c>
      <c r="AP1149" s="60">
        <v>53.89</v>
      </c>
      <c r="AQ1149" s="60">
        <v>46.1</v>
      </c>
      <c r="AR1149" s="61">
        <v>75.790000000000006</v>
      </c>
    </row>
    <row r="1150" spans="1:44" x14ac:dyDescent="0.35">
      <c r="A1150" s="49" t="str">
        <f>TEXT(43,"00")</f>
        <v>43</v>
      </c>
      <c r="B1150" s="27">
        <v>77149</v>
      </c>
      <c r="C1150" s="25" t="str">
        <f>TEXT(137315,"0000000")</f>
        <v>0137315</v>
      </c>
      <c r="D1150" s="27">
        <v>1955</v>
      </c>
      <c r="E1150" s="25" t="s">
        <v>2848</v>
      </c>
      <c r="F1150" s="25" t="s">
        <v>5</v>
      </c>
      <c r="G1150" s="59" t="s">
        <v>2849</v>
      </c>
      <c r="H1150" s="60">
        <v>0</v>
      </c>
      <c r="I1150" s="60">
        <v>0</v>
      </c>
      <c r="J1150" s="60">
        <v>0</v>
      </c>
      <c r="K1150" s="60">
        <v>0</v>
      </c>
      <c r="L1150" s="60">
        <v>0</v>
      </c>
      <c r="M1150" s="60">
        <v>0</v>
      </c>
      <c r="N1150" s="60">
        <v>0</v>
      </c>
      <c r="O1150" s="60">
        <v>0</v>
      </c>
      <c r="P1150" s="60">
        <v>0</v>
      </c>
      <c r="Q1150" s="60">
        <v>0</v>
      </c>
      <c r="R1150" s="60">
        <v>0</v>
      </c>
      <c r="S1150" s="60">
        <v>0</v>
      </c>
      <c r="T1150" s="60">
        <v>0</v>
      </c>
      <c r="U1150" s="60">
        <v>0</v>
      </c>
      <c r="V1150" s="60">
        <v>0</v>
      </c>
      <c r="W1150" s="60">
        <v>0</v>
      </c>
      <c r="X1150" s="60">
        <v>0</v>
      </c>
      <c r="Y1150" s="60">
        <v>0</v>
      </c>
      <c r="Z1150" s="60">
        <v>0</v>
      </c>
      <c r="AA1150" s="60">
        <v>0</v>
      </c>
      <c r="AB1150" s="60">
        <v>0</v>
      </c>
      <c r="AC1150" s="60">
        <v>314.33</v>
      </c>
      <c r="AD1150" s="60">
        <v>331.12</v>
      </c>
      <c r="AE1150" s="60">
        <v>257.2</v>
      </c>
      <c r="AF1150" s="60">
        <v>0</v>
      </c>
      <c r="AG1150" s="60">
        <v>0</v>
      </c>
      <c r="AH1150" s="60">
        <v>0</v>
      </c>
      <c r="AI1150" s="60">
        <v>314.33</v>
      </c>
      <c r="AJ1150" s="60">
        <v>331.12</v>
      </c>
      <c r="AK1150" s="60">
        <v>257.2</v>
      </c>
      <c r="AL1150" s="60">
        <v>0</v>
      </c>
      <c r="AM1150" s="60">
        <v>0</v>
      </c>
      <c r="AN1150" s="60">
        <v>0</v>
      </c>
      <c r="AO1150" s="60">
        <v>314.33</v>
      </c>
      <c r="AP1150" s="60">
        <v>331.12</v>
      </c>
      <c r="AQ1150" s="60">
        <v>257.2</v>
      </c>
      <c r="AR1150" s="61">
        <v>331.12</v>
      </c>
    </row>
    <row r="1151" spans="1:44" x14ac:dyDescent="0.35">
      <c r="A1151" s="49" t="str">
        <f>TEXT(44,"00")</f>
        <v>44</v>
      </c>
      <c r="B1151" s="27">
        <v>69799</v>
      </c>
      <c r="C1151" s="25" t="str">
        <f>TEXT(117804,"0000000")</f>
        <v>0117804</v>
      </c>
      <c r="D1151" s="27">
        <v>1004</v>
      </c>
      <c r="E1151" s="25" t="s">
        <v>2867</v>
      </c>
      <c r="F1151" s="25" t="s">
        <v>5</v>
      </c>
      <c r="G1151" s="59" t="s">
        <v>2868</v>
      </c>
      <c r="H1151" s="60">
        <v>0</v>
      </c>
      <c r="I1151" s="60">
        <v>0</v>
      </c>
      <c r="J1151" s="60">
        <v>0</v>
      </c>
      <c r="K1151" s="60">
        <v>0</v>
      </c>
      <c r="L1151" s="60">
        <v>0</v>
      </c>
      <c r="M1151" s="60">
        <v>0</v>
      </c>
      <c r="N1151" s="60">
        <v>0</v>
      </c>
      <c r="O1151" s="60">
        <v>0</v>
      </c>
      <c r="P1151" s="60">
        <v>0</v>
      </c>
      <c r="Q1151" s="60">
        <v>0</v>
      </c>
      <c r="R1151" s="60">
        <v>0</v>
      </c>
      <c r="S1151" s="60">
        <v>0</v>
      </c>
      <c r="T1151" s="60">
        <v>0</v>
      </c>
      <c r="U1151" s="60">
        <v>0</v>
      </c>
      <c r="V1151" s="60">
        <v>0</v>
      </c>
      <c r="W1151" s="60">
        <v>0</v>
      </c>
      <c r="X1151" s="60">
        <v>0</v>
      </c>
      <c r="Y1151" s="60">
        <v>0</v>
      </c>
      <c r="Z1151" s="60">
        <v>0</v>
      </c>
      <c r="AA1151" s="60">
        <v>0</v>
      </c>
      <c r="AB1151" s="60">
        <v>0</v>
      </c>
      <c r="AC1151" s="60">
        <v>471.53</v>
      </c>
      <c r="AD1151" s="60">
        <v>481.38</v>
      </c>
      <c r="AE1151" s="60">
        <v>503.53</v>
      </c>
      <c r="AF1151" s="60">
        <v>0</v>
      </c>
      <c r="AG1151" s="60">
        <v>0</v>
      </c>
      <c r="AH1151" s="60">
        <v>0</v>
      </c>
      <c r="AI1151" s="60">
        <v>471.53</v>
      </c>
      <c r="AJ1151" s="60">
        <v>481.38</v>
      </c>
      <c r="AK1151" s="60">
        <v>503.53</v>
      </c>
      <c r="AL1151" s="60">
        <v>0</v>
      </c>
      <c r="AM1151" s="60">
        <v>0</v>
      </c>
      <c r="AN1151" s="60">
        <v>0</v>
      </c>
      <c r="AO1151" s="60">
        <v>471.53</v>
      </c>
      <c r="AP1151" s="60">
        <v>481.38</v>
      </c>
      <c r="AQ1151" s="60">
        <v>503.53</v>
      </c>
      <c r="AR1151" s="61">
        <v>503.53</v>
      </c>
    </row>
    <row r="1152" spans="1:44" x14ac:dyDescent="0.35">
      <c r="A1152" s="49" t="str">
        <f>TEXT(44,"00")</f>
        <v>44</v>
      </c>
      <c r="B1152" s="27">
        <v>75432</v>
      </c>
      <c r="C1152" s="25" t="str">
        <f>TEXT(139410,"0000000")</f>
        <v>0139410</v>
      </c>
      <c r="D1152" s="27">
        <v>2056</v>
      </c>
      <c r="E1152" s="25" t="s">
        <v>2881</v>
      </c>
      <c r="F1152" s="25" t="s">
        <v>5</v>
      </c>
      <c r="G1152" s="59" t="s">
        <v>2882</v>
      </c>
      <c r="H1152" s="60">
        <v>0</v>
      </c>
      <c r="I1152" s="60">
        <v>0</v>
      </c>
      <c r="J1152" s="60">
        <v>0</v>
      </c>
      <c r="K1152" s="60">
        <v>0</v>
      </c>
      <c r="L1152" s="60">
        <v>0</v>
      </c>
      <c r="M1152" s="60">
        <v>0</v>
      </c>
      <c r="N1152" s="60">
        <v>0</v>
      </c>
      <c r="O1152" s="60">
        <v>0</v>
      </c>
      <c r="P1152" s="60">
        <v>0</v>
      </c>
      <c r="Q1152" s="60">
        <v>0</v>
      </c>
      <c r="R1152" s="60">
        <v>0</v>
      </c>
      <c r="S1152" s="60">
        <v>0</v>
      </c>
      <c r="T1152" s="60">
        <v>0</v>
      </c>
      <c r="U1152" s="60">
        <v>0</v>
      </c>
      <c r="V1152" s="60">
        <v>0</v>
      </c>
      <c r="W1152" s="60">
        <v>0</v>
      </c>
      <c r="X1152" s="60">
        <v>0</v>
      </c>
      <c r="Y1152" s="60">
        <v>0</v>
      </c>
      <c r="Z1152" s="60">
        <v>0</v>
      </c>
      <c r="AA1152" s="60">
        <v>0</v>
      </c>
      <c r="AB1152" s="60">
        <v>0</v>
      </c>
      <c r="AC1152" s="60">
        <v>458.21</v>
      </c>
      <c r="AD1152" s="60">
        <v>435.93</v>
      </c>
      <c r="AE1152" s="60">
        <v>259.69</v>
      </c>
      <c r="AF1152" s="60">
        <v>0</v>
      </c>
      <c r="AG1152" s="60">
        <v>0</v>
      </c>
      <c r="AH1152" s="60">
        <v>0</v>
      </c>
      <c r="AI1152" s="60">
        <v>458.21</v>
      </c>
      <c r="AJ1152" s="60">
        <v>435.93</v>
      </c>
      <c r="AK1152" s="60">
        <v>259.69</v>
      </c>
      <c r="AL1152" s="60">
        <v>0</v>
      </c>
      <c r="AM1152" s="60">
        <v>0</v>
      </c>
      <c r="AN1152" s="60">
        <v>0</v>
      </c>
      <c r="AO1152" s="60">
        <v>458.21</v>
      </c>
      <c r="AP1152" s="60">
        <v>435.93</v>
      </c>
      <c r="AQ1152" s="60">
        <v>259.69</v>
      </c>
      <c r="AR1152" s="61">
        <v>458.21</v>
      </c>
    </row>
    <row r="1153" spans="1:44" x14ac:dyDescent="0.35">
      <c r="A1153" s="49" t="str">
        <f>TEXT(44,"00")</f>
        <v>44</v>
      </c>
      <c r="B1153" s="27">
        <v>77248</v>
      </c>
      <c r="C1153" s="25" t="str">
        <f>TEXT(138909,"0000000")</f>
        <v>0138909</v>
      </c>
      <c r="D1153" s="27">
        <v>2032</v>
      </c>
      <c r="E1153" s="25" t="s">
        <v>2883</v>
      </c>
      <c r="F1153" s="25" t="s">
        <v>5</v>
      </c>
      <c r="G1153" s="59" t="s">
        <v>2884</v>
      </c>
      <c r="H1153" s="60">
        <v>0</v>
      </c>
      <c r="I1153" s="60">
        <v>0</v>
      </c>
      <c r="J1153" s="60">
        <v>0</v>
      </c>
      <c r="K1153" s="60">
        <v>0</v>
      </c>
      <c r="L1153" s="60">
        <v>0</v>
      </c>
      <c r="M1153" s="60">
        <v>0</v>
      </c>
      <c r="N1153" s="60">
        <v>0</v>
      </c>
      <c r="O1153" s="60">
        <v>0</v>
      </c>
      <c r="P1153" s="60">
        <v>0</v>
      </c>
      <c r="Q1153" s="60">
        <v>0</v>
      </c>
      <c r="R1153" s="60">
        <v>0</v>
      </c>
      <c r="S1153" s="60">
        <v>0</v>
      </c>
      <c r="T1153" s="60">
        <v>0</v>
      </c>
      <c r="U1153" s="60">
        <v>0</v>
      </c>
      <c r="V1153" s="60">
        <v>0</v>
      </c>
      <c r="W1153" s="60">
        <v>0</v>
      </c>
      <c r="X1153" s="60">
        <v>0</v>
      </c>
      <c r="Y1153" s="60">
        <v>0</v>
      </c>
      <c r="Z1153" s="60">
        <v>0</v>
      </c>
      <c r="AA1153" s="60">
        <v>0</v>
      </c>
      <c r="AB1153" s="60">
        <v>0</v>
      </c>
      <c r="AC1153" s="60">
        <v>346.1</v>
      </c>
      <c r="AD1153" s="60">
        <v>279.93</v>
      </c>
      <c r="AE1153" s="60">
        <v>210.2</v>
      </c>
      <c r="AF1153" s="60">
        <v>0</v>
      </c>
      <c r="AG1153" s="60">
        <v>0</v>
      </c>
      <c r="AH1153" s="60">
        <v>0</v>
      </c>
      <c r="AI1153" s="60">
        <v>346.1</v>
      </c>
      <c r="AJ1153" s="60">
        <v>279.93</v>
      </c>
      <c r="AK1153" s="60">
        <v>210.2</v>
      </c>
      <c r="AL1153" s="60">
        <v>0</v>
      </c>
      <c r="AM1153" s="60">
        <v>0</v>
      </c>
      <c r="AN1153" s="60">
        <v>0</v>
      </c>
      <c r="AO1153" s="60">
        <v>346.1</v>
      </c>
      <c r="AP1153" s="60">
        <v>279.93</v>
      </c>
      <c r="AQ1153" s="60">
        <v>210.2</v>
      </c>
      <c r="AR1153" s="61">
        <v>346.1</v>
      </c>
    </row>
    <row r="1154" spans="1:44" x14ac:dyDescent="0.35">
      <c r="A1154" s="49" t="str">
        <f>TEXT(45,"00")</f>
        <v>45</v>
      </c>
      <c r="B1154" s="27">
        <v>10454</v>
      </c>
      <c r="C1154" s="25" t="str">
        <f>TEXT(111674,"0000000")</f>
        <v>0111674</v>
      </c>
      <c r="D1154" s="26" t="s">
        <v>2889</v>
      </c>
      <c r="E1154" s="25" t="s">
        <v>2887</v>
      </c>
      <c r="F1154" s="25" t="s">
        <v>5</v>
      </c>
      <c r="G1154" s="59" t="s">
        <v>2888</v>
      </c>
      <c r="H1154" s="60">
        <v>0</v>
      </c>
      <c r="I1154" s="60">
        <v>0</v>
      </c>
      <c r="J1154" s="60">
        <v>0</v>
      </c>
      <c r="K1154" s="60">
        <v>0</v>
      </c>
      <c r="L1154" s="60">
        <v>0</v>
      </c>
      <c r="M1154" s="60">
        <v>0</v>
      </c>
      <c r="N1154" s="60">
        <v>0</v>
      </c>
      <c r="O1154" s="60">
        <v>0</v>
      </c>
      <c r="P1154" s="60">
        <v>0</v>
      </c>
      <c r="Q1154" s="60">
        <v>0</v>
      </c>
      <c r="R1154" s="60">
        <v>0</v>
      </c>
      <c r="S1154" s="60">
        <v>0</v>
      </c>
      <c r="T1154" s="60">
        <v>0</v>
      </c>
      <c r="U1154" s="60">
        <v>0</v>
      </c>
      <c r="V1154" s="60">
        <v>0</v>
      </c>
      <c r="W1154" s="60">
        <v>0</v>
      </c>
      <c r="X1154" s="60">
        <v>0</v>
      </c>
      <c r="Y1154" s="60">
        <v>0</v>
      </c>
      <c r="Z1154" s="60">
        <v>224.1</v>
      </c>
      <c r="AA1154" s="60">
        <v>206.89</v>
      </c>
      <c r="AB1154" s="60">
        <v>206.75</v>
      </c>
      <c r="AC1154" s="60">
        <v>0</v>
      </c>
      <c r="AD1154" s="60">
        <v>0</v>
      </c>
      <c r="AE1154" s="60">
        <v>0</v>
      </c>
      <c r="AF1154" s="60">
        <v>0</v>
      </c>
      <c r="AG1154" s="60">
        <v>0</v>
      </c>
      <c r="AH1154" s="60">
        <v>0</v>
      </c>
      <c r="AI1154" s="60">
        <v>224.1</v>
      </c>
      <c r="AJ1154" s="60">
        <v>206.89</v>
      </c>
      <c r="AK1154" s="60">
        <v>206.75</v>
      </c>
      <c r="AL1154" s="60">
        <v>0</v>
      </c>
      <c r="AM1154" s="60">
        <v>0</v>
      </c>
      <c r="AN1154" s="60">
        <v>0</v>
      </c>
      <c r="AO1154" s="60">
        <v>224.1</v>
      </c>
      <c r="AP1154" s="60">
        <v>206.89</v>
      </c>
      <c r="AQ1154" s="60">
        <v>206.75</v>
      </c>
      <c r="AR1154" s="61">
        <v>224.1</v>
      </c>
    </row>
    <row r="1155" spans="1:44" x14ac:dyDescent="0.35">
      <c r="A1155" s="49" t="str">
        <f>TEXT(45,"00")</f>
        <v>45</v>
      </c>
      <c r="B1155" s="27">
        <v>10454</v>
      </c>
      <c r="C1155" s="25" t="str">
        <f>TEXT(132944,"0000000")</f>
        <v>0132944</v>
      </c>
      <c r="D1155" s="27">
        <v>1770</v>
      </c>
      <c r="E1155" s="25" t="s">
        <v>2892</v>
      </c>
      <c r="F1155" s="25" t="s">
        <v>5</v>
      </c>
      <c r="G1155" s="59" t="s">
        <v>2893</v>
      </c>
      <c r="H1155" s="60">
        <v>0</v>
      </c>
      <c r="I1155" s="60">
        <v>0</v>
      </c>
      <c r="J1155" s="60">
        <v>0</v>
      </c>
      <c r="K1155" s="60">
        <v>0</v>
      </c>
      <c r="L1155" s="60">
        <v>0</v>
      </c>
      <c r="M1155" s="60">
        <v>0</v>
      </c>
      <c r="N1155" s="60">
        <v>0</v>
      </c>
      <c r="O1155" s="60">
        <v>0</v>
      </c>
      <c r="P1155" s="60">
        <v>0</v>
      </c>
      <c r="Q1155" s="60">
        <v>0</v>
      </c>
      <c r="R1155" s="60">
        <v>0</v>
      </c>
      <c r="S1155" s="60">
        <v>0</v>
      </c>
      <c r="T1155" s="60">
        <v>0</v>
      </c>
      <c r="U1155" s="60">
        <v>0</v>
      </c>
      <c r="V1155" s="60">
        <v>0</v>
      </c>
      <c r="W1155" s="60">
        <v>0</v>
      </c>
      <c r="X1155" s="60">
        <v>0</v>
      </c>
      <c r="Y1155" s="60">
        <v>0</v>
      </c>
      <c r="Z1155" s="60">
        <v>0</v>
      </c>
      <c r="AA1155" s="60">
        <v>0</v>
      </c>
      <c r="AB1155" s="60">
        <v>0</v>
      </c>
      <c r="AC1155" s="60">
        <v>223.15</v>
      </c>
      <c r="AD1155" s="60">
        <v>209.7</v>
      </c>
      <c r="AE1155" s="60">
        <v>234.96</v>
      </c>
      <c r="AF1155" s="60">
        <v>0</v>
      </c>
      <c r="AG1155" s="60">
        <v>0</v>
      </c>
      <c r="AH1155" s="60">
        <v>0</v>
      </c>
      <c r="AI1155" s="60">
        <v>223.15</v>
      </c>
      <c r="AJ1155" s="60">
        <v>209.7</v>
      </c>
      <c r="AK1155" s="60">
        <v>234.96</v>
      </c>
      <c r="AL1155" s="60">
        <v>0</v>
      </c>
      <c r="AM1155" s="60">
        <v>0</v>
      </c>
      <c r="AN1155" s="60">
        <v>0</v>
      </c>
      <c r="AO1155" s="60">
        <v>223.15</v>
      </c>
      <c r="AP1155" s="60">
        <v>209.7</v>
      </c>
      <c r="AQ1155" s="60">
        <v>234.96</v>
      </c>
      <c r="AR1155" s="61">
        <v>234.96</v>
      </c>
    </row>
    <row r="1156" spans="1:44" x14ac:dyDescent="0.35">
      <c r="A1156" s="49" t="str">
        <f>TEXT(1,"00")</f>
        <v>01</v>
      </c>
      <c r="B1156" s="27">
        <v>61259</v>
      </c>
      <c r="C1156" s="25" t="str">
        <f>TEXT(6118608,"0000000")</f>
        <v>6118608</v>
      </c>
      <c r="D1156" s="27">
        <v>1443</v>
      </c>
      <c r="E1156" s="25" t="s">
        <v>145</v>
      </c>
      <c r="F1156" s="25" t="s">
        <v>5</v>
      </c>
      <c r="G1156" s="59" t="s">
        <v>146</v>
      </c>
      <c r="H1156" s="60">
        <v>0</v>
      </c>
      <c r="I1156" s="60">
        <v>0</v>
      </c>
      <c r="J1156" s="60">
        <v>0</v>
      </c>
      <c r="K1156" s="60">
        <v>0</v>
      </c>
      <c r="L1156" s="60">
        <v>0</v>
      </c>
      <c r="M1156" s="60">
        <v>0</v>
      </c>
      <c r="N1156" s="60">
        <v>0</v>
      </c>
      <c r="O1156" s="60">
        <v>0</v>
      </c>
      <c r="P1156" s="60">
        <v>0</v>
      </c>
      <c r="Q1156" s="60">
        <v>0</v>
      </c>
      <c r="R1156" s="60">
        <v>0</v>
      </c>
      <c r="S1156" s="60">
        <v>0</v>
      </c>
      <c r="T1156" s="60">
        <v>0</v>
      </c>
      <c r="U1156" s="60">
        <v>0</v>
      </c>
      <c r="V1156" s="60">
        <v>0</v>
      </c>
      <c r="W1156" s="60">
        <v>0</v>
      </c>
      <c r="X1156" s="60">
        <v>0</v>
      </c>
      <c r="Y1156" s="60">
        <v>0</v>
      </c>
      <c r="Z1156" s="60">
        <v>0</v>
      </c>
      <c r="AA1156" s="60">
        <v>0</v>
      </c>
      <c r="AB1156" s="60">
        <v>0</v>
      </c>
      <c r="AC1156" s="60">
        <v>447.76</v>
      </c>
      <c r="AD1156" s="60">
        <v>455.32</v>
      </c>
      <c r="AE1156" s="60">
        <v>476.02</v>
      </c>
      <c r="AF1156" s="60">
        <v>0</v>
      </c>
      <c r="AG1156" s="60">
        <v>0</v>
      </c>
      <c r="AH1156" s="60">
        <v>0</v>
      </c>
      <c r="AI1156" s="60">
        <v>447.76</v>
      </c>
      <c r="AJ1156" s="60">
        <v>455.32</v>
      </c>
      <c r="AK1156" s="60">
        <v>476.02</v>
      </c>
      <c r="AL1156" s="60">
        <v>0</v>
      </c>
      <c r="AM1156" s="60">
        <v>0</v>
      </c>
      <c r="AN1156" s="60">
        <v>0</v>
      </c>
      <c r="AO1156" s="60">
        <v>447.76</v>
      </c>
      <c r="AP1156" s="60">
        <v>455.32</v>
      </c>
      <c r="AQ1156" s="60">
        <v>476.02</v>
      </c>
      <c r="AR1156" s="61">
        <v>476.02</v>
      </c>
    </row>
    <row r="1157" spans="1:44" x14ac:dyDescent="0.35">
      <c r="A1157" s="49" t="str">
        <f>TEXT(45,"00")</f>
        <v>45</v>
      </c>
      <c r="B1157" s="27">
        <v>69948</v>
      </c>
      <c r="C1157" s="25" t="str">
        <f>TEXT(134122,"0000000")</f>
        <v>0134122</v>
      </c>
      <c r="D1157" s="27">
        <v>1793</v>
      </c>
      <c r="E1157" s="25" t="s">
        <v>2906</v>
      </c>
      <c r="F1157" s="25" t="s">
        <v>5</v>
      </c>
      <c r="G1157" s="59" t="s">
        <v>2907</v>
      </c>
      <c r="H1157" s="60">
        <v>0</v>
      </c>
      <c r="I1157" s="60">
        <v>0</v>
      </c>
      <c r="J1157" s="60">
        <v>0</v>
      </c>
      <c r="K1157" s="60">
        <v>0</v>
      </c>
      <c r="L1157" s="60">
        <v>0</v>
      </c>
      <c r="M1157" s="60">
        <v>0</v>
      </c>
      <c r="N1157" s="60">
        <v>0</v>
      </c>
      <c r="O1157" s="60">
        <v>0</v>
      </c>
      <c r="P1157" s="60">
        <v>0</v>
      </c>
      <c r="Q1157" s="60">
        <v>0</v>
      </c>
      <c r="R1157" s="60">
        <v>0</v>
      </c>
      <c r="S1157" s="60">
        <v>0</v>
      </c>
      <c r="T1157" s="60">
        <v>0</v>
      </c>
      <c r="U1157" s="60">
        <v>0</v>
      </c>
      <c r="V1157" s="60">
        <v>0</v>
      </c>
      <c r="W1157" s="60">
        <v>0</v>
      </c>
      <c r="X1157" s="60">
        <v>0</v>
      </c>
      <c r="Y1157" s="60">
        <v>0</v>
      </c>
      <c r="Z1157" s="60">
        <v>0</v>
      </c>
      <c r="AA1157" s="60">
        <v>0</v>
      </c>
      <c r="AB1157" s="60">
        <v>0</v>
      </c>
      <c r="AC1157" s="60">
        <v>570.25</v>
      </c>
      <c r="AD1157" s="60">
        <v>515</v>
      </c>
      <c r="AE1157" s="60">
        <v>581.95000000000005</v>
      </c>
      <c r="AF1157" s="60">
        <v>0</v>
      </c>
      <c r="AG1157" s="60">
        <v>0</v>
      </c>
      <c r="AH1157" s="60">
        <v>0</v>
      </c>
      <c r="AI1157" s="60">
        <v>570.25</v>
      </c>
      <c r="AJ1157" s="60">
        <v>515</v>
      </c>
      <c r="AK1157" s="60">
        <v>581.95000000000005</v>
      </c>
      <c r="AL1157" s="60">
        <v>0</v>
      </c>
      <c r="AM1157" s="60">
        <v>0</v>
      </c>
      <c r="AN1157" s="60">
        <v>0</v>
      </c>
      <c r="AO1157" s="60">
        <v>570.25</v>
      </c>
      <c r="AP1157" s="60">
        <v>515</v>
      </c>
      <c r="AQ1157" s="60">
        <v>581.95000000000005</v>
      </c>
      <c r="AR1157" s="61">
        <v>581.95000000000005</v>
      </c>
    </row>
    <row r="1158" spans="1:44" x14ac:dyDescent="0.35">
      <c r="A1158" s="49" t="str">
        <f>TEXT(45,"00")</f>
        <v>45</v>
      </c>
      <c r="B1158" s="27">
        <v>69948</v>
      </c>
      <c r="C1158" s="25" t="str">
        <f>TEXT(139543,"0000000")</f>
        <v>0139543</v>
      </c>
      <c r="D1158" s="27">
        <v>2065</v>
      </c>
      <c r="E1158" s="25" t="s">
        <v>2908</v>
      </c>
      <c r="F1158" s="25" t="s">
        <v>5</v>
      </c>
      <c r="G1158" s="59" t="s">
        <v>2909</v>
      </c>
      <c r="H1158" s="60">
        <v>0</v>
      </c>
      <c r="I1158" s="60">
        <v>0</v>
      </c>
      <c r="J1158" s="60">
        <v>0</v>
      </c>
      <c r="K1158" s="60">
        <v>0</v>
      </c>
      <c r="L1158" s="60">
        <v>0</v>
      </c>
      <c r="M1158" s="60">
        <v>0</v>
      </c>
      <c r="N1158" s="60">
        <v>0</v>
      </c>
      <c r="O1158" s="60">
        <v>0</v>
      </c>
      <c r="P1158" s="60">
        <v>0</v>
      </c>
      <c r="Q1158" s="60">
        <v>0</v>
      </c>
      <c r="R1158" s="60">
        <v>0</v>
      </c>
      <c r="S1158" s="60">
        <v>0</v>
      </c>
      <c r="T1158" s="60">
        <v>0</v>
      </c>
      <c r="U1158" s="60">
        <v>0</v>
      </c>
      <c r="V1158" s="60">
        <v>0</v>
      </c>
      <c r="W1158" s="60">
        <v>0</v>
      </c>
      <c r="X1158" s="60">
        <v>0</v>
      </c>
      <c r="Y1158" s="60">
        <v>0</v>
      </c>
      <c r="Z1158" s="60">
        <v>0</v>
      </c>
      <c r="AA1158" s="60">
        <v>0</v>
      </c>
      <c r="AB1158" s="60">
        <v>0</v>
      </c>
      <c r="AC1158" s="60">
        <v>489.48</v>
      </c>
      <c r="AD1158" s="60">
        <v>490.32</v>
      </c>
      <c r="AE1158" s="60">
        <v>99.62</v>
      </c>
      <c r="AF1158" s="60">
        <v>0</v>
      </c>
      <c r="AG1158" s="60">
        <v>0</v>
      </c>
      <c r="AH1158" s="60">
        <v>0</v>
      </c>
      <c r="AI1158" s="60">
        <v>489.48</v>
      </c>
      <c r="AJ1158" s="60">
        <v>490.32</v>
      </c>
      <c r="AK1158" s="60">
        <v>99.62</v>
      </c>
      <c r="AL1158" s="60">
        <v>0</v>
      </c>
      <c r="AM1158" s="60">
        <v>0</v>
      </c>
      <c r="AN1158" s="60">
        <v>0</v>
      </c>
      <c r="AO1158" s="60">
        <v>489.48</v>
      </c>
      <c r="AP1158" s="60">
        <v>490.32</v>
      </c>
      <c r="AQ1158" s="60">
        <v>99.62</v>
      </c>
      <c r="AR1158" s="61">
        <v>490.32</v>
      </c>
    </row>
    <row r="1159" spans="1:44" x14ac:dyDescent="0.35">
      <c r="A1159" s="49" t="str">
        <f>TEXT(45,"00")</f>
        <v>45</v>
      </c>
      <c r="B1159" s="27">
        <v>69948</v>
      </c>
      <c r="C1159" s="25" t="str">
        <f>TEXT(141580,"0000000")</f>
        <v>0141580</v>
      </c>
      <c r="D1159" s="27">
        <v>2126</v>
      </c>
      <c r="E1159" s="25" t="s">
        <v>2910</v>
      </c>
      <c r="F1159" s="25" t="s">
        <v>5</v>
      </c>
      <c r="G1159" s="59" t="s">
        <v>2911</v>
      </c>
      <c r="H1159" s="60">
        <v>0</v>
      </c>
      <c r="I1159" s="60">
        <v>0</v>
      </c>
      <c r="J1159" s="60">
        <v>0</v>
      </c>
      <c r="K1159" s="60">
        <v>0</v>
      </c>
      <c r="L1159" s="60">
        <v>0</v>
      </c>
      <c r="M1159" s="60">
        <v>0</v>
      </c>
      <c r="N1159" s="60">
        <v>0</v>
      </c>
      <c r="O1159" s="60">
        <v>0</v>
      </c>
      <c r="P1159" s="60">
        <v>0</v>
      </c>
      <c r="Q1159" s="60">
        <v>0</v>
      </c>
      <c r="R1159" s="60">
        <v>0</v>
      </c>
      <c r="S1159" s="60">
        <v>0</v>
      </c>
      <c r="T1159" s="60">
        <v>0</v>
      </c>
      <c r="U1159" s="60">
        <v>0</v>
      </c>
      <c r="V1159" s="60">
        <v>0</v>
      </c>
      <c r="W1159" s="60">
        <v>0</v>
      </c>
      <c r="X1159" s="60">
        <v>0</v>
      </c>
      <c r="Y1159" s="60">
        <v>0</v>
      </c>
      <c r="Z1159" s="60">
        <v>0</v>
      </c>
      <c r="AA1159" s="60">
        <v>0</v>
      </c>
      <c r="AB1159" s="60">
        <v>0</v>
      </c>
      <c r="AC1159" s="60">
        <v>273.49</v>
      </c>
      <c r="AD1159" s="60">
        <v>0</v>
      </c>
      <c r="AE1159" s="60">
        <v>0</v>
      </c>
      <c r="AF1159" s="60">
        <v>0</v>
      </c>
      <c r="AG1159" s="60">
        <v>0</v>
      </c>
      <c r="AH1159" s="60">
        <v>0</v>
      </c>
      <c r="AI1159" s="60">
        <v>273.49</v>
      </c>
      <c r="AJ1159" s="60">
        <v>0</v>
      </c>
      <c r="AK1159" s="60">
        <v>0</v>
      </c>
      <c r="AL1159" s="60">
        <v>0</v>
      </c>
      <c r="AM1159" s="60">
        <v>0</v>
      </c>
      <c r="AN1159" s="60">
        <v>0</v>
      </c>
      <c r="AO1159" s="60">
        <v>273.49</v>
      </c>
      <c r="AP1159" s="60">
        <v>0</v>
      </c>
      <c r="AQ1159" s="60">
        <v>0</v>
      </c>
      <c r="AR1159" s="61">
        <v>273.49</v>
      </c>
    </row>
    <row r="1160" spans="1:44" x14ac:dyDescent="0.35">
      <c r="A1160" s="49" t="str">
        <f>TEXT(45,"00")</f>
        <v>45</v>
      </c>
      <c r="B1160" s="27">
        <v>70136</v>
      </c>
      <c r="C1160" s="25" t="str">
        <f>TEXT(4530267,"0000000")</f>
        <v>4530267</v>
      </c>
      <c r="D1160" s="26" t="s">
        <v>2949</v>
      </c>
      <c r="E1160" s="25" t="s">
        <v>2947</v>
      </c>
      <c r="F1160" s="25" t="s">
        <v>5</v>
      </c>
      <c r="G1160" s="59" t="s">
        <v>2948</v>
      </c>
      <c r="H1160" s="60">
        <v>0</v>
      </c>
      <c r="I1160" s="60">
        <v>0</v>
      </c>
      <c r="J1160" s="60">
        <v>0</v>
      </c>
      <c r="K1160" s="60">
        <v>0</v>
      </c>
      <c r="L1160" s="60">
        <v>0</v>
      </c>
      <c r="M1160" s="60">
        <v>0</v>
      </c>
      <c r="N1160" s="60">
        <v>0</v>
      </c>
      <c r="O1160" s="60">
        <v>0</v>
      </c>
      <c r="P1160" s="60">
        <v>0</v>
      </c>
      <c r="Q1160" s="60">
        <v>0</v>
      </c>
      <c r="R1160" s="60">
        <v>0</v>
      </c>
      <c r="S1160" s="60">
        <v>0</v>
      </c>
      <c r="T1160" s="60">
        <v>0</v>
      </c>
      <c r="U1160" s="60">
        <v>0</v>
      </c>
      <c r="V1160" s="60">
        <v>0</v>
      </c>
      <c r="W1160" s="60">
        <v>0</v>
      </c>
      <c r="X1160" s="60">
        <v>0</v>
      </c>
      <c r="Y1160" s="60">
        <v>0</v>
      </c>
      <c r="Z1160" s="60">
        <v>0</v>
      </c>
      <c r="AA1160" s="60">
        <v>0</v>
      </c>
      <c r="AB1160" s="60">
        <v>0</v>
      </c>
      <c r="AC1160" s="60">
        <v>270.06</v>
      </c>
      <c r="AD1160" s="60">
        <v>232.41</v>
      </c>
      <c r="AE1160" s="60">
        <v>274.13</v>
      </c>
      <c r="AF1160" s="60">
        <v>0</v>
      </c>
      <c r="AG1160" s="60">
        <v>0</v>
      </c>
      <c r="AH1160" s="60">
        <v>0</v>
      </c>
      <c r="AI1160" s="60">
        <v>270.06</v>
      </c>
      <c r="AJ1160" s="60">
        <v>232.41</v>
      </c>
      <c r="AK1160" s="60">
        <v>274.13</v>
      </c>
      <c r="AL1160" s="60">
        <v>0</v>
      </c>
      <c r="AM1160" s="60">
        <v>0</v>
      </c>
      <c r="AN1160" s="60">
        <v>0</v>
      </c>
      <c r="AO1160" s="60">
        <v>270.06</v>
      </c>
      <c r="AP1160" s="60">
        <v>232.41</v>
      </c>
      <c r="AQ1160" s="60">
        <v>274.13</v>
      </c>
      <c r="AR1160" s="61">
        <v>274.13</v>
      </c>
    </row>
    <row r="1161" spans="1:44" x14ac:dyDescent="0.35">
      <c r="A1161" s="49" t="str">
        <f>TEXT(48,"00")</f>
        <v>48</v>
      </c>
      <c r="B1161" s="27">
        <v>10488</v>
      </c>
      <c r="C1161" s="25" t="str">
        <f>TEXT(139030,"0000000")</f>
        <v>0139030</v>
      </c>
      <c r="D1161" s="27">
        <v>2034</v>
      </c>
      <c r="E1161" s="25" t="s">
        <v>3021</v>
      </c>
      <c r="F1161" s="25" t="s">
        <v>5</v>
      </c>
      <c r="G1161" s="59" t="s">
        <v>3022</v>
      </c>
      <c r="H1161" s="60">
        <v>0</v>
      </c>
      <c r="I1161" s="60">
        <v>0</v>
      </c>
      <c r="J1161" s="60">
        <v>0</v>
      </c>
      <c r="K1161" s="60">
        <v>0</v>
      </c>
      <c r="L1161" s="60">
        <v>0</v>
      </c>
      <c r="M1161" s="60">
        <v>0</v>
      </c>
      <c r="N1161" s="60">
        <v>0</v>
      </c>
      <c r="O1161" s="60">
        <v>0</v>
      </c>
      <c r="P1161" s="60">
        <v>0</v>
      </c>
      <c r="Q1161" s="60">
        <v>0</v>
      </c>
      <c r="R1161" s="60">
        <v>0</v>
      </c>
      <c r="S1161" s="60">
        <v>0</v>
      </c>
      <c r="T1161" s="60">
        <v>0</v>
      </c>
      <c r="U1161" s="60">
        <v>0</v>
      </c>
      <c r="V1161" s="60">
        <v>0</v>
      </c>
      <c r="W1161" s="60">
        <v>0</v>
      </c>
      <c r="X1161" s="60">
        <v>0</v>
      </c>
      <c r="Y1161" s="60">
        <v>0</v>
      </c>
      <c r="Z1161" s="60">
        <v>0</v>
      </c>
      <c r="AA1161" s="60">
        <v>0</v>
      </c>
      <c r="AB1161" s="60">
        <v>0</v>
      </c>
      <c r="AC1161" s="60">
        <v>580.37</v>
      </c>
      <c r="AD1161" s="60">
        <v>504.34</v>
      </c>
      <c r="AE1161" s="60">
        <v>451.4</v>
      </c>
      <c r="AF1161" s="60">
        <v>0</v>
      </c>
      <c r="AG1161" s="60">
        <v>0</v>
      </c>
      <c r="AH1161" s="60">
        <v>0</v>
      </c>
      <c r="AI1161" s="60">
        <v>580.37</v>
      </c>
      <c r="AJ1161" s="60">
        <v>504.34</v>
      </c>
      <c r="AK1161" s="60">
        <v>451.4</v>
      </c>
      <c r="AL1161" s="60">
        <v>0</v>
      </c>
      <c r="AM1161" s="60">
        <v>0</v>
      </c>
      <c r="AN1161" s="60">
        <v>0</v>
      </c>
      <c r="AO1161" s="60">
        <v>580.37</v>
      </c>
      <c r="AP1161" s="60">
        <v>504.34</v>
      </c>
      <c r="AQ1161" s="60">
        <v>451.4</v>
      </c>
      <c r="AR1161" s="61">
        <v>580.37</v>
      </c>
    </row>
    <row r="1162" spans="1:44" x14ac:dyDescent="0.35">
      <c r="A1162" s="49" t="str">
        <f>TEXT(48,"00")</f>
        <v>48</v>
      </c>
      <c r="B1162" s="27">
        <v>70532</v>
      </c>
      <c r="C1162" s="25" t="str">
        <f>TEXT(122267,"0000000")</f>
        <v>0122267</v>
      </c>
      <c r="D1162" s="27">
        <v>1210</v>
      </c>
      <c r="E1162" s="25" t="s">
        <v>3027</v>
      </c>
      <c r="F1162" s="25" t="s">
        <v>5</v>
      </c>
      <c r="G1162" s="59" t="s">
        <v>3028</v>
      </c>
      <c r="H1162" s="60">
        <v>0</v>
      </c>
      <c r="I1162" s="60">
        <v>0</v>
      </c>
      <c r="J1162" s="60">
        <v>0</v>
      </c>
      <c r="K1162" s="60">
        <v>0</v>
      </c>
      <c r="L1162" s="60">
        <v>0</v>
      </c>
      <c r="M1162" s="60">
        <v>0</v>
      </c>
      <c r="N1162" s="60">
        <v>0</v>
      </c>
      <c r="O1162" s="60">
        <v>0</v>
      </c>
      <c r="P1162" s="60">
        <v>0</v>
      </c>
      <c r="Q1162" s="60">
        <v>0</v>
      </c>
      <c r="R1162" s="60">
        <v>0</v>
      </c>
      <c r="S1162" s="60">
        <v>0</v>
      </c>
      <c r="T1162" s="60">
        <v>0</v>
      </c>
      <c r="U1162" s="60">
        <v>0</v>
      </c>
      <c r="V1162" s="60">
        <v>0</v>
      </c>
      <c r="W1162" s="60">
        <v>0</v>
      </c>
      <c r="X1162" s="60">
        <v>0</v>
      </c>
      <c r="Y1162" s="60">
        <v>0</v>
      </c>
      <c r="Z1162" s="60">
        <v>0</v>
      </c>
      <c r="AA1162" s="60">
        <v>0</v>
      </c>
      <c r="AB1162" s="60">
        <v>0</v>
      </c>
      <c r="AC1162" s="60">
        <v>427.91</v>
      </c>
      <c r="AD1162" s="60">
        <v>397.77</v>
      </c>
      <c r="AE1162" s="60">
        <v>421.2</v>
      </c>
      <c r="AF1162" s="60">
        <v>0</v>
      </c>
      <c r="AG1162" s="60">
        <v>0</v>
      </c>
      <c r="AH1162" s="60">
        <v>0</v>
      </c>
      <c r="AI1162" s="60">
        <v>427.91</v>
      </c>
      <c r="AJ1162" s="60">
        <v>397.77</v>
      </c>
      <c r="AK1162" s="60">
        <v>421.2</v>
      </c>
      <c r="AL1162" s="60">
        <v>0</v>
      </c>
      <c r="AM1162" s="60">
        <v>0</v>
      </c>
      <c r="AN1162" s="60">
        <v>0</v>
      </c>
      <c r="AO1162" s="60">
        <v>427.91</v>
      </c>
      <c r="AP1162" s="60">
        <v>397.77</v>
      </c>
      <c r="AQ1162" s="60">
        <v>421.2</v>
      </c>
      <c r="AR1162" s="61">
        <v>427.91</v>
      </c>
    </row>
    <row r="1163" spans="1:44" x14ac:dyDescent="0.35">
      <c r="A1163" s="49" t="str">
        <f>TEXT(48,"00")</f>
        <v>48</v>
      </c>
      <c r="B1163" s="27">
        <v>70573</v>
      </c>
      <c r="C1163" s="25" t="str">
        <f>TEXT(129494,"0000000")</f>
        <v>0129494</v>
      </c>
      <c r="D1163" s="27">
        <v>1635</v>
      </c>
      <c r="E1163" s="25" t="s">
        <v>3035</v>
      </c>
      <c r="F1163" s="25" t="s">
        <v>5</v>
      </c>
      <c r="G1163" s="59" t="s">
        <v>3036</v>
      </c>
      <c r="H1163" s="60">
        <v>0</v>
      </c>
      <c r="I1163" s="60">
        <v>0</v>
      </c>
      <c r="J1163" s="60">
        <v>0</v>
      </c>
      <c r="K1163" s="60">
        <v>0</v>
      </c>
      <c r="L1163" s="60">
        <v>0</v>
      </c>
      <c r="M1163" s="60">
        <v>0</v>
      </c>
      <c r="N1163" s="60">
        <v>0</v>
      </c>
      <c r="O1163" s="60">
        <v>0</v>
      </c>
      <c r="P1163" s="60">
        <v>0</v>
      </c>
      <c r="Q1163" s="60">
        <v>0</v>
      </c>
      <c r="R1163" s="60">
        <v>0</v>
      </c>
      <c r="S1163" s="60">
        <v>0</v>
      </c>
      <c r="T1163" s="60">
        <v>0</v>
      </c>
      <c r="U1163" s="60">
        <v>0</v>
      </c>
      <c r="V1163" s="60">
        <v>0</v>
      </c>
      <c r="W1163" s="60">
        <v>0</v>
      </c>
      <c r="X1163" s="60">
        <v>0</v>
      </c>
      <c r="Y1163" s="60">
        <v>0</v>
      </c>
      <c r="Z1163" s="60">
        <v>0</v>
      </c>
      <c r="AA1163" s="60">
        <v>0</v>
      </c>
      <c r="AB1163" s="60">
        <v>0</v>
      </c>
      <c r="AC1163" s="60">
        <v>628.91</v>
      </c>
      <c r="AD1163" s="60">
        <v>592.1</v>
      </c>
      <c r="AE1163" s="60">
        <v>577.94000000000005</v>
      </c>
      <c r="AF1163" s="60">
        <v>0</v>
      </c>
      <c r="AG1163" s="60">
        <v>0</v>
      </c>
      <c r="AH1163" s="60">
        <v>0</v>
      </c>
      <c r="AI1163" s="60">
        <v>628.91</v>
      </c>
      <c r="AJ1163" s="60">
        <v>592.1</v>
      </c>
      <c r="AK1163" s="60">
        <v>577.94000000000005</v>
      </c>
      <c r="AL1163" s="60">
        <v>0</v>
      </c>
      <c r="AM1163" s="60">
        <v>0</v>
      </c>
      <c r="AN1163" s="60">
        <v>0</v>
      </c>
      <c r="AO1163" s="60">
        <v>628.91</v>
      </c>
      <c r="AP1163" s="60">
        <v>592.1</v>
      </c>
      <c r="AQ1163" s="60">
        <v>577.94000000000005</v>
      </c>
      <c r="AR1163" s="61">
        <v>628.91</v>
      </c>
    </row>
    <row r="1164" spans="1:44" x14ac:dyDescent="0.35">
      <c r="A1164" s="49" t="str">
        <f>TEXT(48,"00")</f>
        <v>48</v>
      </c>
      <c r="B1164" s="27">
        <v>70581</v>
      </c>
      <c r="C1164" s="25" t="str">
        <f>TEXT(134262,"0000000")</f>
        <v>0134262</v>
      </c>
      <c r="D1164" s="27">
        <v>1779</v>
      </c>
      <c r="E1164" s="25" t="s">
        <v>3039</v>
      </c>
      <c r="F1164" s="25" t="s">
        <v>5</v>
      </c>
      <c r="G1164" s="59" t="s">
        <v>3040</v>
      </c>
      <c r="H1164" s="60">
        <v>0</v>
      </c>
      <c r="I1164" s="60">
        <v>0</v>
      </c>
      <c r="J1164" s="60">
        <v>0</v>
      </c>
      <c r="K1164" s="60">
        <v>0</v>
      </c>
      <c r="L1164" s="60">
        <v>0</v>
      </c>
      <c r="M1164" s="60">
        <v>0</v>
      </c>
      <c r="N1164" s="60">
        <v>0</v>
      </c>
      <c r="O1164" s="60">
        <v>0</v>
      </c>
      <c r="P1164" s="60">
        <v>0</v>
      </c>
      <c r="Q1164" s="60">
        <v>0</v>
      </c>
      <c r="R1164" s="60">
        <v>0</v>
      </c>
      <c r="S1164" s="60">
        <v>0</v>
      </c>
      <c r="T1164" s="60">
        <v>0</v>
      </c>
      <c r="U1164" s="60">
        <v>0</v>
      </c>
      <c r="V1164" s="60">
        <v>0</v>
      </c>
      <c r="W1164" s="60">
        <v>0</v>
      </c>
      <c r="X1164" s="60">
        <v>0</v>
      </c>
      <c r="Y1164" s="60">
        <v>0</v>
      </c>
      <c r="Z1164" s="60">
        <v>0</v>
      </c>
      <c r="AA1164" s="60">
        <v>0</v>
      </c>
      <c r="AB1164" s="60">
        <v>0</v>
      </c>
      <c r="AC1164" s="60">
        <v>803.82</v>
      </c>
      <c r="AD1164" s="60">
        <v>723.86</v>
      </c>
      <c r="AE1164" s="60">
        <v>777.4</v>
      </c>
      <c r="AF1164" s="60">
        <v>0</v>
      </c>
      <c r="AG1164" s="60">
        <v>0</v>
      </c>
      <c r="AH1164" s="60">
        <v>0</v>
      </c>
      <c r="AI1164" s="60">
        <v>803.82</v>
      </c>
      <c r="AJ1164" s="60">
        <v>723.86</v>
      </c>
      <c r="AK1164" s="60">
        <v>777.4</v>
      </c>
      <c r="AL1164" s="60">
        <v>0</v>
      </c>
      <c r="AM1164" s="60">
        <v>0</v>
      </c>
      <c r="AN1164" s="60">
        <v>0</v>
      </c>
      <c r="AO1164" s="60">
        <v>803.82</v>
      </c>
      <c r="AP1164" s="60">
        <v>723.86</v>
      </c>
      <c r="AQ1164" s="60">
        <v>777.4</v>
      </c>
      <c r="AR1164" s="61">
        <v>803.82</v>
      </c>
    </row>
    <row r="1165" spans="1:44" x14ac:dyDescent="0.35">
      <c r="A1165" s="49" t="str">
        <f>TEXT(49,"00")</f>
        <v>49</v>
      </c>
      <c r="B1165" s="27">
        <v>70839</v>
      </c>
      <c r="C1165" s="25" t="str">
        <f>TEXT(138065,"0000000")</f>
        <v>0138065</v>
      </c>
      <c r="D1165" s="27">
        <v>1985</v>
      </c>
      <c r="E1165" s="25" t="s">
        <v>3103</v>
      </c>
      <c r="F1165" s="25" t="s">
        <v>5</v>
      </c>
      <c r="G1165" s="59" t="s">
        <v>3104</v>
      </c>
      <c r="H1165" s="60">
        <v>0</v>
      </c>
      <c r="I1165" s="60">
        <v>0</v>
      </c>
      <c r="J1165" s="60">
        <v>0</v>
      </c>
      <c r="K1165" s="60">
        <v>0</v>
      </c>
      <c r="L1165" s="60">
        <v>0</v>
      </c>
      <c r="M1165" s="60">
        <v>0</v>
      </c>
      <c r="N1165" s="60">
        <v>0</v>
      </c>
      <c r="O1165" s="60">
        <v>0</v>
      </c>
      <c r="P1165" s="60">
        <v>0</v>
      </c>
      <c r="Q1165" s="60">
        <v>0</v>
      </c>
      <c r="R1165" s="60">
        <v>0</v>
      </c>
      <c r="S1165" s="60">
        <v>0</v>
      </c>
      <c r="T1165" s="60">
        <v>0</v>
      </c>
      <c r="U1165" s="60">
        <v>0</v>
      </c>
      <c r="V1165" s="60">
        <v>0</v>
      </c>
      <c r="W1165" s="60">
        <v>0</v>
      </c>
      <c r="X1165" s="60">
        <v>0</v>
      </c>
      <c r="Y1165" s="60">
        <v>0</v>
      </c>
      <c r="Z1165" s="60">
        <v>0</v>
      </c>
      <c r="AA1165" s="60">
        <v>0</v>
      </c>
      <c r="AB1165" s="60">
        <v>0</v>
      </c>
      <c r="AC1165" s="60">
        <v>308.22000000000003</v>
      </c>
      <c r="AD1165" s="60">
        <v>308.35000000000002</v>
      </c>
      <c r="AE1165" s="60">
        <v>392.61</v>
      </c>
      <c r="AF1165" s="60">
        <v>0</v>
      </c>
      <c r="AG1165" s="60">
        <v>0</v>
      </c>
      <c r="AH1165" s="60">
        <v>0</v>
      </c>
      <c r="AI1165" s="60">
        <v>308.22000000000003</v>
      </c>
      <c r="AJ1165" s="60">
        <v>308.35000000000002</v>
      </c>
      <c r="AK1165" s="60">
        <v>392.61</v>
      </c>
      <c r="AL1165" s="60">
        <v>0</v>
      </c>
      <c r="AM1165" s="60">
        <v>0</v>
      </c>
      <c r="AN1165" s="60">
        <v>0</v>
      </c>
      <c r="AO1165" s="60">
        <v>308.22000000000003</v>
      </c>
      <c r="AP1165" s="60">
        <v>308.35000000000002</v>
      </c>
      <c r="AQ1165" s="60">
        <v>392.61</v>
      </c>
      <c r="AR1165" s="61">
        <v>392.61</v>
      </c>
    </row>
    <row r="1166" spans="1:44" x14ac:dyDescent="0.35">
      <c r="A1166" s="49" t="str">
        <f>TEXT(49,"00")</f>
        <v>49</v>
      </c>
      <c r="B1166" s="27">
        <v>70847</v>
      </c>
      <c r="C1166" s="25" t="str">
        <f>TEXT(119750,"0000000")</f>
        <v>0119750</v>
      </c>
      <c r="D1166" s="27">
        <v>1086</v>
      </c>
      <c r="E1166" s="25" t="s">
        <v>3107</v>
      </c>
      <c r="F1166" s="25" t="s">
        <v>5</v>
      </c>
      <c r="G1166" s="59" t="s">
        <v>3108</v>
      </c>
      <c r="H1166" s="60">
        <v>0</v>
      </c>
      <c r="I1166" s="60">
        <v>0</v>
      </c>
      <c r="J1166" s="60">
        <v>0</v>
      </c>
      <c r="K1166" s="60">
        <v>0</v>
      </c>
      <c r="L1166" s="60">
        <v>0</v>
      </c>
      <c r="M1166" s="60">
        <v>0</v>
      </c>
      <c r="N1166" s="60">
        <v>0</v>
      </c>
      <c r="O1166" s="60">
        <v>0</v>
      </c>
      <c r="P1166" s="60">
        <v>0</v>
      </c>
      <c r="Q1166" s="60">
        <v>0</v>
      </c>
      <c r="R1166" s="60">
        <v>0</v>
      </c>
      <c r="S1166" s="60">
        <v>0</v>
      </c>
      <c r="T1166" s="60">
        <v>0</v>
      </c>
      <c r="U1166" s="60">
        <v>0</v>
      </c>
      <c r="V1166" s="60">
        <v>0</v>
      </c>
      <c r="W1166" s="60">
        <v>0</v>
      </c>
      <c r="X1166" s="60">
        <v>0</v>
      </c>
      <c r="Y1166" s="60">
        <v>0</v>
      </c>
      <c r="Z1166" s="60">
        <v>0</v>
      </c>
      <c r="AA1166" s="60">
        <v>0</v>
      </c>
      <c r="AB1166" s="60">
        <v>0</v>
      </c>
      <c r="AC1166" s="60">
        <v>120.78</v>
      </c>
      <c r="AD1166" s="60">
        <v>121.3</v>
      </c>
      <c r="AE1166" s="60">
        <v>169.75</v>
      </c>
      <c r="AF1166" s="60">
        <v>0</v>
      </c>
      <c r="AG1166" s="60">
        <v>0</v>
      </c>
      <c r="AH1166" s="60">
        <v>0</v>
      </c>
      <c r="AI1166" s="60">
        <v>120.78</v>
      </c>
      <c r="AJ1166" s="60">
        <v>121.3</v>
      </c>
      <c r="AK1166" s="60">
        <v>169.75</v>
      </c>
      <c r="AL1166" s="60">
        <v>0</v>
      </c>
      <c r="AM1166" s="60">
        <v>0</v>
      </c>
      <c r="AN1166" s="60">
        <v>0</v>
      </c>
      <c r="AO1166" s="60">
        <v>120.78</v>
      </c>
      <c r="AP1166" s="60">
        <v>121.3</v>
      </c>
      <c r="AQ1166" s="60">
        <v>169.75</v>
      </c>
      <c r="AR1166" s="61">
        <v>169.75</v>
      </c>
    </row>
    <row r="1167" spans="1:44" x14ac:dyDescent="0.35">
      <c r="A1167" s="49" t="str">
        <f>TEXT(1,"00")</f>
        <v>01</v>
      </c>
      <c r="B1167" s="27">
        <v>61309</v>
      </c>
      <c r="C1167" s="25" t="str">
        <f>TEXT(101212,"0000000")</f>
        <v>0101212</v>
      </c>
      <c r="D1167" s="26" t="s">
        <v>155</v>
      </c>
      <c r="E1167" s="25" t="s">
        <v>153</v>
      </c>
      <c r="F1167" s="25" t="s">
        <v>5</v>
      </c>
      <c r="G1167" s="59" t="s">
        <v>154</v>
      </c>
      <c r="H1167" s="60">
        <v>0</v>
      </c>
      <c r="I1167" s="60">
        <v>0</v>
      </c>
      <c r="J1167" s="60">
        <v>0</v>
      </c>
      <c r="K1167" s="60">
        <v>0</v>
      </c>
      <c r="L1167" s="60">
        <v>0</v>
      </c>
      <c r="M1167" s="60">
        <v>0</v>
      </c>
      <c r="N1167" s="60">
        <v>0</v>
      </c>
      <c r="O1167" s="60">
        <v>0</v>
      </c>
      <c r="P1167" s="60">
        <v>0</v>
      </c>
      <c r="Q1167" s="60">
        <v>0</v>
      </c>
      <c r="R1167" s="60">
        <v>0</v>
      </c>
      <c r="S1167" s="60">
        <v>0</v>
      </c>
      <c r="T1167" s="60">
        <v>0</v>
      </c>
      <c r="U1167" s="60">
        <v>0</v>
      </c>
      <c r="V1167" s="60">
        <v>0</v>
      </c>
      <c r="W1167" s="60">
        <v>0</v>
      </c>
      <c r="X1167" s="60">
        <v>0</v>
      </c>
      <c r="Y1167" s="60">
        <v>0</v>
      </c>
      <c r="Z1167" s="60">
        <v>0</v>
      </c>
      <c r="AA1167" s="60">
        <v>0</v>
      </c>
      <c r="AB1167" s="60">
        <v>0</v>
      </c>
      <c r="AC1167" s="60">
        <v>401.38</v>
      </c>
      <c r="AD1167" s="60">
        <v>398.88</v>
      </c>
      <c r="AE1167" s="60">
        <v>405.1</v>
      </c>
      <c r="AF1167" s="60">
        <v>0</v>
      </c>
      <c r="AG1167" s="60">
        <v>0</v>
      </c>
      <c r="AH1167" s="60">
        <v>0</v>
      </c>
      <c r="AI1167" s="60">
        <v>401.38</v>
      </c>
      <c r="AJ1167" s="60">
        <v>398.88</v>
      </c>
      <c r="AK1167" s="60">
        <v>405.1</v>
      </c>
      <c r="AL1167" s="60">
        <v>0</v>
      </c>
      <c r="AM1167" s="60">
        <v>0</v>
      </c>
      <c r="AN1167" s="60">
        <v>0</v>
      </c>
      <c r="AO1167" s="60">
        <v>401.38</v>
      </c>
      <c r="AP1167" s="60">
        <v>398.88</v>
      </c>
      <c r="AQ1167" s="60">
        <v>405.1</v>
      </c>
      <c r="AR1167" s="61">
        <v>405.1</v>
      </c>
    </row>
    <row r="1168" spans="1:44" x14ac:dyDescent="0.35">
      <c r="A1168" s="49" t="str">
        <f>TEXT(49,"00")</f>
        <v>49</v>
      </c>
      <c r="B1168" s="27">
        <v>70953</v>
      </c>
      <c r="C1168" s="25" t="str">
        <f>TEXT(105866,"0000000")</f>
        <v>0105866</v>
      </c>
      <c r="D1168" s="26" t="s">
        <v>3136</v>
      </c>
      <c r="E1168" s="25" t="s">
        <v>3134</v>
      </c>
      <c r="F1168" s="25" t="s">
        <v>5</v>
      </c>
      <c r="G1168" s="59" t="s">
        <v>3135</v>
      </c>
      <c r="H1168" s="60">
        <v>0</v>
      </c>
      <c r="I1168" s="60">
        <v>0</v>
      </c>
      <c r="J1168" s="60">
        <v>0</v>
      </c>
      <c r="K1168" s="60">
        <v>0</v>
      </c>
      <c r="L1168" s="60">
        <v>0</v>
      </c>
      <c r="M1168" s="60">
        <v>0</v>
      </c>
      <c r="N1168" s="60">
        <v>0</v>
      </c>
      <c r="O1168" s="60">
        <v>0</v>
      </c>
      <c r="P1168" s="60">
        <v>0</v>
      </c>
      <c r="Q1168" s="60">
        <v>0</v>
      </c>
      <c r="R1168" s="60">
        <v>0</v>
      </c>
      <c r="S1168" s="60">
        <v>0</v>
      </c>
      <c r="T1168" s="60">
        <v>0</v>
      </c>
      <c r="U1168" s="60">
        <v>0</v>
      </c>
      <c r="V1168" s="60">
        <v>0</v>
      </c>
      <c r="W1168" s="60">
        <v>0</v>
      </c>
      <c r="X1168" s="60">
        <v>0</v>
      </c>
      <c r="Y1168" s="60">
        <v>0</v>
      </c>
      <c r="Z1168" s="60">
        <v>0</v>
      </c>
      <c r="AA1168" s="60">
        <v>0</v>
      </c>
      <c r="AB1168" s="60">
        <v>0</v>
      </c>
      <c r="AC1168" s="60">
        <v>197.79</v>
      </c>
      <c r="AD1168" s="60">
        <v>200.34</v>
      </c>
      <c r="AE1168" s="60">
        <v>239.63</v>
      </c>
      <c r="AF1168" s="60">
        <v>0</v>
      </c>
      <c r="AG1168" s="60">
        <v>0</v>
      </c>
      <c r="AH1168" s="60">
        <v>0</v>
      </c>
      <c r="AI1168" s="60">
        <v>197.79</v>
      </c>
      <c r="AJ1168" s="60">
        <v>200.34</v>
      </c>
      <c r="AK1168" s="60">
        <v>239.63</v>
      </c>
      <c r="AL1168" s="60">
        <v>0</v>
      </c>
      <c r="AM1168" s="60">
        <v>0</v>
      </c>
      <c r="AN1168" s="60">
        <v>0</v>
      </c>
      <c r="AO1168" s="60">
        <v>197.79</v>
      </c>
      <c r="AP1168" s="60">
        <v>200.34</v>
      </c>
      <c r="AQ1168" s="60">
        <v>239.63</v>
      </c>
      <c r="AR1168" s="61">
        <v>239.63</v>
      </c>
    </row>
    <row r="1169" spans="1:44" x14ac:dyDescent="0.35">
      <c r="A1169" s="49" t="str">
        <f>TEXT(49,"00")</f>
        <v>49</v>
      </c>
      <c r="B1169" s="27">
        <v>70953</v>
      </c>
      <c r="C1169" s="25" t="str">
        <f>TEXT(6111678,"0000000")</f>
        <v>6111678</v>
      </c>
      <c r="D1169" s="26" t="s">
        <v>3139</v>
      </c>
      <c r="E1169" s="25" t="s">
        <v>3137</v>
      </c>
      <c r="F1169" s="25" t="s">
        <v>5</v>
      </c>
      <c r="G1169" s="59" t="s">
        <v>3138</v>
      </c>
      <c r="H1169" s="60">
        <v>0</v>
      </c>
      <c r="I1169" s="60">
        <v>0</v>
      </c>
      <c r="J1169" s="60">
        <v>0</v>
      </c>
      <c r="K1169" s="60">
        <v>0</v>
      </c>
      <c r="L1169" s="60">
        <v>0</v>
      </c>
      <c r="M1169" s="60">
        <v>0</v>
      </c>
      <c r="N1169" s="60">
        <v>0</v>
      </c>
      <c r="O1169" s="60">
        <v>0</v>
      </c>
      <c r="P1169" s="60">
        <v>0</v>
      </c>
      <c r="Q1169" s="60">
        <v>0</v>
      </c>
      <c r="R1169" s="60">
        <v>0</v>
      </c>
      <c r="S1169" s="60">
        <v>0</v>
      </c>
      <c r="T1169" s="60">
        <v>0</v>
      </c>
      <c r="U1169" s="60">
        <v>0</v>
      </c>
      <c r="V1169" s="60">
        <v>0</v>
      </c>
      <c r="W1169" s="60">
        <v>0</v>
      </c>
      <c r="X1169" s="60">
        <v>0</v>
      </c>
      <c r="Y1169" s="60">
        <v>0</v>
      </c>
      <c r="Z1169" s="60">
        <v>0</v>
      </c>
      <c r="AA1169" s="60">
        <v>0</v>
      </c>
      <c r="AB1169" s="60">
        <v>0</v>
      </c>
      <c r="AC1169" s="60">
        <v>192.55</v>
      </c>
      <c r="AD1169" s="60">
        <v>186.23</v>
      </c>
      <c r="AE1169" s="60">
        <v>0</v>
      </c>
      <c r="AF1169" s="60">
        <v>0</v>
      </c>
      <c r="AG1169" s="60">
        <v>0</v>
      </c>
      <c r="AH1169" s="60">
        <v>0</v>
      </c>
      <c r="AI1169" s="60">
        <v>192.55</v>
      </c>
      <c r="AJ1169" s="60">
        <v>186.23</v>
      </c>
      <c r="AK1169" s="60">
        <v>0</v>
      </c>
      <c r="AL1169" s="60">
        <v>0</v>
      </c>
      <c r="AM1169" s="60">
        <v>0</v>
      </c>
      <c r="AN1169" s="60">
        <v>0</v>
      </c>
      <c r="AO1169" s="60">
        <v>192.55</v>
      </c>
      <c r="AP1169" s="60">
        <v>186.23</v>
      </c>
      <c r="AQ1169" s="60">
        <v>0</v>
      </c>
      <c r="AR1169" s="61">
        <v>192.55</v>
      </c>
    </row>
    <row r="1170" spans="1:44" x14ac:dyDescent="0.35">
      <c r="A1170" s="49" t="str">
        <f>TEXT(49,"00")</f>
        <v>49</v>
      </c>
      <c r="B1170" s="27">
        <v>73882</v>
      </c>
      <c r="C1170" s="25" t="str">
        <f>TEXT(123786,"0000000")</f>
        <v>0123786</v>
      </c>
      <c r="D1170" s="27">
        <v>1281</v>
      </c>
      <c r="E1170" s="25" t="s">
        <v>3154</v>
      </c>
      <c r="F1170" s="25" t="s">
        <v>5</v>
      </c>
      <c r="G1170" s="59" t="s">
        <v>3155</v>
      </c>
      <c r="H1170" s="60">
        <v>0</v>
      </c>
      <c r="I1170" s="60">
        <v>0</v>
      </c>
      <c r="J1170" s="60">
        <v>0</v>
      </c>
      <c r="K1170" s="60">
        <v>0</v>
      </c>
      <c r="L1170" s="60">
        <v>0</v>
      </c>
      <c r="M1170" s="60">
        <v>0</v>
      </c>
      <c r="N1170" s="60">
        <v>0</v>
      </c>
      <c r="O1170" s="60">
        <v>0</v>
      </c>
      <c r="P1170" s="60">
        <v>0</v>
      </c>
      <c r="Q1170" s="60">
        <v>0</v>
      </c>
      <c r="R1170" s="60">
        <v>0</v>
      </c>
      <c r="S1170" s="60">
        <v>0</v>
      </c>
      <c r="T1170" s="60">
        <v>0</v>
      </c>
      <c r="U1170" s="60">
        <v>0</v>
      </c>
      <c r="V1170" s="60">
        <v>0</v>
      </c>
      <c r="W1170" s="60">
        <v>0</v>
      </c>
      <c r="X1170" s="60">
        <v>0</v>
      </c>
      <c r="Y1170" s="60">
        <v>0</v>
      </c>
      <c r="Z1170" s="60">
        <v>0</v>
      </c>
      <c r="AA1170" s="60">
        <v>0</v>
      </c>
      <c r="AB1170" s="60">
        <v>0</v>
      </c>
      <c r="AC1170" s="60">
        <v>402.57</v>
      </c>
      <c r="AD1170" s="60">
        <v>385.28</v>
      </c>
      <c r="AE1170" s="60">
        <v>384.85</v>
      </c>
      <c r="AF1170" s="60">
        <v>0</v>
      </c>
      <c r="AG1170" s="60">
        <v>0</v>
      </c>
      <c r="AH1170" s="60">
        <v>0</v>
      </c>
      <c r="AI1170" s="60">
        <v>402.57</v>
      </c>
      <c r="AJ1170" s="60">
        <v>385.28</v>
      </c>
      <c r="AK1170" s="60">
        <v>384.85</v>
      </c>
      <c r="AL1170" s="60">
        <v>0</v>
      </c>
      <c r="AM1170" s="60">
        <v>0</v>
      </c>
      <c r="AN1170" s="60">
        <v>0</v>
      </c>
      <c r="AO1170" s="60">
        <v>402.57</v>
      </c>
      <c r="AP1170" s="60">
        <v>385.28</v>
      </c>
      <c r="AQ1170" s="60">
        <v>384.85</v>
      </c>
      <c r="AR1170" s="61">
        <v>402.57</v>
      </c>
    </row>
    <row r="1171" spans="1:44" x14ac:dyDescent="0.35">
      <c r="A1171" s="49" t="str">
        <f>TEXT(50,"00")</f>
        <v>50</v>
      </c>
      <c r="B1171" s="27">
        <v>71043</v>
      </c>
      <c r="C1171" s="25" t="str">
        <f>TEXT(112292,"0000000")</f>
        <v>0112292</v>
      </c>
      <c r="D1171" s="26" t="s">
        <v>3166</v>
      </c>
      <c r="E1171" s="25" t="s">
        <v>3164</v>
      </c>
      <c r="F1171" s="25" t="s">
        <v>5</v>
      </c>
      <c r="G1171" s="59" t="s">
        <v>3165</v>
      </c>
      <c r="H1171" s="60">
        <v>0</v>
      </c>
      <c r="I1171" s="60">
        <v>0</v>
      </c>
      <c r="J1171" s="60">
        <v>0</v>
      </c>
      <c r="K1171" s="60">
        <v>0</v>
      </c>
      <c r="L1171" s="60">
        <v>0</v>
      </c>
      <c r="M1171" s="60">
        <v>0</v>
      </c>
      <c r="N1171" s="60">
        <v>0</v>
      </c>
      <c r="O1171" s="60">
        <v>0</v>
      </c>
      <c r="P1171" s="60">
        <v>0</v>
      </c>
      <c r="Q1171" s="60">
        <v>0</v>
      </c>
      <c r="R1171" s="60">
        <v>0</v>
      </c>
      <c r="S1171" s="60">
        <v>0</v>
      </c>
      <c r="T1171" s="60">
        <v>0</v>
      </c>
      <c r="U1171" s="60">
        <v>0</v>
      </c>
      <c r="V1171" s="60">
        <v>0</v>
      </c>
      <c r="W1171" s="60">
        <v>0</v>
      </c>
      <c r="X1171" s="60">
        <v>0</v>
      </c>
      <c r="Y1171" s="60">
        <v>0</v>
      </c>
      <c r="Z1171" s="60">
        <v>0</v>
      </c>
      <c r="AA1171" s="60">
        <v>0</v>
      </c>
      <c r="AB1171" s="60">
        <v>0</v>
      </c>
      <c r="AC1171" s="60">
        <v>322.24</v>
      </c>
      <c r="AD1171" s="60">
        <v>334.42</v>
      </c>
      <c r="AE1171" s="60">
        <v>401.02</v>
      </c>
      <c r="AF1171" s="60">
        <v>0</v>
      </c>
      <c r="AG1171" s="60">
        <v>0</v>
      </c>
      <c r="AH1171" s="60">
        <v>0</v>
      </c>
      <c r="AI1171" s="60">
        <v>322.24</v>
      </c>
      <c r="AJ1171" s="60">
        <v>334.42</v>
      </c>
      <c r="AK1171" s="60">
        <v>401.02</v>
      </c>
      <c r="AL1171" s="60">
        <v>0</v>
      </c>
      <c r="AM1171" s="60">
        <v>0</v>
      </c>
      <c r="AN1171" s="60">
        <v>0</v>
      </c>
      <c r="AO1171" s="60">
        <v>322.24</v>
      </c>
      <c r="AP1171" s="60">
        <v>334.42</v>
      </c>
      <c r="AQ1171" s="60">
        <v>401.02</v>
      </c>
      <c r="AR1171" s="61">
        <v>401.02</v>
      </c>
    </row>
    <row r="1172" spans="1:44" x14ac:dyDescent="0.35">
      <c r="A1172" s="49" t="str">
        <f>TEXT(50,"00")</f>
        <v>50</v>
      </c>
      <c r="B1172" s="27">
        <v>71167</v>
      </c>
      <c r="C1172" s="25" t="str">
        <f>TEXT(137265,"0000000")</f>
        <v>0137265</v>
      </c>
      <c r="D1172" s="27">
        <v>1963</v>
      </c>
      <c r="E1172" s="25" t="s">
        <v>3187</v>
      </c>
      <c r="F1172" s="25" t="s">
        <v>5</v>
      </c>
      <c r="G1172" s="59" t="s">
        <v>3188</v>
      </c>
      <c r="H1172" s="60">
        <v>0</v>
      </c>
      <c r="I1172" s="60">
        <v>0</v>
      </c>
      <c r="J1172" s="60">
        <v>0</v>
      </c>
      <c r="K1172" s="60">
        <v>0</v>
      </c>
      <c r="L1172" s="60">
        <v>0</v>
      </c>
      <c r="M1172" s="60">
        <v>0</v>
      </c>
      <c r="N1172" s="60">
        <v>0</v>
      </c>
      <c r="O1172" s="60">
        <v>0</v>
      </c>
      <c r="P1172" s="60">
        <v>0</v>
      </c>
      <c r="Q1172" s="60">
        <v>0</v>
      </c>
      <c r="R1172" s="60">
        <v>0</v>
      </c>
      <c r="S1172" s="60">
        <v>0</v>
      </c>
      <c r="T1172" s="60">
        <v>0</v>
      </c>
      <c r="U1172" s="60">
        <v>0</v>
      </c>
      <c r="V1172" s="60">
        <v>0</v>
      </c>
      <c r="W1172" s="60">
        <v>0</v>
      </c>
      <c r="X1172" s="60">
        <v>0</v>
      </c>
      <c r="Y1172" s="60">
        <v>0</v>
      </c>
      <c r="Z1172" s="60">
        <v>0</v>
      </c>
      <c r="AA1172" s="60">
        <v>0</v>
      </c>
      <c r="AB1172" s="60">
        <v>0</v>
      </c>
      <c r="AC1172" s="60">
        <v>373.77</v>
      </c>
      <c r="AD1172" s="60">
        <v>357.27</v>
      </c>
      <c r="AE1172" s="60">
        <v>401.2</v>
      </c>
      <c r="AF1172" s="60">
        <v>0</v>
      </c>
      <c r="AG1172" s="60">
        <v>0</v>
      </c>
      <c r="AH1172" s="60">
        <v>0</v>
      </c>
      <c r="AI1172" s="60">
        <v>373.77</v>
      </c>
      <c r="AJ1172" s="60">
        <v>357.27</v>
      </c>
      <c r="AK1172" s="60">
        <v>401.2</v>
      </c>
      <c r="AL1172" s="60">
        <v>0</v>
      </c>
      <c r="AM1172" s="60">
        <v>0</v>
      </c>
      <c r="AN1172" s="60">
        <v>0</v>
      </c>
      <c r="AO1172" s="60">
        <v>373.77</v>
      </c>
      <c r="AP1172" s="60">
        <v>357.27</v>
      </c>
      <c r="AQ1172" s="60">
        <v>401.2</v>
      </c>
      <c r="AR1172" s="61">
        <v>401.2</v>
      </c>
    </row>
    <row r="1173" spans="1:44" ht="31" x14ac:dyDescent="0.35">
      <c r="A1173" s="49" t="str">
        <f>TEXT(50,"00")</f>
        <v>50</v>
      </c>
      <c r="B1173" s="27">
        <v>71167</v>
      </c>
      <c r="C1173" s="25" t="str">
        <f>TEXT(138057,"0000000")</f>
        <v>0138057</v>
      </c>
      <c r="D1173" s="27">
        <v>1973</v>
      </c>
      <c r="E1173" s="25" t="s">
        <v>3189</v>
      </c>
      <c r="F1173" s="25" t="s">
        <v>5</v>
      </c>
      <c r="G1173" s="59" t="s">
        <v>3190</v>
      </c>
      <c r="H1173" s="60">
        <v>0</v>
      </c>
      <c r="I1173" s="60">
        <v>0</v>
      </c>
      <c r="J1173" s="60">
        <v>0</v>
      </c>
      <c r="K1173" s="60">
        <v>0</v>
      </c>
      <c r="L1173" s="60">
        <v>0</v>
      </c>
      <c r="M1173" s="60">
        <v>0</v>
      </c>
      <c r="N1173" s="60">
        <v>0</v>
      </c>
      <c r="O1173" s="60">
        <v>0</v>
      </c>
      <c r="P1173" s="60">
        <v>0</v>
      </c>
      <c r="Q1173" s="60">
        <v>0</v>
      </c>
      <c r="R1173" s="60">
        <v>0</v>
      </c>
      <c r="S1173" s="60">
        <v>0</v>
      </c>
      <c r="T1173" s="60">
        <v>0</v>
      </c>
      <c r="U1173" s="60">
        <v>0</v>
      </c>
      <c r="V1173" s="60">
        <v>0</v>
      </c>
      <c r="W1173" s="60">
        <v>0</v>
      </c>
      <c r="X1173" s="60">
        <v>0</v>
      </c>
      <c r="Y1173" s="60">
        <v>0</v>
      </c>
      <c r="Z1173" s="60">
        <v>0</v>
      </c>
      <c r="AA1173" s="60">
        <v>0</v>
      </c>
      <c r="AB1173" s="60">
        <v>0</v>
      </c>
      <c r="AC1173" s="60">
        <v>628.77</v>
      </c>
      <c r="AD1173" s="60">
        <v>619.14</v>
      </c>
      <c r="AE1173" s="60">
        <v>442.99</v>
      </c>
      <c r="AF1173" s="60">
        <v>0</v>
      </c>
      <c r="AG1173" s="60">
        <v>0</v>
      </c>
      <c r="AH1173" s="60">
        <v>0</v>
      </c>
      <c r="AI1173" s="60">
        <v>628.77</v>
      </c>
      <c r="AJ1173" s="60">
        <v>619.14</v>
      </c>
      <c r="AK1173" s="60">
        <v>442.99</v>
      </c>
      <c r="AL1173" s="60">
        <v>0</v>
      </c>
      <c r="AM1173" s="60">
        <v>0</v>
      </c>
      <c r="AN1173" s="60">
        <v>0</v>
      </c>
      <c r="AO1173" s="60">
        <v>628.77</v>
      </c>
      <c r="AP1173" s="60">
        <v>619.14</v>
      </c>
      <c r="AQ1173" s="60">
        <v>442.99</v>
      </c>
      <c r="AR1173" s="61">
        <v>628.77</v>
      </c>
    </row>
    <row r="1174" spans="1:44" x14ac:dyDescent="0.35">
      <c r="A1174" s="49" t="str">
        <f>TEXT(50,"00")</f>
        <v>50</v>
      </c>
      <c r="B1174" s="27">
        <v>71175</v>
      </c>
      <c r="C1174" s="25" t="str">
        <f>TEXT(120212,"0000000")</f>
        <v>0120212</v>
      </c>
      <c r="D1174" s="27">
        <v>1125</v>
      </c>
      <c r="E1174" s="25" t="s">
        <v>3191</v>
      </c>
      <c r="F1174" s="25" t="s">
        <v>5</v>
      </c>
      <c r="G1174" s="59" t="s">
        <v>3192</v>
      </c>
      <c r="H1174" s="60">
        <v>0</v>
      </c>
      <c r="I1174" s="60">
        <v>0</v>
      </c>
      <c r="J1174" s="60">
        <v>0</v>
      </c>
      <c r="K1174" s="60">
        <v>0</v>
      </c>
      <c r="L1174" s="60">
        <v>0</v>
      </c>
      <c r="M1174" s="60">
        <v>0</v>
      </c>
      <c r="N1174" s="60">
        <v>0</v>
      </c>
      <c r="O1174" s="60">
        <v>0</v>
      </c>
      <c r="P1174" s="60">
        <v>0</v>
      </c>
      <c r="Q1174" s="60">
        <v>0</v>
      </c>
      <c r="R1174" s="60">
        <v>0</v>
      </c>
      <c r="S1174" s="60">
        <v>0</v>
      </c>
      <c r="T1174" s="60">
        <v>0</v>
      </c>
      <c r="U1174" s="60">
        <v>0</v>
      </c>
      <c r="V1174" s="60">
        <v>0</v>
      </c>
      <c r="W1174" s="60">
        <v>0</v>
      </c>
      <c r="X1174" s="60">
        <v>0</v>
      </c>
      <c r="Y1174" s="60">
        <v>0</v>
      </c>
      <c r="Z1174" s="60">
        <v>0</v>
      </c>
      <c r="AA1174" s="60">
        <v>0</v>
      </c>
      <c r="AB1174" s="60">
        <v>0</v>
      </c>
      <c r="AC1174" s="60">
        <v>540.38</v>
      </c>
      <c r="AD1174" s="60">
        <v>527.17999999999995</v>
      </c>
      <c r="AE1174" s="60">
        <v>529.4</v>
      </c>
      <c r="AF1174" s="60">
        <v>0</v>
      </c>
      <c r="AG1174" s="60">
        <v>0</v>
      </c>
      <c r="AH1174" s="60">
        <v>0</v>
      </c>
      <c r="AI1174" s="60">
        <v>540.38</v>
      </c>
      <c r="AJ1174" s="60">
        <v>527.17999999999995</v>
      </c>
      <c r="AK1174" s="60">
        <v>529.4</v>
      </c>
      <c r="AL1174" s="60">
        <v>0</v>
      </c>
      <c r="AM1174" s="60">
        <v>0</v>
      </c>
      <c r="AN1174" s="60">
        <v>0</v>
      </c>
      <c r="AO1174" s="60">
        <v>540.38</v>
      </c>
      <c r="AP1174" s="60">
        <v>527.17999999999995</v>
      </c>
      <c r="AQ1174" s="60">
        <v>529.4</v>
      </c>
      <c r="AR1174" s="61">
        <v>540.38</v>
      </c>
    </row>
    <row r="1175" spans="1:44" x14ac:dyDescent="0.35">
      <c r="A1175" s="49" t="str">
        <f>TEXT(51,"00")</f>
        <v>51</v>
      </c>
      <c r="B1175" s="27">
        <v>71423</v>
      </c>
      <c r="C1175" s="25" t="str">
        <f>TEXT(132977,"0000000")</f>
        <v>0132977</v>
      </c>
      <c r="D1175" s="27">
        <v>1764</v>
      </c>
      <c r="E1175" s="25" t="s">
        <v>3244</v>
      </c>
      <c r="F1175" s="25" t="s">
        <v>5</v>
      </c>
      <c r="G1175" s="59" t="s">
        <v>3245</v>
      </c>
      <c r="H1175" s="60">
        <v>0</v>
      </c>
      <c r="I1175" s="60">
        <v>0</v>
      </c>
      <c r="J1175" s="60">
        <v>0</v>
      </c>
      <c r="K1175" s="60">
        <v>0</v>
      </c>
      <c r="L1175" s="60">
        <v>0</v>
      </c>
      <c r="M1175" s="60">
        <v>0</v>
      </c>
      <c r="N1175" s="60">
        <v>0</v>
      </c>
      <c r="O1175" s="60">
        <v>0</v>
      </c>
      <c r="P1175" s="60">
        <v>0</v>
      </c>
      <c r="Q1175" s="60">
        <v>0</v>
      </c>
      <c r="R1175" s="60">
        <v>0</v>
      </c>
      <c r="S1175" s="60">
        <v>0</v>
      </c>
      <c r="T1175" s="60">
        <v>0</v>
      </c>
      <c r="U1175" s="60">
        <v>0</v>
      </c>
      <c r="V1175" s="60">
        <v>0</v>
      </c>
      <c r="W1175" s="60">
        <v>0</v>
      </c>
      <c r="X1175" s="60">
        <v>0</v>
      </c>
      <c r="Y1175" s="60">
        <v>0</v>
      </c>
      <c r="Z1175" s="60">
        <v>0</v>
      </c>
      <c r="AA1175" s="60">
        <v>0</v>
      </c>
      <c r="AB1175" s="60">
        <v>0</v>
      </c>
      <c r="AC1175" s="60">
        <v>605.6</v>
      </c>
      <c r="AD1175" s="60">
        <v>530.96</v>
      </c>
      <c r="AE1175" s="60">
        <v>577.99</v>
      </c>
      <c r="AF1175" s="60">
        <v>0</v>
      </c>
      <c r="AG1175" s="60">
        <v>0</v>
      </c>
      <c r="AH1175" s="60">
        <v>0</v>
      </c>
      <c r="AI1175" s="60">
        <v>605.6</v>
      </c>
      <c r="AJ1175" s="60">
        <v>530.96</v>
      </c>
      <c r="AK1175" s="60">
        <v>577.99</v>
      </c>
      <c r="AL1175" s="60">
        <v>0</v>
      </c>
      <c r="AM1175" s="60">
        <v>0</v>
      </c>
      <c r="AN1175" s="60">
        <v>0</v>
      </c>
      <c r="AO1175" s="60">
        <v>605.6</v>
      </c>
      <c r="AP1175" s="60">
        <v>530.96</v>
      </c>
      <c r="AQ1175" s="60">
        <v>577.99</v>
      </c>
      <c r="AR1175" s="61">
        <v>605.6</v>
      </c>
    </row>
    <row r="1176" spans="1:44" x14ac:dyDescent="0.35">
      <c r="A1176" s="49" t="str">
        <f>TEXT(51,"00")</f>
        <v>51</v>
      </c>
      <c r="B1176" s="27">
        <v>71456</v>
      </c>
      <c r="C1176" s="25" t="str">
        <f>TEXT(133934,"0000000")</f>
        <v>0133934</v>
      </c>
      <c r="D1176" s="27">
        <v>1801</v>
      </c>
      <c r="E1176" s="25" t="s">
        <v>3252</v>
      </c>
      <c r="F1176" s="25" t="s">
        <v>5</v>
      </c>
      <c r="G1176" s="59" t="s">
        <v>3253</v>
      </c>
      <c r="H1176" s="60">
        <v>0</v>
      </c>
      <c r="I1176" s="60">
        <v>0</v>
      </c>
      <c r="J1176" s="60">
        <v>0</v>
      </c>
      <c r="K1176" s="60">
        <v>0</v>
      </c>
      <c r="L1176" s="60">
        <v>0</v>
      </c>
      <c r="M1176" s="60">
        <v>0</v>
      </c>
      <c r="N1176" s="60">
        <v>0</v>
      </c>
      <c r="O1176" s="60">
        <v>0</v>
      </c>
      <c r="P1176" s="60">
        <v>0</v>
      </c>
      <c r="Q1176" s="60">
        <v>0</v>
      </c>
      <c r="R1176" s="60">
        <v>0</v>
      </c>
      <c r="S1176" s="60">
        <v>0</v>
      </c>
      <c r="T1176" s="60">
        <v>0</v>
      </c>
      <c r="U1176" s="60">
        <v>0</v>
      </c>
      <c r="V1176" s="60">
        <v>0</v>
      </c>
      <c r="W1176" s="60">
        <v>0</v>
      </c>
      <c r="X1176" s="60">
        <v>0</v>
      </c>
      <c r="Y1176" s="60">
        <v>0</v>
      </c>
      <c r="Z1176" s="60">
        <v>0</v>
      </c>
      <c r="AA1176" s="60">
        <v>0</v>
      </c>
      <c r="AB1176" s="60">
        <v>0</v>
      </c>
      <c r="AC1176" s="60">
        <v>2357.0300000000002</v>
      </c>
      <c r="AD1176" s="60">
        <v>1792.41</v>
      </c>
      <c r="AE1176" s="60">
        <v>1091.8599999999999</v>
      </c>
      <c r="AF1176" s="60">
        <v>0</v>
      </c>
      <c r="AG1176" s="60">
        <v>0</v>
      </c>
      <c r="AH1176" s="60">
        <v>0</v>
      </c>
      <c r="AI1176" s="60">
        <v>2357.0300000000002</v>
      </c>
      <c r="AJ1176" s="60">
        <v>1792.41</v>
      </c>
      <c r="AK1176" s="60">
        <v>1091.8599999999999</v>
      </c>
      <c r="AL1176" s="60">
        <v>0</v>
      </c>
      <c r="AM1176" s="60">
        <v>0</v>
      </c>
      <c r="AN1176" s="60">
        <v>0</v>
      </c>
      <c r="AO1176" s="60">
        <v>2357.0300000000002</v>
      </c>
      <c r="AP1176" s="60">
        <v>1792.41</v>
      </c>
      <c r="AQ1176" s="60">
        <v>1091.8599999999999</v>
      </c>
      <c r="AR1176" s="61">
        <v>2357.0300000000002</v>
      </c>
    </row>
    <row r="1177" spans="1:44" x14ac:dyDescent="0.35">
      <c r="A1177" s="49" t="str">
        <f>TEXT(51,"00")</f>
        <v>51</v>
      </c>
      <c r="B1177" s="27">
        <v>71464</v>
      </c>
      <c r="C1177" s="25" t="str">
        <f>TEXT(5130125,"0000000")</f>
        <v>5130125</v>
      </c>
      <c r="D1177" s="26" t="s">
        <v>3261</v>
      </c>
      <c r="E1177" s="25" t="s">
        <v>3259</v>
      </c>
      <c r="F1177" s="25" t="s">
        <v>5</v>
      </c>
      <c r="G1177" s="59" t="s">
        <v>3260</v>
      </c>
      <c r="H1177" s="60">
        <v>0</v>
      </c>
      <c r="I1177" s="60">
        <v>0</v>
      </c>
      <c r="J1177" s="60">
        <v>0</v>
      </c>
      <c r="K1177" s="60">
        <v>0</v>
      </c>
      <c r="L1177" s="60">
        <v>0</v>
      </c>
      <c r="M1177" s="60">
        <v>0</v>
      </c>
      <c r="N1177" s="60">
        <v>0</v>
      </c>
      <c r="O1177" s="60">
        <v>0</v>
      </c>
      <c r="P1177" s="60">
        <v>0</v>
      </c>
      <c r="Q1177" s="60">
        <v>0</v>
      </c>
      <c r="R1177" s="60">
        <v>0</v>
      </c>
      <c r="S1177" s="60">
        <v>0</v>
      </c>
      <c r="T1177" s="60">
        <v>0</v>
      </c>
      <c r="U1177" s="60">
        <v>0</v>
      </c>
      <c r="V1177" s="60">
        <v>0</v>
      </c>
      <c r="W1177" s="60">
        <v>0</v>
      </c>
      <c r="X1177" s="60">
        <v>0</v>
      </c>
      <c r="Y1177" s="60">
        <v>0</v>
      </c>
      <c r="Z1177" s="60">
        <v>0</v>
      </c>
      <c r="AA1177" s="60">
        <v>0</v>
      </c>
      <c r="AB1177" s="60">
        <v>0</v>
      </c>
      <c r="AC1177" s="60">
        <v>264.3</v>
      </c>
      <c r="AD1177" s="60">
        <v>261.38</v>
      </c>
      <c r="AE1177" s="60">
        <v>273.62</v>
      </c>
      <c r="AF1177" s="60">
        <v>0</v>
      </c>
      <c r="AG1177" s="60">
        <v>0</v>
      </c>
      <c r="AH1177" s="60">
        <v>0</v>
      </c>
      <c r="AI1177" s="60">
        <v>264.3</v>
      </c>
      <c r="AJ1177" s="60">
        <v>261.38</v>
      </c>
      <c r="AK1177" s="60">
        <v>273.62</v>
      </c>
      <c r="AL1177" s="60">
        <v>0</v>
      </c>
      <c r="AM1177" s="60">
        <v>0</v>
      </c>
      <c r="AN1177" s="60">
        <v>0</v>
      </c>
      <c r="AO1177" s="60">
        <v>264.3</v>
      </c>
      <c r="AP1177" s="60">
        <v>261.38</v>
      </c>
      <c r="AQ1177" s="60">
        <v>273.62</v>
      </c>
      <c r="AR1177" s="61">
        <v>273.62</v>
      </c>
    </row>
    <row r="1178" spans="1:44" x14ac:dyDescent="0.35">
      <c r="A1178" s="49" t="str">
        <f>TEXT(1,"00")</f>
        <v>01</v>
      </c>
      <c r="B1178" s="27">
        <v>61309</v>
      </c>
      <c r="C1178" s="25" t="str">
        <f>TEXT(114421,"0000000")</f>
        <v>0114421</v>
      </c>
      <c r="D1178" s="26" t="s">
        <v>158</v>
      </c>
      <c r="E1178" s="25" t="s">
        <v>156</v>
      </c>
      <c r="F1178" s="25" t="s">
        <v>5</v>
      </c>
      <c r="G1178" s="59" t="s">
        <v>157</v>
      </c>
      <c r="H1178" s="60">
        <v>0</v>
      </c>
      <c r="I1178" s="60">
        <v>0</v>
      </c>
      <c r="J1178" s="60">
        <v>0</v>
      </c>
      <c r="K1178" s="60">
        <v>0</v>
      </c>
      <c r="L1178" s="60">
        <v>0</v>
      </c>
      <c r="M1178" s="60">
        <v>0</v>
      </c>
      <c r="N1178" s="60">
        <v>0</v>
      </c>
      <c r="O1178" s="60">
        <v>0</v>
      </c>
      <c r="P1178" s="60">
        <v>0</v>
      </c>
      <c r="Q1178" s="60">
        <v>0</v>
      </c>
      <c r="R1178" s="60">
        <v>0</v>
      </c>
      <c r="S1178" s="60">
        <v>0</v>
      </c>
      <c r="T1178" s="60">
        <v>0</v>
      </c>
      <c r="U1178" s="60">
        <v>0</v>
      </c>
      <c r="V1178" s="60">
        <v>0</v>
      </c>
      <c r="W1178" s="60">
        <v>0</v>
      </c>
      <c r="X1178" s="60">
        <v>0</v>
      </c>
      <c r="Y1178" s="60">
        <v>0</v>
      </c>
      <c r="Z1178" s="60">
        <v>0</v>
      </c>
      <c r="AA1178" s="60">
        <v>0</v>
      </c>
      <c r="AB1178" s="60">
        <v>0</v>
      </c>
      <c r="AC1178" s="60">
        <v>608.61</v>
      </c>
      <c r="AD1178" s="60">
        <v>599.80999999999995</v>
      </c>
      <c r="AE1178" s="60">
        <v>629.03</v>
      </c>
      <c r="AF1178" s="60">
        <v>0</v>
      </c>
      <c r="AG1178" s="60">
        <v>0</v>
      </c>
      <c r="AH1178" s="60">
        <v>0</v>
      </c>
      <c r="AI1178" s="60">
        <v>608.61</v>
      </c>
      <c r="AJ1178" s="60">
        <v>599.80999999999995</v>
      </c>
      <c r="AK1178" s="60">
        <v>629.03</v>
      </c>
      <c r="AL1178" s="60">
        <v>0</v>
      </c>
      <c r="AM1178" s="60">
        <v>0</v>
      </c>
      <c r="AN1178" s="60">
        <v>0</v>
      </c>
      <c r="AO1178" s="60">
        <v>608.61</v>
      </c>
      <c r="AP1178" s="60">
        <v>599.80999999999995</v>
      </c>
      <c r="AQ1178" s="60">
        <v>629.03</v>
      </c>
      <c r="AR1178" s="61">
        <v>629.03</v>
      </c>
    </row>
    <row r="1179" spans="1:44" x14ac:dyDescent="0.35">
      <c r="A1179" s="49" t="str">
        <f>TEXT(54,"00")</f>
        <v>54</v>
      </c>
      <c r="B1179" s="27">
        <v>10546</v>
      </c>
      <c r="C1179" s="25" t="str">
        <f>TEXT(6119291,"0000000")</f>
        <v>6119291</v>
      </c>
      <c r="D1179" s="26" t="s">
        <v>3320</v>
      </c>
      <c r="E1179" s="25" t="s">
        <v>3318</v>
      </c>
      <c r="F1179" s="25" t="s">
        <v>5</v>
      </c>
      <c r="G1179" s="59" t="s">
        <v>3319</v>
      </c>
      <c r="H1179" s="60">
        <v>0</v>
      </c>
      <c r="I1179" s="60">
        <v>0</v>
      </c>
      <c r="J1179" s="60">
        <v>0</v>
      </c>
      <c r="K1179" s="60">
        <v>0</v>
      </c>
      <c r="L1179" s="60">
        <v>0</v>
      </c>
      <c r="M1179" s="60">
        <v>0</v>
      </c>
      <c r="N1179" s="60">
        <v>0</v>
      </c>
      <c r="O1179" s="60">
        <v>0</v>
      </c>
      <c r="P1179" s="60">
        <v>0</v>
      </c>
      <c r="Q1179" s="60">
        <v>0</v>
      </c>
      <c r="R1179" s="60">
        <v>0</v>
      </c>
      <c r="S1179" s="60">
        <v>0</v>
      </c>
      <c r="T1179" s="60">
        <v>0</v>
      </c>
      <c r="U1179" s="60">
        <v>0</v>
      </c>
      <c r="V1179" s="60">
        <v>0</v>
      </c>
      <c r="W1179" s="60">
        <v>0</v>
      </c>
      <c r="X1179" s="60">
        <v>0</v>
      </c>
      <c r="Y1179" s="60">
        <v>0</v>
      </c>
      <c r="Z1179" s="60">
        <v>0</v>
      </c>
      <c r="AA1179" s="60">
        <v>0</v>
      </c>
      <c r="AB1179" s="60">
        <v>0</v>
      </c>
      <c r="AC1179" s="60">
        <v>383.58</v>
      </c>
      <c r="AD1179" s="60">
        <v>374.79</v>
      </c>
      <c r="AE1179" s="60">
        <v>285.20999999999998</v>
      </c>
      <c r="AF1179" s="60">
        <v>0</v>
      </c>
      <c r="AG1179" s="60">
        <v>0</v>
      </c>
      <c r="AH1179" s="60">
        <v>0</v>
      </c>
      <c r="AI1179" s="60">
        <v>383.58</v>
      </c>
      <c r="AJ1179" s="60">
        <v>374.79</v>
      </c>
      <c r="AK1179" s="60">
        <v>285.20999999999998</v>
      </c>
      <c r="AL1179" s="60">
        <v>0</v>
      </c>
      <c r="AM1179" s="60">
        <v>0</v>
      </c>
      <c r="AN1179" s="60">
        <v>0</v>
      </c>
      <c r="AO1179" s="60">
        <v>383.58</v>
      </c>
      <c r="AP1179" s="60">
        <v>374.79</v>
      </c>
      <c r="AQ1179" s="60">
        <v>285.20999999999998</v>
      </c>
      <c r="AR1179" s="61">
        <v>383.58</v>
      </c>
    </row>
    <row r="1180" spans="1:44" x14ac:dyDescent="0.35">
      <c r="A1180" s="49" t="str">
        <f>TEXT(54,"00")</f>
        <v>54</v>
      </c>
      <c r="B1180" s="27">
        <v>71803</v>
      </c>
      <c r="C1180" s="25" t="str">
        <f>TEXT(112458,"0000000")</f>
        <v>0112458</v>
      </c>
      <c r="D1180" s="26" t="s">
        <v>3327</v>
      </c>
      <c r="E1180" s="25" t="s">
        <v>3325</v>
      </c>
      <c r="F1180" s="25" t="s">
        <v>5</v>
      </c>
      <c r="G1180" s="59" t="s">
        <v>3326</v>
      </c>
      <c r="H1180" s="60">
        <v>0</v>
      </c>
      <c r="I1180" s="60">
        <v>0</v>
      </c>
      <c r="J1180" s="60">
        <v>0</v>
      </c>
      <c r="K1180" s="60">
        <v>0</v>
      </c>
      <c r="L1180" s="60">
        <v>0</v>
      </c>
      <c r="M1180" s="60">
        <v>0</v>
      </c>
      <c r="N1180" s="60">
        <v>0</v>
      </c>
      <c r="O1180" s="60">
        <v>0</v>
      </c>
      <c r="P1180" s="60">
        <v>0</v>
      </c>
      <c r="Q1180" s="60">
        <v>0</v>
      </c>
      <c r="R1180" s="60">
        <v>0</v>
      </c>
      <c r="S1180" s="60">
        <v>0</v>
      </c>
      <c r="T1180" s="60">
        <v>0</v>
      </c>
      <c r="U1180" s="60">
        <v>0</v>
      </c>
      <c r="V1180" s="60">
        <v>0</v>
      </c>
      <c r="W1180" s="60">
        <v>0</v>
      </c>
      <c r="X1180" s="60">
        <v>0</v>
      </c>
      <c r="Y1180" s="60">
        <v>0</v>
      </c>
      <c r="Z1180" s="60">
        <v>0</v>
      </c>
      <c r="AA1180" s="60">
        <v>0</v>
      </c>
      <c r="AB1180" s="60">
        <v>0</v>
      </c>
      <c r="AC1180" s="60">
        <v>647.91</v>
      </c>
      <c r="AD1180" s="60">
        <v>621.66999999999996</v>
      </c>
      <c r="AE1180" s="60">
        <v>506.17</v>
      </c>
      <c r="AF1180" s="60">
        <v>0</v>
      </c>
      <c r="AG1180" s="60">
        <v>0</v>
      </c>
      <c r="AH1180" s="60">
        <v>0</v>
      </c>
      <c r="AI1180" s="60">
        <v>647.91</v>
      </c>
      <c r="AJ1180" s="60">
        <v>621.66999999999996</v>
      </c>
      <c r="AK1180" s="60">
        <v>506.17</v>
      </c>
      <c r="AL1180" s="60">
        <v>0</v>
      </c>
      <c r="AM1180" s="60">
        <v>0</v>
      </c>
      <c r="AN1180" s="60">
        <v>0</v>
      </c>
      <c r="AO1180" s="60">
        <v>647.91</v>
      </c>
      <c r="AP1180" s="60">
        <v>621.66999999999996</v>
      </c>
      <c r="AQ1180" s="60">
        <v>506.17</v>
      </c>
      <c r="AR1180" s="61">
        <v>647.91</v>
      </c>
    </row>
    <row r="1181" spans="1:44" x14ac:dyDescent="0.35">
      <c r="A1181" s="49" t="str">
        <f>TEXT(54,"00")</f>
        <v>54</v>
      </c>
      <c r="B1181" s="27">
        <v>71811</v>
      </c>
      <c r="C1181" s="25" t="str">
        <f>TEXT(139477,"0000000")</f>
        <v>0139477</v>
      </c>
      <c r="D1181" s="27">
        <v>2057</v>
      </c>
      <c r="E1181" s="25" t="s">
        <v>3330</v>
      </c>
      <c r="F1181" s="25" t="s">
        <v>5</v>
      </c>
      <c r="G1181" s="59" t="s">
        <v>3331</v>
      </c>
      <c r="H1181" s="60">
        <v>0</v>
      </c>
      <c r="I1181" s="60">
        <v>0</v>
      </c>
      <c r="J1181" s="60">
        <v>0</v>
      </c>
      <c r="K1181" s="60">
        <v>0</v>
      </c>
      <c r="L1181" s="60">
        <v>0</v>
      </c>
      <c r="M1181" s="60">
        <v>0</v>
      </c>
      <c r="N1181" s="60">
        <v>0</v>
      </c>
      <c r="O1181" s="60">
        <v>0</v>
      </c>
      <c r="P1181" s="60">
        <v>0</v>
      </c>
      <c r="Q1181" s="60">
        <v>0</v>
      </c>
      <c r="R1181" s="60">
        <v>0</v>
      </c>
      <c r="S1181" s="60">
        <v>0</v>
      </c>
      <c r="T1181" s="60">
        <v>0</v>
      </c>
      <c r="U1181" s="60">
        <v>0</v>
      </c>
      <c r="V1181" s="60">
        <v>0</v>
      </c>
      <c r="W1181" s="60">
        <v>0</v>
      </c>
      <c r="X1181" s="60">
        <v>0</v>
      </c>
      <c r="Y1181" s="60">
        <v>0</v>
      </c>
      <c r="Z1181" s="60">
        <v>0</v>
      </c>
      <c r="AA1181" s="60">
        <v>0</v>
      </c>
      <c r="AB1181" s="60">
        <v>0</v>
      </c>
      <c r="AC1181" s="60">
        <v>1073.42</v>
      </c>
      <c r="AD1181" s="60">
        <v>1069.93</v>
      </c>
      <c r="AE1181" s="60">
        <v>893.89</v>
      </c>
      <c r="AF1181" s="60">
        <v>0</v>
      </c>
      <c r="AG1181" s="60">
        <v>0</v>
      </c>
      <c r="AH1181" s="60">
        <v>0</v>
      </c>
      <c r="AI1181" s="60">
        <v>1073.42</v>
      </c>
      <c r="AJ1181" s="60">
        <v>1069.93</v>
      </c>
      <c r="AK1181" s="60">
        <v>893.89</v>
      </c>
      <c r="AL1181" s="60">
        <v>0</v>
      </c>
      <c r="AM1181" s="60">
        <v>0</v>
      </c>
      <c r="AN1181" s="60">
        <v>0</v>
      </c>
      <c r="AO1181" s="60">
        <v>1073.42</v>
      </c>
      <c r="AP1181" s="60">
        <v>1069.93</v>
      </c>
      <c r="AQ1181" s="60">
        <v>893.89</v>
      </c>
      <c r="AR1181" s="61">
        <v>1073.42</v>
      </c>
    </row>
    <row r="1182" spans="1:44" x14ac:dyDescent="0.35">
      <c r="A1182" s="49" t="str">
        <f>TEXT(56,"00")</f>
        <v>56</v>
      </c>
      <c r="B1182" s="27">
        <v>10561</v>
      </c>
      <c r="C1182" s="25" t="str">
        <f>TEXT(109900,"0000000")</f>
        <v>0109900</v>
      </c>
      <c r="D1182" s="26" t="s">
        <v>3438</v>
      </c>
      <c r="E1182" s="25" t="s">
        <v>3436</v>
      </c>
      <c r="F1182" s="25" t="s">
        <v>5</v>
      </c>
      <c r="G1182" s="59" t="s">
        <v>3437</v>
      </c>
      <c r="H1182" s="60">
        <v>0</v>
      </c>
      <c r="I1182" s="60">
        <v>0</v>
      </c>
      <c r="J1182" s="60">
        <v>0</v>
      </c>
      <c r="K1182" s="60">
        <v>0</v>
      </c>
      <c r="L1182" s="60">
        <v>0</v>
      </c>
      <c r="M1182" s="60">
        <v>0</v>
      </c>
      <c r="N1182" s="60">
        <v>0</v>
      </c>
      <c r="O1182" s="60">
        <v>0</v>
      </c>
      <c r="P1182" s="60">
        <v>0</v>
      </c>
      <c r="Q1182" s="60">
        <v>0</v>
      </c>
      <c r="R1182" s="60">
        <v>0</v>
      </c>
      <c r="S1182" s="60">
        <v>0</v>
      </c>
      <c r="T1182" s="60">
        <v>0</v>
      </c>
      <c r="U1182" s="60">
        <v>0</v>
      </c>
      <c r="V1182" s="60">
        <v>0</v>
      </c>
      <c r="W1182" s="60">
        <v>0</v>
      </c>
      <c r="X1182" s="60">
        <v>0</v>
      </c>
      <c r="Y1182" s="60">
        <v>0</v>
      </c>
      <c r="Z1182" s="60">
        <v>2084.56</v>
      </c>
      <c r="AA1182" s="60">
        <v>2144.94</v>
      </c>
      <c r="AB1182" s="60">
        <v>2734.15</v>
      </c>
      <c r="AC1182" s="60">
        <v>0</v>
      </c>
      <c r="AD1182" s="60">
        <v>0</v>
      </c>
      <c r="AE1182" s="60">
        <v>0</v>
      </c>
      <c r="AF1182" s="60">
        <v>0</v>
      </c>
      <c r="AG1182" s="60">
        <v>0</v>
      </c>
      <c r="AH1182" s="60">
        <v>0</v>
      </c>
      <c r="AI1182" s="60">
        <v>2084.56</v>
      </c>
      <c r="AJ1182" s="60">
        <v>2144.94</v>
      </c>
      <c r="AK1182" s="60">
        <v>2734.15</v>
      </c>
      <c r="AL1182" s="60">
        <v>0</v>
      </c>
      <c r="AM1182" s="60">
        <v>0</v>
      </c>
      <c r="AN1182" s="60">
        <v>0</v>
      </c>
      <c r="AO1182" s="60">
        <v>2084.56</v>
      </c>
      <c r="AP1182" s="60">
        <v>2144.94</v>
      </c>
      <c r="AQ1182" s="60">
        <v>2734.15</v>
      </c>
      <c r="AR1182" s="61">
        <v>2734.15</v>
      </c>
    </row>
    <row r="1183" spans="1:44" x14ac:dyDescent="0.35">
      <c r="A1183" s="49" t="str">
        <f>TEXT(57,"00")</f>
        <v>57</v>
      </c>
      <c r="B1183" s="27">
        <v>10579</v>
      </c>
      <c r="C1183" s="25" t="str">
        <f>TEXT(132464,"0000000")</f>
        <v>0132464</v>
      </c>
      <c r="D1183" s="27">
        <v>1746</v>
      </c>
      <c r="E1183" s="25" t="s">
        <v>3478</v>
      </c>
      <c r="F1183" s="25" t="s">
        <v>5</v>
      </c>
      <c r="G1183" s="59" t="s">
        <v>3479</v>
      </c>
      <c r="H1183" s="60">
        <v>0</v>
      </c>
      <c r="I1183" s="60">
        <v>0</v>
      </c>
      <c r="J1183" s="60">
        <v>0</v>
      </c>
      <c r="K1183" s="60">
        <v>0</v>
      </c>
      <c r="L1183" s="60">
        <v>0</v>
      </c>
      <c r="M1183" s="60">
        <v>0</v>
      </c>
      <c r="N1183" s="60">
        <v>0</v>
      </c>
      <c r="O1183" s="60">
        <v>0</v>
      </c>
      <c r="P1183" s="60">
        <v>0</v>
      </c>
      <c r="Q1183" s="60">
        <v>0</v>
      </c>
      <c r="R1183" s="60">
        <v>0</v>
      </c>
      <c r="S1183" s="60">
        <v>0</v>
      </c>
      <c r="T1183" s="60">
        <v>0</v>
      </c>
      <c r="U1183" s="60">
        <v>0</v>
      </c>
      <c r="V1183" s="60">
        <v>0</v>
      </c>
      <c r="W1183" s="60">
        <v>0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v>348.48</v>
      </c>
      <c r="AD1183" s="60">
        <v>279.77</v>
      </c>
      <c r="AE1183" s="60">
        <v>381.85</v>
      </c>
      <c r="AF1183" s="60">
        <v>0</v>
      </c>
      <c r="AG1183" s="60">
        <v>0</v>
      </c>
      <c r="AH1183" s="60">
        <v>0</v>
      </c>
      <c r="AI1183" s="60">
        <v>348.48</v>
      </c>
      <c r="AJ1183" s="60">
        <v>279.77</v>
      </c>
      <c r="AK1183" s="60">
        <v>381.85</v>
      </c>
      <c r="AL1183" s="60">
        <v>0</v>
      </c>
      <c r="AM1183" s="60">
        <v>0</v>
      </c>
      <c r="AN1183" s="60">
        <v>0</v>
      </c>
      <c r="AO1183" s="60">
        <v>348.48</v>
      </c>
      <c r="AP1183" s="60">
        <v>279.77</v>
      </c>
      <c r="AQ1183" s="60">
        <v>381.85</v>
      </c>
      <c r="AR1183" s="61">
        <v>381.85</v>
      </c>
    </row>
    <row r="1184" spans="1:44" x14ac:dyDescent="0.35">
      <c r="A1184" s="49" t="str">
        <f>TEXT(57,"00")</f>
        <v>57</v>
      </c>
      <c r="B1184" s="27">
        <v>72694</v>
      </c>
      <c r="C1184" s="25" t="str">
        <f>TEXT(124875,"0000000")</f>
        <v>0124875</v>
      </c>
      <c r="D1184" s="27">
        <v>1338</v>
      </c>
      <c r="E1184" s="25" t="s">
        <v>3485</v>
      </c>
      <c r="F1184" s="25" t="s">
        <v>5</v>
      </c>
      <c r="G1184" s="59" t="s">
        <v>3486</v>
      </c>
      <c r="H1184" s="60">
        <v>0</v>
      </c>
      <c r="I1184" s="60">
        <v>0</v>
      </c>
      <c r="J1184" s="60">
        <v>0</v>
      </c>
      <c r="K1184" s="60">
        <v>0</v>
      </c>
      <c r="L1184" s="60">
        <v>0</v>
      </c>
      <c r="M1184" s="60">
        <v>0</v>
      </c>
      <c r="N1184" s="60">
        <v>0</v>
      </c>
      <c r="O1184" s="60">
        <v>0</v>
      </c>
      <c r="P1184" s="60">
        <v>0</v>
      </c>
      <c r="Q1184" s="60">
        <v>0</v>
      </c>
      <c r="R1184" s="60">
        <v>0</v>
      </c>
      <c r="S1184" s="60">
        <v>0</v>
      </c>
      <c r="T1184" s="60">
        <v>0</v>
      </c>
      <c r="U1184" s="60">
        <v>0</v>
      </c>
      <c r="V1184" s="60">
        <v>0</v>
      </c>
      <c r="W1184" s="60">
        <v>0</v>
      </c>
      <c r="X1184" s="60">
        <v>0</v>
      </c>
      <c r="Y1184" s="60">
        <v>0</v>
      </c>
      <c r="Z1184" s="60">
        <v>0</v>
      </c>
      <c r="AA1184" s="60">
        <v>0</v>
      </c>
      <c r="AB1184" s="60">
        <v>0</v>
      </c>
      <c r="AC1184" s="60">
        <v>288.2</v>
      </c>
      <c r="AD1184" s="60">
        <v>254.36</v>
      </c>
      <c r="AE1184" s="60">
        <v>262.42</v>
      </c>
      <c r="AF1184" s="60">
        <v>0</v>
      </c>
      <c r="AG1184" s="60">
        <v>0</v>
      </c>
      <c r="AH1184" s="60">
        <v>0</v>
      </c>
      <c r="AI1184" s="60">
        <v>288.2</v>
      </c>
      <c r="AJ1184" s="60">
        <v>254.36</v>
      </c>
      <c r="AK1184" s="60">
        <v>262.42</v>
      </c>
      <c r="AL1184" s="60">
        <v>0</v>
      </c>
      <c r="AM1184" s="60">
        <v>0</v>
      </c>
      <c r="AN1184" s="60">
        <v>0</v>
      </c>
      <c r="AO1184" s="60">
        <v>288.2</v>
      </c>
      <c r="AP1184" s="60">
        <v>254.36</v>
      </c>
      <c r="AQ1184" s="60">
        <v>262.42</v>
      </c>
      <c r="AR1184" s="61">
        <v>288.2</v>
      </c>
    </row>
    <row r="1185" spans="1:44" x14ac:dyDescent="0.35">
      <c r="A1185" s="49" t="str">
        <f>TEXT(57,"00")</f>
        <v>57</v>
      </c>
      <c r="B1185" s="27">
        <v>72694</v>
      </c>
      <c r="C1185" s="25" t="str">
        <f>TEXT(131706,"0000000")</f>
        <v>0131706</v>
      </c>
      <c r="D1185" s="27">
        <v>1659</v>
      </c>
      <c r="E1185" s="25" t="s">
        <v>3487</v>
      </c>
      <c r="F1185" s="25" t="s">
        <v>5</v>
      </c>
      <c r="G1185" s="59" t="s">
        <v>3488</v>
      </c>
      <c r="H1185" s="60">
        <v>0</v>
      </c>
      <c r="I1185" s="60">
        <v>0</v>
      </c>
      <c r="J1185" s="60">
        <v>0</v>
      </c>
      <c r="K1185" s="60">
        <v>0</v>
      </c>
      <c r="L1185" s="60">
        <v>0</v>
      </c>
      <c r="M1185" s="60">
        <v>0</v>
      </c>
      <c r="N1185" s="60">
        <v>0</v>
      </c>
      <c r="O1185" s="60">
        <v>0</v>
      </c>
      <c r="P1185" s="60">
        <v>0</v>
      </c>
      <c r="Q1185" s="60">
        <v>0</v>
      </c>
      <c r="R1185" s="60">
        <v>0</v>
      </c>
      <c r="S1185" s="60">
        <v>0</v>
      </c>
      <c r="T1185" s="60">
        <v>0</v>
      </c>
      <c r="U1185" s="60">
        <v>0</v>
      </c>
      <c r="V1185" s="60">
        <v>0</v>
      </c>
      <c r="W1185" s="60">
        <v>0</v>
      </c>
      <c r="X1185" s="60">
        <v>0</v>
      </c>
      <c r="Y1185" s="60">
        <v>0</v>
      </c>
      <c r="Z1185" s="60">
        <v>0</v>
      </c>
      <c r="AA1185" s="60">
        <v>0</v>
      </c>
      <c r="AB1185" s="60">
        <v>0</v>
      </c>
      <c r="AC1185" s="60">
        <v>388.8</v>
      </c>
      <c r="AD1185" s="60">
        <v>449.39</v>
      </c>
      <c r="AE1185" s="60">
        <v>472.8</v>
      </c>
      <c r="AF1185" s="60">
        <v>0</v>
      </c>
      <c r="AG1185" s="60">
        <v>0</v>
      </c>
      <c r="AH1185" s="60">
        <v>0</v>
      </c>
      <c r="AI1185" s="60">
        <v>388.8</v>
      </c>
      <c r="AJ1185" s="60">
        <v>449.39</v>
      </c>
      <c r="AK1185" s="60">
        <v>472.8</v>
      </c>
      <c r="AL1185" s="60">
        <v>0</v>
      </c>
      <c r="AM1185" s="60">
        <v>0</v>
      </c>
      <c r="AN1185" s="60">
        <v>0</v>
      </c>
      <c r="AO1185" s="60">
        <v>388.8</v>
      </c>
      <c r="AP1185" s="60">
        <v>449.39</v>
      </c>
      <c r="AQ1185" s="60">
        <v>472.8</v>
      </c>
      <c r="AR1185" s="61">
        <v>472.8</v>
      </c>
    </row>
    <row r="1186" spans="1:44" x14ac:dyDescent="0.35">
      <c r="A1186" s="49" t="str">
        <f>TEXT(57,"00")</f>
        <v>57</v>
      </c>
      <c r="B1186" s="27">
        <v>72702</v>
      </c>
      <c r="C1186" s="25" t="str">
        <f>TEXT(139436,"0000000")</f>
        <v>0139436</v>
      </c>
      <c r="D1186" s="27">
        <v>2059</v>
      </c>
      <c r="E1186" s="25" t="s">
        <v>3491</v>
      </c>
      <c r="F1186" s="25" t="s">
        <v>5</v>
      </c>
      <c r="G1186" s="59" t="s">
        <v>3492</v>
      </c>
      <c r="H1186" s="60">
        <v>0</v>
      </c>
      <c r="I1186" s="60">
        <v>0</v>
      </c>
      <c r="J1186" s="60">
        <v>0</v>
      </c>
      <c r="K1186" s="60">
        <v>0</v>
      </c>
      <c r="L1186" s="60">
        <v>0</v>
      </c>
      <c r="M1186" s="60">
        <v>0</v>
      </c>
      <c r="N1186" s="60">
        <v>0</v>
      </c>
      <c r="O1186" s="60">
        <v>0</v>
      </c>
      <c r="P1186" s="60">
        <v>0</v>
      </c>
      <c r="Q1186" s="60">
        <v>0</v>
      </c>
      <c r="R1186" s="60">
        <v>0</v>
      </c>
      <c r="S1186" s="60">
        <v>0</v>
      </c>
      <c r="T1186" s="60">
        <v>0</v>
      </c>
      <c r="U1186" s="60">
        <v>0</v>
      </c>
      <c r="V1186" s="60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v>656.52</v>
      </c>
      <c r="AD1186" s="60">
        <v>665.38</v>
      </c>
      <c r="AE1186" s="60">
        <v>617.9</v>
      </c>
      <c r="AF1186" s="60">
        <v>0</v>
      </c>
      <c r="AG1186" s="60">
        <v>0</v>
      </c>
      <c r="AH1186" s="60">
        <v>0</v>
      </c>
      <c r="AI1186" s="60">
        <v>656.52</v>
      </c>
      <c r="AJ1186" s="60">
        <v>665.38</v>
      </c>
      <c r="AK1186" s="60">
        <v>617.9</v>
      </c>
      <c r="AL1186" s="60">
        <v>0</v>
      </c>
      <c r="AM1186" s="60">
        <v>0</v>
      </c>
      <c r="AN1186" s="60">
        <v>0</v>
      </c>
      <c r="AO1186" s="60">
        <v>656.52</v>
      </c>
      <c r="AP1186" s="60">
        <v>665.38</v>
      </c>
      <c r="AQ1186" s="60">
        <v>617.9</v>
      </c>
      <c r="AR1186" s="61">
        <v>665.38</v>
      </c>
    </row>
    <row r="1187" spans="1:44" x14ac:dyDescent="0.35">
      <c r="A1187" s="49" t="str">
        <f>TEXT(58,"00")</f>
        <v>58</v>
      </c>
      <c r="B1187" s="27">
        <v>72736</v>
      </c>
      <c r="C1187" s="25" t="str">
        <f>TEXT(121632,"0000000")</f>
        <v>0121632</v>
      </c>
      <c r="D1187" s="27">
        <v>1182</v>
      </c>
      <c r="E1187" s="25" t="s">
        <v>3499</v>
      </c>
      <c r="F1187" s="25" t="s">
        <v>5</v>
      </c>
      <c r="G1187" s="59" t="s">
        <v>3500</v>
      </c>
      <c r="H1187" s="60">
        <v>0</v>
      </c>
      <c r="I1187" s="60">
        <v>0</v>
      </c>
      <c r="J1187" s="60">
        <v>0</v>
      </c>
      <c r="K1187" s="60">
        <v>0</v>
      </c>
      <c r="L1187" s="60">
        <v>0</v>
      </c>
      <c r="M1187" s="60">
        <v>0</v>
      </c>
      <c r="N1187" s="60">
        <v>0</v>
      </c>
      <c r="O1187" s="60">
        <v>0</v>
      </c>
      <c r="P1187" s="60">
        <v>0</v>
      </c>
      <c r="Q1187" s="60">
        <v>0</v>
      </c>
      <c r="R1187" s="60">
        <v>0</v>
      </c>
      <c r="S1187" s="60">
        <v>0</v>
      </c>
      <c r="T1187" s="60">
        <v>0</v>
      </c>
      <c r="U1187" s="60">
        <v>0</v>
      </c>
      <c r="V1187" s="60">
        <v>0</v>
      </c>
      <c r="W1187" s="60">
        <v>0</v>
      </c>
      <c r="X1187" s="60">
        <v>0</v>
      </c>
      <c r="Y1187" s="60">
        <v>0</v>
      </c>
      <c r="Z1187" s="60">
        <v>0</v>
      </c>
      <c r="AA1187" s="60">
        <v>0</v>
      </c>
      <c r="AB1187" s="60">
        <v>0</v>
      </c>
      <c r="AC1187" s="60">
        <v>189.51</v>
      </c>
      <c r="AD1187" s="60">
        <v>181.52</v>
      </c>
      <c r="AE1187" s="60">
        <v>188.1</v>
      </c>
      <c r="AF1187" s="60">
        <v>0</v>
      </c>
      <c r="AG1187" s="60">
        <v>0</v>
      </c>
      <c r="AH1187" s="60">
        <v>0</v>
      </c>
      <c r="AI1187" s="60">
        <v>189.51</v>
      </c>
      <c r="AJ1187" s="60">
        <v>181.52</v>
      </c>
      <c r="AK1187" s="60">
        <v>188.1</v>
      </c>
      <c r="AL1187" s="60">
        <v>0</v>
      </c>
      <c r="AM1187" s="60">
        <v>0</v>
      </c>
      <c r="AN1187" s="60">
        <v>0</v>
      </c>
      <c r="AO1187" s="60">
        <v>189.51</v>
      </c>
      <c r="AP1187" s="60">
        <v>181.52</v>
      </c>
      <c r="AQ1187" s="60">
        <v>188.1</v>
      </c>
      <c r="AR1187" s="61">
        <v>189.51</v>
      </c>
    </row>
    <row r="1188" spans="1:44" x14ac:dyDescent="0.35">
      <c r="A1188" s="49" t="str">
        <f>TEXT(1,"00")</f>
        <v>01</v>
      </c>
      <c r="B1188" s="27">
        <v>77180</v>
      </c>
      <c r="C1188" s="25" t="str">
        <f>TEXT(138289,"0000000")</f>
        <v>0138289</v>
      </c>
      <c r="D1188" s="27">
        <v>2015</v>
      </c>
      <c r="E1188" s="25" t="s">
        <v>163</v>
      </c>
      <c r="F1188" s="25" t="s">
        <v>5</v>
      </c>
      <c r="G1188" s="59" t="s">
        <v>164</v>
      </c>
      <c r="H1188" s="60">
        <v>0</v>
      </c>
      <c r="I1188" s="60">
        <v>0</v>
      </c>
      <c r="J1188" s="60">
        <v>0</v>
      </c>
      <c r="K1188" s="60">
        <v>0</v>
      </c>
      <c r="L1188" s="60">
        <v>0</v>
      </c>
      <c r="M1188" s="60">
        <v>0</v>
      </c>
      <c r="N1188" s="60">
        <v>0</v>
      </c>
      <c r="O1188" s="60">
        <v>0</v>
      </c>
      <c r="P1188" s="60">
        <v>0</v>
      </c>
      <c r="Q1188" s="60">
        <v>0</v>
      </c>
      <c r="R1188" s="60">
        <v>0</v>
      </c>
      <c r="S1188" s="60">
        <v>0</v>
      </c>
      <c r="T1188" s="60">
        <v>0</v>
      </c>
      <c r="U1188" s="60">
        <v>0</v>
      </c>
      <c r="V1188" s="60">
        <v>0</v>
      </c>
      <c r="W1188" s="60">
        <v>0</v>
      </c>
      <c r="X1188" s="60">
        <v>0</v>
      </c>
      <c r="Y1188" s="60">
        <v>0</v>
      </c>
      <c r="Z1188" s="60">
        <v>0</v>
      </c>
      <c r="AA1188" s="60">
        <v>0</v>
      </c>
      <c r="AB1188" s="60">
        <v>0</v>
      </c>
      <c r="AC1188" s="60">
        <v>256.24</v>
      </c>
      <c r="AD1188" s="60">
        <v>209.62</v>
      </c>
      <c r="AE1188" s="60">
        <v>131.5</v>
      </c>
      <c r="AF1188" s="60">
        <v>0</v>
      </c>
      <c r="AG1188" s="60">
        <v>0</v>
      </c>
      <c r="AH1188" s="60">
        <v>0</v>
      </c>
      <c r="AI1188" s="60">
        <v>256.24</v>
      </c>
      <c r="AJ1188" s="60">
        <v>209.62</v>
      </c>
      <c r="AK1188" s="60">
        <v>131.5</v>
      </c>
      <c r="AL1188" s="60">
        <v>0</v>
      </c>
      <c r="AM1188" s="60">
        <v>0</v>
      </c>
      <c r="AN1188" s="60">
        <v>0</v>
      </c>
      <c r="AO1188" s="60">
        <v>256.24</v>
      </c>
      <c r="AP1188" s="60">
        <v>209.62</v>
      </c>
      <c r="AQ1188" s="60">
        <v>131.5</v>
      </c>
      <c r="AR1188" s="61">
        <v>256.24</v>
      </c>
    </row>
    <row r="1189" spans="1:44" x14ac:dyDescent="0.35">
      <c r="A1189" s="49" t="str">
        <f t="shared" ref="A1189:A1200" si="99">TEXT(4,"00")</f>
        <v>04</v>
      </c>
      <c r="B1189" s="27">
        <v>10041</v>
      </c>
      <c r="C1189" s="25" t="str">
        <f>TEXT(114991,"0000000")</f>
        <v>0114991</v>
      </c>
      <c r="D1189" s="26" t="s">
        <v>179</v>
      </c>
      <c r="E1189" s="25" t="s">
        <v>177</v>
      </c>
      <c r="F1189" s="25" t="s">
        <v>5</v>
      </c>
      <c r="G1189" s="59" t="s">
        <v>178</v>
      </c>
      <c r="H1189" s="60">
        <v>0</v>
      </c>
      <c r="I1189" s="60">
        <v>0</v>
      </c>
      <c r="J1189" s="60">
        <v>0</v>
      </c>
      <c r="K1189" s="60">
        <v>0</v>
      </c>
      <c r="L1189" s="60">
        <v>0</v>
      </c>
      <c r="M1189" s="60">
        <v>0</v>
      </c>
      <c r="N1189" s="60">
        <v>0</v>
      </c>
      <c r="O1189" s="60">
        <v>0</v>
      </c>
      <c r="P1189" s="60">
        <v>0</v>
      </c>
      <c r="Q1189" s="60">
        <v>0</v>
      </c>
      <c r="R1189" s="60">
        <v>0</v>
      </c>
      <c r="S1189" s="60">
        <v>0</v>
      </c>
      <c r="T1189" s="60">
        <v>0</v>
      </c>
      <c r="U1189" s="60">
        <v>0</v>
      </c>
      <c r="V1189" s="60">
        <v>0</v>
      </c>
      <c r="W1189" s="60">
        <v>0</v>
      </c>
      <c r="X1189" s="60">
        <v>0</v>
      </c>
      <c r="Y1189" s="60">
        <v>0</v>
      </c>
      <c r="Z1189" s="60">
        <v>841.11</v>
      </c>
      <c r="AA1189" s="60">
        <v>844.08</v>
      </c>
      <c r="AB1189" s="60">
        <v>833.56</v>
      </c>
      <c r="AC1189" s="60">
        <v>0</v>
      </c>
      <c r="AD1189" s="60">
        <v>0</v>
      </c>
      <c r="AE1189" s="60">
        <v>0</v>
      </c>
      <c r="AF1189" s="60">
        <v>0</v>
      </c>
      <c r="AG1189" s="60">
        <v>0</v>
      </c>
      <c r="AH1189" s="60">
        <v>0</v>
      </c>
      <c r="AI1189" s="60">
        <v>841.11</v>
      </c>
      <c r="AJ1189" s="60">
        <v>844.08</v>
      </c>
      <c r="AK1189" s="60">
        <v>833.56</v>
      </c>
      <c r="AL1189" s="60">
        <v>0</v>
      </c>
      <c r="AM1189" s="60">
        <v>0</v>
      </c>
      <c r="AN1189" s="60">
        <v>0</v>
      </c>
      <c r="AO1189" s="60">
        <v>841.11</v>
      </c>
      <c r="AP1189" s="60">
        <v>844.08</v>
      </c>
      <c r="AQ1189" s="60">
        <v>833.56</v>
      </c>
      <c r="AR1189" s="61">
        <v>844.08</v>
      </c>
    </row>
    <row r="1190" spans="1:44" x14ac:dyDescent="0.35">
      <c r="A1190" s="49" t="str">
        <f t="shared" si="99"/>
        <v>04</v>
      </c>
      <c r="B1190" s="27">
        <v>10041</v>
      </c>
      <c r="C1190" s="25" t="str">
        <f>TEXT(136820,"0000000")</f>
        <v>0136820</v>
      </c>
      <c r="D1190" s="27">
        <v>1916</v>
      </c>
      <c r="E1190" s="25" t="s">
        <v>180</v>
      </c>
      <c r="F1190" s="25" t="s">
        <v>5</v>
      </c>
      <c r="G1190" s="59" t="s">
        <v>181</v>
      </c>
      <c r="H1190" s="60">
        <v>0</v>
      </c>
      <c r="I1190" s="60">
        <v>0</v>
      </c>
      <c r="J1190" s="60">
        <v>0</v>
      </c>
      <c r="K1190" s="60">
        <v>0</v>
      </c>
      <c r="L1190" s="60">
        <v>0</v>
      </c>
      <c r="M1190" s="60">
        <v>0</v>
      </c>
      <c r="N1190" s="60">
        <v>0</v>
      </c>
      <c r="O1190" s="60">
        <v>0</v>
      </c>
      <c r="P1190" s="60">
        <v>0</v>
      </c>
      <c r="Q1190" s="60">
        <v>0</v>
      </c>
      <c r="R1190" s="60">
        <v>0</v>
      </c>
      <c r="S1190" s="60">
        <v>0</v>
      </c>
      <c r="T1190" s="60">
        <v>0</v>
      </c>
      <c r="U1190" s="60">
        <v>0</v>
      </c>
      <c r="V1190" s="60">
        <v>0</v>
      </c>
      <c r="W1190" s="60">
        <v>0</v>
      </c>
      <c r="X1190" s="60">
        <v>0</v>
      </c>
      <c r="Y1190" s="60">
        <v>0</v>
      </c>
      <c r="Z1190" s="60">
        <v>0</v>
      </c>
      <c r="AA1190" s="60">
        <v>0</v>
      </c>
      <c r="AB1190" s="60">
        <v>0</v>
      </c>
      <c r="AC1190" s="60">
        <v>0</v>
      </c>
      <c r="AD1190" s="60">
        <v>0</v>
      </c>
      <c r="AE1190" s="60">
        <v>0</v>
      </c>
      <c r="AF1190" s="60">
        <v>0</v>
      </c>
      <c r="AG1190" s="60">
        <v>0</v>
      </c>
      <c r="AH1190" s="60">
        <v>0</v>
      </c>
      <c r="AI1190" s="60">
        <v>0</v>
      </c>
      <c r="AJ1190" s="60">
        <v>0</v>
      </c>
      <c r="AK1190" s="60">
        <v>0</v>
      </c>
      <c r="AL1190" s="60">
        <v>0</v>
      </c>
      <c r="AM1190" s="60">
        <v>0</v>
      </c>
      <c r="AN1190" s="60">
        <v>0</v>
      </c>
      <c r="AO1190" s="60">
        <v>0</v>
      </c>
      <c r="AP1190" s="60">
        <v>0</v>
      </c>
      <c r="AQ1190" s="60">
        <v>0</v>
      </c>
      <c r="AR1190" s="61">
        <v>0</v>
      </c>
    </row>
    <row r="1191" spans="1:44" x14ac:dyDescent="0.35">
      <c r="A1191" s="49" t="str">
        <f t="shared" si="99"/>
        <v>04</v>
      </c>
      <c r="B1191" s="27">
        <v>61424</v>
      </c>
      <c r="C1191" s="25" t="str">
        <f>TEXT(110551,"0000000")</f>
        <v>0110551</v>
      </c>
      <c r="D1191" s="26" t="s">
        <v>190</v>
      </c>
      <c r="E1191" s="25" t="s">
        <v>188</v>
      </c>
      <c r="F1191" s="25" t="s">
        <v>5</v>
      </c>
      <c r="G1191" s="59" t="s">
        <v>189</v>
      </c>
      <c r="H1191" s="60">
        <v>0</v>
      </c>
      <c r="I1191" s="60">
        <v>0</v>
      </c>
      <c r="J1191" s="60">
        <v>0</v>
      </c>
      <c r="K1191" s="60">
        <v>0</v>
      </c>
      <c r="L1191" s="60">
        <v>0</v>
      </c>
      <c r="M1191" s="60">
        <v>0</v>
      </c>
      <c r="N1191" s="60">
        <v>0</v>
      </c>
      <c r="O1191" s="60">
        <v>0</v>
      </c>
      <c r="P1191" s="60">
        <v>0</v>
      </c>
      <c r="Q1191" s="60">
        <v>0</v>
      </c>
      <c r="R1191" s="60">
        <v>0</v>
      </c>
      <c r="S1191" s="60">
        <v>0</v>
      </c>
      <c r="T1191" s="60">
        <v>0</v>
      </c>
      <c r="U1191" s="60">
        <v>0</v>
      </c>
      <c r="V1191" s="60">
        <v>0</v>
      </c>
      <c r="W1191" s="60">
        <v>0</v>
      </c>
      <c r="X1191" s="60">
        <v>0</v>
      </c>
      <c r="Y1191" s="60">
        <v>0</v>
      </c>
      <c r="Z1191" s="60">
        <v>0</v>
      </c>
      <c r="AA1191" s="60">
        <v>0</v>
      </c>
      <c r="AB1191" s="60">
        <v>0</v>
      </c>
      <c r="AC1191" s="60">
        <v>202.41</v>
      </c>
      <c r="AD1191" s="60">
        <v>188.81</v>
      </c>
      <c r="AE1191" s="60">
        <v>188.83</v>
      </c>
      <c r="AF1191" s="60">
        <v>0</v>
      </c>
      <c r="AG1191" s="60">
        <v>0</v>
      </c>
      <c r="AH1191" s="60">
        <v>0</v>
      </c>
      <c r="AI1191" s="60">
        <v>202.41</v>
      </c>
      <c r="AJ1191" s="60">
        <v>188.81</v>
      </c>
      <c r="AK1191" s="60">
        <v>188.83</v>
      </c>
      <c r="AL1191" s="60">
        <v>0</v>
      </c>
      <c r="AM1191" s="60">
        <v>0</v>
      </c>
      <c r="AN1191" s="60">
        <v>0</v>
      </c>
      <c r="AO1191" s="60">
        <v>202.41</v>
      </c>
      <c r="AP1191" s="60">
        <v>188.81</v>
      </c>
      <c r="AQ1191" s="60">
        <v>188.83</v>
      </c>
      <c r="AR1191" s="61">
        <v>202.41</v>
      </c>
    </row>
    <row r="1192" spans="1:44" x14ac:dyDescent="0.35">
      <c r="A1192" s="49" t="str">
        <f t="shared" si="99"/>
        <v>04</v>
      </c>
      <c r="B1192" s="27">
        <v>61424</v>
      </c>
      <c r="C1192" s="25" t="str">
        <f>TEXT(120394,"0000000")</f>
        <v>0120394</v>
      </c>
      <c r="D1192" s="27">
        <v>1114</v>
      </c>
      <c r="E1192" s="25" t="s">
        <v>191</v>
      </c>
      <c r="F1192" s="25" t="s">
        <v>5</v>
      </c>
      <c r="G1192" s="59" t="s">
        <v>192</v>
      </c>
      <c r="H1192" s="60">
        <v>0</v>
      </c>
      <c r="I1192" s="60">
        <v>0</v>
      </c>
      <c r="J1192" s="60">
        <v>0</v>
      </c>
      <c r="K1192" s="60">
        <v>0</v>
      </c>
      <c r="L1192" s="60">
        <v>0</v>
      </c>
      <c r="M1192" s="60">
        <v>0</v>
      </c>
      <c r="N1192" s="60">
        <v>0</v>
      </c>
      <c r="O1192" s="60">
        <v>0</v>
      </c>
      <c r="P1192" s="60">
        <v>0</v>
      </c>
      <c r="Q1192" s="60">
        <v>0</v>
      </c>
      <c r="R1192" s="60">
        <v>0</v>
      </c>
      <c r="S1192" s="60">
        <v>0</v>
      </c>
      <c r="T1192" s="60">
        <v>0</v>
      </c>
      <c r="U1192" s="60">
        <v>0</v>
      </c>
      <c r="V1192" s="60">
        <v>0</v>
      </c>
      <c r="W1192" s="60">
        <v>0</v>
      </c>
      <c r="X1192" s="60">
        <v>0</v>
      </c>
      <c r="Y1192" s="60">
        <v>0</v>
      </c>
      <c r="Z1192" s="60">
        <v>0</v>
      </c>
      <c r="AA1192" s="60">
        <v>0</v>
      </c>
      <c r="AB1192" s="60">
        <v>0</v>
      </c>
      <c r="AC1192" s="60">
        <v>325.14999999999998</v>
      </c>
      <c r="AD1192" s="60">
        <v>359.3</v>
      </c>
      <c r="AE1192" s="60">
        <v>389.33</v>
      </c>
      <c r="AF1192" s="60">
        <v>0</v>
      </c>
      <c r="AG1192" s="60">
        <v>0</v>
      </c>
      <c r="AH1192" s="60">
        <v>0</v>
      </c>
      <c r="AI1192" s="60">
        <v>325.14999999999998</v>
      </c>
      <c r="AJ1192" s="60">
        <v>359.3</v>
      </c>
      <c r="AK1192" s="60">
        <v>389.33</v>
      </c>
      <c r="AL1192" s="60">
        <v>0</v>
      </c>
      <c r="AM1192" s="60">
        <v>0</v>
      </c>
      <c r="AN1192" s="60">
        <v>0</v>
      </c>
      <c r="AO1192" s="60">
        <v>325.14999999999998</v>
      </c>
      <c r="AP1192" s="60">
        <v>359.3</v>
      </c>
      <c r="AQ1192" s="60">
        <v>389.33</v>
      </c>
      <c r="AR1192" s="61">
        <v>389.33</v>
      </c>
    </row>
    <row r="1193" spans="1:44" x14ac:dyDescent="0.35">
      <c r="A1193" s="49" t="str">
        <f t="shared" si="99"/>
        <v>04</v>
      </c>
      <c r="B1193" s="27">
        <v>61424</v>
      </c>
      <c r="C1193" s="25" t="str">
        <f>TEXT(121475,"0000000")</f>
        <v>0121475</v>
      </c>
      <c r="D1193" s="27">
        <v>1166</v>
      </c>
      <c r="E1193" s="25" t="s">
        <v>193</v>
      </c>
      <c r="F1193" s="25" t="s">
        <v>5</v>
      </c>
      <c r="G1193" s="59" t="s">
        <v>194</v>
      </c>
      <c r="H1193" s="60">
        <v>0</v>
      </c>
      <c r="I1193" s="60">
        <v>0</v>
      </c>
      <c r="J1193" s="60">
        <v>0</v>
      </c>
      <c r="K1193" s="60">
        <v>0</v>
      </c>
      <c r="L1193" s="60">
        <v>0</v>
      </c>
      <c r="M1193" s="60">
        <v>0</v>
      </c>
      <c r="N1193" s="60">
        <v>0</v>
      </c>
      <c r="O1193" s="60">
        <v>0</v>
      </c>
      <c r="P1193" s="60">
        <v>0</v>
      </c>
      <c r="Q1193" s="60">
        <v>0</v>
      </c>
      <c r="R1193" s="60">
        <v>0</v>
      </c>
      <c r="S1193" s="60">
        <v>0</v>
      </c>
      <c r="T1193" s="60">
        <v>0</v>
      </c>
      <c r="U1193" s="60">
        <v>0</v>
      </c>
      <c r="V1193" s="60">
        <v>0</v>
      </c>
      <c r="W1193" s="60">
        <v>0</v>
      </c>
      <c r="X1193" s="60">
        <v>0</v>
      </c>
      <c r="Y1193" s="60">
        <v>0</v>
      </c>
      <c r="Z1193" s="60">
        <v>0</v>
      </c>
      <c r="AA1193" s="60">
        <v>0</v>
      </c>
      <c r="AB1193" s="60">
        <v>0</v>
      </c>
      <c r="AC1193" s="60">
        <v>92.34</v>
      </c>
      <c r="AD1193" s="60">
        <v>101.45</v>
      </c>
      <c r="AE1193" s="60">
        <v>145.34</v>
      </c>
      <c r="AF1193" s="60">
        <v>0</v>
      </c>
      <c r="AG1193" s="60">
        <v>0</v>
      </c>
      <c r="AH1193" s="60">
        <v>0</v>
      </c>
      <c r="AI1193" s="60">
        <v>92.34</v>
      </c>
      <c r="AJ1193" s="60">
        <v>101.45</v>
      </c>
      <c r="AK1193" s="60">
        <v>145.34</v>
      </c>
      <c r="AL1193" s="60">
        <v>0</v>
      </c>
      <c r="AM1193" s="60">
        <v>0</v>
      </c>
      <c r="AN1193" s="60">
        <v>0</v>
      </c>
      <c r="AO1193" s="60">
        <v>92.34</v>
      </c>
      <c r="AP1193" s="60">
        <v>101.45</v>
      </c>
      <c r="AQ1193" s="60">
        <v>145.34</v>
      </c>
      <c r="AR1193" s="61">
        <v>145.34</v>
      </c>
    </row>
    <row r="1194" spans="1:44" x14ac:dyDescent="0.35">
      <c r="A1194" s="49" t="str">
        <f t="shared" si="99"/>
        <v>04</v>
      </c>
      <c r="B1194" s="27">
        <v>61424</v>
      </c>
      <c r="C1194" s="25" t="str">
        <f>TEXT(123810,"0000000")</f>
        <v>0123810</v>
      </c>
      <c r="D1194" s="27">
        <v>1280</v>
      </c>
      <c r="E1194" s="25" t="s">
        <v>195</v>
      </c>
      <c r="F1194" s="25" t="s">
        <v>5</v>
      </c>
      <c r="G1194" s="59" t="s">
        <v>196</v>
      </c>
      <c r="H1194" s="60">
        <v>0</v>
      </c>
      <c r="I1194" s="60">
        <v>0</v>
      </c>
      <c r="J1194" s="60">
        <v>0</v>
      </c>
      <c r="K1194" s="60">
        <v>0</v>
      </c>
      <c r="L1194" s="60">
        <v>0</v>
      </c>
      <c r="M1194" s="60">
        <v>0</v>
      </c>
      <c r="N1194" s="60">
        <v>0</v>
      </c>
      <c r="O1194" s="60">
        <v>0</v>
      </c>
      <c r="P1194" s="60">
        <v>0</v>
      </c>
      <c r="Q1194" s="60">
        <v>0</v>
      </c>
      <c r="R1194" s="60">
        <v>0</v>
      </c>
      <c r="S1194" s="60">
        <v>0</v>
      </c>
      <c r="T1194" s="60">
        <v>0</v>
      </c>
      <c r="U1194" s="60">
        <v>0</v>
      </c>
      <c r="V1194" s="60">
        <v>0</v>
      </c>
      <c r="W1194" s="60">
        <v>0</v>
      </c>
      <c r="X1194" s="60">
        <v>0</v>
      </c>
      <c r="Y1194" s="60">
        <v>0</v>
      </c>
      <c r="Z1194" s="60">
        <v>0</v>
      </c>
      <c r="AA1194" s="60">
        <v>0</v>
      </c>
      <c r="AB1194" s="60">
        <v>0</v>
      </c>
      <c r="AC1194" s="60">
        <v>129.5</v>
      </c>
      <c r="AD1194" s="60">
        <v>125.76</v>
      </c>
      <c r="AE1194" s="60">
        <v>0</v>
      </c>
      <c r="AF1194" s="60">
        <v>0</v>
      </c>
      <c r="AG1194" s="60">
        <v>0</v>
      </c>
      <c r="AH1194" s="60">
        <v>0</v>
      </c>
      <c r="AI1194" s="60">
        <v>129.5</v>
      </c>
      <c r="AJ1194" s="60">
        <v>125.76</v>
      </c>
      <c r="AK1194" s="60">
        <v>0</v>
      </c>
      <c r="AL1194" s="60">
        <v>0</v>
      </c>
      <c r="AM1194" s="60">
        <v>0</v>
      </c>
      <c r="AN1194" s="60">
        <v>0</v>
      </c>
      <c r="AO1194" s="60">
        <v>129.5</v>
      </c>
      <c r="AP1194" s="60">
        <v>125.76</v>
      </c>
      <c r="AQ1194" s="60">
        <v>0</v>
      </c>
      <c r="AR1194" s="61">
        <v>129.5</v>
      </c>
    </row>
    <row r="1195" spans="1:44" x14ac:dyDescent="0.35">
      <c r="A1195" s="49" t="str">
        <f t="shared" si="99"/>
        <v>04</v>
      </c>
      <c r="B1195" s="27">
        <v>61424</v>
      </c>
      <c r="C1195" s="25" t="str">
        <f>TEXT(137828,"0000000")</f>
        <v>0137828</v>
      </c>
      <c r="D1195" s="27">
        <v>1982</v>
      </c>
      <c r="E1195" s="25" t="s">
        <v>197</v>
      </c>
      <c r="F1195" s="25" t="s">
        <v>5</v>
      </c>
      <c r="G1195" s="59" t="s">
        <v>198</v>
      </c>
      <c r="H1195" s="60">
        <v>0</v>
      </c>
      <c r="I1195" s="60">
        <v>0</v>
      </c>
      <c r="J1195" s="60">
        <v>0</v>
      </c>
      <c r="K1195" s="60">
        <v>0</v>
      </c>
      <c r="L1195" s="60">
        <v>0</v>
      </c>
      <c r="M1195" s="60">
        <v>0</v>
      </c>
      <c r="N1195" s="60">
        <v>0</v>
      </c>
      <c r="O1195" s="60">
        <v>0</v>
      </c>
      <c r="P1195" s="60">
        <v>0</v>
      </c>
      <c r="Q1195" s="60">
        <v>0</v>
      </c>
      <c r="R1195" s="60">
        <v>0</v>
      </c>
      <c r="S1195" s="60">
        <v>0</v>
      </c>
      <c r="T1195" s="60">
        <v>0</v>
      </c>
      <c r="U1195" s="60">
        <v>0</v>
      </c>
      <c r="V1195" s="60">
        <v>0</v>
      </c>
      <c r="W1195" s="60">
        <v>0</v>
      </c>
      <c r="X1195" s="60">
        <v>0</v>
      </c>
      <c r="Y1195" s="60">
        <v>0</v>
      </c>
      <c r="Z1195" s="60">
        <v>0</v>
      </c>
      <c r="AA1195" s="60">
        <v>0</v>
      </c>
      <c r="AB1195" s="60">
        <v>0</v>
      </c>
      <c r="AC1195" s="60">
        <v>80.27</v>
      </c>
      <c r="AD1195" s="60">
        <v>87.03</v>
      </c>
      <c r="AE1195" s="60">
        <v>107.27</v>
      </c>
      <c r="AF1195" s="60">
        <v>0</v>
      </c>
      <c r="AG1195" s="60">
        <v>0</v>
      </c>
      <c r="AH1195" s="60">
        <v>0</v>
      </c>
      <c r="AI1195" s="60">
        <v>80.27</v>
      </c>
      <c r="AJ1195" s="60">
        <v>87.03</v>
      </c>
      <c r="AK1195" s="60">
        <v>107.27</v>
      </c>
      <c r="AL1195" s="60">
        <v>0</v>
      </c>
      <c r="AM1195" s="60">
        <v>0</v>
      </c>
      <c r="AN1195" s="60">
        <v>0</v>
      </c>
      <c r="AO1195" s="60">
        <v>80.27</v>
      </c>
      <c r="AP1195" s="60">
        <v>87.03</v>
      </c>
      <c r="AQ1195" s="60">
        <v>107.27</v>
      </c>
      <c r="AR1195" s="61">
        <v>107.27</v>
      </c>
    </row>
    <row r="1196" spans="1:44" x14ac:dyDescent="0.35">
      <c r="A1196" s="49" t="str">
        <f t="shared" si="99"/>
        <v>04</v>
      </c>
      <c r="B1196" s="27">
        <v>61424</v>
      </c>
      <c r="C1196" s="25" t="str">
        <f>TEXT(141085,"0000000")</f>
        <v>0141085</v>
      </c>
      <c r="D1196" s="27">
        <v>2120</v>
      </c>
      <c r="E1196" s="25" t="s">
        <v>199</v>
      </c>
      <c r="F1196" s="25" t="s">
        <v>5</v>
      </c>
      <c r="G1196" s="59" t="s">
        <v>200</v>
      </c>
      <c r="H1196" s="60">
        <v>0</v>
      </c>
      <c r="I1196" s="60">
        <v>0</v>
      </c>
      <c r="J1196" s="60">
        <v>0</v>
      </c>
      <c r="K1196" s="60">
        <v>0</v>
      </c>
      <c r="L1196" s="60">
        <v>0</v>
      </c>
      <c r="M1196" s="60">
        <v>0</v>
      </c>
      <c r="N1196" s="60">
        <v>0</v>
      </c>
      <c r="O1196" s="60">
        <v>0</v>
      </c>
      <c r="P1196" s="60">
        <v>0</v>
      </c>
      <c r="Q1196" s="60">
        <v>0</v>
      </c>
      <c r="R1196" s="60">
        <v>0</v>
      </c>
      <c r="S1196" s="60">
        <v>0</v>
      </c>
      <c r="T1196" s="60">
        <v>0</v>
      </c>
      <c r="U1196" s="60">
        <v>0</v>
      </c>
      <c r="V1196" s="60">
        <v>0</v>
      </c>
      <c r="W1196" s="60">
        <v>0</v>
      </c>
      <c r="X1196" s="60">
        <v>0</v>
      </c>
      <c r="Y1196" s="60">
        <v>0</v>
      </c>
      <c r="Z1196" s="60">
        <v>0</v>
      </c>
      <c r="AA1196" s="60">
        <v>0</v>
      </c>
      <c r="AB1196" s="60">
        <v>0</v>
      </c>
      <c r="AC1196" s="60">
        <v>210.31</v>
      </c>
      <c r="AD1196" s="60">
        <v>182.15</v>
      </c>
      <c r="AE1196" s="60">
        <v>0</v>
      </c>
      <c r="AF1196" s="60">
        <v>0</v>
      </c>
      <c r="AG1196" s="60">
        <v>0</v>
      </c>
      <c r="AH1196" s="60">
        <v>0</v>
      </c>
      <c r="AI1196" s="60">
        <v>210.31</v>
      </c>
      <c r="AJ1196" s="60">
        <v>182.15</v>
      </c>
      <c r="AK1196" s="60">
        <v>0</v>
      </c>
      <c r="AL1196" s="60">
        <v>0</v>
      </c>
      <c r="AM1196" s="60">
        <v>0</v>
      </c>
      <c r="AN1196" s="60">
        <v>0</v>
      </c>
      <c r="AO1196" s="60">
        <v>210.31</v>
      </c>
      <c r="AP1196" s="60">
        <v>182.15</v>
      </c>
      <c r="AQ1196" s="60">
        <v>0</v>
      </c>
      <c r="AR1196" s="61">
        <v>210.31</v>
      </c>
    </row>
    <row r="1197" spans="1:44" x14ac:dyDescent="0.35">
      <c r="A1197" s="49" t="str">
        <f t="shared" si="99"/>
        <v>04</v>
      </c>
      <c r="B1197" s="27">
        <v>61424</v>
      </c>
      <c r="C1197" s="25" t="str">
        <f>TEXT(6113773,"0000000")</f>
        <v>6113773</v>
      </c>
      <c r="D1197" s="26" t="s">
        <v>203</v>
      </c>
      <c r="E1197" s="25" t="s">
        <v>201</v>
      </c>
      <c r="F1197" s="25" t="s">
        <v>5</v>
      </c>
      <c r="G1197" s="59" t="s">
        <v>202</v>
      </c>
      <c r="H1197" s="60">
        <v>0</v>
      </c>
      <c r="I1197" s="60">
        <v>0</v>
      </c>
      <c r="J1197" s="60">
        <v>0</v>
      </c>
      <c r="K1197" s="60">
        <v>0</v>
      </c>
      <c r="L1197" s="60">
        <v>0</v>
      </c>
      <c r="M1197" s="60">
        <v>0</v>
      </c>
      <c r="N1197" s="60">
        <v>0</v>
      </c>
      <c r="O1197" s="60">
        <v>0</v>
      </c>
      <c r="P1197" s="60">
        <v>0</v>
      </c>
      <c r="Q1197" s="60">
        <v>0</v>
      </c>
      <c r="R1197" s="60">
        <v>0</v>
      </c>
      <c r="S1197" s="60">
        <v>0</v>
      </c>
      <c r="T1197" s="60">
        <v>0</v>
      </c>
      <c r="U1197" s="60">
        <v>0</v>
      </c>
      <c r="V1197" s="60">
        <v>0</v>
      </c>
      <c r="W1197" s="60">
        <v>0</v>
      </c>
      <c r="X1197" s="60">
        <v>0</v>
      </c>
      <c r="Y1197" s="60">
        <v>0</v>
      </c>
      <c r="Z1197" s="60">
        <v>0</v>
      </c>
      <c r="AA1197" s="60">
        <v>0</v>
      </c>
      <c r="AB1197" s="60">
        <v>0</v>
      </c>
      <c r="AC1197" s="60">
        <v>535.01</v>
      </c>
      <c r="AD1197" s="60">
        <v>537.42999999999995</v>
      </c>
      <c r="AE1197" s="60">
        <v>546.29999999999995</v>
      </c>
      <c r="AF1197" s="60">
        <v>0</v>
      </c>
      <c r="AG1197" s="60">
        <v>0</v>
      </c>
      <c r="AH1197" s="60">
        <v>0</v>
      </c>
      <c r="AI1197" s="60">
        <v>535.01</v>
      </c>
      <c r="AJ1197" s="60">
        <v>537.42999999999995</v>
      </c>
      <c r="AK1197" s="60">
        <v>546.29999999999995</v>
      </c>
      <c r="AL1197" s="60">
        <v>0</v>
      </c>
      <c r="AM1197" s="60">
        <v>0</v>
      </c>
      <c r="AN1197" s="60">
        <v>0</v>
      </c>
      <c r="AO1197" s="60">
        <v>535.01</v>
      </c>
      <c r="AP1197" s="60">
        <v>537.42999999999995</v>
      </c>
      <c r="AQ1197" s="60">
        <v>546.29999999999995</v>
      </c>
      <c r="AR1197" s="61">
        <v>546.29999999999995</v>
      </c>
    </row>
    <row r="1198" spans="1:44" x14ac:dyDescent="0.35">
      <c r="A1198" s="49" t="str">
        <f t="shared" si="99"/>
        <v>04</v>
      </c>
      <c r="B1198" s="27">
        <v>61424</v>
      </c>
      <c r="C1198" s="25" t="str">
        <f>TEXT(6119523,"0000000")</f>
        <v>6119523</v>
      </c>
      <c r="D1198" s="26" t="s">
        <v>206</v>
      </c>
      <c r="E1198" s="25" t="s">
        <v>204</v>
      </c>
      <c r="F1198" s="25" t="s">
        <v>5</v>
      </c>
      <c r="G1198" s="59" t="s">
        <v>205</v>
      </c>
      <c r="H1198" s="60">
        <v>0</v>
      </c>
      <c r="I1198" s="60">
        <v>0</v>
      </c>
      <c r="J1198" s="60">
        <v>0</v>
      </c>
      <c r="K1198" s="60">
        <v>0</v>
      </c>
      <c r="L1198" s="60">
        <v>0</v>
      </c>
      <c r="M1198" s="60">
        <v>0</v>
      </c>
      <c r="N1198" s="60">
        <v>0</v>
      </c>
      <c r="O1198" s="60">
        <v>0</v>
      </c>
      <c r="P1198" s="60">
        <v>0</v>
      </c>
      <c r="Q1198" s="60">
        <v>0</v>
      </c>
      <c r="R1198" s="60">
        <v>0</v>
      </c>
      <c r="S1198" s="60">
        <v>0</v>
      </c>
      <c r="T1198" s="60">
        <v>0</v>
      </c>
      <c r="U1198" s="60">
        <v>0</v>
      </c>
      <c r="V1198" s="60">
        <v>0</v>
      </c>
      <c r="W1198" s="60">
        <v>0</v>
      </c>
      <c r="X1198" s="60">
        <v>0</v>
      </c>
      <c r="Y1198" s="60">
        <v>0</v>
      </c>
      <c r="Z1198" s="60">
        <v>0</v>
      </c>
      <c r="AA1198" s="60">
        <v>0</v>
      </c>
      <c r="AB1198" s="60">
        <v>0</v>
      </c>
      <c r="AC1198" s="60">
        <v>230.17</v>
      </c>
      <c r="AD1198" s="60">
        <v>240.95</v>
      </c>
      <c r="AE1198" s="60">
        <v>293.37</v>
      </c>
      <c r="AF1198" s="60">
        <v>0</v>
      </c>
      <c r="AG1198" s="60">
        <v>0</v>
      </c>
      <c r="AH1198" s="60">
        <v>0</v>
      </c>
      <c r="AI1198" s="60">
        <v>230.17</v>
      </c>
      <c r="AJ1198" s="60">
        <v>240.95</v>
      </c>
      <c r="AK1198" s="60">
        <v>293.37</v>
      </c>
      <c r="AL1198" s="60">
        <v>0</v>
      </c>
      <c r="AM1198" s="60">
        <v>0</v>
      </c>
      <c r="AN1198" s="60">
        <v>0</v>
      </c>
      <c r="AO1198" s="60">
        <v>230.17</v>
      </c>
      <c r="AP1198" s="60">
        <v>240.95</v>
      </c>
      <c r="AQ1198" s="60">
        <v>293.37</v>
      </c>
      <c r="AR1198" s="61">
        <v>293.37</v>
      </c>
    </row>
    <row r="1199" spans="1:44" x14ac:dyDescent="0.35">
      <c r="A1199" s="49" t="str">
        <f t="shared" si="99"/>
        <v>04</v>
      </c>
      <c r="B1199" s="27">
        <v>61507</v>
      </c>
      <c r="C1199" s="25" t="str">
        <f>TEXT(129577,"0000000")</f>
        <v>0129577</v>
      </c>
      <c r="D1199" s="27">
        <v>1616</v>
      </c>
      <c r="E1199" s="25" t="s">
        <v>215</v>
      </c>
      <c r="F1199" s="25" t="s">
        <v>5</v>
      </c>
      <c r="G1199" s="59" t="s">
        <v>216</v>
      </c>
      <c r="H1199" s="60">
        <v>0</v>
      </c>
      <c r="I1199" s="60">
        <v>0</v>
      </c>
      <c r="J1199" s="60">
        <v>0</v>
      </c>
      <c r="K1199" s="60">
        <v>0</v>
      </c>
      <c r="L1199" s="60">
        <v>0</v>
      </c>
      <c r="M1199" s="60">
        <v>0</v>
      </c>
      <c r="N1199" s="60">
        <v>0</v>
      </c>
      <c r="O1199" s="60">
        <v>0</v>
      </c>
      <c r="P1199" s="60">
        <v>0</v>
      </c>
      <c r="Q1199" s="60">
        <v>0</v>
      </c>
      <c r="R1199" s="60">
        <v>0</v>
      </c>
      <c r="S1199" s="60">
        <v>0</v>
      </c>
      <c r="T1199" s="60">
        <v>0</v>
      </c>
      <c r="U1199" s="60">
        <v>0</v>
      </c>
      <c r="V1199" s="60">
        <v>0</v>
      </c>
      <c r="W1199" s="60">
        <v>0</v>
      </c>
      <c r="X1199" s="60">
        <v>0</v>
      </c>
      <c r="Y1199" s="60">
        <v>0</v>
      </c>
      <c r="Z1199" s="60">
        <v>0</v>
      </c>
      <c r="AA1199" s="60">
        <v>0</v>
      </c>
      <c r="AB1199" s="60">
        <v>0</v>
      </c>
      <c r="AC1199" s="60">
        <v>403.45</v>
      </c>
      <c r="AD1199" s="60">
        <v>291.27999999999997</v>
      </c>
      <c r="AE1199" s="60">
        <v>279.10000000000002</v>
      </c>
      <c r="AF1199" s="60">
        <v>0</v>
      </c>
      <c r="AG1199" s="60">
        <v>0</v>
      </c>
      <c r="AH1199" s="60">
        <v>0</v>
      </c>
      <c r="AI1199" s="60">
        <v>403.45</v>
      </c>
      <c r="AJ1199" s="60">
        <v>291.27999999999997</v>
      </c>
      <c r="AK1199" s="60">
        <v>279.10000000000002</v>
      </c>
      <c r="AL1199" s="60">
        <v>0</v>
      </c>
      <c r="AM1199" s="60">
        <v>0</v>
      </c>
      <c r="AN1199" s="60">
        <v>0</v>
      </c>
      <c r="AO1199" s="60">
        <v>403.45</v>
      </c>
      <c r="AP1199" s="60">
        <v>291.27999999999997</v>
      </c>
      <c r="AQ1199" s="60">
        <v>279.10000000000002</v>
      </c>
      <c r="AR1199" s="61">
        <v>403.45</v>
      </c>
    </row>
    <row r="1200" spans="1:44" x14ac:dyDescent="0.35">
      <c r="A1200" s="49" t="str">
        <f t="shared" si="99"/>
        <v>04</v>
      </c>
      <c r="B1200" s="27">
        <v>61531</v>
      </c>
      <c r="C1200" s="25" t="str">
        <f>TEXT(110338,"0000000")</f>
        <v>0110338</v>
      </c>
      <c r="D1200" s="26" t="s">
        <v>225</v>
      </c>
      <c r="E1200" s="25" t="s">
        <v>223</v>
      </c>
      <c r="F1200" s="25" t="s">
        <v>5</v>
      </c>
      <c r="G1200" s="59" t="s">
        <v>224</v>
      </c>
      <c r="H1200" s="60">
        <v>0</v>
      </c>
      <c r="I1200" s="60">
        <v>0</v>
      </c>
      <c r="J1200" s="60">
        <v>0</v>
      </c>
      <c r="K1200" s="60">
        <v>0</v>
      </c>
      <c r="L1200" s="60">
        <v>0</v>
      </c>
      <c r="M1200" s="60">
        <v>0</v>
      </c>
      <c r="N1200" s="60">
        <v>0</v>
      </c>
      <c r="O1200" s="60">
        <v>0</v>
      </c>
      <c r="P1200" s="60">
        <v>0</v>
      </c>
      <c r="Q1200" s="60">
        <v>0</v>
      </c>
      <c r="R1200" s="60">
        <v>0</v>
      </c>
      <c r="S1200" s="60">
        <v>0</v>
      </c>
      <c r="T1200" s="60">
        <v>0</v>
      </c>
      <c r="U1200" s="60">
        <v>0</v>
      </c>
      <c r="V1200" s="60">
        <v>0</v>
      </c>
      <c r="W1200" s="60">
        <v>0</v>
      </c>
      <c r="X1200" s="60">
        <v>0</v>
      </c>
      <c r="Y1200" s="60">
        <v>0</v>
      </c>
      <c r="Z1200" s="60">
        <v>0</v>
      </c>
      <c r="AA1200" s="60">
        <v>0</v>
      </c>
      <c r="AB1200" s="60">
        <v>0</v>
      </c>
      <c r="AC1200" s="60">
        <v>110.71</v>
      </c>
      <c r="AD1200" s="60">
        <v>93.56</v>
      </c>
      <c r="AE1200" s="60">
        <v>207.13</v>
      </c>
      <c r="AF1200" s="60">
        <v>0</v>
      </c>
      <c r="AG1200" s="60">
        <v>0</v>
      </c>
      <c r="AH1200" s="60">
        <v>0</v>
      </c>
      <c r="AI1200" s="60">
        <v>110.71</v>
      </c>
      <c r="AJ1200" s="60">
        <v>93.56</v>
      </c>
      <c r="AK1200" s="60">
        <v>207.13</v>
      </c>
      <c r="AL1200" s="60">
        <v>0</v>
      </c>
      <c r="AM1200" s="60">
        <v>0</v>
      </c>
      <c r="AN1200" s="60">
        <v>0</v>
      </c>
      <c r="AO1200" s="60">
        <v>110.71</v>
      </c>
      <c r="AP1200" s="60">
        <v>93.56</v>
      </c>
      <c r="AQ1200" s="60">
        <v>207.13</v>
      </c>
      <c r="AR1200" s="61">
        <v>207.13</v>
      </c>
    </row>
    <row r="1201" spans="1:44" x14ac:dyDescent="0.35">
      <c r="A1201" s="49" t="str">
        <f t="shared" ref="A1201:A1219" si="100">TEXT(7,"00")</f>
        <v>07</v>
      </c>
      <c r="B1201" s="27">
        <v>10074</v>
      </c>
      <c r="C1201" s="25" t="str">
        <f>TEXT(114470,"0000000")</f>
        <v>0114470</v>
      </c>
      <c r="D1201" s="26" t="s">
        <v>261</v>
      </c>
      <c r="E1201" s="25" t="s">
        <v>259</v>
      </c>
      <c r="F1201" s="25" t="s">
        <v>5</v>
      </c>
      <c r="G1201" s="59" t="s">
        <v>260</v>
      </c>
      <c r="H1201" s="60">
        <v>0</v>
      </c>
      <c r="I1201" s="60">
        <v>0</v>
      </c>
      <c r="J1201" s="60">
        <v>0</v>
      </c>
      <c r="K1201" s="60">
        <v>0</v>
      </c>
      <c r="L1201" s="60">
        <v>0</v>
      </c>
      <c r="M1201" s="60">
        <v>0</v>
      </c>
      <c r="N1201" s="60">
        <v>0</v>
      </c>
      <c r="O1201" s="60">
        <v>0</v>
      </c>
      <c r="P1201" s="60">
        <v>0</v>
      </c>
      <c r="Q1201" s="60">
        <v>0</v>
      </c>
      <c r="R1201" s="60">
        <v>0</v>
      </c>
      <c r="S1201" s="60">
        <v>0</v>
      </c>
      <c r="T1201" s="60">
        <v>0</v>
      </c>
      <c r="U1201" s="60">
        <v>0</v>
      </c>
      <c r="V1201" s="60">
        <v>0</v>
      </c>
      <c r="W1201" s="60">
        <v>0</v>
      </c>
      <c r="X1201" s="60">
        <v>0</v>
      </c>
      <c r="Y1201" s="60">
        <v>0</v>
      </c>
      <c r="Z1201" s="60">
        <v>0</v>
      </c>
      <c r="AA1201" s="60">
        <v>0</v>
      </c>
      <c r="AB1201" s="60">
        <v>0</v>
      </c>
      <c r="AC1201" s="60">
        <v>1042.8699999999999</v>
      </c>
      <c r="AD1201" s="60">
        <v>972.1</v>
      </c>
      <c r="AE1201" s="60">
        <v>1029</v>
      </c>
      <c r="AF1201" s="60">
        <v>0</v>
      </c>
      <c r="AG1201" s="60">
        <v>0</v>
      </c>
      <c r="AH1201" s="60">
        <v>0</v>
      </c>
      <c r="AI1201" s="60">
        <v>1042.8699999999999</v>
      </c>
      <c r="AJ1201" s="60">
        <v>972.1</v>
      </c>
      <c r="AK1201" s="60">
        <v>1029</v>
      </c>
      <c r="AL1201" s="60">
        <v>0</v>
      </c>
      <c r="AM1201" s="60">
        <v>0</v>
      </c>
      <c r="AN1201" s="60">
        <v>0</v>
      </c>
      <c r="AO1201" s="60">
        <v>1042.8699999999999</v>
      </c>
      <c r="AP1201" s="60">
        <v>972.1</v>
      </c>
      <c r="AQ1201" s="60">
        <v>1029</v>
      </c>
      <c r="AR1201" s="61">
        <v>1042.8699999999999</v>
      </c>
    </row>
    <row r="1202" spans="1:44" x14ac:dyDescent="0.35">
      <c r="A1202" s="49" t="str">
        <f t="shared" si="100"/>
        <v>07</v>
      </c>
      <c r="B1202" s="27">
        <v>10074</v>
      </c>
      <c r="C1202" s="25" t="str">
        <f>TEXT(129528,"0000000")</f>
        <v>0129528</v>
      </c>
      <c r="D1202" s="27">
        <v>1622</v>
      </c>
      <c r="E1202" s="25" t="s">
        <v>262</v>
      </c>
      <c r="F1202" s="25" t="s">
        <v>5</v>
      </c>
      <c r="G1202" s="59" t="s">
        <v>263</v>
      </c>
      <c r="H1202" s="60">
        <v>0</v>
      </c>
      <c r="I1202" s="60">
        <v>0</v>
      </c>
      <c r="J1202" s="60">
        <v>0</v>
      </c>
      <c r="K1202" s="60">
        <v>0</v>
      </c>
      <c r="L1202" s="60">
        <v>0</v>
      </c>
      <c r="M1202" s="60">
        <v>0</v>
      </c>
      <c r="N1202" s="60">
        <v>0</v>
      </c>
      <c r="O1202" s="60">
        <v>0</v>
      </c>
      <c r="P1202" s="60">
        <v>0</v>
      </c>
      <c r="Q1202" s="60">
        <v>0</v>
      </c>
      <c r="R1202" s="60">
        <v>0</v>
      </c>
      <c r="S1202" s="60">
        <v>0</v>
      </c>
      <c r="T1202" s="60">
        <v>0</v>
      </c>
      <c r="U1202" s="60">
        <v>0</v>
      </c>
      <c r="V1202" s="60">
        <v>0</v>
      </c>
      <c r="W1202" s="60">
        <v>0</v>
      </c>
      <c r="X1202" s="60">
        <v>0</v>
      </c>
      <c r="Y1202" s="60">
        <v>0</v>
      </c>
      <c r="Z1202" s="60">
        <v>0</v>
      </c>
      <c r="AA1202" s="60">
        <v>0</v>
      </c>
      <c r="AB1202" s="60">
        <v>0</v>
      </c>
      <c r="AC1202" s="60">
        <v>824.2</v>
      </c>
      <c r="AD1202" s="60">
        <v>779.9</v>
      </c>
      <c r="AE1202" s="60">
        <v>864.4</v>
      </c>
      <c r="AF1202" s="60">
        <v>0</v>
      </c>
      <c r="AG1202" s="60">
        <v>0</v>
      </c>
      <c r="AH1202" s="60">
        <v>0</v>
      </c>
      <c r="AI1202" s="60">
        <v>824.2</v>
      </c>
      <c r="AJ1202" s="60">
        <v>779.9</v>
      </c>
      <c r="AK1202" s="60">
        <v>864.4</v>
      </c>
      <c r="AL1202" s="60">
        <v>0</v>
      </c>
      <c r="AM1202" s="60">
        <v>0</v>
      </c>
      <c r="AN1202" s="60">
        <v>0</v>
      </c>
      <c r="AO1202" s="60">
        <v>824.2</v>
      </c>
      <c r="AP1202" s="60">
        <v>779.9</v>
      </c>
      <c r="AQ1202" s="60">
        <v>864.4</v>
      </c>
      <c r="AR1202" s="61">
        <v>864.4</v>
      </c>
    </row>
    <row r="1203" spans="1:44" x14ac:dyDescent="0.35">
      <c r="A1203" s="49" t="str">
        <f t="shared" si="100"/>
        <v>07</v>
      </c>
      <c r="B1203" s="27">
        <v>10074</v>
      </c>
      <c r="C1203" s="25" t="str">
        <f>TEXT(129684,"0000000")</f>
        <v>0129684</v>
      </c>
      <c r="D1203" s="27">
        <v>1650</v>
      </c>
      <c r="E1203" s="25" t="s">
        <v>264</v>
      </c>
      <c r="F1203" s="25" t="s">
        <v>5</v>
      </c>
      <c r="G1203" s="59" t="s">
        <v>265</v>
      </c>
      <c r="H1203" s="60">
        <v>0</v>
      </c>
      <c r="I1203" s="60">
        <v>0</v>
      </c>
      <c r="J1203" s="60">
        <v>0</v>
      </c>
      <c r="K1203" s="60">
        <v>0</v>
      </c>
      <c r="L1203" s="60">
        <v>0</v>
      </c>
      <c r="M1203" s="60">
        <v>0</v>
      </c>
      <c r="N1203" s="60">
        <v>0</v>
      </c>
      <c r="O1203" s="60">
        <v>0</v>
      </c>
      <c r="P1203" s="60">
        <v>0</v>
      </c>
      <c r="Q1203" s="60">
        <v>0</v>
      </c>
      <c r="R1203" s="60">
        <v>0</v>
      </c>
      <c r="S1203" s="60">
        <v>0</v>
      </c>
      <c r="T1203" s="60">
        <v>0</v>
      </c>
      <c r="U1203" s="60">
        <v>0</v>
      </c>
      <c r="V1203" s="60">
        <v>0</v>
      </c>
      <c r="W1203" s="60">
        <v>0</v>
      </c>
      <c r="X1203" s="60">
        <v>0</v>
      </c>
      <c r="Y1203" s="60">
        <v>0</v>
      </c>
      <c r="Z1203" s="60">
        <v>0</v>
      </c>
      <c r="AA1203" s="60">
        <v>0</v>
      </c>
      <c r="AB1203" s="60">
        <v>0</v>
      </c>
      <c r="AC1203" s="60">
        <v>435.16</v>
      </c>
      <c r="AD1203" s="60">
        <v>441.18</v>
      </c>
      <c r="AE1203" s="60">
        <v>550.47</v>
      </c>
      <c r="AF1203" s="60">
        <v>0</v>
      </c>
      <c r="AG1203" s="60">
        <v>0</v>
      </c>
      <c r="AH1203" s="60">
        <v>0</v>
      </c>
      <c r="AI1203" s="60">
        <v>435.16</v>
      </c>
      <c r="AJ1203" s="60">
        <v>441.18</v>
      </c>
      <c r="AK1203" s="60">
        <v>550.47</v>
      </c>
      <c r="AL1203" s="60">
        <v>0</v>
      </c>
      <c r="AM1203" s="60">
        <v>0</v>
      </c>
      <c r="AN1203" s="60">
        <v>0</v>
      </c>
      <c r="AO1203" s="60">
        <v>435.16</v>
      </c>
      <c r="AP1203" s="60">
        <v>441.18</v>
      </c>
      <c r="AQ1203" s="60">
        <v>550.47</v>
      </c>
      <c r="AR1203" s="61">
        <v>550.47</v>
      </c>
    </row>
    <row r="1204" spans="1:44" x14ac:dyDescent="0.35">
      <c r="A1204" s="49" t="str">
        <f t="shared" si="100"/>
        <v>07</v>
      </c>
      <c r="B1204" s="27">
        <v>10074</v>
      </c>
      <c r="C1204" s="25" t="str">
        <f>TEXT(134114,"0000000")</f>
        <v>0134114</v>
      </c>
      <c r="D1204" s="27">
        <v>1773</v>
      </c>
      <c r="E1204" s="25" t="s">
        <v>266</v>
      </c>
      <c r="F1204" s="25" t="s">
        <v>5</v>
      </c>
      <c r="G1204" s="59" t="s">
        <v>267</v>
      </c>
      <c r="H1204" s="60">
        <v>0</v>
      </c>
      <c r="I1204" s="60">
        <v>0</v>
      </c>
      <c r="J1204" s="60">
        <v>0</v>
      </c>
      <c r="K1204" s="60">
        <v>0</v>
      </c>
      <c r="L1204" s="60">
        <v>0</v>
      </c>
      <c r="M1204" s="60">
        <v>0</v>
      </c>
      <c r="N1204" s="60">
        <v>0</v>
      </c>
      <c r="O1204" s="60">
        <v>0</v>
      </c>
      <c r="P1204" s="60">
        <v>0</v>
      </c>
      <c r="Q1204" s="60">
        <v>0</v>
      </c>
      <c r="R1204" s="60">
        <v>0</v>
      </c>
      <c r="S1204" s="60">
        <v>0</v>
      </c>
      <c r="T1204" s="60">
        <v>0</v>
      </c>
      <c r="U1204" s="60">
        <v>0</v>
      </c>
      <c r="V1204" s="60">
        <v>0</v>
      </c>
      <c r="W1204" s="60">
        <v>0</v>
      </c>
      <c r="X1204" s="60">
        <v>0</v>
      </c>
      <c r="Y1204" s="60">
        <v>0</v>
      </c>
      <c r="Z1204" s="60">
        <v>0</v>
      </c>
      <c r="AA1204" s="60">
        <v>0</v>
      </c>
      <c r="AB1204" s="60">
        <v>0</v>
      </c>
      <c r="AC1204" s="60">
        <v>314.58999999999997</v>
      </c>
      <c r="AD1204" s="60">
        <v>405.95</v>
      </c>
      <c r="AE1204" s="60">
        <v>436.7</v>
      </c>
      <c r="AF1204" s="60">
        <v>0</v>
      </c>
      <c r="AG1204" s="60">
        <v>0</v>
      </c>
      <c r="AH1204" s="60">
        <v>0</v>
      </c>
      <c r="AI1204" s="60">
        <v>314.58999999999997</v>
      </c>
      <c r="AJ1204" s="60">
        <v>405.95</v>
      </c>
      <c r="AK1204" s="60">
        <v>436.7</v>
      </c>
      <c r="AL1204" s="60">
        <v>0</v>
      </c>
      <c r="AM1204" s="60">
        <v>0</v>
      </c>
      <c r="AN1204" s="60">
        <v>0</v>
      </c>
      <c r="AO1204" s="60">
        <v>314.58999999999997</v>
      </c>
      <c r="AP1204" s="60">
        <v>405.95</v>
      </c>
      <c r="AQ1204" s="60">
        <v>436.7</v>
      </c>
      <c r="AR1204" s="61">
        <v>436.7</v>
      </c>
    </row>
    <row r="1205" spans="1:44" x14ac:dyDescent="0.35">
      <c r="A1205" s="49" t="str">
        <f t="shared" si="100"/>
        <v>07</v>
      </c>
      <c r="B1205" s="27">
        <v>10074</v>
      </c>
      <c r="C1205" s="25" t="str">
        <f>TEXT(137026,"0000000")</f>
        <v>0137026</v>
      </c>
      <c r="D1205" s="27">
        <v>1933</v>
      </c>
      <c r="E1205" s="25" t="s">
        <v>268</v>
      </c>
      <c r="F1205" s="25" t="s">
        <v>5</v>
      </c>
      <c r="G1205" s="59" t="s">
        <v>269</v>
      </c>
      <c r="H1205" s="60">
        <v>0</v>
      </c>
      <c r="I1205" s="60">
        <v>0</v>
      </c>
      <c r="J1205" s="60">
        <v>0</v>
      </c>
      <c r="K1205" s="60">
        <v>0</v>
      </c>
      <c r="L1205" s="60">
        <v>0</v>
      </c>
      <c r="M1205" s="60">
        <v>0</v>
      </c>
      <c r="N1205" s="60">
        <v>0</v>
      </c>
      <c r="O1205" s="60">
        <v>0</v>
      </c>
      <c r="P1205" s="60">
        <v>0</v>
      </c>
      <c r="Q1205" s="60">
        <v>0</v>
      </c>
      <c r="R1205" s="60">
        <v>0</v>
      </c>
      <c r="S1205" s="60">
        <v>0</v>
      </c>
      <c r="T1205" s="60">
        <v>0</v>
      </c>
      <c r="U1205" s="60">
        <v>0</v>
      </c>
      <c r="V1205" s="60">
        <v>0</v>
      </c>
      <c r="W1205" s="60">
        <v>0</v>
      </c>
      <c r="X1205" s="60">
        <v>0</v>
      </c>
      <c r="Y1205" s="60">
        <v>0</v>
      </c>
      <c r="Z1205" s="60">
        <v>0</v>
      </c>
      <c r="AA1205" s="60">
        <v>0</v>
      </c>
      <c r="AB1205" s="60">
        <v>0</v>
      </c>
      <c r="AC1205" s="60">
        <v>289.19</v>
      </c>
      <c r="AD1205" s="60">
        <v>213.54</v>
      </c>
      <c r="AE1205" s="60">
        <v>206</v>
      </c>
      <c r="AF1205" s="60">
        <v>0</v>
      </c>
      <c r="AG1205" s="60">
        <v>0</v>
      </c>
      <c r="AH1205" s="60">
        <v>0</v>
      </c>
      <c r="AI1205" s="60">
        <v>289.19</v>
      </c>
      <c r="AJ1205" s="60">
        <v>213.54</v>
      </c>
      <c r="AK1205" s="60">
        <v>206</v>
      </c>
      <c r="AL1205" s="60">
        <v>0</v>
      </c>
      <c r="AM1205" s="60">
        <v>0</v>
      </c>
      <c r="AN1205" s="60">
        <v>0</v>
      </c>
      <c r="AO1205" s="60">
        <v>289.19</v>
      </c>
      <c r="AP1205" s="60">
        <v>213.54</v>
      </c>
      <c r="AQ1205" s="60">
        <v>206</v>
      </c>
      <c r="AR1205" s="61">
        <v>289.19</v>
      </c>
    </row>
    <row r="1206" spans="1:44" x14ac:dyDescent="0.35">
      <c r="A1206" s="49" t="str">
        <f t="shared" si="100"/>
        <v>07</v>
      </c>
      <c r="B1206" s="27">
        <v>10074</v>
      </c>
      <c r="C1206" s="25" t="str">
        <f>TEXT(6118368,"0000000")</f>
        <v>6118368</v>
      </c>
      <c r="D1206" s="26" t="s">
        <v>274</v>
      </c>
      <c r="E1206" s="25" t="s">
        <v>272</v>
      </c>
      <c r="F1206" s="25" t="s">
        <v>5</v>
      </c>
      <c r="G1206" s="59" t="s">
        <v>273</v>
      </c>
      <c r="H1206" s="60">
        <v>0</v>
      </c>
      <c r="I1206" s="60">
        <v>0</v>
      </c>
      <c r="J1206" s="60">
        <v>0</v>
      </c>
      <c r="K1206" s="60">
        <v>0</v>
      </c>
      <c r="L1206" s="60">
        <v>0</v>
      </c>
      <c r="M1206" s="60">
        <v>0</v>
      </c>
      <c r="N1206" s="60">
        <v>0</v>
      </c>
      <c r="O1206" s="60">
        <v>0</v>
      </c>
      <c r="P1206" s="60">
        <v>0</v>
      </c>
      <c r="Q1206" s="60">
        <v>0</v>
      </c>
      <c r="R1206" s="60">
        <v>0</v>
      </c>
      <c r="S1206" s="60">
        <v>0</v>
      </c>
      <c r="T1206" s="60">
        <v>0</v>
      </c>
      <c r="U1206" s="60">
        <v>0</v>
      </c>
      <c r="V1206" s="60">
        <v>0</v>
      </c>
      <c r="W1206" s="60">
        <v>0</v>
      </c>
      <c r="X1206" s="60">
        <v>0</v>
      </c>
      <c r="Y1206" s="60">
        <v>0</v>
      </c>
      <c r="Z1206" s="60">
        <v>0</v>
      </c>
      <c r="AA1206" s="60">
        <v>0</v>
      </c>
      <c r="AB1206" s="60">
        <v>0</v>
      </c>
      <c r="AC1206" s="60">
        <v>70.08</v>
      </c>
      <c r="AD1206" s="60">
        <v>65.209999999999994</v>
      </c>
      <c r="AE1206" s="60">
        <v>113.37</v>
      </c>
      <c r="AF1206" s="60">
        <v>0</v>
      </c>
      <c r="AG1206" s="60">
        <v>0</v>
      </c>
      <c r="AH1206" s="60">
        <v>0</v>
      </c>
      <c r="AI1206" s="60">
        <v>70.08</v>
      </c>
      <c r="AJ1206" s="60">
        <v>65.209999999999994</v>
      </c>
      <c r="AK1206" s="60">
        <v>113.37</v>
      </c>
      <c r="AL1206" s="60">
        <v>0</v>
      </c>
      <c r="AM1206" s="60">
        <v>0</v>
      </c>
      <c r="AN1206" s="60">
        <v>0</v>
      </c>
      <c r="AO1206" s="60">
        <v>70.08</v>
      </c>
      <c r="AP1206" s="60">
        <v>65.209999999999994</v>
      </c>
      <c r="AQ1206" s="60">
        <v>113.37</v>
      </c>
      <c r="AR1206" s="61">
        <v>113.37</v>
      </c>
    </row>
    <row r="1207" spans="1:44" x14ac:dyDescent="0.35">
      <c r="A1207" s="49" t="str">
        <f t="shared" si="100"/>
        <v>07</v>
      </c>
      <c r="B1207" s="27">
        <v>10074</v>
      </c>
      <c r="C1207" s="25" t="str">
        <f>TEXT(731380,"0000000")</f>
        <v>0731380</v>
      </c>
      <c r="D1207" s="27">
        <v>1400</v>
      </c>
      <c r="E1207" s="25" t="s">
        <v>270</v>
      </c>
      <c r="F1207" s="25" t="s">
        <v>5</v>
      </c>
      <c r="G1207" s="59" t="s">
        <v>271</v>
      </c>
      <c r="H1207" s="60">
        <v>0</v>
      </c>
      <c r="I1207" s="60">
        <v>0</v>
      </c>
      <c r="J1207" s="60">
        <v>0</v>
      </c>
      <c r="K1207" s="60">
        <v>0</v>
      </c>
      <c r="L1207" s="60">
        <v>0</v>
      </c>
      <c r="M1207" s="60">
        <v>0</v>
      </c>
      <c r="N1207" s="60">
        <v>0</v>
      </c>
      <c r="O1207" s="60">
        <v>0</v>
      </c>
      <c r="P1207" s="60">
        <v>0</v>
      </c>
      <c r="Q1207" s="60">
        <v>0</v>
      </c>
      <c r="R1207" s="60">
        <v>0</v>
      </c>
      <c r="S1207" s="60">
        <v>0</v>
      </c>
      <c r="T1207" s="60">
        <v>0</v>
      </c>
      <c r="U1207" s="60">
        <v>0</v>
      </c>
      <c r="V1207" s="60">
        <v>0</v>
      </c>
      <c r="W1207" s="60">
        <v>0</v>
      </c>
      <c r="X1207" s="60">
        <v>0</v>
      </c>
      <c r="Y1207" s="60">
        <v>0</v>
      </c>
      <c r="Z1207" s="60">
        <v>0</v>
      </c>
      <c r="AA1207" s="60">
        <v>0</v>
      </c>
      <c r="AB1207" s="60">
        <v>0</v>
      </c>
      <c r="AC1207" s="60">
        <v>2222.48</v>
      </c>
      <c r="AD1207" s="60">
        <v>2208.38</v>
      </c>
      <c r="AE1207" s="60">
        <v>2143.9899999999998</v>
      </c>
      <c r="AF1207" s="60">
        <v>0</v>
      </c>
      <c r="AG1207" s="60">
        <v>0</v>
      </c>
      <c r="AH1207" s="60">
        <v>0</v>
      </c>
      <c r="AI1207" s="60">
        <v>2222.48</v>
      </c>
      <c r="AJ1207" s="60">
        <v>2208.38</v>
      </c>
      <c r="AK1207" s="60">
        <v>2143.9899999999998</v>
      </c>
      <c r="AL1207" s="60">
        <v>0</v>
      </c>
      <c r="AM1207" s="60">
        <v>0</v>
      </c>
      <c r="AN1207" s="60">
        <v>0</v>
      </c>
      <c r="AO1207" s="60">
        <v>2222.48</v>
      </c>
      <c r="AP1207" s="60">
        <v>2208.38</v>
      </c>
      <c r="AQ1207" s="60">
        <v>2143.9899999999998</v>
      </c>
      <c r="AR1207" s="61">
        <v>2222.48</v>
      </c>
    </row>
    <row r="1208" spans="1:44" x14ac:dyDescent="0.35">
      <c r="A1208" s="49" t="str">
        <f t="shared" si="100"/>
        <v>07</v>
      </c>
      <c r="B1208" s="27">
        <v>61648</v>
      </c>
      <c r="C1208" s="25" t="str">
        <f>TEXT(115063,"0000000")</f>
        <v>0115063</v>
      </c>
      <c r="D1208" s="26" t="s">
        <v>281</v>
      </c>
      <c r="E1208" s="25" t="s">
        <v>279</v>
      </c>
      <c r="F1208" s="25" t="s">
        <v>5</v>
      </c>
      <c r="G1208" s="59" t="s">
        <v>280</v>
      </c>
      <c r="H1208" s="60">
        <v>0</v>
      </c>
      <c r="I1208" s="60">
        <v>0</v>
      </c>
      <c r="J1208" s="60">
        <v>0</v>
      </c>
      <c r="K1208" s="60">
        <v>0</v>
      </c>
      <c r="L1208" s="60">
        <v>0</v>
      </c>
      <c r="M1208" s="60">
        <v>0</v>
      </c>
      <c r="N1208" s="60">
        <v>0</v>
      </c>
      <c r="O1208" s="60">
        <v>0</v>
      </c>
      <c r="P1208" s="60">
        <v>0</v>
      </c>
      <c r="Q1208" s="60">
        <v>0</v>
      </c>
      <c r="R1208" s="60">
        <v>0</v>
      </c>
      <c r="S1208" s="60">
        <v>0</v>
      </c>
      <c r="T1208" s="60">
        <v>0</v>
      </c>
      <c r="U1208" s="60">
        <v>0</v>
      </c>
      <c r="V1208" s="60">
        <v>0</v>
      </c>
      <c r="W1208" s="60">
        <v>0</v>
      </c>
      <c r="X1208" s="60">
        <v>0</v>
      </c>
      <c r="Y1208" s="60">
        <v>0</v>
      </c>
      <c r="Z1208" s="60">
        <v>0</v>
      </c>
      <c r="AA1208" s="60">
        <v>0</v>
      </c>
      <c r="AB1208" s="60">
        <v>0</v>
      </c>
      <c r="AC1208" s="60">
        <v>189.9</v>
      </c>
      <c r="AD1208" s="60">
        <v>190.09</v>
      </c>
      <c r="AE1208" s="60">
        <v>198.91</v>
      </c>
      <c r="AF1208" s="60">
        <v>0</v>
      </c>
      <c r="AG1208" s="60">
        <v>0</v>
      </c>
      <c r="AH1208" s="60">
        <v>0</v>
      </c>
      <c r="AI1208" s="60">
        <v>189.9</v>
      </c>
      <c r="AJ1208" s="60">
        <v>190.09</v>
      </c>
      <c r="AK1208" s="60">
        <v>198.91</v>
      </c>
      <c r="AL1208" s="60">
        <v>0</v>
      </c>
      <c r="AM1208" s="60">
        <v>0</v>
      </c>
      <c r="AN1208" s="60">
        <v>0</v>
      </c>
      <c r="AO1208" s="60">
        <v>189.9</v>
      </c>
      <c r="AP1208" s="60">
        <v>190.09</v>
      </c>
      <c r="AQ1208" s="60">
        <v>198.91</v>
      </c>
      <c r="AR1208" s="61">
        <v>198.91</v>
      </c>
    </row>
    <row r="1209" spans="1:44" x14ac:dyDescent="0.35">
      <c r="A1209" s="49" t="str">
        <f t="shared" si="100"/>
        <v>07</v>
      </c>
      <c r="B1209" s="27">
        <v>61648</v>
      </c>
      <c r="C1209" s="25" t="str">
        <f>TEXT(137430,"0000000")</f>
        <v>0137430</v>
      </c>
      <c r="D1209" s="27">
        <v>1965</v>
      </c>
      <c r="E1209" s="25" t="s">
        <v>282</v>
      </c>
      <c r="F1209" s="25" t="s">
        <v>5</v>
      </c>
      <c r="G1209" s="59" t="s">
        <v>283</v>
      </c>
      <c r="H1209" s="60">
        <v>0</v>
      </c>
      <c r="I1209" s="60">
        <v>0</v>
      </c>
      <c r="J1209" s="60">
        <v>0</v>
      </c>
      <c r="K1209" s="60">
        <v>0</v>
      </c>
      <c r="L1209" s="60">
        <v>0</v>
      </c>
      <c r="M1209" s="60">
        <v>0</v>
      </c>
      <c r="N1209" s="60">
        <v>0</v>
      </c>
      <c r="O1209" s="60">
        <v>0</v>
      </c>
      <c r="P1209" s="60">
        <v>0</v>
      </c>
      <c r="Q1209" s="60">
        <v>0</v>
      </c>
      <c r="R1209" s="60">
        <v>0</v>
      </c>
      <c r="S1209" s="60">
        <v>0</v>
      </c>
      <c r="T1209" s="60">
        <v>0</v>
      </c>
      <c r="U1209" s="60">
        <v>0</v>
      </c>
      <c r="V1209" s="60">
        <v>0</v>
      </c>
      <c r="W1209" s="60">
        <v>0</v>
      </c>
      <c r="X1209" s="60">
        <v>0</v>
      </c>
      <c r="Y1209" s="60">
        <v>0</v>
      </c>
      <c r="Z1209" s="60">
        <v>0</v>
      </c>
      <c r="AA1209" s="60">
        <v>0</v>
      </c>
      <c r="AB1209" s="60">
        <v>0</v>
      </c>
      <c r="AC1209" s="60">
        <v>503.49</v>
      </c>
      <c r="AD1209" s="60">
        <v>496.01</v>
      </c>
      <c r="AE1209" s="60">
        <v>511.9</v>
      </c>
      <c r="AF1209" s="60">
        <v>0</v>
      </c>
      <c r="AG1209" s="60">
        <v>0</v>
      </c>
      <c r="AH1209" s="60">
        <v>0</v>
      </c>
      <c r="AI1209" s="60">
        <v>503.49</v>
      </c>
      <c r="AJ1209" s="60">
        <v>496.01</v>
      </c>
      <c r="AK1209" s="60">
        <v>511.9</v>
      </c>
      <c r="AL1209" s="60">
        <v>0</v>
      </c>
      <c r="AM1209" s="60">
        <v>0</v>
      </c>
      <c r="AN1209" s="60">
        <v>0</v>
      </c>
      <c r="AO1209" s="60">
        <v>503.49</v>
      </c>
      <c r="AP1209" s="60">
        <v>496.01</v>
      </c>
      <c r="AQ1209" s="60">
        <v>511.9</v>
      </c>
      <c r="AR1209" s="61">
        <v>511.9</v>
      </c>
    </row>
    <row r="1210" spans="1:44" x14ac:dyDescent="0.35">
      <c r="A1210" s="49" t="str">
        <f t="shared" si="100"/>
        <v>07</v>
      </c>
      <c r="B1210" s="27">
        <v>61648</v>
      </c>
      <c r="C1210" s="25" t="str">
        <f>TEXT(6115703,"0000000")</f>
        <v>6115703</v>
      </c>
      <c r="D1210" s="26" t="s">
        <v>286</v>
      </c>
      <c r="E1210" s="25" t="s">
        <v>284</v>
      </c>
      <c r="F1210" s="25" t="s">
        <v>5</v>
      </c>
      <c r="G1210" s="59" t="s">
        <v>285</v>
      </c>
      <c r="H1210" s="60">
        <v>0</v>
      </c>
      <c r="I1210" s="60">
        <v>0</v>
      </c>
      <c r="J1210" s="60">
        <v>0</v>
      </c>
      <c r="K1210" s="60">
        <v>0</v>
      </c>
      <c r="L1210" s="60">
        <v>0</v>
      </c>
      <c r="M1210" s="60">
        <v>0</v>
      </c>
      <c r="N1210" s="60">
        <v>0</v>
      </c>
      <c r="O1210" s="60">
        <v>0</v>
      </c>
      <c r="P1210" s="60">
        <v>0</v>
      </c>
      <c r="Q1210" s="60">
        <v>0</v>
      </c>
      <c r="R1210" s="60">
        <v>0</v>
      </c>
      <c r="S1210" s="60">
        <v>0</v>
      </c>
      <c r="T1210" s="60">
        <v>0</v>
      </c>
      <c r="U1210" s="60">
        <v>0</v>
      </c>
      <c r="V1210" s="60">
        <v>0</v>
      </c>
      <c r="W1210" s="60">
        <v>0</v>
      </c>
      <c r="X1210" s="60">
        <v>0</v>
      </c>
      <c r="Y1210" s="60">
        <v>0</v>
      </c>
      <c r="Z1210" s="60">
        <v>0</v>
      </c>
      <c r="AA1210" s="60">
        <v>0</v>
      </c>
      <c r="AB1210" s="60">
        <v>0</v>
      </c>
      <c r="AC1210" s="60">
        <v>201.12</v>
      </c>
      <c r="AD1210" s="60">
        <v>200.76</v>
      </c>
      <c r="AE1210" s="60">
        <v>195.99</v>
      </c>
      <c r="AF1210" s="60">
        <v>0</v>
      </c>
      <c r="AG1210" s="60">
        <v>0</v>
      </c>
      <c r="AH1210" s="60">
        <v>0</v>
      </c>
      <c r="AI1210" s="60">
        <v>201.12</v>
      </c>
      <c r="AJ1210" s="60">
        <v>200.76</v>
      </c>
      <c r="AK1210" s="60">
        <v>195.99</v>
      </c>
      <c r="AL1210" s="60">
        <v>0</v>
      </c>
      <c r="AM1210" s="60">
        <v>0</v>
      </c>
      <c r="AN1210" s="60">
        <v>0</v>
      </c>
      <c r="AO1210" s="60">
        <v>201.12</v>
      </c>
      <c r="AP1210" s="60">
        <v>200.76</v>
      </c>
      <c r="AQ1210" s="60">
        <v>195.99</v>
      </c>
      <c r="AR1210" s="61">
        <v>201.12</v>
      </c>
    </row>
    <row r="1211" spans="1:44" x14ac:dyDescent="0.35">
      <c r="A1211" s="49" t="str">
        <f t="shared" si="100"/>
        <v>07</v>
      </c>
      <c r="B1211" s="27">
        <v>61663</v>
      </c>
      <c r="C1211" s="25" t="str">
        <f>TEXT(130930,"0000000")</f>
        <v>0130930</v>
      </c>
      <c r="D1211" s="27">
        <v>1684</v>
      </c>
      <c r="E1211" s="25" t="s">
        <v>291</v>
      </c>
      <c r="F1211" s="25" t="s">
        <v>5</v>
      </c>
      <c r="G1211" s="59" t="s">
        <v>292</v>
      </c>
      <c r="H1211" s="60">
        <v>0</v>
      </c>
      <c r="I1211" s="60">
        <v>0</v>
      </c>
      <c r="J1211" s="60">
        <v>0</v>
      </c>
      <c r="K1211" s="60">
        <v>0</v>
      </c>
      <c r="L1211" s="60">
        <v>0</v>
      </c>
      <c r="M1211" s="60">
        <v>0</v>
      </c>
      <c r="N1211" s="60">
        <v>0</v>
      </c>
      <c r="O1211" s="60">
        <v>0</v>
      </c>
      <c r="P1211" s="60">
        <v>0</v>
      </c>
      <c r="Q1211" s="60">
        <v>0</v>
      </c>
      <c r="R1211" s="60">
        <v>0</v>
      </c>
      <c r="S1211" s="60">
        <v>0</v>
      </c>
      <c r="T1211" s="60">
        <v>0</v>
      </c>
      <c r="U1211" s="60">
        <v>0</v>
      </c>
      <c r="V1211" s="60">
        <v>0</v>
      </c>
      <c r="W1211" s="60">
        <v>0</v>
      </c>
      <c r="X1211" s="60">
        <v>0</v>
      </c>
      <c r="Y1211" s="60">
        <v>0</v>
      </c>
      <c r="Z1211" s="60">
        <v>0</v>
      </c>
      <c r="AA1211" s="60">
        <v>0</v>
      </c>
      <c r="AB1211" s="60">
        <v>0</v>
      </c>
      <c r="AC1211" s="60">
        <v>927.5</v>
      </c>
      <c r="AD1211" s="60">
        <v>899.96</v>
      </c>
      <c r="AE1211" s="60">
        <v>837.69</v>
      </c>
      <c r="AF1211" s="60">
        <v>0</v>
      </c>
      <c r="AG1211" s="60">
        <v>0</v>
      </c>
      <c r="AH1211" s="60">
        <v>0</v>
      </c>
      <c r="AI1211" s="60">
        <v>927.5</v>
      </c>
      <c r="AJ1211" s="60">
        <v>899.96</v>
      </c>
      <c r="AK1211" s="60">
        <v>837.69</v>
      </c>
      <c r="AL1211" s="60">
        <v>0</v>
      </c>
      <c r="AM1211" s="60">
        <v>0</v>
      </c>
      <c r="AN1211" s="60">
        <v>0</v>
      </c>
      <c r="AO1211" s="60">
        <v>927.5</v>
      </c>
      <c r="AP1211" s="60">
        <v>899.96</v>
      </c>
      <c r="AQ1211" s="60">
        <v>837.69</v>
      </c>
      <c r="AR1211" s="61">
        <v>927.5</v>
      </c>
    </row>
    <row r="1212" spans="1:44" x14ac:dyDescent="0.35">
      <c r="A1212" s="49" t="str">
        <f t="shared" si="100"/>
        <v>07</v>
      </c>
      <c r="B1212" s="27">
        <v>61754</v>
      </c>
      <c r="C1212" s="25" t="str">
        <f>TEXT(134072,"0000000")</f>
        <v>0134072</v>
      </c>
      <c r="D1212" s="27">
        <v>1805</v>
      </c>
      <c r="E1212" s="25" t="s">
        <v>307</v>
      </c>
      <c r="F1212" s="25" t="s">
        <v>5</v>
      </c>
      <c r="G1212" s="59" t="s">
        <v>308</v>
      </c>
      <c r="H1212" s="60">
        <v>0</v>
      </c>
      <c r="I1212" s="60">
        <v>0</v>
      </c>
      <c r="J1212" s="60">
        <v>0</v>
      </c>
      <c r="K1212" s="60">
        <v>0</v>
      </c>
      <c r="L1212" s="60">
        <v>0</v>
      </c>
      <c r="M1212" s="60">
        <v>0</v>
      </c>
      <c r="N1212" s="60">
        <v>0</v>
      </c>
      <c r="O1212" s="60">
        <v>0</v>
      </c>
      <c r="P1212" s="60">
        <v>0</v>
      </c>
      <c r="Q1212" s="60">
        <v>0</v>
      </c>
      <c r="R1212" s="60">
        <v>0</v>
      </c>
      <c r="S1212" s="60">
        <v>0</v>
      </c>
      <c r="T1212" s="60">
        <v>0</v>
      </c>
      <c r="U1212" s="60">
        <v>0</v>
      </c>
      <c r="V1212" s="60">
        <v>0</v>
      </c>
      <c r="W1212" s="60">
        <v>0</v>
      </c>
      <c r="X1212" s="60">
        <v>0</v>
      </c>
      <c r="Y1212" s="60">
        <v>0</v>
      </c>
      <c r="Z1212" s="60">
        <v>0</v>
      </c>
      <c r="AA1212" s="60">
        <v>0</v>
      </c>
      <c r="AB1212" s="60">
        <v>0</v>
      </c>
      <c r="AC1212" s="60">
        <v>598.99</v>
      </c>
      <c r="AD1212" s="60">
        <v>583.05999999999995</v>
      </c>
      <c r="AE1212" s="60">
        <v>580.5</v>
      </c>
      <c r="AF1212" s="60">
        <v>0</v>
      </c>
      <c r="AG1212" s="60">
        <v>0</v>
      </c>
      <c r="AH1212" s="60">
        <v>0</v>
      </c>
      <c r="AI1212" s="60">
        <v>598.99</v>
      </c>
      <c r="AJ1212" s="60">
        <v>583.05999999999995</v>
      </c>
      <c r="AK1212" s="60">
        <v>580.5</v>
      </c>
      <c r="AL1212" s="60">
        <v>0</v>
      </c>
      <c r="AM1212" s="60">
        <v>0</v>
      </c>
      <c r="AN1212" s="60">
        <v>0</v>
      </c>
      <c r="AO1212" s="60">
        <v>598.99</v>
      </c>
      <c r="AP1212" s="60">
        <v>583.05999999999995</v>
      </c>
      <c r="AQ1212" s="60">
        <v>580.5</v>
      </c>
      <c r="AR1212" s="61">
        <v>598.99</v>
      </c>
    </row>
    <row r="1213" spans="1:44" x14ac:dyDescent="0.35">
      <c r="A1213" s="49" t="str">
        <f t="shared" si="100"/>
        <v>07</v>
      </c>
      <c r="B1213" s="27">
        <v>61796</v>
      </c>
      <c r="C1213" s="25" t="str">
        <f>TEXT(101477,"0000000")</f>
        <v>0101477</v>
      </c>
      <c r="D1213" s="26" t="s">
        <v>319</v>
      </c>
      <c r="E1213" s="25" t="s">
        <v>317</v>
      </c>
      <c r="F1213" s="25" t="s">
        <v>5</v>
      </c>
      <c r="G1213" s="59" t="s">
        <v>318</v>
      </c>
      <c r="H1213" s="60">
        <v>0</v>
      </c>
      <c r="I1213" s="60">
        <v>0</v>
      </c>
      <c r="J1213" s="60">
        <v>0</v>
      </c>
      <c r="K1213" s="60">
        <v>0</v>
      </c>
      <c r="L1213" s="60">
        <v>0</v>
      </c>
      <c r="M1213" s="60">
        <v>0</v>
      </c>
      <c r="N1213" s="60">
        <v>0</v>
      </c>
      <c r="O1213" s="60">
        <v>0</v>
      </c>
      <c r="P1213" s="60">
        <v>0</v>
      </c>
      <c r="Q1213" s="60">
        <v>0</v>
      </c>
      <c r="R1213" s="60">
        <v>0</v>
      </c>
      <c r="S1213" s="60">
        <v>0</v>
      </c>
      <c r="T1213" s="60">
        <v>0</v>
      </c>
      <c r="U1213" s="60">
        <v>0</v>
      </c>
      <c r="V1213" s="60">
        <v>0</v>
      </c>
      <c r="W1213" s="60">
        <v>0</v>
      </c>
      <c r="X1213" s="60">
        <v>0</v>
      </c>
      <c r="Y1213" s="60">
        <v>0</v>
      </c>
      <c r="Z1213" s="60">
        <v>0</v>
      </c>
      <c r="AA1213" s="60">
        <v>0</v>
      </c>
      <c r="AB1213" s="60">
        <v>0</v>
      </c>
      <c r="AC1213" s="60">
        <v>492.39</v>
      </c>
      <c r="AD1213" s="60">
        <v>508.23</v>
      </c>
      <c r="AE1213" s="60">
        <v>563.75</v>
      </c>
      <c r="AF1213" s="60">
        <v>0</v>
      </c>
      <c r="AG1213" s="60">
        <v>0</v>
      </c>
      <c r="AH1213" s="60">
        <v>0</v>
      </c>
      <c r="AI1213" s="60">
        <v>492.39</v>
      </c>
      <c r="AJ1213" s="60">
        <v>508.23</v>
      </c>
      <c r="AK1213" s="60">
        <v>563.75</v>
      </c>
      <c r="AL1213" s="60">
        <v>0</v>
      </c>
      <c r="AM1213" s="60">
        <v>0</v>
      </c>
      <c r="AN1213" s="60">
        <v>0</v>
      </c>
      <c r="AO1213" s="60">
        <v>492.39</v>
      </c>
      <c r="AP1213" s="60">
        <v>508.23</v>
      </c>
      <c r="AQ1213" s="60">
        <v>563.75</v>
      </c>
      <c r="AR1213" s="61">
        <v>563.75</v>
      </c>
    </row>
    <row r="1214" spans="1:44" x14ac:dyDescent="0.35">
      <c r="A1214" s="49" t="str">
        <f t="shared" si="100"/>
        <v>07</v>
      </c>
      <c r="B1214" s="27">
        <v>61796</v>
      </c>
      <c r="C1214" s="25" t="str">
        <f>TEXT(126805,"0000000")</f>
        <v>0126805</v>
      </c>
      <c r="D1214" s="27">
        <v>1441</v>
      </c>
      <c r="E1214" s="25" t="s">
        <v>320</v>
      </c>
      <c r="F1214" s="25" t="s">
        <v>5</v>
      </c>
      <c r="G1214" s="59" t="s">
        <v>321</v>
      </c>
      <c r="H1214" s="60">
        <v>0</v>
      </c>
      <c r="I1214" s="60">
        <v>0</v>
      </c>
      <c r="J1214" s="60">
        <v>0</v>
      </c>
      <c r="K1214" s="60">
        <v>0</v>
      </c>
      <c r="L1214" s="60">
        <v>0</v>
      </c>
      <c r="M1214" s="60">
        <v>0</v>
      </c>
      <c r="N1214" s="60">
        <v>0</v>
      </c>
      <c r="O1214" s="60">
        <v>0</v>
      </c>
      <c r="P1214" s="60">
        <v>0</v>
      </c>
      <c r="Q1214" s="60">
        <v>0</v>
      </c>
      <c r="R1214" s="60">
        <v>0</v>
      </c>
      <c r="S1214" s="60">
        <v>0</v>
      </c>
      <c r="T1214" s="60">
        <v>0</v>
      </c>
      <c r="U1214" s="60">
        <v>0</v>
      </c>
      <c r="V1214" s="60">
        <v>0</v>
      </c>
      <c r="W1214" s="60">
        <v>0</v>
      </c>
      <c r="X1214" s="60">
        <v>0</v>
      </c>
      <c r="Y1214" s="60">
        <v>0</v>
      </c>
      <c r="Z1214" s="60">
        <v>0</v>
      </c>
      <c r="AA1214" s="60">
        <v>0</v>
      </c>
      <c r="AB1214" s="60">
        <v>0</v>
      </c>
      <c r="AC1214" s="60">
        <v>297.97000000000003</v>
      </c>
      <c r="AD1214" s="60">
        <v>255.67</v>
      </c>
      <c r="AE1214" s="60">
        <v>248.65</v>
      </c>
      <c r="AF1214" s="60">
        <v>0</v>
      </c>
      <c r="AG1214" s="60">
        <v>0</v>
      </c>
      <c r="AH1214" s="60">
        <v>0</v>
      </c>
      <c r="AI1214" s="60">
        <v>297.97000000000003</v>
      </c>
      <c r="AJ1214" s="60">
        <v>255.67</v>
      </c>
      <c r="AK1214" s="60">
        <v>248.65</v>
      </c>
      <c r="AL1214" s="60">
        <v>0</v>
      </c>
      <c r="AM1214" s="60">
        <v>0</v>
      </c>
      <c r="AN1214" s="60">
        <v>0</v>
      </c>
      <c r="AO1214" s="60">
        <v>297.97000000000003</v>
      </c>
      <c r="AP1214" s="60">
        <v>255.67</v>
      </c>
      <c r="AQ1214" s="60">
        <v>248.65</v>
      </c>
      <c r="AR1214" s="61">
        <v>297.97000000000003</v>
      </c>
    </row>
    <row r="1215" spans="1:44" x14ac:dyDescent="0.35">
      <c r="A1215" s="49" t="str">
        <f t="shared" si="100"/>
        <v>07</v>
      </c>
      <c r="B1215" s="27">
        <v>61796</v>
      </c>
      <c r="C1215" s="25" t="str">
        <f>TEXT(129643,"0000000")</f>
        <v>0129643</v>
      </c>
      <c r="D1215" s="27">
        <v>1660</v>
      </c>
      <c r="E1215" s="25" t="s">
        <v>322</v>
      </c>
      <c r="F1215" s="25" t="s">
        <v>5</v>
      </c>
      <c r="G1215" s="59" t="s">
        <v>323</v>
      </c>
      <c r="H1215" s="60">
        <v>0</v>
      </c>
      <c r="I1215" s="60">
        <v>0</v>
      </c>
      <c r="J1215" s="60">
        <v>0</v>
      </c>
      <c r="K1215" s="60">
        <v>0</v>
      </c>
      <c r="L1215" s="60">
        <v>0</v>
      </c>
      <c r="M1215" s="60">
        <v>0</v>
      </c>
      <c r="N1215" s="60">
        <v>0</v>
      </c>
      <c r="O1215" s="60">
        <v>0</v>
      </c>
      <c r="P1215" s="60">
        <v>0</v>
      </c>
      <c r="Q1215" s="60">
        <v>0</v>
      </c>
      <c r="R1215" s="60">
        <v>0</v>
      </c>
      <c r="S1215" s="60">
        <v>0</v>
      </c>
      <c r="T1215" s="60">
        <v>0</v>
      </c>
      <c r="U1215" s="60">
        <v>0</v>
      </c>
      <c r="V1215" s="60">
        <v>0</v>
      </c>
      <c r="W1215" s="60">
        <v>0</v>
      </c>
      <c r="X1215" s="60">
        <v>0</v>
      </c>
      <c r="Y1215" s="60">
        <v>0</v>
      </c>
      <c r="Z1215" s="60">
        <v>0</v>
      </c>
      <c r="AA1215" s="60">
        <v>0</v>
      </c>
      <c r="AB1215" s="60">
        <v>0</v>
      </c>
      <c r="AC1215" s="60">
        <v>435.62</v>
      </c>
      <c r="AD1215" s="60">
        <v>416.94</v>
      </c>
      <c r="AE1215" s="60">
        <v>455.4</v>
      </c>
      <c r="AF1215" s="60">
        <v>0</v>
      </c>
      <c r="AG1215" s="60">
        <v>0</v>
      </c>
      <c r="AH1215" s="60">
        <v>0</v>
      </c>
      <c r="AI1215" s="60">
        <v>435.62</v>
      </c>
      <c r="AJ1215" s="60">
        <v>416.94</v>
      </c>
      <c r="AK1215" s="60">
        <v>455.4</v>
      </c>
      <c r="AL1215" s="60">
        <v>0</v>
      </c>
      <c r="AM1215" s="60">
        <v>0</v>
      </c>
      <c r="AN1215" s="60">
        <v>0</v>
      </c>
      <c r="AO1215" s="60">
        <v>435.62</v>
      </c>
      <c r="AP1215" s="60">
        <v>416.94</v>
      </c>
      <c r="AQ1215" s="60">
        <v>455.4</v>
      </c>
      <c r="AR1215" s="61">
        <v>455.4</v>
      </c>
    </row>
    <row r="1216" spans="1:44" ht="31" x14ac:dyDescent="0.35">
      <c r="A1216" s="49" t="str">
        <f t="shared" si="100"/>
        <v>07</v>
      </c>
      <c r="B1216" s="27">
        <v>61796</v>
      </c>
      <c r="C1216" s="25" t="str">
        <f>TEXT(132100,"0000000")</f>
        <v>0132100</v>
      </c>
      <c r="D1216" s="27">
        <v>1739</v>
      </c>
      <c r="E1216" s="25" t="s">
        <v>324</v>
      </c>
      <c r="F1216" s="25" t="s">
        <v>5</v>
      </c>
      <c r="G1216" s="59" t="s">
        <v>325</v>
      </c>
      <c r="H1216" s="60">
        <v>0</v>
      </c>
      <c r="I1216" s="60">
        <v>0</v>
      </c>
      <c r="J1216" s="60">
        <v>0</v>
      </c>
      <c r="K1216" s="60">
        <v>0</v>
      </c>
      <c r="L1216" s="60">
        <v>0</v>
      </c>
      <c r="M1216" s="60">
        <v>0</v>
      </c>
      <c r="N1216" s="60">
        <v>0</v>
      </c>
      <c r="O1216" s="60">
        <v>0</v>
      </c>
      <c r="P1216" s="60">
        <v>0</v>
      </c>
      <c r="Q1216" s="60">
        <v>0</v>
      </c>
      <c r="R1216" s="60">
        <v>0</v>
      </c>
      <c r="S1216" s="60">
        <v>0</v>
      </c>
      <c r="T1216" s="60">
        <v>0</v>
      </c>
      <c r="U1216" s="60">
        <v>0</v>
      </c>
      <c r="V1216" s="60">
        <v>0</v>
      </c>
      <c r="W1216" s="60">
        <v>0</v>
      </c>
      <c r="X1216" s="60">
        <v>0</v>
      </c>
      <c r="Y1216" s="60">
        <v>0</v>
      </c>
      <c r="Z1216" s="60">
        <v>0</v>
      </c>
      <c r="AA1216" s="60">
        <v>0</v>
      </c>
      <c r="AB1216" s="60">
        <v>0</v>
      </c>
      <c r="AC1216" s="60">
        <v>560.49</v>
      </c>
      <c r="AD1216" s="60">
        <v>546.83000000000004</v>
      </c>
      <c r="AE1216" s="60">
        <v>544.6</v>
      </c>
      <c r="AF1216" s="60">
        <v>0</v>
      </c>
      <c r="AG1216" s="60">
        <v>0</v>
      </c>
      <c r="AH1216" s="60">
        <v>0</v>
      </c>
      <c r="AI1216" s="60">
        <v>560.49</v>
      </c>
      <c r="AJ1216" s="60">
        <v>546.83000000000004</v>
      </c>
      <c r="AK1216" s="60">
        <v>544.6</v>
      </c>
      <c r="AL1216" s="60">
        <v>0</v>
      </c>
      <c r="AM1216" s="60">
        <v>0</v>
      </c>
      <c r="AN1216" s="60">
        <v>0</v>
      </c>
      <c r="AO1216" s="60">
        <v>560.49</v>
      </c>
      <c r="AP1216" s="60">
        <v>546.83000000000004</v>
      </c>
      <c r="AQ1216" s="60">
        <v>544.6</v>
      </c>
      <c r="AR1216" s="61">
        <v>560.49</v>
      </c>
    </row>
    <row r="1217" spans="1:44" x14ac:dyDescent="0.35">
      <c r="A1217" s="49" t="str">
        <f t="shared" si="100"/>
        <v>07</v>
      </c>
      <c r="B1217" s="27">
        <v>61796</v>
      </c>
      <c r="C1217" s="25" t="str">
        <f>TEXT(132118,"0000000")</f>
        <v>0132118</v>
      </c>
      <c r="D1217" s="27">
        <v>1740</v>
      </c>
      <c r="E1217" s="25" t="s">
        <v>326</v>
      </c>
      <c r="F1217" s="25" t="s">
        <v>5</v>
      </c>
      <c r="G1217" s="59" t="s">
        <v>327</v>
      </c>
      <c r="H1217" s="60">
        <v>0</v>
      </c>
      <c r="I1217" s="60">
        <v>0</v>
      </c>
      <c r="J1217" s="60">
        <v>0</v>
      </c>
      <c r="K1217" s="60">
        <v>0</v>
      </c>
      <c r="L1217" s="60">
        <v>0</v>
      </c>
      <c r="M1217" s="60">
        <v>0</v>
      </c>
      <c r="N1217" s="60">
        <v>0</v>
      </c>
      <c r="O1217" s="60">
        <v>0</v>
      </c>
      <c r="P1217" s="60">
        <v>0</v>
      </c>
      <c r="Q1217" s="60">
        <v>0</v>
      </c>
      <c r="R1217" s="60">
        <v>0</v>
      </c>
      <c r="S1217" s="60">
        <v>0</v>
      </c>
      <c r="T1217" s="60">
        <v>0</v>
      </c>
      <c r="U1217" s="60">
        <v>0</v>
      </c>
      <c r="V1217" s="60">
        <v>0</v>
      </c>
      <c r="W1217" s="60">
        <v>0</v>
      </c>
      <c r="X1217" s="60">
        <v>0</v>
      </c>
      <c r="Y1217" s="60">
        <v>0</v>
      </c>
      <c r="Z1217" s="60">
        <v>0</v>
      </c>
      <c r="AA1217" s="60">
        <v>0</v>
      </c>
      <c r="AB1217" s="60">
        <v>0</v>
      </c>
      <c r="AC1217" s="60">
        <v>493.87</v>
      </c>
      <c r="AD1217" s="60">
        <v>434.8</v>
      </c>
      <c r="AE1217" s="60">
        <v>425</v>
      </c>
      <c r="AF1217" s="60">
        <v>0</v>
      </c>
      <c r="AG1217" s="60">
        <v>0</v>
      </c>
      <c r="AH1217" s="60">
        <v>0</v>
      </c>
      <c r="AI1217" s="60">
        <v>493.87</v>
      </c>
      <c r="AJ1217" s="60">
        <v>434.8</v>
      </c>
      <c r="AK1217" s="60">
        <v>425</v>
      </c>
      <c r="AL1217" s="60">
        <v>0</v>
      </c>
      <c r="AM1217" s="60">
        <v>0</v>
      </c>
      <c r="AN1217" s="60">
        <v>0</v>
      </c>
      <c r="AO1217" s="60">
        <v>493.87</v>
      </c>
      <c r="AP1217" s="60">
        <v>434.8</v>
      </c>
      <c r="AQ1217" s="60">
        <v>425</v>
      </c>
      <c r="AR1217" s="61">
        <v>493.87</v>
      </c>
    </row>
    <row r="1218" spans="1:44" x14ac:dyDescent="0.35">
      <c r="A1218" s="49" t="str">
        <f t="shared" si="100"/>
        <v>07</v>
      </c>
      <c r="B1218" s="27">
        <v>61796</v>
      </c>
      <c r="C1218" s="25" t="str">
        <f>TEXT(133637,"0000000")</f>
        <v>0133637</v>
      </c>
      <c r="D1218" s="27">
        <v>1774</v>
      </c>
      <c r="E1218" s="25" t="s">
        <v>328</v>
      </c>
      <c r="F1218" s="25" t="s">
        <v>5</v>
      </c>
      <c r="G1218" s="59" t="s">
        <v>329</v>
      </c>
      <c r="H1218" s="60">
        <v>0</v>
      </c>
      <c r="I1218" s="60">
        <v>0</v>
      </c>
      <c r="J1218" s="60">
        <v>0</v>
      </c>
      <c r="K1218" s="60">
        <v>0</v>
      </c>
      <c r="L1218" s="60">
        <v>0</v>
      </c>
      <c r="M1218" s="60">
        <v>0</v>
      </c>
      <c r="N1218" s="60">
        <v>0</v>
      </c>
      <c r="O1218" s="60">
        <v>0</v>
      </c>
      <c r="P1218" s="60">
        <v>0</v>
      </c>
      <c r="Q1218" s="60">
        <v>0</v>
      </c>
      <c r="R1218" s="60">
        <v>0</v>
      </c>
      <c r="S1218" s="60">
        <v>0</v>
      </c>
      <c r="T1218" s="60">
        <v>0</v>
      </c>
      <c r="U1218" s="60">
        <v>0</v>
      </c>
      <c r="V1218" s="60">
        <v>0</v>
      </c>
      <c r="W1218" s="60">
        <v>0</v>
      </c>
      <c r="X1218" s="60">
        <v>0</v>
      </c>
      <c r="Y1218" s="60">
        <v>0</v>
      </c>
      <c r="Z1218" s="60">
        <v>0</v>
      </c>
      <c r="AA1218" s="60">
        <v>0</v>
      </c>
      <c r="AB1218" s="60">
        <v>0</v>
      </c>
      <c r="AC1218" s="60">
        <v>561.58000000000004</v>
      </c>
      <c r="AD1218" s="60">
        <v>530.07000000000005</v>
      </c>
      <c r="AE1218" s="60">
        <v>493</v>
      </c>
      <c r="AF1218" s="60">
        <v>0</v>
      </c>
      <c r="AG1218" s="60">
        <v>0</v>
      </c>
      <c r="AH1218" s="60">
        <v>0</v>
      </c>
      <c r="AI1218" s="60">
        <v>561.58000000000004</v>
      </c>
      <c r="AJ1218" s="60">
        <v>530.07000000000005</v>
      </c>
      <c r="AK1218" s="60">
        <v>493</v>
      </c>
      <c r="AL1218" s="60">
        <v>0</v>
      </c>
      <c r="AM1218" s="60">
        <v>0</v>
      </c>
      <c r="AN1218" s="60">
        <v>0</v>
      </c>
      <c r="AO1218" s="60">
        <v>561.58000000000004</v>
      </c>
      <c r="AP1218" s="60">
        <v>530.07000000000005</v>
      </c>
      <c r="AQ1218" s="60">
        <v>493</v>
      </c>
      <c r="AR1218" s="61">
        <v>561.58000000000004</v>
      </c>
    </row>
    <row r="1219" spans="1:44" x14ac:dyDescent="0.35">
      <c r="A1219" s="49" t="str">
        <f t="shared" si="100"/>
        <v>07</v>
      </c>
      <c r="B1219" s="27">
        <v>77354</v>
      </c>
      <c r="C1219" s="25" t="str">
        <f>TEXT(132233,"0000000")</f>
        <v>0132233</v>
      </c>
      <c r="D1219" s="27">
        <v>1741</v>
      </c>
      <c r="E1219" s="25" t="s">
        <v>336</v>
      </c>
      <c r="F1219" s="25" t="s">
        <v>5</v>
      </c>
      <c r="G1219" s="59" t="s">
        <v>337</v>
      </c>
      <c r="H1219" s="60">
        <v>0</v>
      </c>
      <c r="I1219" s="60">
        <v>0</v>
      </c>
      <c r="J1219" s="60">
        <v>0</v>
      </c>
      <c r="K1219" s="60">
        <v>0</v>
      </c>
      <c r="L1219" s="60">
        <v>0</v>
      </c>
      <c r="M1219" s="60">
        <v>0</v>
      </c>
      <c r="N1219" s="60">
        <v>0</v>
      </c>
      <c r="O1219" s="60">
        <v>0</v>
      </c>
      <c r="P1219" s="60">
        <v>0</v>
      </c>
      <c r="Q1219" s="60">
        <v>0</v>
      </c>
      <c r="R1219" s="60">
        <v>0</v>
      </c>
      <c r="S1219" s="60">
        <v>0</v>
      </c>
      <c r="T1219" s="60">
        <v>0</v>
      </c>
      <c r="U1219" s="60">
        <v>0</v>
      </c>
      <c r="V1219" s="60">
        <v>0</v>
      </c>
      <c r="W1219" s="60">
        <v>0</v>
      </c>
      <c r="X1219" s="60">
        <v>0</v>
      </c>
      <c r="Y1219" s="60">
        <v>0</v>
      </c>
      <c r="Z1219" s="60">
        <v>0</v>
      </c>
      <c r="AA1219" s="60">
        <v>0</v>
      </c>
      <c r="AB1219" s="60">
        <v>0</v>
      </c>
      <c r="AC1219" s="60">
        <v>334.26</v>
      </c>
      <c r="AD1219" s="60">
        <v>310.76</v>
      </c>
      <c r="AE1219" s="60">
        <v>300.38</v>
      </c>
      <c r="AF1219" s="60">
        <v>0</v>
      </c>
      <c r="AG1219" s="60">
        <v>0</v>
      </c>
      <c r="AH1219" s="60">
        <v>0</v>
      </c>
      <c r="AI1219" s="60">
        <v>334.26</v>
      </c>
      <c r="AJ1219" s="60">
        <v>310.76</v>
      </c>
      <c r="AK1219" s="60">
        <v>300.38</v>
      </c>
      <c r="AL1219" s="60">
        <v>0</v>
      </c>
      <c r="AM1219" s="60">
        <v>0</v>
      </c>
      <c r="AN1219" s="60">
        <v>0</v>
      </c>
      <c r="AO1219" s="60">
        <v>334.26</v>
      </c>
      <c r="AP1219" s="60">
        <v>310.76</v>
      </c>
      <c r="AQ1219" s="60">
        <v>300.38</v>
      </c>
      <c r="AR1219" s="61">
        <v>334.26</v>
      </c>
    </row>
    <row r="1220" spans="1:44" x14ac:dyDescent="0.35">
      <c r="A1220" s="49" t="str">
        <f>TEXT(9,"00")</f>
        <v>09</v>
      </c>
      <c r="B1220" s="27">
        <v>10090</v>
      </c>
      <c r="C1220" s="25" t="str">
        <f>TEXT(136036,"0000000")</f>
        <v>0136036</v>
      </c>
      <c r="D1220" s="27">
        <v>1880</v>
      </c>
      <c r="E1220" s="25" t="s">
        <v>346</v>
      </c>
      <c r="F1220" s="25" t="s">
        <v>5</v>
      </c>
      <c r="G1220" s="59" t="s">
        <v>347</v>
      </c>
      <c r="H1220" s="60">
        <v>0</v>
      </c>
      <c r="I1220" s="60">
        <v>0</v>
      </c>
      <c r="J1220" s="60">
        <v>0</v>
      </c>
      <c r="K1220" s="60">
        <v>0</v>
      </c>
      <c r="L1220" s="60">
        <v>0</v>
      </c>
      <c r="M1220" s="60">
        <v>0</v>
      </c>
      <c r="N1220" s="60">
        <v>0</v>
      </c>
      <c r="O1220" s="60">
        <v>0</v>
      </c>
      <c r="P1220" s="60">
        <v>0</v>
      </c>
      <c r="Q1220" s="60">
        <v>0</v>
      </c>
      <c r="R1220" s="60">
        <v>0</v>
      </c>
      <c r="S1220" s="60">
        <v>0</v>
      </c>
      <c r="T1220" s="60">
        <v>0</v>
      </c>
      <c r="U1220" s="60">
        <v>0</v>
      </c>
      <c r="V1220" s="60">
        <v>0</v>
      </c>
      <c r="W1220" s="60">
        <v>0</v>
      </c>
      <c r="X1220" s="60">
        <v>0</v>
      </c>
      <c r="Y1220" s="60">
        <v>0</v>
      </c>
      <c r="Z1220" s="60">
        <v>0</v>
      </c>
      <c r="AA1220" s="60">
        <v>0</v>
      </c>
      <c r="AB1220" s="60">
        <v>0</v>
      </c>
      <c r="AC1220" s="60">
        <v>1126.27</v>
      </c>
      <c r="AD1220" s="60">
        <v>931.04</v>
      </c>
      <c r="AE1220" s="60">
        <v>844.1</v>
      </c>
      <c r="AF1220" s="60">
        <v>0</v>
      </c>
      <c r="AG1220" s="60">
        <v>0</v>
      </c>
      <c r="AH1220" s="60">
        <v>0</v>
      </c>
      <c r="AI1220" s="60">
        <v>1126.27</v>
      </c>
      <c r="AJ1220" s="60">
        <v>931.04</v>
      </c>
      <c r="AK1220" s="60">
        <v>844.1</v>
      </c>
      <c r="AL1220" s="60">
        <v>0</v>
      </c>
      <c r="AM1220" s="60">
        <v>0</v>
      </c>
      <c r="AN1220" s="60">
        <v>0</v>
      </c>
      <c r="AO1220" s="60">
        <v>1126.27</v>
      </c>
      <c r="AP1220" s="60">
        <v>931.04</v>
      </c>
      <c r="AQ1220" s="60">
        <v>844.1</v>
      </c>
      <c r="AR1220" s="61">
        <v>1126.27</v>
      </c>
    </row>
    <row r="1221" spans="1:44" x14ac:dyDescent="0.35">
      <c r="A1221" s="49" t="str">
        <f>TEXT(9,"00")</f>
        <v>09</v>
      </c>
      <c r="B1221" s="27">
        <v>61838</v>
      </c>
      <c r="C1221" s="25" t="str">
        <f>TEXT(129965,"0000000")</f>
        <v>0129965</v>
      </c>
      <c r="D1221" s="27">
        <v>1655</v>
      </c>
      <c r="E1221" s="25" t="s">
        <v>355</v>
      </c>
      <c r="F1221" s="25" t="s">
        <v>5</v>
      </c>
      <c r="G1221" s="59" t="s">
        <v>356</v>
      </c>
      <c r="H1221" s="60">
        <v>0</v>
      </c>
      <c r="I1221" s="60">
        <v>0</v>
      </c>
      <c r="J1221" s="60">
        <v>0</v>
      </c>
      <c r="K1221" s="60">
        <v>0</v>
      </c>
      <c r="L1221" s="60">
        <v>0</v>
      </c>
      <c r="M1221" s="60">
        <v>0</v>
      </c>
      <c r="N1221" s="60">
        <v>0</v>
      </c>
      <c r="O1221" s="60">
        <v>0</v>
      </c>
      <c r="P1221" s="60">
        <v>0</v>
      </c>
      <c r="Q1221" s="60">
        <v>0</v>
      </c>
      <c r="R1221" s="60">
        <v>0</v>
      </c>
      <c r="S1221" s="60">
        <v>0</v>
      </c>
      <c r="T1221" s="60">
        <v>0</v>
      </c>
      <c r="U1221" s="60">
        <v>0</v>
      </c>
      <c r="V1221" s="60">
        <v>0</v>
      </c>
      <c r="W1221" s="60">
        <v>0</v>
      </c>
      <c r="X1221" s="60">
        <v>0</v>
      </c>
      <c r="Y1221" s="60">
        <v>0</v>
      </c>
      <c r="Z1221" s="60">
        <v>0</v>
      </c>
      <c r="AA1221" s="60">
        <v>0</v>
      </c>
      <c r="AB1221" s="60">
        <v>0</v>
      </c>
      <c r="AC1221" s="60">
        <v>124.75</v>
      </c>
      <c r="AD1221" s="60">
        <v>124.51</v>
      </c>
      <c r="AE1221" s="60">
        <v>142.30000000000001</v>
      </c>
      <c r="AF1221" s="60">
        <v>0</v>
      </c>
      <c r="AG1221" s="60">
        <v>0</v>
      </c>
      <c r="AH1221" s="60">
        <v>0</v>
      </c>
      <c r="AI1221" s="60">
        <v>124.75</v>
      </c>
      <c r="AJ1221" s="60">
        <v>124.51</v>
      </c>
      <c r="AK1221" s="60">
        <v>142.30000000000001</v>
      </c>
      <c r="AL1221" s="60">
        <v>0</v>
      </c>
      <c r="AM1221" s="60">
        <v>0</v>
      </c>
      <c r="AN1221" s="60">
        <v>0</v>
      </c>
      <c r="AO1221" s="60">
        <v>124.75</v>
      </c>
      <c r="AP1221" s="60">
        <v>124.51</v>
      </c>
      <c r="AQ1221" s="60">
        <v>142.30000000000001</v>
      </c>
      <c r="AR1221" s="61">
        <v>142.30000000000001</v>
      </c>
    </row>
    <row r="1222" spans="1:44" x14ac:dyDescent="0.35">
      <c r="A1222" s="49" t="str">
        <f>TEXT(9,"00")</f>
        <v>09</v>
      </c>
      <c r="B1222" s="27">
        <v>61838</v>
      </c>
      <c r="C1222" s="25" t="str">
        <f>TEXT(136200,"0000000")</f>
        <v>0136200</v>
      </c>
      <c r="D1222" s="27">
        <v>1891</v>
      </c>
      <c r="E1222" s="25" t="s">
        <v>357</v>
      </c>
      <c r="F1222" s="25" t="s">
        <v>5</v>
      </c>
      <c r="G1222" s="59" t="s">
        <v>358</v>
      </c>
      <c r="H1222" s="60">
        <v>0</v>
      </c>
      <c r="I1222" s="60">
        <v>0</v>
      </c>
      <c r="J1222" s="60">
        <v>0</v>
      </c>
      <c r="K1222" s="60">
        <v>0</v>
      </c>
      <c r="L1222" s="60">
        <v>0</v>
      </c>
      <c r="M1222" s="60">
        <v>0</v>
      </c>
      <c r="N1222" s="60">
        <v>0</v>
      </c>
      <c r="O1222" s="60">
        <v>0</v>
      </c>
      <c r="P1222" s="60">
        <v>0</v>
      </c>
      <c r="Q1222" s="60">
        <v>0</v>
      </c>
      <c r="R1222" s="60">
        <v>0</v>
      </c>
      <c r="S1222" s="60">
        <v>0</v>
      </c>
      <c r="T1222" s="60">
        <v>0</v>
      </c>
      <c r="U1222" s="60">
        <v>0</v>
      </c>
      <c r="V1222" s="60">
        <v>0</v>
      </c>
      <c r="W1222" s="60">
        <v>0</v>
      </c>
      <c r="X1222" s="60">
        <v>0</v>
      </c>
      <c r="Y1222" s="60">
        <v>0</v>
      </c>
      <c r="Z1222" s="60">
        <v>0</v>
      </c>
      <c r="AA1222" s="60">
        <v>0</v>
      </c>
      <c r="AB1222" s="60">
        <v>0</v>
      </c>
      <c r="AC1222" s="60">
        <v>1939.89</v>
      </c>
      <c r="AD1222" s="60">
        <v>1552.94</v>
      </c>
      <c r="AE1222" s="60">
        <v>1158.1500000000001</v>
      </c>
      <c r="AF1222" s="60">
        <v>0</v>
      </c>
      <c r="AG1222" s="60">
        <v>0</v>
      </c>
      <c r="AH1222" s="60">
        <v>0</v>
      </c>
      <c r="AI1222" s="60">
        <v>1939.89</v>
      </c>
      <c r="AJ1222" s="60">
        <v>1552.94</v>
      </c>
      <c r="AK1222" s="60">
        <v>1158.1500000000001</v>
      </c>
      <c r="AL1222" s="60">
        <v>0</v>
      </c>
      <c r="AM1222" s="60">
        <v>0</v>
      </c>
      <c r="AN1222" s="60">
        <v>0</v>
      </c>
      <c r="AO1222" s="60">
        <v>1939.89</v>
      </c>
      <c r="AP1222" s="60">
        <v>1552.94</v>
      </c>
      <c r="AQ1222" s="60">
        <v>1158.1500000000001</v>
      </c>
      <c r="AR1222" s="61">
        <v>1939.89</v>
      </c>
    </row>
    <row r="1223" spans="1:44" x14ac:dyDescent="0.35">
      <c r="A1223" s="49" t="str">
        <f>TEXT(9,"00")</f>
        <v>09</v>
      </c>
      <c r="B1223" s="27">
        <v>61838</v>
      </c>
      <c r="C1223" s="25" t="str">
        <f>TEXT(139006,"0000000")</f>
        <v>0139006</v>
      </c>
      <c r="D1223" s="27">
        <v>1964</v>
      </c>
      <c r="E1223" s="25" t="s">
        <v>359</v>
      </c>
      <c r="F1223" s="25" t="s">
        <v>5</v>
      </c>
      <c r="G1223" s="59" t="s">
        <v>360</v>
      </c>
      <c r="H1223" s="60">
        <v>0</v>
      </c>
      <c r="I1223" s="60">
        <v>0</v>
      </c>
      <c r="J1223" s="60">
        <v>0</v>
      </c>
      <c r="K1223" s="60">
        <v>0</v>
      </c>
      <c r="L1223" s="60">
        <v>0</v>
      </c>
      <c r="M1223" s="60">
        <v>0</v>
      </c>
      <c r="N1223" s="60">
        <v>0</v>
      </c>
      <c r="O1223" s="60">
        <v>0</v>
      </c>
      <c r="P1223" s="60">
        <v>0</v>
      </c>
      <c r="Q1223" s="60">
        <v>0</v>
      </c>
      <c r="R1223" s="60">
        <v>0</v>
      </c>
      <c r="S1223" s="60">
        <v>0</v>
      </c>
      <c r="T1223" s="60">
        <v>0</v>
      </c>
      <c r="U1223" s="60">
        <v>0</v>
      </c>
      <c r="V1223" s="60">
        <v>0</v>
      </c>
      <c r="W1223" s="60">
        <v>0</v>
      </c>
      <c r="X1223" s="60">
        <v>0</v>
      </c>
      <c r="Y1223" s="60">
        <v>0</v>
      </c>
      <c r="Z1223" s="60">
        <v>0</v>
      </c>
      <c r="AA1223" s="60">
        <v>0</v>
      </c>
      <c r="AB1223" s="60">
        <v>0</v>
      </c>
      <c r="AC1223" s="60">
        <v>2790.15</v>
      </c>
      <c r="AD1223" s="60">
        <v>2399.1</v>
      </c>
      <c r="AE1223" s="60">
        <v>2430.56</v>
      </c>
      <c r="AF1223" s="60">
        <v>0</v>
      </c>
      <c r="AG1223" s="60">
        <v>0</v>
      </c>
      <c r="AH1223" s="60">
        <v>0</v>
      </c>
      <c r="AI1223" s="60">
        <v>2790.15</v>
      </c>
      <c r="AJ1223" s="60">
        <v>2399.1</v>
      </c>
      <c r="AK1223" s="60">
        <v>2430.56</v>
      </c>
      <c r="AL1223" s="60">
        <v>0</v>
      </c>
      <c r="AM1223" s="60">
        <v>0</v>
      </c>
      <c r="AN1223" s="60">
        <v>0</v>
      </c>
      <c r="AO1223" s="60">
        <v>2790.15</v>
      </c>
      <c r="AP1223" s="60">
        <v>2399.1</v>
      </c>
      <c r="AQ1223" s="60">
        <v>2430.56</v>
      </c>
      <c r="AR1223" s="61">
        <v>2790.15</v>
      </c>
    </row>
    <row r="1224" spans="1:44" x14ac:dyDescent="0.35">
      <c r="A1224" s="49" t="str">
        <f t="shared" ref="A1224:A1229" si="101">TEXT(10,"00")</f>
        <v>10</v>
      </c>
      <c r="B1224" s="27">
        <v>62166</v>
      </c>
      <c r="C1224" s="25" t="str">
        <f>TEXT(106740,"0000000")</f>
        <v>0106740</v>
      </c>
      <c r="D1224" s="26" t="s">
        <v>425</v>
      </c>
      <c r="E1224" s="25" t="s">
        <v>423</v>
      </c>
      <c r="F1224" s="25" t="s">
        <v>5</v>
      </c>
      <c r="G1224" s="59" t="s">
        <v>424</v>
      </c>
      <c r="H1224" s="60">
        <v>0</v>
      </c>
      <c r="I1224" s="60">
        <v>0</v>
      </c>
      <c r="J1224" s="60">
        <v>0</v>
      </c>
      <c r="K1224" s="60">
        <v>0</v>
      </c>
      <c r="L1224" s="60">
        <v>0</v>
      </c>
      <c r="M1224" s="60">
        <v>0</v>
      </c>
      <c r="N1224" s="60">
        <v>0</v>
      </c>
      <c r="O1224" s="60">
        <v>0</v>
      </c>
      <c r="P1224" s="60">
        <v>0</v>
      </c>
      <c r="Q1224" s="60">
        <v>0</v>
      </c>
      <c r="R1224" s="60">
        <v>0</v>
      </c>
      <c r="S1224" s="60">
        <v>0</v>
      </c>
      <c r="T1224" s="60">
        <v>0</v>
      </c>
      <c r="U1224" s="60">
        <v>0</v>
      </c>
      <c r="V1224" s="60">
        <v>0</v>
      </c>
      <c r="W1224" s="60">
        <v>0</v>
      </c>
      <c r="X1224" s="60">
        <v>0</v>
      </c>
      <c r="Y1224" s="60">
        <v>0</v>
      </c>
      <c r="Z1224" s="60">
        <v>0</v>
      </c>
      <c r="AA1224" s="60">
        <v>0</v>
      </c>
      <c r="AB1224" s="60">
        <v>0</v>
      </c>
      <c r="AC1224" s="60">
        <v>301.16000000000003</v>
      </c>
      <c r="AD1224" s="60">
        <v>280.36</v>
      </c>
      <c r="AE1224" s="60">
        <v>389.3</v>
      </c>
      <c r="AF1224" s="60">
        <v>0</v>
      </c>
      <c r="AG1224" s="60">
        <v>0</v>
      </c>
      <c r="AH1224" s="60">
        <v>0</v>
      </c>
      <c r="AI1224" s="60">
        <v>301.16000000000003</v>
      </c>
      <c r="AJ1224" s="60">
        <v>280.36</v>
      </c>
      <c r="AK1224" s="60">
        <v>389.3</v>
      </c>
      <c r="AL1224" s="60">
        <v>0</v>
      </c>
      <c r="AM1224" s="60">
        <v>0</v>
      </c>
      <c r="AN1224" s="60">
        <v>0</v>
      </c>
      <c r="AO1224" s="60">
        <v>301.16000000000003</v>
      </c>
      <c r="AP1224" s="60">
        <v>280.36</v>
      </c>
      <c r="AQ1224" s="60">
        <v>389.3</v>
      </c>
      <c r="AR1224" s="61">
        <v>389.3</v>
      </c>
    </row>
    <row r="1225" spans="1:44" x14ac:dyDescent="0.35">
      <c r="A1225" s="49" t="str">
        <f t="shared" si="101"/>
        <v>10</v>
      </c>
      <c r="B1225" s="27">
        <v>62166</v>
      </c>
      <c r="C1225" s="25" t="str">
        <f>TEXT(114355,"0000000")</f>
        <v>0114355</v>
      </c>
      <c r="D1225" s="26" t="s">
        <v>428</v>
      </c>
      <c r="E1225" s="25" t="s">
        <v>426</v>
      </c>
      <c r="F1225" s="25" t="s">
        <v>5</v>
      </c>
      <c r="G1225" s="59" t="s">
        <v>427</v>
      </c>
      <c r="H1225" s="60">
        <v>0</v>
      </c>
      <c r="I1225" s="60">
        <v>0</v>
      </c>
      <c r="J1225" s="60">
        <v>0</v>
      </c>
      <c r="K1225" s="60">
        <v>0</v>
      </c>
      <c r="L1225" s="60">
        <v>0</v>
      </c>
      <c r="M1225" s="60">
        <v>0</v>
      </c>
      <c r="N1225" s="60">
        <v>0</v>
      </c>
      <c r="O1225" s="60">
        <v>0</v>
      </c>
      <c r="P1225" s="60">
        <v>0</v>
      </c>
      <c r="Q1225" s="60">
        <v>0</v>
      </c>
      <c r="R1225" s="60">
        <v>0</v>
      </c>
      <c r="S1225" s="60">
        <v>0</v>
      </c>
      <c r="T1225" s="60">
        <v>0</v>
      </c>
      <c r="U1225" s="60">
        <v>0</v>
      </c>
      <c r="V1225" s="60">
        <v>0</v>
      </c>
      <c r="W1225" s="60">
        <v>0</v>
      </c>
      <c r="X1225" s="60">
        <v>0</v>
      </c>
      <c r="Y1225" s="60">
        <v>0</v>
      </c>
      <c r="Z1225" s="60">
        <v>0</v>
      </c>
      <c r="AA1225" s="60">
        <v>0</v>
      </c>
      <c r="AB1225" s="60">
        <v>0</v>
      </c>
      <c r="AC1225" s="60">
        <v>330.56</v>
      </c>
      <c r="AD1225" s="60">
        <v>333.67</v>
      </c>
      <c r="AE1225" s="60">
        <v>424.05</v>
      </c>
      <c r="AF1225" s="60">
        <v>0</v>
      </c>
      <c r="AG1225" s="60">
        <v>0</v>
      </c>
      <c r="AH1225" s="60">
        <v>0</v>
      </c>
      <c r="AI1225" s="60">
        <v>330.56</v>
      </c>
      <c r="AJ1225" s="60">
        <v>333.67</v>
      </c>
      <c r="AK1225" s="60">
        <v>424.05</v>
      </c>
      <c r="AL1225" s="60">
        <v>0</v>
      </c>
      <c r="AM1225" s="60">
        <v>0</v>
      </c>
      <c r="AN1225" s="60">
        <v>0</v>
      </c>
      <c r="AO1225" s="60">
        <v>330.56</v>
      </c>
      <c r="AP1225" s="60">
        <v>333.67</v>
      </c>
      <c r="AQ1225" s="60">
        <v>424.05</v>
      </c>
      <c r="AR1225" s="61">
        <v>424.05</v>
      </c>
    </row>
    <row r="1226" spans="1:44" x14ac:dyDescent="0.35">
      <c r="A1226" s="49" t="str">
        <f t="shared" si="101"/>
        <v>10</v>
      </c>
      <c r="B1226" s="27">
        <v>62166</v>
      </c>
      <c r="C1226" s="25" t="str">
        <f>TEXT(133942,"0000000")</f>
        <v>0133942</v>
      </c>
      <c r="D1226" s="27">
        <v>1792</v>
      </c>
      <c r="E1226" s="25" t="s">
        <v>432</v>
      </c>
      <c r="F1226" s="25" t="s">
        <v>5</v>
      </c>
      <c r="G1226" s="59" t="s">
        <v>433</v>
      </c>
      <c r="H1226" s="60">
        <v>0</v>
      </c>
      <c r="I1226" s="60">
        <v>0</v>
      </c>
      <c r="J1226" s="60">
        <v>0</v>
      </c>
      <c r="K1226" s="60">
        <v>0</v>
      </c>
      <c r="L1226" s="60">
        <v>0</v>
      </c>
      <c r="M1226" s="60">
        <v>0</v>
      </c>
      <c r="N1226" s="60">
        <v>0</v>
      </c>
      <c r="O1226" s="60">
        <v>0</v>
      </c>
      <c r="P1226" s="60">
        <v>0</v>
      </c>
      <c r="Q1226" s="60">
        <v>0</v>
      </c>
      <c r="R1226" s="60">
        <v>0</v>
      </c>
      <c r="S1226" s="60">
        <v>0</v>
      </c>
      <c r="T1226" s="60">
        <v>0</v>
      </c>
      <c r="U1226" s="60">
        <v>0</v>
      </c>
      <c r="V1226" s="60">
        <v>0</v>
      </c>
      <c r="W1226" s="60">
        <v>0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264.08999999999997</v>
      </c>
      <c r="AD1226" s="60">
        <v>230.74</v>
      </c>
      <c r="AE1226" s="60">
        <v>245.5</v>
      </c>
      <c r="AF1226" s="60">
        <v>0</v>
      </c>
      <c r="AG1226" s="60">
        <v>0</v>
      </c>
      <c r="AH1226" s="60">
        <v>0</v>
      </c>
      <c r="AI1226" s="60">
        <v>264.08999999999997</v>
      </c>
      <c r="AJ1226" s="60">
        <v>230.74</v>
      </c>
      <c r="AK1226" s="60">
        <v>245.5</v>
      </c>
      <c r="AL1226" s="60">
        <v>0</v>
      </c>
      <c r="AM1226" s="60">
        <v>0</v>
      </c>
      <c r="AN1226" s="60">
        <v>0</v>
      </c>
      <c r="AO1226" s="60">
        <v>264.08999999999997</v>
      </c>
      <c r="AP1226" s="60">
        <v>230.74</v>
      </c>
      <c r="AQ1226" s="60">
        <v>245.5</v>
      </c>
      <c r="AR1226" s="61">
        <v>264.08999999999997</v>
      </c>
    </row>
    <row r="1227" spans="1:44" x14ac:dyDescent="0.35">
      <c r="A1227" s="49" t="str">
        <f t="shared" si="101"/>
        <v>10</v>
      </c>
      <c r="B1227" s="27">
        <v>62166</v>
      </c>
      <c r="C1227" s="25" t="str">
        <f>TEXT(140806,"0000000")</f>
        <v>0140806</v>
      </c>
      <c r="D1227" s="27">
        <v>2115</v>
      </c>
      <c r="E1227" s="25" t="s">
        <v>438</v>
      </c>
      <c r="F1227" s="25" t="s">
        <v>5</v>
      </c>
      <c r="G1227" s="59" t="s">
        <v>439</v>
      </c>
      <c r="H1227" s="60">
        <v>0</v>
      </c>
      <c r="I1227" s="60">
        <v>0</v>
      </c>
      <c r="J1227" s="60">
        <v>0</v>
      </c>
      <c r="K1227" s="60">
        <v>0</v>
      </c>
      <c r="L1227" s="60">
        <v>0</v>
      </c>
      <c r="M1227" s="60">
        <v>0</v>
      </c>
      <c r="N1227" s="60">
        <v>0</v>
      </c>
      <c r="O1227" s="60">
        <v>0</v>
      </c>
      <c r="P1227" s="60">
        <v>0</v>
      </c>
      <c r="Q1227" s="60">
        <v>0</v>
      </c>
      <c r="R1227" s="60">
        <v>0</v>
      </c>
      <c r="S1227" s="60">
        <v>0</v>
      </c>
      <c r="T1227" s="60">
        <v>0</v>
      </c>
      <c r="U1227" s="60">
        <v>0</v>
      </c>
      <c r="V1227" s="60">
        <v>0</v>
      </c>
      <c r="W1227" s="60">
        <v>0</v>
      </c>
      <c r="X1227" s="60">
        <v>0</v>
      </c>
      <c r="Y1227" s="60">
        <v>0</v>
      </c>
      <c r="Z1227" s="60">
        <v>0</v>
      </c>
      <c r="AA1227" s="60">
        <v>0</v>
      </c>
      <c r="AB1227" s="60">
        <v>0</v>
      </c>
      <c r="AC1227" s="60">
        <v>154.41999999999999</v>
      </c>
      <c r="AD1227" s="60">
        <v>113.11</v>
      </c>
      <c r="AE1227" s="60">
        <v>0</v>
      </c>
      <c r="AF1227" s="60">
        <v>0</v>
      </c>
      <c r="AG1227" s="60">
        <v>0</v>
      </c>
      <c r="AH1227" s="60">
        <v>0</v>
      </c>
      <c r="AI1227" s="60">
        <v>154.41999999999999</v>
      </c>
      <c r="AJ1227" s="60">
        <v>113.11</v>
      </c>
      <c r="AK1227" s="60">
        <v>0</v>
      </c>
      <c r="AL1227" s="60">
        <v>0</v>
      </c>
      <c r="AM1227" s="60">
        <v>0</v>
      </c>
      <c r="AN1227" s="60">
        <v>0</v>
      </c>
      <c r="AO1227" s="60">
        <v>154.41999999999999</v>
      </c>
      <c r="AP1227" s="60">
        <v>113.11</v>
      </c>
      <c r="AQ1227" s="60">
        <v>0</v>
      </c>
      <c r="AR1227" s="61">
        <v>154.41999999999999</v>
      </c>
    </row>
    <row r="1228" spans="1:44" x14ac:dyDescent="0.35">
      <c r="A1228" s="49" t="str">
        <f t="shared" si="101"/>
        <v>10</v>
      </c>
      <c r="B1228" s="27">
        <v>62331</v>
      </c>
      <c r="C1228" s="25" t="str">
        <f>TEXT(137661,"0000000")</f>
        <v>0137661</v>
      </c>
      <c r="D1228" s="27">
        <v>1492</v>
      </c>
      <c r="E1228" s="25" t="s">
        <v>452</v>
      </c>
      <c r="F1228" s="25" t="s">
        <v>5</v>
      </c>
      <c r="G1228" s="59" t="s">
        <v>453</v>
      </c>
      <c r="H1228" s="60">
        <v>0</v>
      </c>
      <c r="I1228" s="60">
        <v>0</v>
      </c>
      <c r="J1228" s="60">
        <v>0</v>
      </c>
      <c r="K1228" s="60">
        <v>0</v>
      </c>
      <c r="L1228" s="60">
        <v>0</v>
      </c>
      <c r="M1228" s="60">
        <v>0</v>
      </c>
      <c r="N1228" s="60">
        <v>0</v>
      </c>
      <c r="O1228" s="60">
        <v>0</v>
      </c>
      <c r="P1228" s="60">
        <v>0</v>
      </c>
      <c r="Q1228" s="60">
        <v>0</v>
      </c>
      <c r="R1228" s="60">
        <v>0</v>
      </c>
      <c r="S1228" s="60">
        <v>0</v>
      </c>
      <c r="T1228" s="60">
        <v>0</v>
      </c>
      <c r="U1228" s="60">
        <v>0</v>
      </c>
      <c r="V1228" s="60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1164.72</v>
      </c>
      <c r="AD1228" s="60">
        <v>1173.04</v>
      </c>
      <c r="AE1228" s="60">
        <v>686.58</v>
      </c>
      <c r="AF1228" s="60">
        <v>0</v>
      </c>
      <c r="AG1228" s="60">
        <v>0</v>
      </c>
      <c r="AH1228" s="60">
        <v>0</v>
      </c>
      <c r="AI1228" s="60">
        <v>1164.72</v>
      </c>
      <c r="AJ1228" s="60">
        <v>1173.04</v>
      </c>
      <c r="AK1228" s="60">
        <v>686.58</v>
      </c>
      <c r="AL1228" s="60">
        <v>0</v>
      </c>
      <c r="AM1228" s="60">
        <v>0</v>
      </c>
      <c r="AN1228" s="60">
        <v>0</v>
      </c>
      <c r="AO1228" s="60">
        <v>1164.72</v>
      </c>
      <c r="AP1228" s="60">
        <v>1173.04</v>
      </c>
      <c r="AQ1228" s="60">
        <v>686.58</v>
      </c>
      <c r="AR1228" s="61">
        <v>1173.04</v>
      </c>
    </row>
    <row r="1229" spans="1:44" x14ac:dyDescent="0.35">
      <c r="A1229" s="49" t="str">
        <f t="shared" si="101"/>
        <v>10</v>
      </c>
      <c r="B1229" s="27">
        <v>62547</v>
      </c>
      <c r="C1229" s="25" t="str">
        <f>TEXT(135103,"0000000")</f>
        <v>0135103</v>
      </c>
      <c r="D1229" s="27">
        <v>1841</v>
      </c>
      <c r="E1229" s="25" t="s">
        <v>474</v>
      </c>
      <c r="F1229" s="25" t="s">
        <v>5</v>
      </c>
      <c r="G1229" s="59" t="s">
        <v>475</v>
      </c>
      <c r="H1229" s="60">
        <v>0</v>
      </c>
      <c r="I1229" s="60">
        <v>0</v>
      </c>
      <c r="J1229" s="60">
        <v>0</v>
      </c>
      <c r="K1229" s="60">
        <v>0</v>
      </c>
      <c r="L1229" s="60">
        <v>0</v>
      </c>
      <c r="M1229" s="60">
        <v>0</v>
      </c>
      <c r="N1229" s="60">
        <v>0</v>
      </c>
      <c r="O1229" s="60">
        <v>0</v>
      </c>
      <c r="P1229" s="60">
        <v>0</v>
      </c>
      <c r="Q1229" s="60">
        <v>0</v>
      </c>
      <c r="R1229" s="60">
        <v>0</v>
      </c>
      <c r="S1229" s="60">
        <v>0</v>
      </c>
      <c r="T1229" s="60">
        <v>0</v>
      </c>
      <c r="U1229" s="60">
        <v>0</v>
      </c>
      <c r="V1229" s="60">
        <v>0</v>
      </c>
      <c r="W1229" s="60">
        <v>0</v>
      </c>
      <c r="X1229" s="60">
        <v>0</v>
      </c>
      <c r="Y1229" s="60">
        <v>0</v>
      </c>
      <c r="Z1229" s="60">
        <v>0</v>
      </c>
      <c r="AA1229" s="60">
        <v>0</v>
      </c>
      <c r="AB1229" s="60">
        <v>0</v>
      </c>
      <c r="AC1229" s="60">
        <v>2442.38</v>
      </c>
      <c r="AD1229" s="60">
        <v>2376.88</v>
      </c>
      <c r="AE1229" s="60">
        <v>2205.6799999999998</v>
      </c>
      <c r="AF1229" s="60">
        <v>0</v>
      </c>
      <c r="AG1229" s="60">
        <v>0</v>
      </c>
      <c r="AH1229" s="60">
        <v>0</v>
      </c>
      <c r="AI1229" s="60">
        <v>2442.38</v>
      </c>
      <c r="AJ1229" s="60">
        <v>2376.88</v>
      </c>
      <c r="AK1229" s="60">
        <v>2205.6799999999998</v>
      </c>
      <c r="AL1229" s="60">
        <v>0</v>
      </c>
      <c r="AM1229" s="60">
        <v>0</v>
      </c>
      <c r="AN1229" s="60">
        <v>0</v>
      </c>
      <c r="AO1229" s="60">
        <v>2442.38</v>
      </c>
      <c r="AP1229" s="60">
        <v>2376.88</v>
      </c>
      <c r="AQ1229" s="60">
        <v>2205.6799999999998</v>
      </c>
      <c r="AR1229" s="61">
        <v>2442.38</v>
      </c>
    </row>
    <row r="1230" spans="1:44" x14ac:dyDescent="0.35">
      <c r="A1230" s="49" t="str">
        <f>TEXT(12,"00")</f>
        <v>12</v>
      </c>
      <c r="B1230" s="27">
        <v>10124</v>
      </c>
      <c r="C1230" s="25" t="str">
        <f>TEXT(6008221,"0000000")</f>
        <v>6008221</v>
      </c>
      <c r="D1230" s="27">
        <v>2103</v>
      </c>
      <c r="E1230" s="25" t="s">
        <v>522</v>
      </c>
      <c r="F1230" s="25" t="s">
        <v>5</v>
      </c>
      <c r="G1230" s="59" t="s">
        <v>523</v>
      </c>
      <c r="H1230" s="60">
        <v>0</v>
      </c>
      <c r="I1230" s="60">
        <v>0</v>
      </c>
      <c r="J1230" s="60">
        <v>0</v>
      </c>
      <c r="K1230" s="60">
        <v>0</v>
      </c>
      <c r="L1230" s="60">
        <v>0</v>
      </c>
      <c r="M1230" s="60">
        <v>0</v>
      </c>
      <c r="N1230" s="60">
        <v>0</v>
      </c>
      <c r="O1230" s="60">
        <v>0</v>
      </c>
      <c r="P1230" s="60">
        <v>0</v>
      </c>
      <c r="Q1230" s="60">
        <v>0</v>
      </c>
      <c r="R1230" s="60">
        <v>0</v>
      </c>
      <c r="S1230" s="60">
        <v>0</v>
      </c>
      <c r="T1230" s="60">
        <v>0</v>
      </c>
      <c r="U1230" s="60">
        <v>0</v>
      </c>
      <c r="V1230" s="60">
        <v>0</v>
      </c>
      <c r="W1230" s="60">
        <v>0</v>
      </c>
      <c r="X1230" s="60">
        <v>0</v>
      </c>
      <c r="Y1230" s="60">
        <v>0</v>
      </c>
      <c r="Z1230" s="60">
        <v>0</v>
      </c>
      <c r="AA1230" s="60">
        <v>0</v>
      </c>
      <c r="AB1230" s="60">
        <v>0</v>
      </c>
      <c r="AC1230" s="60">
        <v>75.400000000000006</v>
      </c>
      <c r="AD1230" s="60">
        <v>84.75</v>
      </c>
      <c r="AE1230" s="60">
        <v>93.5</v>
      </c>
      <c r="AF1230" s="60">
        <v>0</v>
      </c>
      <c r="AG1230" s="60">
        <v>0</v>
      </c>
      <c r="AH1230" s="60">
        <v>0</v>
      </c>
      <c r="AI1230" s="60">
        <v>75.400000000000006</v>
      </c>
      <c r="AJ1230" s="60">
        <v>84.75</v>
      </c>
      <c r="AK1230" s="60">
        <v>93.5</v>
      </c>
      <c r="AL1230" s="60">
        <v>0</v>
      </c>
      <c r="AM1230" s="60">
        <v>0</v>
      </c>
      <c r="AN1230" s="60">
        <v>0</v>
      </c>
      <c r="AO1230" s="60">
        <v>75.400000000000006</v>
      </c>
      <c r="AP1230" s="60">
        <v>84.75</v>
      </c>
      <c r="AQ1230" s="60">
        <v>93.5</v>
      </c>
      <c r="AR1230" s="61">
        <v>93.5</v>
      </c>
    </row>
    <row r="1231" spans="1:44" x14ac:dyDescent="0.35">
      <c r="A1231" s="49" t="str">
        <f>TEXT(15,"00")</f>
        <v>15</v>
      </c>
      <c r="B1231" s="27">
        <v>63628</v>
      </c>
      <c r="C1231" s="25" t="str">
        <f>TEXT(127209,"0000000")</f>
        <v>0127209</v>
      </c>
      <c r="D1231" s="27">
        <v>1491</v>
      </c>
      <c r="E1231" s="25" t="s">
        <v>701</v>
      </c>
      <c r="F1231" s="25" t="s">
        <v>5</v>
      </c>
      <c r="G1231" s="59" t="s">
        <v>702</v>
      </c>
      <c r="H1231" s="60">
        <v>0</v>
      </c>
      <c r="I1231" s="60">
        <v>0</v>
      </c>
      <c r="J1231" s="60">
        <v>0</v>
      </c>
      <c r="K1231" s="60">
        <v>0</v>
      </c>
      <c r="L1231" s="60">
        <v>0</v>
      </c>
      <c r="M1231" s="60">
        <v>0</v>
      </c>
      <c r="N1231" s="60">
        <v>0</v>
      </c>
      <c r="O1231" s="60">
        <v>0</v>
      </c>
      <c r="P1231" s="60">
        <v>0</v>
      </c>
      <c r="Q1231" s="60">
        <v>0</v>
      </c>
      <c r="R1231" s="60">
        <v>0</v>
      </c>
      <c r="S1231" s="60">
        <v>0</v>
      </c>
      <c r="T1231" s="60">
        <v>0</v>
      </c>
      <c r="U1231" s="60">
        <v>0</v>
      </c>
      <c r="V1231" s="60">
        <v>0</v>
      </c>
      <c r="W1231" s="60">
        <v>0</v>
      </c>
      <c r="X1231" s="60">
        <v>0</v>
      </c>
      <c r="Y1231" s="60">
        <v>0</v>
      </c>
      <c r="Z1231" s="60">
        <v>0</v>
      </c>
      <c r="AA1231" s="60">
        <v>0</v>
      </c>
      <c r="AB1231" s="60">
        <v>0</v>
      </c>
      <c r="AC1231" s="60">
        <v>306.2</v>
      </c>
      <c r="AD1231" s="60">
        <v>289.44</v>
      </c>
      <c r="AE1231" s="60">
        <v>0</v>
      </c>
      <c r="AF1231" s="60">
        <v>0</v>
      </c>
      <c r="AG1231" s="60">
        <v>0</v>
      </c>
      <c r="AH1231" s="60">
        <v>0</v>
      </c>
      <c r="AI1231" s="60">
        <v>306.2</v>
      </c>
      <c r="AJ1231" s="60">
        <v>289.44</v>
      </c>
      <c r="AK1231" s="60">
        <v>0</v>
      </c>
      <c r="AL1231" s="60">
        <v>0</v>
      </c>
      <c r="AM1231" s="60">
        <v>0</v>
      </c>
      <c r="AN1231" s="60">
        <v>0</v>
      </c>
      <c r="AO1231" s="60">
        <v>306.2</v>
      </c>
      <c r="AP1231" s="60">
        <v>289.44</v>
      </c>
      <c r="AQ1231" s="60">
        <v>0</v>
      </c>
      <c r="AR1231" s="61">
        <v>306.2</v>
      </c>
    </row>
    <row r="1232" spans="1:44" x14ac:dyDescent="0.35">
      <c r="A1232" s="49" t="str">
        <f>TEXT(15,"00")</f>
        <v>15</v>
      </c>
      <c r="B1232" s="27">
        <v>63628</v>
      </c>
      <c r="C1232" s="25" t="str">
        <f>TEXT(128504,"0000000")</f>
        <v>0128504</v>
      </c>
      <c r="D1232" s="27">
        <v>1575</v>
      </c>
      <c r="E1232" s="25" t="s">
        <v>703</v>
      </c>
      <c r="F1232" s="25" t="s">
        <v>5</v>
      </c>
      <c r="G1232" s="59" t="s">
        <v>704</v>
      </c>
      <c r="H1232" s="60">
        <v>0</v>
      </c>
      <c r="I1232" s="60">
        <v>0</v>
      </c>
      <c r="J1232" s="60">
        <v>0</v>
      </c>
      <c r="K1232" s="60">
        <v>0</v>
      </c>
      <c r="L1232" s="60">
        <v>0</v>
      </c>
      <c r="M1232" s="60">
        <v>0</v>
      </c>
      <c r="N1232" s="60">
        <v>0</v>
      </c>
      <c r="O1232" s="60">
        <v>0</v>
      </c>
      <c r="P1232" s="60">
        <v>0</v>
      </c>
      <c r="Q1232" s="60">
        <v>0</v>
      </c>
      <c r="R1232" s="60">
        <v>0</v>
      </c>
      <c r="S1232" s="60">
        <v>0</v>
      </c>
      <c r="T1232" s="60">
        <v>0</v>
      </c>
      <c r="U1232" s="60">
        <v>0</v>
      </c>
      <c r="V1232" s="60">
        <v>0</v>
      </c>
      <c r="W1232" s="60">
        <v>0</v>
      </c>
      <c r="X1232" s="60">
        <v>0</v>
      </c>
      <c r="Y1232" s="60">
        <v>0</v>
      </c>
      <c r="Z1232" s="60">
        <v>0</v>
      </c>
      <c r="AA1232" s="60">
        <v>0</v>
      </c>
      <c r="AB1232" s="60">
        <v>0</v>
      </c>
      <c r="AC1232" s="60">
        <v>49.25</v>
      </c>
      <c r="AD1232" s="60">
        <v>46.51</v>
      </c>
      <c r="AE1232" s="60">
        <v>64.5</v>
      </c>
      <c r="AF1232" s="60">
        <v>0</v>
      </c>
      <c r="AG1232" s="60">
        <v>0</v>
      </c>
      <c r="AH1232" s="60">
        <v>0</v>
      </c>
      <c r="AI1232" s="60">
        <v>49.25</v>
      </c>
      <c r="AJ1232" s="60">
        <v>46.51</v>
      </c>
      <c r="AK1232" s="60">
        <v>64.5</v>
      </c>
      <c r="AL1232" s="60">
        <v>0</v>
      </c>
      <c r="AM1232" s="60">
        <v>0</v>
      </c>
      <c r="AN1232" s="60">
        <v>0</v>
      </c>
      <c r="AO1232" s="60">
        <v>49.25</v>
      </c>
      <c r="AP1232" s="60">
        <v>46.51</v>
      </c>
      <c r="AQ1232" s="60">
        <v>64.5</v>
      </c>
      <c r="AR1232" s="61">
        <v>64.5</v>
      </c>
    </row>
    <row r="1233" spans="1:44" x14ac:dyDescent="0.35">
      <c r="A1233" s="49" t="str">
        <f>TEXT(15,"00")</f>
        <v>15</v>
      </c>
      <c r="B1233" s="27">
        <v>63628</v>
      </c>
      <c r="C1233" s="25" t="str">
        <f>TEXT(137687,"0000000")</f>
        <v>0137687</v>
      </c>
      <c r="D1233" s="27">
        <v>1490</v>
      </c>
      <c r="E1233" s="25" t="s">
        <v>707</v>
      </c>
      <c r="F1233" s="25" t="s">
        <v>5</v>
      </c>
      <c r="G1233" s="59" t="s">
        <v>708</v>
      </c>
      <c r="H1233" s="60">
        <v>0</v>
      </c>
      <c r="I1233" s="60">
        <v>0</v>
      </c>
      <c r="J1233" s="60">
        <v>0</v>
      </c>
      <c r="K1233" s="60">
        <v>0</v>
      </c>
      <c r="L1233" s="60">
        <v>0</v>
      </c>
      <c r="M1233" s="60">
        <v>0</v>
      </c>
      <c r="N1233" s="60">
        <v>0</v>
      </c>
      <c r="O1233" s="60">
        <v>0</v>
      </c>
      <c r="P1233" s="60">
        <v>0</v>
      </c>
      <c r="Q1233" s="60">
        <v>0</v>
      </c>
      <c r="R1233" s="60">
        <v>0</v>
      </c>
      <c r="S1233" s="60">
        <v>0</v>
      </c>
      <c r="T1233" s="60">
        <v>0</v>
      </c>
      <c r="U1233" s="60">
        <v>0</v>
      </c>
      <c r="V1233" s="60">
        <v>0</v>
      </c>
      <c r="W1233" s="60">
        <v>0</v>
      </c>
      <c r="X1233" s="60">
        <v>0</v>
      </c>
      <c r="Y1233" s="60">
        <v>0</v>
      </c>
      <c r="Z1233" s="60">
        <v>0</v>
      </c>
      <c r="AA1233" s="60">
        <v>0</v>
      </c>
      <c r="AB1233" s="60">
        <v>0</v>
      </c>
      <c r="AC1233" s="60">
        <v>1116.0899999999999</v>
      </c>
      <c r="AD1233" s="60">
        <v>949.47</v>
      </c>
      <c r="AE1233" s="60">
        <v>0</v>
      </c>
      <c r="AF1233" s="60">
        <v>0</v>
      </c>
      <c r="AG1233" s="60">
        <v>0</v>
      </c>
      <c r="AH1233" s="60">
        <v>0</v>
      </c>
      <c r="AI1233" s="60">
        <v>1116.0899999999999</v>
      </c>
      <c r="AJ1233" s="60">
        <v>949.47</v>
      </c>
      <c r="AK1233" s="60">
        <v>0</v>
      </c>
      <c r="AL1233" s="60">
        <v>0</v>
      </c>
      <c r="AM1233" s="60">
        <v>0</v>
      </c>
      <c r="AN1233" s="60">
        <v>0</v>
      </c>
      <c r="AO1233" s="60">
        <v>1116.0899999999999</v>
      </c>
      <c r="AP1233" s="60">
        <v>949.47</v>
      </c>
      <c r="AQ1233" s="60">
        <v>0</v>
      </c>
      <c r="AR1233" s="61">
        <v>1116.0899999999999</v>
      </c>
    </row>
    <row r="1234" spans="1:44" x14ac:dyDescent="0.35">
      <c r="A1234" s="49" t="str">
        <f>TEXT(16,"00")</f>
        <v>16</v>
      </c>
      <c r="B1234" s="27">
        <v>63875</v>
      </c>
      <c r="C1234" s="25" t="str">
        <f>TEXT(112698,"0000000")</f>
        <v>0112698</v>
      </c>
      <c r="D1234" s="26" t="s">
        <v>759</v>
      </c>
      <c r="E1234" s="25" t="s">
        <v>757</v>
      </c>
      <c r="F1234" s="25" t="s">
        <v>5</v>
      </c>
      <c r="G1234" s="59" t="s">
        <v>758</v>
      </c>
      <c r="H1234" s="60">
        <v>0</v>
      </c>
      <c r="I1234" s="60">
        <v>0</v>
      </c>
      <c r="J1234" s="60">
        <v>0</v>
      </c>
      <c r="K1234" s="60">
        <v>0</v>
      </c>
      <c r="L1234" s="60">
        <v>0</v>
      </c>
      <c r="M1234" s="60">
        <v>0</v>
      </c>
      <c r="N1234" s="60">
        <v>0</v>
      </c>
      <c r="O1234" s="60">
        <v>0</v>
      </c>
      <c r="P1234" s="60">
        <v>0</v>
      </c>
      <c r="Q1234" s="60">
        <v>0</v>
      </c>
      <c r="R1234" s="60">
        <v>0</v>
      </c>
      <c r="S1234" s="60">
        <v>0</v>
      </c>
      <c r="T1234" s="60">
        <v>0</v>
      </c>
      <c r="U1234" s="60">
        <v>0</v>
      </c>
      <c r="V1234" s="60">
        <v>0</v>
      </c>
      <c r="W1234" s="60">
        <v>0</v>
      </c>
      <c r="X1234" s="60">
        <v>0</v>
      </c>
      <c r="Y1234" s="60">
        <v>0</v>
      </c>
      <c r="Z1234" s="60">
        <v>0</v>
      </c>
      <c r="AA1234" s="60">
        <v>0</v>
      </c>
      <c r="AB1234" s="60">
        <v>0</v>
      </c>
      <c r="AC1234" s="60">
        <v>529.45000000000005</v>
      </c>
      <c r="AD1234" s="60">
        <v>549.82000000000005</v>
      </c>
      <c r="AE1234" s="60">
        <v>360.24</v>
      </c>
      <c r="AF1234" s="60">
        <v>0</v>
      </c>
      <c r="AG1234" s="60">
        <v>0</v>
      </c>
      <c r="AH1234" s="60">
        <v>0</v>
      </c>
      <c r="AI1234" s="60">
        <v>529.45000000000005</v>
      </c>
      <c r="AJ1234" s="60">
        <v>549.82000000000005</v>
      </c>
      <c r="AK1234" s="60">
        <v>360.24</v>
      </c>
      <c r="AL1234" s="60">
        <v>0</v>
      </c>
      <c r="AM1234" s="60">
        <v>0</v>
      </c>
      <c r="AN1234" s="60">
        <v>0</v>
      </c>
      <c r="AO1234" s="60">
        <v>529.45000000000005</v>
      </c>
      <c r="AP1234" s="60">
        <v>549.82000000000005</v>
      </c>
      <c r="AQ1234" s="60">
        <v>360.24</v>
      </c>
      <c r="AR1234" s="61">
        <v>549.82000000000005</v>
      </c>
    </row>
    <row r="1235" spans="1:44" x14ac:dyDescent="0.35">
      <c r="A1235" s="49" t="str">
        <f>TEXT(17,"00")</f>
        <v>17</v>
      </c>
      <c r="B1235" s="27">
        <v>64055</v>
      </c>
      <c r="C1235" s="25" t="str">
        <f>TEXT(129601,"0000000")</f>
        <v>0129601</v>
      </c>
      <c r="D1235" s="27">
        <v>1653</v>
      </c>
      <c r="E1235" s="25" t="s">
        <v>797</v>
      </c>
      <c r="F1235" s="25" t="s">
        <v>5</v>
      </c>
      <c r="G1235" s="59" t="s">
        <v>798</v>
      </c>
      <c r="H1235" s="60">
        <v>0</v>
      </c>
      <c r="I1235" s="60">
        <v>0</v>
      </c>
      <c r="J1235" s="60">
        <v>0</v>
      </c>
      <c r="K1235" s="60">
        <v>0</v>
      </c>
      <c r="L1235" s="60">
        <v>0</v>
      </c>
      <c r="M1235" s="60">
        <v>0</v>
      </c>
      <c r="N1235" s="60">
        <v>0</v>
      </c>
      <c r="O1235" s="60">
        <v>0</v>
      </c>
      <c r="P1235" s="60">
        <v>0</v>
      </c>
      <c r="Q1235" s="60">
        <v>0</v>
      </c>
      <c r="R1235" s="60">
        <v>0</v>
      </c>
      <c r="S1235" s="60">
        <v>0</v>
      </c>
      <c r="T1235" s="60">
        <v>0</v>
      </c>
      <c r="U1235" s="60">
        <v>0</v>
      </c>
      <c r="V1235" s="60">
        <v>0</v>
      </c>
      <c r="W1235" s="60">
        <v>0</v>
      </c>
      <c r="X1235" s="60">
        <v>0</v>
      </c>
      <c r="Y1235" s="60">
        <v>0</v>
      </c>
      <c r="Z1235" s="60">
        <v>0</v>
      </c>
      <c r="AA1235" s="60">
        <v>0</v>
      </c>
      <c r="AB1235" s="60">
        <v>0</v>
      </c>
      <c r="AC1235" s="60">
        <v>141.25</v>
      </c>
      <c r="AD1235" s="60">
        <v>159.91</v>
      </c>
      <c r="AE1235" s="60">
        <v>181.36</v>
      </c>
      <c r="AF1235" s="60">
        <v>0</v>
      </c>
      <c r="AG1235" s="60">
        <v>0</v>
      </c>
      <c r="AH1235" s="60">
        <v>0</v>
      </c>
      <c r="AI1235" s="60">
        <v>141.25</v>
      </c>
      <c r="AJ1235" s="60">
        <v>159.91</v>
      </c>
      <c r="AK1235" s="60">
        <v>181.36</v>
      </c>
      <c r="AL1235" s="60">
        <v>0</v>
      </c>
      <c r="AM1235" s="60">
        <v>0</v>
      </c>
      <c r="AN1235" s="60">
        <v>0</v>
      </c>
      <c r="AO1235" s="60">
        <v>141.25</v>
      </c>
      <c r="AP1235" s="60">
        <v>159.91</v>
      </c>
      <c r="AQ1235" s="60">
        <v>181.36</v>
      </c>
      <c r="AR1235" s="61">
        <v>181.36</v>
      </c>
    </row>
    <row r="1236" spans="1:44" ht="31" x14ac:dyDescent="0.35">
      <c r="A1236" s="49" t="str">
        <f t="shared" ref="A1236:A1242" si="102">TEXT(19,"00")</f>
        <v>19</v>
      </c>
      <c r="B1236" s="27">
        <v>10199</v>
      </c>
      <c r="C1236" s="25" t="str">
        <f>TEXT(100776,"0000000")</f>
        <v>0100776</v>
      </c>
      <c r="D1236" s="26" t="s">
        <v>831</v>
      </c>
      <c r="E1236" s="25" t="s">
        <v>829</v>
      </c>
      <c r="F1236" s="25" t="s">
        <v>5</v>
      </c>
      <c r="G1236" s="59" t="s">
        <v>830</v>
      </c>
      <c r="H1236" s="60">
        <v>0</v>
      </c>
      <c r="I1236" s="60">
        <v>0</v>
      </c>
      <c r="J1236" s="60">
        <v>0</v>
      </c>
      <c r="K1236" s="60">
        <v>0</v>
      </c>
      <c r="L1236" s="60">
        <v>0</v>
      </c>
      <c r="M1236" s="60">
        <v>0</v>
      </c>
      <c r="N1236" s="60">
        <v>0</v>
      </c>
      <c r="O1236" s="60">
        <v>0</v>
      </c>
      <c r="P1236" s="60">
        <v>0</v>
      </c>
      <c r="Q1236" s="60">
        <v>0</v>
      </c>
      <c r="R1236" s="60">
        <v>0</v>
      </c>
      <c r="S1236" s="60">
        <v>0</v>
      </c>
      <c r="T1236" s="60">
        <v>0</v>
      </c>
      <c r="U1236" s="60">
        <v>0</v>
      </c>
      <c r="V1236" s="60">
        <v>0</v>
      </c>
      <c r="W1236" s="60">
        <v>0</v>
      </c>
      <c r="X1236" s="60">
        <v>0</v>
      </c>
      <c r="Y1236" s="60">
        <v>0</v>
      </c>
      <c r="Z1236" s="60">
        <v>0</v>
      </c>
      <c r="AA1236" s="60">
        <v>0</v>
      </c>
      <c r="AB1236" s="60">
        <v>0</v>
      </c>
      <c r="AC1236" s="60">
        <v>760.27</v>
      </c>
      <c r="AD1236" s="60">
        <v>698.52</v>
      </c>
      <c r="AE1236" s="60">
        <v>681.5</v>
      </c>
      <c r="AF1236" s="60">
        <v>0</v>
      </c>
      <c r="AG1236" s="60">
        <v>0</v>
      </c>
      <c r="AH1236" s="60">
        <v>0</v>
      </c>
      <c r="AI1236" s="60">
        <v>760.27</v>
      </c>
      <c r="AJ1236" s="60">
        <v>698.52</v>
      </c>
      <c r="AK1236" s="60">
        <v>681.5</v>
      </c>
      <c r="AL1236" s="60">
        <v>0</v>
      </c>
      <c r="AM1236" s="60">
        <v>0</v>
      </c>
      <c r="AN1236" s="60">
        <v>0</v>
      </c>
      <c r="AO1236" s="60">
        <v>760.27</v>
      </c>
      <c r="AP1236" s="60">
        <v>698.52</v>
      </c>
      <c r="AQ1236" s="60">
        <v>681.5</v>
      </c>
      <c r="AR1236" s="61">
        <v>760.27</v>
      </c>
    </row>
    <row r="1237" spans="1:44" x14ac:dyDescent="0.35">
      <c r="A1237" s="49" t="str">
        <f t="shared" si="102"/>
        <v>19</v>
      </c>
      <c r="B1237" s="27">
        <v>10199</v>
      </c>
      <c r="C1237" s="25" t="str">
        <f>TEXT(109660,"0000000")</f>
        <v>0109660</v>
      </c>
      <c r="D1237" s="26" t="s">
        <v>837</v>
      </c>
      <c r="E1237" s="25" t="s">
        <v>835</v>
      </c>
      <c r="F1237" s="25" t="s">
        <v>5</v>
      </c>
      <c r="G1237" s="59" t="s">
        <v>836</v>
      </c>
      <c r="H1237" s="60">
        <v>0</v>
      </c>
      <c r="I1237" s="60">
        <v>0</v>
      </c>
      <c r="J1237" s="60">
        <v>0</v>
      </c>
      <c r="K1237" s="60">
        <v>0</v>
      </c>
      <c r="L1237" s="60">
        <v>0</v>
      </c>
      <c r="M1237" s="60">
        <v>0</v>
      </c>
      <c r="N1237" s="60">
        <v>0</v>
      </c>
      <c r="O1237" s="60">
        <v>0</v>
      </c>
      <c r="P1237" s="60">
        <v>0</v>
      </c>
      <c r="Q1237" s="60">
        <v>0</v>
      </c>
      <c r="R1237" s="60">
        <v>0</v>
      </c>
      <c r="S1237" s="60">
        <v>0</v>
      </c>
      <c r="T1237" s="60">
        <v>0</v>
      </c>
      <c r="U1237" s="60">
        <v>0</v>
      </c>
      <c r="V1237" s="60">
        <v>0</v>
      </c>
      <c r="W1237" s="60">
        <v>0</v>
      </c>
      <c r="X1237" s="60">
        <v>0</v>
      </c>
      <c r="Y1237" s="60">
        <v>0</v>
      </c>
      <c r="Z1237" s="60">
        <v>0</v>
      </c>
      <c r="AA1237" s="60">
        <v>0</v>
      </c>
      <c r="AB1237" s="60">
        <v>0</v>
      </c>
      <c r="AC1237" s="60">
        <v>382.3</v>
      </c>
      <c r="AD1237" s="60">
        <v>366.54</v>
      </c>
      <c r="AE1237" s="60">
        <v>408.69</v>
      </c>
      <c r="AF1237" s="60">
        <v>0</v>
      </c>
      <c r="AG1237" s="60">
        <v>0</v>
      </c>
      <c r="AH1237" s="60">
        <v>0</v>
      </c>
      <c r="AI1237" s="60">
        <v>382.3</v>
      </c>
      <c r="AJ1237" s="60">
        <v>366.54</v>
      </c>
      <c r="AK1237" s="60">
        <v>408.69</v>
      </c>
      <c r="AL1237" s="60">
        <v>0</v>
      </c>
      <c r="AM1237" s="60">
        <v>0</v>
      </c>
      <c r="AN1237" s="60">
        <v>0</v>
      </c>
      <c r="AO1237" s="60">
        <v>382.3</v>
      </c>
      <c r="AP1237" s="60">
        <v>366.54</v>
      </c>
      <c r="AQ1237" s="60">
        <v>408.69</v>
      </c>
      <c r="AR1237" s="61">
        <v>408.69</v>
      </c>
    </row>
    <row r="1238" spans="1:44" x14ac:dyDescent="0.35">
      <c r="A1238" s="49" t="str">
        <f t="shared" si="102"/>
        <v>19</v>
      </c>
      <c r="B1238" s="27">
        <v>10199</v>
      </c>
      <c r="C1238" s="25" t="str">
        <f>TEXT(112128,"0000000")</f>
        <v>0112128</v>
      </c>
      <c r="D1238" s="26" t="s">
        <v>840</v>
      </c>
      <c r="E1238" s="25" t="s">
        <v>838</v>
      </c>
      <c r="F1238" s="25" t="s">
        <v>5</v>
      </c>
      <c r="G1238" s="59" t="s">
        <v>839</v>
      </c>
      <c r="H1238" s="60">
        <v>0</v>
      </c>
      <c r="I1238" s="60">
        <v>0</v>
      </c>
      <c r="J1238" s="60">
        <v>0</v>
      </c>
      <c r="K1238" s="60">
        <v>0</v>
      </c>
      <c r="L1238" s="60">
        <v>0</v>
      </c>
      <c r="M1238" s="60">
        <v>0</v>
      </c>
      <c r="N1238" s="60">
        <v>0</v>
      </c>
      <c r="O1238" s="60">
        <v>0</v>
      </c>
      <c r="P1238" s="60">
        <v>0</v>
      </c>
      <c r="Q1238" s="60">
        <v>0</v>
      </c>
      <c r="R1238" s="60">
        <v>0</v>
      </c>
      <c r="S1238" s="60">
        <v>0</v>
      </c>
      <c r="T1238" s="60">
        <v>0</v>
      </c>
      <c r="U1238" s="60">
        <v>0</v>
      </c>
      <c r="V1238" s="60">
        <v>0</v>
      </c>
      <c r="W1238" s="60">
        <v>0</v>
      </c>
      <c r="X1238" s="60">
        <v>0</v>
      </c>
      <c r="Y1238" s="60">
        <v>0</v>
      </c>
      <c r="Z1238" s="60">
        <v>0</v>
      </c>
      <c r="AA1238" s="60">
        <v>0</v>
      </c>
      <c r="AB1238" s="60">
        <v>0</v>
      </c>
      <c r="AC1238" s="60">
        <v>511.05</v>
      </c>
      <c r="AD1238" s="60">
        <v>510.06</v>
      </c>
      <c r="AE1238" s="60">
        <v>532.16</v>
      </c>
      <c r="AF1238" s="60">
        <v>0</v>
      </c>
      <c r="AG1238" s="60">
        <v>0</v>
      </c>
      <c r="AH1238" s="60">
        <v>0</v>
      </c>
      <c r="AI1238" s="60">
        <v>511.05</v>
      </c>
      <c r="AJ1238" s="60">
        <v>510.06</v>
      </c>
      <c r="AK1238" s="60">
        <v>532.16</v>
      </c>
      <c r="AL1238" s="60">
        <v>0</v>
      </c>
      <c r="AM1238" s="60">
        <v>0</v>
      </c>
      <c r="AN1238" s="60">
        <v>0</v>
      </c>
      <c r="AO1238" s="60">
        <v>511.05</v>
      </c>
      <c r="AP1238" s="60">
        <v>510.06</v>
      </c>
      <c r="AQ1238" s="60">
        <v>532.16</v>
      </c>
      <c r="AR1238" s="61">
        <v>532.16</v>
      </c>
    </row>
    <row r="1239" spans="1:44" x14ac:dyDescent="0.35">
      <c r="A1239" s="49" t="str">
        <f t="shared" si="102"/>
        <v>19</v>
      </c>
      <c r="B1239" s="27">
        <v>10199</v>
      </c>
      <c r="C1239" s="25" t="str">
        <f>TEXT(115030,"0000000")</f>
        <v>0115030</v>
      </c>
      <c r="D1239" s="26" t="s">
        <v>843</v>
      </c>
      <c r="E1239" s="25" t="s">
        <v>841</v>
      </c>
      <c r="F1239" s="25" t="s">
        <v>5</v>
      </c>
      <c r="G1239" s="59" t="s">
        <v>842</v>
      </c>
      <c r="H1239" s="60">
        <v>0</v>
      </c>
      <c r="I1239" s="60">
        <v>0</v>
      </c>
      <c r="J1239" s="60">
        <v>0</v>
      </c>
      <c r="K1239" s="60">
        <v>0</v>
      </c>
      <c r="L1239" s="60">
        <v>0</v>
      </c>
      <c r="M1239" s="60">
        <v>0</v>
      </c>
      <c r="N1239" s="60">
        <v>0</v>
      </c>
      <c r="O1239" s="60">
        <v>0</v>
      </c>
      <c r="P1239" s="60">
        <v>0</v>
      </c>
      <c r="Q1239" s="60">
        <v>0</v>
      </c>
      <c r="R1239" s="60">
        <v>0</v>
      </c>
      <c r="S1239" s="60">
        <v>0</v>
      </c>
      <c r="T1239" s="60">
        <v>0</v>
      </c>
      <c r="U1239" s="60">
        <v>0</v>
      </c>
      <c r="V1239" s="60">
        <v>0</v>
      </c>
      <c r="W1239" s="60">
        <v>0</v>
      </c>
      <c r="X1239" s="60">
        <v>0</v>
      </c>
      <c r="Y1239" s="60">
        <v>0</v>
      </c>
      <c r="Z1239" s="60">
        <v>0</v>
      </c>
      <c r="AA1239" s="60">
        <v>0</v>
      </c>
      <c r="AB1239" s="60">
        <v>0</v>
      </c>
      <c r="AC1239" s="60">
        <v>339.62</v>
      </c>
      <c r="AD1239" s="60">
        <v>354.62</v>
      </c>
      <c r="AE1239" s="60">
        <v>468.14</v>
      </c>
      <c r="AF1239" s="60">
        <v>0</v>
      </c>
      <c r="AG1239" s="60">
        <v>0</v>
      </c>
      <c r="AH1239" s="60">
        <v>0</v>
      </c>
      <c r="AI1239" s="60">
        <v>339.62</v>
      </c>
      <c r="AJ1239" s="60">
        <v>354.62</v>
      </c>
      <c r="AK1239" s="60">
        <v>468.14</v>
      </c>
      <c r="AL1239" s="60">
        <v>0</v>
      </c>
      <c r="AM1239" s="60">
        <v>0</v>
      </c>
      <c r="AN1239" s="60">
        <v>0</v>
      </c>
      <c r="AO1239" s="60">
        <v>339.62</v>
      </c>
      <c r="AP1239" s="60">
        <v>354.62</v>
      </c>
      <c r="AQ1239" s="60">
        <v>468.14</v>
      </c>
      <c r="AR1239" s="61">
        <v>468.14</v>
      </c>
    </row>
    <row r="1240" spans="1:44" x14ac:dyDescent="0.35">
      <c r="A1240" s="49" t="str">
        <f t="shared" si="102"/>
        <v>19</v>
      </c>
      <c r="B1240" s="27">
        <v>10199</v>
      </c>
      <c r="C1240" s="25" t="str">
        <f>TEXT(115212,"0000000")</f>
        <v>0115212</v>
      </c>
      <c r="D1240" s="26" t="s">
        <v>846</v>
      </c>
      <c r="E1240" s="25" t="s">
        <v>844</v>
      </c>
      <c r="F1240" s="25" t="s">
        <v>5</v>
      </c>
      <c r="G1240" s="59" t="s">
        <v>845</v>
      </c>
      <c r="H1240" s="60">
        <v>0</v>
      </c>
      <c r="I1240" s="60">
        <v>0</v>
      </c>
      <c r="J1240" s="60">
        <v>0</v>
      </c>
      <c r="K1240" s="60">
        <v>0</v>
      </c>
      <c r="L1240" s="60">
        <v>0</v>
      </c>
      <c r="M1240" s="60">
        <v>0</v>
      </c>
      <c r="N1240" s="60">
        <v>0</v>
      </c>
      <c r="O1240" s="60">
        <v>0</v>
      </c>
      <c r="P1240" s="60">
        <v>0</v>
      </c>
      <c r="Q1240" s="60">
        <v>0</v>
      </c>
      <c r="R1240" s="60">
        <v>0</v>
      </c>
      <c r="S1240" s="60">
        <v>0</v>
      </c>
      <c r="T1240" s="60">
        <v>0</v>
      </c>
      <c r="U1240" s="60">
        <v>0</v>
      </c>
      <c r="V1240" s="60">
        <v>0</v>
      </c>
      <c r="W1240" s="60">
        <v>0</v>
      </c>
      <c r="X1240" s="60">
        <v>0</v>
      </c>
      <c r="Y1240" s="60">
        <v>0</v>
      </c>
      <c r="Z1240" s="60">
        <v>0</v>
      </c>
      <c r="AA1240" s="60">
        <v>0</v>
      </c>
      <c r="AB1240" s="60">
        <v>0</v>
      </c>
      <c r="AC1240" s="60">
        <v>473.23</v>
      </c>
      <c r="AD1240" s="60">
        <v>462.22</v>
      </c>
      <c r="AE1240" s="60">
        <v>419.36</v>
      </c>
      <c r="AF1240" s="60">
        <v>0</v>
      </c>
      <c r="AG1240" s="60">
        <v>0</v>
      </c>
      <c r="AH1240" s="60">
        <v>0</v>
      </c>
      <c r="AI1240" s="60">
        <v>473.23</v>
      </c>
      <c r="AJ1240" s="60">
        <v>462.22</v>
      </c>
      <c r="AK1240" s="60">
        <v>419.36</v>
      </c>
      <c r="AL1240" s="60">
        <v>0</v>
      </c>
      <c r="AM1240" s="60">
        <v>0</v>
      </c>
      <c r="AN1240" s="60">
        <v>0</v>
      </c>
      <c r="AO1240" s="60">
        <v>473.23</v>
      </c>
      <c r="AP1240" s="60">
        <v>462.22</v>
      </c>
      <c r="AQ1240" s="60">
        <v>419.36</v>
      </c>
      <c r="AR1240" s="61">
        <v>473.23</v>
      </c>
    </row>
    <row r="1241" spans="1:44" x14ac:dyDescent="0.35">
      <c r="A1241" s="49" t="str">
        <f t="shared" si="102"/>
        <v>19</v>
      </c>
      <c r="B1241" s="27">
        <v>10199</v>
      </c>
      <c r="C1241" s="25" t="str">
        <f>TEXT(121772,"0000000")</f>
        <v>0121772</v>
      </c>
      <c r="D1241" s="27">
        <v>1204</v>
      </c>
      <c r="E1241" s="25" t="s">
        <v>847</v>
      </c>
      <c r="F1241" s="25" t="s">
        <v>5</v>
      </c>
      <c r="G1241" s="59" t="s">
        <v>848</v>
      </c>
      <c r="H1241" s="60">
        <v>0</v>
      </c>
      <c r="I1241" s="60">
        <v>0</v>
      </c>
      <c r="J1241" s="60">
        <v>0</v>
      </c>
      <c r="K1241" s="60">
        <v>0</v>
      </c>
      <c r="L1241" s="60">
        <v>0</v>
      </c>
      <c r="M1241" s="60">
        <v>0</v>
      </c>
      <c r="N1241" s="60">
        <v>0</v>
      </c>
      <c r="O1241" s="60">
        <v>0</v>
      </c>
      <c r="P1241" s="60">
        <v>0</v>
      </c>
      <c r="Q1241" s="60">
        <v>0</v>
      </c>
      <c r="R1241" s="60">
        <v>0</v>
      </c>
      <c r="S1241" s="60">
        <v>0</v>
      </c>
      <c r="T1241" s="60">
        <v>0</v>
      </c>
      <c r="U1241" s="60">
        <v>0</v>
      </c>
      <c r="V1241" s="60">
        <v>0</v>
      </c>
      <c r="W1241" s="60">
        <v>0</v>
      </c>
      <c r="X1241" s="60">
        <v>0</v>
      </c>
      <c r="Y1241" s="60">
        <v>0</v>
      </c>
      <c r="Z1241" s="60">
        <v>0</v>
      </c>
      <c r="AA1241" s="60">
        <v>0</v>
      </c>
      <c r="AB1241" s="60">
        <v>0</v>
      </c>
      <c r="AC1241" s="60">
        <v>328.5</v>
      </c>
      <c r="AD1241" s="60">
        <v>318.41000000000003</v>
      </c>
      <c r="AE1241" s="60">
        <v>339.43</v>
      </c>
      <c r="AF1241" s="60">
        <v>0</v>
      </c>
      <c r="AG1241" s="60">
        <v>0</v>
      </c>
      <c r="AH1241" s="60">
        <v>0</v>
      </c>
      <c r="AI1241" s="60">
        <v>328.5</v>
      </c>
      <c r="AJ1241" s="60">
        <v>318.41000000000003</v>
      </c>
      <c r="AK1241" s="60">
        <v>339.43</v>
      </c>
      <c r="AL1241" s="60">
        <v>0</v>
      </c>
      <c r="AM1241" s="60">
        <v>0</v>
      </c>
      <c r="AN1241" s="60">
        <v>0</v>
      </c>
      <c r="AO1241" s="60">
        <v>328.5</v>
      </c>
      <c r="AP1241" s="60">
        <v>318.41000000000003</v>
      </c>
      <c r="AQ1241" s="60">
        <v>339.43</v>
      </c>
      <c r="AR1241" s="61">
        <v>339.43</v>
      </c>
    </row>
    <row r="1242" spans="1:44" x14ac:dyDescent="0.35">
      <c r="A1242" s="49" t="str">
        <f t="shared" si="102"/>
        <v>19</v>
      </c>
      <c r="B1242" s="27">
        <v>10199</v>
      </c>
      <c r="C1242" s="25" t="str">
        <f>TEXT(127498,"0000000")</f>
        <v>0127498</v>
      </c>
      <c r="D1242" s="27">
        <v>1501</v>
      </c>
      <c r="E1242" s="25" t="s">
        <v>849</v>
      </c>
      <c r="F1242" s="25" t="s">
        <v>5</v>
      </c>
      <c r="G1242" s="59" t="s">
        <v>850</v>
      </c>
      <c r="H1242" s="60">
        <v>0</v>
      </c>
      <c r="I1242" s="60">
        <v>0</v>
      </c>
      <c r="J1242" s="60">
        <v>0</v>
      </c>
      <c r="K1242" s="60">
        <v>0</v>
      </c>
      <c r="L1242" s="60">
        <v>0</v>
      </c>
      <c r="M1242" s="60">
        <v>0</v>
      </c>
      <c r="N1242" s="60">
        <v>0</v>
      </c>
      <c r="O1242" s="60">
        <v>0</v>
      </c>
      <c r="P1242" s="60">
        <v>0</v>
      </c>
      <c r="Q1242" s="60">
        <v>0</v>
      </c>
      <c r="R1242" s="60">
        <v>0</v>
      </c>
      <c r="S1242" s="60">
        <v>0</v>
      </c>
      <c r="T1242" s="60">
        <v>0</v>
      </c>
      <c r="U1242" s="60">
        <v>0</v>
      </c>
      <c r="V1242" s="60">
        <v>0</v>
      </c>
      <c r="W1242" s="60">
        <v>0</v>
      </c>
      <c r="X1242" s="60">
        <v>0</v>
      </c>
      <c r="Y1242" s="60">
        <v>0</v>
      </c>
      <c r="Z1242" s="60">
        <v>0</v>
      </c>
      <c r="AA1242" s="60">
        <v>0</v>
      </c>
      <c r="AB1242" s="60">
        <v>0</v>
      </c>
      <c r="AC1242" s="60">
        <v>334.8</v>
      </c>
      <c r="AD1242" s="60">
        <v>324.36</v>
      </c>
      <c r="AE1242" s="60">
        <v>348.87</v>
      </c>
      <c r="AF1242" s="60">
        <v>0</v>
      </c>
      <c r="AG1242" s="60">
        <v>0</v>
      </c>
      <c r="AH1242" s="60">
        <v>0</v>
      </c>
      <c r="AI1242" s="60">
        <v>334.8</v>
      </c>
      <c r="AJ1242" s="60">
        <v>324.36</v>
      </c>
      <c r="AK1242" s="60">
        <v>348.87</v>
      </c>
      <c r="AL1242" s="60">
        <v>0</v>
      </c>
      <c r="AM1242" s="60">
        <v>0</v>
      </c>
      <c r="AN1242" s="60">
        <v>0</v>
      </c>
      <c r="AO1242" s="60">
        <v>334.8</v>
      </c>
      <c r="AP1242" s="60">
        <v>324.36</v>
      </c>
      <c r="AQ1242" s="60">
        <v>348.87</v>
      </c>
      <c r="AR1242" s="61">
        <v>348.87</v>
      </c>
    </row>
    <row r="1243" spans="1:44" x14ac:dyDescent="0.35">
      <c r="A1243" s="49" t="str">
        <f>TEXT(33,"00")</f>
        <v>33</v>
      </c>
      <c r="B1243" s="27">
        <v>67033</v>
      </c>
      <c r="C1243" s="25" t="str">
        <f>TEXT(,"0000000")</f>
        <v>0000000</v>
      </c>
      <c r="D1243" s="26" t="s">
        <v>3663</v>
      </c>
      <c r="E1243" s="25" t="s">
        <v>1730</v>
      </c>
      <c r="F1243" s="25" t="s">
        <v>1731</v>
      </c>
      <c r="G1243" s="59" t="s">
        <v>1731</v>
      </c>
      <c r="H1243" s="60">
        <v>47612.68</v>
      </c>
      <c r="I1243" s="60">
        <v>45976.99</v>
      </c>
      <c r="J1243" s="60">
        <v>50642.48</v>
      </c>
      <c r="K1243" s="60">
        <v>0</v>
      </c>
      <c r="L1243" s="60">
        <v>0</v>
      </c>
      <c r="M1243" s="60">
        <v>0</v>
      </c>
      <c r="N1243" s="60">
        <v>0</v>
      </c>
      <c r="O1243" s="60">
        <v>0</v>
      </c>
      <c r="P1243" s="60">
        <v>0</v>
      </c>
      <c r="Q1243" s="60">
        <v>0</v>
      </c>
      <c r="R1243" s="60">
        <v>0</v>
      </c>
      <c r="S1243" s="60">
        <v>0</v>
      </c>
      <c r="T1243" s="60">
        <v>0</v>
      </c>
      <c r="U1243" s="60">
        <v>0</v>
      </c>
      <c r="V1243" s="60">
        <v>0</v>
      </c>
      <c r="W1243" s="60">
        <v>0</v>
      </c>
      <c r="X1243" s="60">
        <v>0</v>
      </c>
      <c r="Y1243" s="60">
        <v>0</v>
      </c>
      <c r="Z1243" s="60">
        <v>0</v>
      </c>
      <c r="AA1243" s="60">
        <v>0</v>
      </c>
      <c r="AB1243" s="60">
        <v>0</v>
      </c>
      <c r="AC1243" s="60">
        <v>0</v>
      </c>
      <c r="AD1243" s="60">
        <v>0</v>
      </c>
      <c r="AE1243" s="60">
        <v>0</v>
      </c>
      <c r="AF1243" s="60">
        <v>0</v>
      </c>
      <c r="AG1243" s="60">
        <v>0</v>
      </c>
      <c r="AH1243" s="60">
        <v>0</v>
      </c>
      <c r="AI1243" s="60">
        <v>47612.68</v>
      </c>
      <c r="AJ1243" s="60">
        <v>45976.99</v>
      </c>
      <c r="AK1243" s="60">
        <v>50642.48</v>
      </c>
      <c r="AL1243" s="60">
        <v>0</v>
      </c>
      <c r="AM1243" s="60">
        <v>0</v>
      </c>
      <c r="AN1243" s="60">
        <v>0</v>
      </c>
      <c r="AO1243" s="60">
        <v>47612.68</v>
      </c>
      <c r="AP1243" s="60">
        <v>45976.99</v>
      </c>
      <c r="AQ1243" s="60">
        <v>50642.48</v>
      </c>
      <c r="AR1243" s="61">
        <v>50642.48</v>
      </c>
    </row>
    <row r="1244" spans="1:44" x14ac:dyDescent="0.35">
      <c r="A1244" s="49" t="str">
        <f>TEXT(36,"00")</f>
        <v>36</v>
      </c>
      <c r="B1244" s="27">
        <v>67710</v>
      </c>
      <c r="C1244" s="25" t="str">
        <f>TEXT(,"0000000")</f>
        <v>0000000</v>
      </c>
      <c r="D1244" s="26" t="s">
        <v>3663</v>
      </c>
      <c r="E1244" s="25" t="s">
        <v>1947</v>
      </c>
      <c r="F1244" s="25" t="s">
        <v>1948</v>
      </c>
      <c r="G1244" s="59" t="s">
        <v>1948</v>
      </c>
      <c r="H1244" s="60">
        <v>31601.03</v>
      </c>
      <c r="I1244" s="60">
        <v>31490.080000000002</v>
      </c>
      <c r="J1244" s="60">
        <v>34702.74</v>
      </c>
      <c r="K1244" s="60">
        <v>0</v>
      </c>
      <c r="L1244" s="60">
        <v>0</v>
      </c>
      <c r="M1244" s="60">
        <v>0</v>
      </c>
      <c r="N1244" s="60">
        <v>0</v>
      </c>
      <c r="O1244" s="60">
        <v>0</v>
      </c>
      <c r="P1244" s="60">
        <v>0</v>
      </c>
      <c r="Q1244" s="60">
        <v>0</v>
      </c>
      <c r="R1244" s="60">
        <v>0</v>
      </c>
      <c r="S1244" s="60">
        <v>0</v>
      </c>
      <c r="T1244" s="60">
        <v>0</v>
      </c>
      <c r="U1244" s="60">
        <v>0</v>
      </c>
      <c r="V1244" s="60">
        <v>0</v>
      </c>
      <c r="W1244" s="60">
        <v>0</v>
      </c>
      <c r="X1244" s="60">
        <v>0</v>
      </c>
      <c r="Y1244" s="60">
        <v>0</v>
      </c>
      <c r="Z1244" s="60">
        <v>0</v>
      </c>
      <c r="AA1244" s="60">
        <v>0</v>
      </c>
      <c r="AB1244" s="60">
        <v>0</v>
      </c>
      <c r="AC1244" s="60">
        <v>0</v>
      </c>
      <c r="AD1244" s="60">
        <v>0</v>
      </c>
      <c r="AE1244" s="60">
        <v>0</v>
      </c>
      <c r="AF1244" s="60">
        <v>0</v>
      </c>
      <c r="AG1244" s="60">
        <v>0</v>
      </c>
      <c r="AH1244" s="60">
        <v>0</v>
      </c>
      <c r="AI1244" s="60">
        <v>31601.03</v>
      </c>
      <c r="AJ1244" s="60">
        <v>31490.080000000002</v>
      </c>
      <c r="AK1244" s="60">
        <v>34702.74</v>
      </c>
      <c r="AL1244" s="60">
        <v>0</v>
      </c>
      <c r="AM1244" s="60">
        <v>0</v>
      </c>
      <c r="AN1244" s="60">
        <v>0</v>
      </c>
      <c r="AO1244" s="60">
        <v>31601.03</v>
      </c>
      <c r="AP1244" s="60">
        <v>31490.080000000002</v>
      </c>
      <c r="AQ1244" s="60">
        <v>34702.74</v>
      </c>
      <c r="AR1244" s="61">
        <v>34702.74</v>
      </c>
    </row>
    <row r="1245" spans="1:44" x14ac:dyDescent="0.35">
      <c r="A1245" s="49" t="str">
        <f>TEXT(10,"00")</f>
        <v>10</v>
      </c>
      <c r="B1245" s="27">
        <v>62117</v>
      </c>
      <c r="C1245" s="25" t="str">
        <f>TEXT(,"0000000")</f>
        <v>0000000</v>
      </c>
      <c r="D1245" s="26" t="s">
        <v>3663</v>
      </c>
      <c r="E1245" s="25" t="s">
        <v>415</v>
      </c>
      <c r="F1245" s="25" t="s">
        <v>416</v>
      </c>
      <c r="G1245" s="59" t="s">
        <v>416</v>
      </c>
      <c r="H1245" s="60">
        <v>39466.22</v>
      </c>
      <c r="I1245" s="60">
        <v>38644.75</v>
      </c>
      <c r="J1245" s="60">
        <v>41556.18</v>
      </c>
      <c r="K1245" s="60">
        <v>0</v>
      </c>
      <c r="L1245" s="60">
        <v>0</v>
      </c>
      <c r="M1245" s="60">
        <v>0</v>
      </c>
      <c r="N1245" s="60">
        <v>0</v>
      </c>
      <c r="O1245" s="60">
        <v>0</v>
      </c>
      <c r="P1245" s="60">
        <v>0</v>
      </c>
      <c r="Q1245" s="60">
        <v>0</v>
      </c>
      <c r="R1245" s="60">
        <v>0</v>
      </c>
      <c r="S1245" s="60">
        <v>0</v>
      </c>
      <c r="T1245" s="60">
        <v>0</v>
      </c>
      <c r="U1245" s="60">
        <v>0</v>
      </c>
      <c r="V1245" s="60">
        <v>0</v>
      </c>
      <c r="W1245" s="60">
        <v>0</v>
      </c>
      <c r="X1245" s="60">
        <v>0</v>
      </c>
      <c r="Y1245" s="60">
        <v>0</v>
      </c>
      <c r="Z1245" s="60">
        <v>0</v>
      </c>
      <c r="AA1245" s="60">
        <v>0</v>
      </c>
      <c r="AB1245" s="60">
        <v>0</v>
      </c>
      <c r="AC1245" s="60">
        <v>838.12</v>
      </c>
      <c r="AD1245" s="60">
        <v>789.44</v>
      </c>
      <c r="AE1245" s="60">
        <v>544.42999999999995</v>
      </c>
      <c r="AF1245" s="60">
        <v>0</v>
      </c>
      <c r="AG1245" s="60">
        <v>0</v>
      </c>
      <c r="AH1245" s="60">
        <v>0</v>
      </c>
      <c r="AI1245" s="60">
        <v>40304.339999999997</v>
      </c>
      <c r="AJ1245" s="60">
        <v>39434.19</v>
      </c>
      <c r="AK1245" s="60">
        <v>42100.61</v>
      </c>
      <c r="AL1245" s="60">
        <v>0</v>
      </c>
      <c r="AM1245" s="60">
        <v>0</v>
      </c>
      <c r="AN1245" s="60">
        <v>0</v>
      </c>
      <c r="AO1245" s="60">
        <v>40304.339999999997</v>
      </c>
      <c r="AP1245" s="60">
        <v>39434.19</v>
      </c>
      <c r="AQ1245" s="60">
        <v>42100.61</v>
      </c>
      <c r="AR1245" s="61">
        <v>42100.61</v>
      </c>
    </row>
    <row r="1246" spans="1:44" x14ac:dyDescent="0.35">
      <c r="A1246" s="49" t="str">
        <f>TEXT(34,"00")</f>
        <v>34</v>
      </c>
      <c r="B1246" s="27">
        <v>67330</v>
      </c>
      <c r="C1246" s="25" t="str">
        <f>TEXT(,"0000000")</f>
        <v>0000000</v>
      </c>
      <c r="D1246" s="26" t="s">
        <v>3663</v>
      </c>
      <c r="E1246" s="25" t="s">
        <v>1802</v>
      </c>
      <c r="F1246" s="25" t="s">
        <v>1803</v>
      </c>
      <c r="G1246" s="59" t="s">
        <v>1803</v>
      </c>
      <c r="H1246" s="60">
        <v>19220.669999999998</v>
      </c>
      <c r="I1246" s="60">
        <v>18850.22</v>
      </c>
      <c r="J1246" s="60">
        <v>19624.66</v>
      </c>
      <c r="K1246" s="60">
        <v>0</v>
      </c>
      <c r="L1246" s="60">
        <v>0</v>
      </c>
      <c r="M1246" s="60">
        <v>0</v>
      </c>
      <c r="N1246" s="60">
        <v>0</v>
      </c>
      <c r="O1246" s="60">
        <v>0</v>
      </c>
      <c r="P1246" s="60">
        <v>0</v>
      </c>
      <c r="Q1246" s="60">
        <v>0</v>
      </c>
      <c r="R1246" s="60">
        <v>0</v>
      </c>
      <c r="S1246" s="60">
        <v>0</v>
      </c>
      <c r="T1246" s="60">
        <v>0</v>
      </c>
      <c r="U1246" s="60">
        <v>0</v>
      </c>
      <c r="V1246" s="60">
        <v>0</v>
      </c>
      <c r="W1246" s="60">
        <v>0</v>
      </c>
      <c r="X1246" s="60">
        <v>0</v>
      </c>
      <c r="Y1246" s="60">
        <v>0</v>
      </c>
      <c r="Z1246" s="60">
        <v>0</v>
      </c>
      <c r="AA1246" s="60">
        <v>0</v>
      </c>
      <c r="AB1246" s="60">
        <v>0</v>
      </c>
      <c r="AC1246" s="60">
        <v>165.3</v>
      </c>
      <c r="AD1246" s="60">
        <v>243.88</v>
      </c>
      <c r="AE1246" s="60">
        <v>136.87</v>
      </c>
      <c r="AF1246" s="60">
        <v>0</v>
      </c>
      <c r="AG1246" s="60">
        <v>0</v>
      </c>
      <c r="AH1246" s="60">
        <v>0</v>
      </c>
      <c r="AI1246" s="60">
        <v>19385.97</v>
      </c>
      <c r="AJ1246" s="60">
        <v>19094.099999999999</v>
      </c>
      <c r="AK1246" s="60">
        <v>19761.53</v>
      </c>
      <c r="AL1246" s="60">
        <v>0</v>
      </c>
      <c r="AM1246" s="60">
        <v>0</v>
      </c>
      <c r="AN1246" s="60">
        <v>0</v>
      </c>
      <c r="AO1246" s="60">
        <v>19385.97</v>
      </c>
      <c r="AP1246" s="60">
        <v>19094.099999999999</v>
      </c>
      <c r="AQ1246" s="60">
        <v>19761.53</v>
      </c>
      <c r="AR1246" s="61">
        <v>19761.53</v>
      </c>
    </row>
    <row r="1247" spans="1:44" x14ac:dyDescent="0.35">
      <c r="A1247" s="49" t="str">
        <f t="shared" ref="A1247:A1259" si="103">TEXT(10,"00")</f>
        <v>10</v>
      </c>
      <c r="B1247" s="27">
        <v>10108</v>
      </c>
      <c r="C1247" s="25" t="str">
        <f>TEXT(,"0000000")</f>
        <v>0000000</v>
      </c>
      <c r="D1247" s="26" t="s">
        <v>3663</v>
      </c>
      <c r="E1247" s="25" t="s">
        <v>388</v>
      </c>
      <c r="F1247" s="25" t="s">
        <v>389</v>
      </c>
      <c r="G1247" s="59" t="s">
        <v>389</v>
      </c>
      <c r="H1247" s="60">
        <v>0</v>
      </c>
      <c r="I1247" s="60">
        <v>0</v>
      </c>
      <c r="J1247" s="60">
        <v>0</v>
      </c>
      <c r="K1247" s="60">
        <v>0</v>
      </c>
      <c r="L1247" s="60">
        <v>0</v>
      </c>
      <c r="M1247" s="60">
        <v>0</v>
      </c>
      <c r="N1247" s="60">
        <v>0</v>
      </c>
      <c r="O1247" s="60">
        <v>0</v>
      </c>
      <c r="P1247" s="60">
        <v>0</v>
      </c>
      <c r="Q1247" s="60">
        <v>0</v>
      </c>
      <c r="R1247" s="60">
        <v>0</v>
      </c>
      <c r="S1247" s="60">
        <v>0</v>
      </c>
      <c r="T1247" s="60">
        <v>0</v>
      </c>
      <c r="U1247" s="60">
        <v>0</v>
      </c>
      <c r="V1247" s="60">
        <v>0</v>
      </c>
      <c r="W1247" s="60">
        <v>0</v>
      </c>
      <c r="X1247" s="60">
        <v>0</v>
      </c>
      <c r="Y1247" s="60">
        <v>0</v>
      </c>
      <c r="Z1247" s="60">
        <v>0</v>
      </c>
      <c r="AA1247" s="60">
        <v>0</v>
      </c>
      <c r="AB1247" s="60">
        <v>0</v>
      </c>
      <c r="AC1247" s="60">
        <v>0</v>
      </c>
      <c r="AD1247" s="60">
        <v>0</v>
      </c>
      <c r="AE1247" s="60">
        <v>0</v>
      </c>
      <c r="AF1247" s="60">
        <v>0</v>
      </c>
      <c r="AG1247" s="60">
        <v>0</v>
      </c>
      <c r="AH1247" s="60">
        <v>0</v>
      </c>
      <c r="AI1247" s="60">
        <v>0</v>
      </c>
      <c r="AJ1247" s="60">
        <v>0</v>
      </c>
      <c r="AK1247" s="60">
        <v>0</v>
      </c>
      <c r="AL1247" s="60">
        <v>0</v>
      </c>
      <c r="AM1247" s="60">
        <v>0</v>
      </c>
      <c r="AN1247" s="60">
        <v>0</v>
      </c>
      <c r="AO1247" s="60">
        <v>0</v>
      </c>
      <c r="AP1247" s="60">
        <v>0</v>
      </c>
      <c r="AQ1247" s="60">
        <v>0</v>
      </c>
      <c r="AR1247" s="61">
        <v>0</v>
      </c>
    </row>
    <row r="1248" spans="1:44" x14ac:dyDescent="0.35">
      <c r="A1248" s="49" t="str">
        <f t="shared" si="103"/>
        <v>10</v>
      </c>
      <c r="B1248" s="27">
        <v>10108</v>
      </c>
      <c r="C1248" s="25" t="str">
        <f>TEXT(109991,"0000000")</f>
        <v>0109991</v>
      </c>
      <c r="D1248" s="26" t="s">
        <v>392</v>
      </c>
      <c r="E1248" s="25" t="s">
        <v>390</v>
      </c>
      <c r="F1248" s="25" t="s">
        <v>389</v>
      </c>
      <c r="G1248" s="59" t="s">
        <v>391</v>
      </c>
      <c r="H1248" s="60">
        <v>0</v>
      </c>
      <c r="I1248" s="60">
        <v>0</v>
      </c>
      <c r="J1248" s="60">
        <v>0</v>
      </c>
      <c r="K1248" s="60">
        <v>0</v>
      </c>
      <c r="L1248" s="60">
        <v>0</v>
      </c>
      <c r="M1248" s="60">
        <v>0</v>
      </c>
      <c r="N1248" s="60">
        <v>0</v>
      </c>
      <c r="O1248" s="60">
        <v>0</v>
      </c>
      <c r="P1248" s="60">
        <v>0</v>
      </c>
      <c r="Q1248" s="60">
        <v>0</v>
      </c>
      <c r="R1248" s="60">
        <v>0</v>
      </c>
      <c r="S1248" s="60">
        <v>0</v>
      </c>
      <c r="T1248" s="60">
        <v>0</v>
      </c>
      <c r="U1248" s="60">
        <v>0</v>
      </c>
      <c r="V1248" s="60">
        <v>0</v>
      </c>
      <c r="W1248" s="60">
        <v>0</v>
      </c>
      <c r="X1248" s="60">
        <v>0</v>
      </c>
      <c r="Y1248" s="60">
        <v>0</v>
      </c>
      <c r="Z1248" s="60">
        <v>0</v>
      </c>
      <c r="AA1248" s="60">
        <v>0</v>
      </c>
      <c r="AB1248" s="60">
        <v>0</v>
      </c>
      <c r="AC1248" s="60">
        <v>1764.46</v>
      </c>
      <c r="AD1248" s="60">
        <v>1585.29</v>
      </c>
      <c r="AE1248" s="60">
        <v>1850.96</v>
      </c>
      <c r="AF1248" s="60">
        <v>0</v>
      </c>
      <c r="AG1248" s="60">
        <v>0</v>
      </c>
      <c r="AH1248" s="60">
        <v>0</v>
      </c>
      <c r="AI1248" s="60">
        <v>1764.46</v>
      </c>
      <c r="AJ1248" s="60">
        <v>1585.29</v>
      </c>
      <c r="AK1248" s="60">
        <v>1850.96</v>
      </c>
      <c r="AL1248" s="60">
        <v>0</v>
      </c>
      <c r="AM1248" s="60">
        <v>0</v>
      </c>
      <c r="AN1248" s="60">
        <v>0</v>
      </c>
      <c r="AO1248" s="60">
        <v>1764.46</v>
      </c>
      <c r="AP1248" s="60">
        <v>1585.29</v>
      </c>
      <c r="AQ1248" s="60">
        <v>1850.96</v>
      </c>
      <c r="AR1248" s="61">
        <v>1850.96</v>
      </c>
    </row>
    <row r="1249" spans="1:44" x14ac:dyDescent="0.35">
      <c r="A1249" s="49" t="str">
        <f t="shared" si="103"/>
        <v>10</v>
      </c>
      <c r="B1249" s="27">
        <v>10108</v>
      </c>
      <c r="C1249" s="25" t="str">
        <f>TEXT(111682,"0000000")</f>
        <v>0111682</v>
      </c>
      <c r="D1249" s="26" t="s">
        <v>395</v>
      </c>
      <c r="E1249" s="25" t="s">
        <v>393</v>
      </c>
      <c r="F1249" s="25" t="s">
        <v>389</v>
      </c>
      <c r="G1249" s="59" t="s">
        <v>394</v>
      </c>
      <c r="H1249" s="60">
        <v>0</v>
      </c>
      <c r="I1249" s="60">
        <v>0</v>
      </c>
      <c r="J1249" s="60">
        <v>0</v>
      </c>
      <c r="K1249" s="60">
        <v>0</v>
      </c>
      <c r="L1249" s="60">
        <v>0</v>
      </c>
      <c r="M1249" s="60">
        <v>0</v>
      </c>
      <c r="N1249" s="60">
        <v>0</v>
      </c>
      <c r="O1249" s="60">
        <v>0</v>
      </c>
      <c r="P1249" s="60">
        <v>0</v>
      </c>
      <c r="Q1249" s="60">
        <v>0</v>
      </c>
      <c r="R1249" s="60">
        <v>0</v>
      </c>
      <c r="S1249" s="60">
        <v>0</v>
      </c>
      <c r="T1249" s="60">
        <v>0</v>
      </c>
      <c r="U1249" s="60">
        <v>0</v>
      </c>
      <c r="V1249" s="60">
        <v>0</v>
      </c>
      <c r="W1249" s="60">
        <v>0</v>
      </c>
      <c r="X1249" s="60">
        <v>0</v>
      </c>
      <c r="Y1249" s="60">
        <v>0</v>
      </c>
      <c r="Z1249" s="60">
        <v>0</v>
      </c>
      <c r="AA1249" s="60">
        <v>0</v>
      </c>
      <c r="AB1249" s="60">
        <v>0</v>
      </c>
      <c r="AC1249" s="60">
        <v>49.64</v>
      </c>
      <c r="AD1249" s="60">
        <v>59.36</v>
      </c>
      <c r="AE1249" s="60">
        <v>70.2</v>
      </c>
      <c r="AF1249" s="60">
        <v>0</v>
      </c>
      <c r="AG1249" s="60">
        <v>0</v>
      </c>
      <c r="AH1249" s="60">
        <v>0</v>
      </c>
      <c r="AI1249" s="60">
        <v>49.64</v>
      </c>
      <c r="AJ1249" s="60">
        <v>59.36</v>
      </c>
      <c r="AK1249" s="60">
        <v>70.2</v>
      </c>
      <c r="AL1249" s="60">
        <v>0</v>
      </c>
      <c r="AM1249" s="60">
        <v>0</v>
      </c>
      <c r="AN1249" s="60">
        <v>0</v>
      </c>
      <c r="AO1249" s="60">
        <v>49.64</v>
      </c>
      <c r="AP1249" s="60">
        <v>59.36</v>
      </c>
      <c r="AQ1249" s="60">
        <v>70.2</v>
      </c>
      <c r="AR1249" s="61">
        <v>70.2</v>
      </c>
    </row>
    <row r="1250" spans="1:44" x14ac:dyDescent="0.35">
      <c r="A1250" s="49" t="str">
        <f t="shared" si="103"/>
        <v>10</v>
      </c>
      <c r="B1250" s="27">
        <v>10108</v>
      </c>
      <c r="C1250" s="25" t="str">
        <f>TEXT(119628,"0000000")</f>
        <v>0119628</v>
      </c>
      <c r="D1250" s="27">
        <v>1085</v>
      </c>
      <c r="E1250" s="25" t="s">
        <v>396</v>
      </c>
      <c r="F1250" s="25" t="s">
        <v>389</v>
      </c>
      <c r="G1250" s="59" t="s">
        <v>397</v>
      </c>
      <c r="H1250" s="60">
        <v>0</v>
      </c>
      <c r="I1250" s="60">
        <v>0</v>
      </c>
      <c r="J1250" s="60">
        <v>0</v>
      </c>
      <c r="K1250" s="60">
        <v>0</v>
      </c>
      <c r="L1250" s="60">
        <v>0</v>
      </c>
      <c r="M1250" s="60">
        <v>0</v>
      </c>
      <c r="N1250" s="60">
        <v>0</v>
      </c>
      <c r="O1250" s="60">
        <v>0</v>
      </c>
      <c r="P1250" s="60">
        <v>0</v>
      </c>
      <c r="Q1250" s="60">
        <v>0</v>
      </c>
      <c r="R1250" s="60">
        <v>0</v>
      </c>
      <c r="S1250" s="60">
        <v>0</v>
      </c>
      <c r="T1250" s="60">
        <v>0</v>
      </c>
      <c r="U1250" s="60">
        <v>0</v>
      </c>
      <c r="V1250" s="60">
        <v>0</v>
      </c>
      <c r="W1250" s="60">
        <v>0</v>
      </c>
      <c r="X1250" s="60">
        <v>0</v>
      </c>
      <c r="Y1250" s="60">
        <v>0</v>
      </c>
      <c r="Z1250" s="60">
        <v>0</v>
      </c>
      <c r="AA1250" s="60">
        <v>0</v>
      </c>
      <c r="AB1250" s="60">
        <v>0</v>
      </c>
      <c r="AC1250" s="60">
        <v>388.34</v>
      </c>
      <c r="AD1250" s="60">
        <v>486.4</v>
      </c>
      <c r="AE1250" s="60">
        <v>623.01</v>
      </c>
      <c r="AF1250" s="60">
        <v>0</v>
      </c>
      <c r="AG1250" s="60">
        <v>0</v>
      </c>
      <c r="AH1250" s="60">
        <v>0</v>
      </c>
      <c r="AI1250" s="60">
        <v>388.34</v>
      </c>
      <c r="AJ1250" s="60">
        <v>486.4</v>
      </c>
      <c r="AK1250" s="60">
        <v>623.01</v>
      </c>
      <c r="AL1250" s="60">
        <v>0</v>
      </c>
      <c r="AM1250" s="60">
        <v>0</v>
      </c>
      <c r="AN1250" s="60">
        <v>0</v>
      </c>
      <c r="AO1250" s="60">
        <v>388.34</v>
      </c>
      <c r="AP1250" s="60">
        <v>486.4</v>
      </c>
      <c r="AQ1250" s="60">
        <v>623.01</v>
      </c>
      <c r="AR1250" s="61">
        <v>623.01</v>
      </c>
    </row>
    <row r="1251" spans="1:44" x14ac:dyDescent="0.35">
      <c r="A1251" s="49" t="str">
        <f t="shared" si="103"/>
        <v>10</v>
      </c>
      <c r="B1251" s="27">
        <v>10108</v>
      </c>
      <c r="C1251" s="25" t="str">
        <f>TEXT(127514,"0000000")</f>
        <v>0127514</v>
      </c>
      <c r="D1251" s="27">
        <v>1503</v>
      </c>
      <c r="E1251" s="25" t="s">
        <v>398</v>
      </c>
      <c r="F1251" s="25" t="s">
        <v>389</v>
      </c>
      <c r="G1251" s="59" t="s">
        <v>399</v>
      </c>
      <c r="H1251" s="60">
        <v>0</v>
      </c>
      <c r="I1251" s="60">
        <v>0</v>
      </c>
      <c r="J1251" s="60">
        <v>0</v>
      </c>
      <c r="K1251" s="60">
        <v>0</v>
      </c>
      <c r="L1251" s="60">
        <v>0</v>
      </c>
      <c r="M1251" s="60">
        <v>0</v>
      </c>
      <c r="N1251" s="60">
        <v>0</v>
      </c>
      <c r="O1251" s="60">
        <v>0</v>
      </c>
      <c r="P1251" s="60">
        <v>0</v>
      </c>
      <c r="Q1251" s="60">
        <v>0</v>
      </c>
      <c r="R1251" s="60">
        <v>0</v>
      </c>
      <c r="S1251" s="60">
        <v>0</v>
      </c>
      <c r="T1251" s="60">
        <v>0</v>
      </c>
      <c r="U1251" s="60">
        <v>0</v>
      </c>
      <c r="V1251" s="60">
        <v>0</v>
      </c>
      <c r="W1251" s="60">
        <v>0</v>
      </c>
      <c r="X1251" s="60">
        <v>0</v>
      </c>
      <c r="Y1251" s="60">
        <v>0</v>
      </c>
      <c r="Z1251" s="60">
        <v>0</v>
      </c>
      <c r="AA1251" s="60">
        <v>0</v>
      </c>
      <c r="AB1251" s="60">
        <v>0</v>
      </c>
      <c r="AC1251" s="60">
        <v>322.22000000000003</v>
      </c>
      <c r="AD1251" s="60">
        <v>323.92</v>
      </c>
      <c r="AE1251" s="60">
        <v>395.39</v>
      </c>
      <c r="AF1251" s="60">
        <v>0</v>
      </c>
      <c r="AG1251" s="60">
        <v>0</v>
      </c>
      <c r="AH1251" s="60">
        <v>0</v>
      </c>
      <c r="AI1251" s="60">
        <v>322.22000000000003</v>
      </c>
      <c r="AJ1251" s="60">
        <v>323.92</v>
      </c>
      <c r="AK1251" s="60">
        <v>395.39</v>
      </c>
      <c r="AL1251" s="60">
        <v>0</v>
      </c>
      <c r="AM1251" s="60">
        <v>0</v>
      </c>
      <c r="AN1251" s="60">
        <v>0</v>
      </c>
      <c r="AO1251" s="60">
        <v>322.22000000000003</v>
      </c>
      <c r="AP1251" s="60">
        <v>323.92</v>
      </c>
      <c r="AQ1251" s="60">
        <v>395.39</v>
      </c>
      <c r="AR1251" s="61">
        <v>395.39</v>
      </c>
    </row>
    <row r="1252" spans="1:44" x14ac:dyDescent="0.35">
      <c r="A1252" s="49" t="str">
        <f t="shared" si="103"/>
        <v>10</v>
      </c>
      <c r="B1252" s="27">
        <v>10108</v>
      </c>
      <c r="C1252" s="25" t="str">
        <f>TEXT(136291,"0000000")</f>
        <v>0136291</v>
      </c>
      <c r="D1252" s="27">
        <v>1850</v>
      </c>
      <c r="E1252" s="25" t="s">
        <v>400</v>
      </c>
      <c r="F1252" s="25" t="s">
        <v>389</v>
      </c>
      <c r="G1252" s="59" t="s">
        <v>401</v>
      </c>
      <c r="H1252" s="60">
        <v>0</v>
      </c>
      <c r="I1252" s="60">
        <v>0</v>
      </c>
      <c r="J1252" s="60">
        <v>0</v>
      </c>
      <c r="K1252" s="60">
        <v>0</v>
      </c>
      <c r="L1252" s="60">
        <v>0</v>
      </c>
      <c r="M1252" s="60">
        <v>0</v>
      </c>
      <c r="N1252" s="60">
        <v>0</v>
      </c>
      <c r="O1252" s="60">
        <v>0</v>
      </c>
      <c r="P1252" s="60">
        <v>0</v>
      </c>
      <c r="Q1252" s="60">
        <v>0</v>
      </c>
      <c r="R1252" s="60">
        <v>0</v>
      </c>
      <c r="S1252" s="60">
        <v>0</v>
      </c>
      <c r="T1252" s="60">
        <v>0</v>
      </c>
      <c r="U1252" s="60">
        <v>0</v>
      </c>
      <c r="V1252" s="60">
        <v>0</v>
      </c>
      <c r="W1252" s="60">
        <v>0</v>
      </c>
      <c r="X1252" s="60">
        <v>0</v>
      </c>
      <c r="Y1252" s="60">
        <v>0</v>
      </c>
      <c r="Z1252" s="60">
        <v>220.75</v>
      </c>
      <c r="AA1252" s="60">
        <v>227.59</v>
      </c>
      <c r="AB1252" s="60">
        <v>215.1</v>
      </c>
      <c r="AC1252" s="60">
        <v>0</v>
      </c>
      <c r="AD1252" s="60">
        <v>0</v>
      </c>
      <c r="AE1252" s="60">
        <v>0</v>
      </c>
      <c r="AF1252" s="60">
        <v>0</v>
      </c>
      <c r="AG1252" s="60">
        <v>0</v>
      </c>
      <c r="AH1252" s="60">
        <v>0</v>
      </c>
      <c r="AI1252" s="60">
        <v>220.75</v>
      </c>
      <c r="AJ1252" s="60">
        <v>227.59</v>
      </c>
      <c r="AK1252" s="60">
        <v>215.1</v>
      </c>
      <c r="AL1252" s="60">
        <v>0</v>
      </c>
      <c r="AM1252" s="60">
        <v>0</v>
      </c>
      <c r="AN1252" s="60">
        <v>0</v>
      </c>
      <c r="AO1252" s="60">
        <v>220.75</v>
      </c>
      <c r="AP1252" s="60">
        <v>227.59</v>
      </c>
      <c r="AQ1252" s="60">
        <v>215.1</v>
      </c>
      <c r="AR1252" s="61">
        <v>227.59</v>
      </c>
    </row>
    <row r="1253" spans="1:44" x14ac:dyDescent="0.35">
      <c r="A1253" s="49" t="str">
        <f t="shared" si="103"/>
        <v>10</v>
      </c>
      <c r="B1253" s="27">
        <v>10108</v>
      </c>
      <c r="C1253" s="25" t="str">
        <f>TEXT(140186,"0000000")</f>
        <v>0140186</v>
      </c>
      <c r="D1253" s="27">
        <v>2101</v>
      </c>
      <c r="E1253" s="25" t="s">
        <v>402</v>
      </c>
      <c r="F1253" s="25" t="s">
        <v>389</v>
      </c>
      <c r="G1253" s="59" t="s">
        <v>403</v>
      </c>
      <c r="H1253" s="60">
        <v>0</v>
      </c>
      <c r="I1253" s="60">
        <v>0</v>
      </c>
      <c r="J1253" s="60">
        <v>0</v>
      </c>
      <c r="K1253" s="60">
        <v>0</v>
      </c>
      <c r="L1253" s="60">
        <v>0</v>
      </c>
      <c r="M1253" s="60">
        <v>0</v>
      </c>
      <c r="N1253" s="60">
        <v>0</v>
      </c>
      <c r="O1253" s="60">
        <v>0</v>
      </c>
      <c r="P1253" s="60">
        <v>0</v>
      </c>
      <c r="Q1253" s="60">
        <v>0</v>
      </c>
      <c r="R1253" s="60">
        <v>0</v>
      </c>
      <c r="S1253" s="60">
        <v>0</v>
      </c>
      <c r="T1253" s="60">
        <v>0</v>
      </c>
      <c r="U1253" s="60">
        <v>0</v>
      </c>
      <c r="V1253" s="60">
        <v>0</v>
      </c>
      <c r="W1253" s="60">
        <v>0</v>
      </c>
      <c r="X1253" s="60">
        <v>0</v>
      </c>
      <c r="Y1253" s="60">
        <v>0</v>
      </c>
      <c r="Z1253" s="60">
        <v>0</v>
      </c>
      <c r="AA1253" s="60">
        <v>0</v>
      </c>
      <c r="AB1253" s="60">
        <v>0</v>
      </c>
      <c r="AC1253" s="60">
        <v>196.3</v>
      </c>
      <c r="AD1253" s="60">
        <v>129.36000000000001</v>
      </c>
      <c r="AE1253" s="60">
        <v>76.400000000000006</v>
      </c>
      <c r="AF1253" s="60">
        <v>0</v>
      </c>
      <c r="AG1253" s="60">
        <v>0</v>
      </c>
      <c r="AH1253" s="60">
        <v>0</v>
      </c>
      <c r="AI1253" s="60">
        <v>196.3</v>
      </c>
      <c r="AJ1253" s="60">
        <v>129.36000000000001</v>
      </c>
      <c r="AK1253" s="60">
        <v>76.400000000000006</v>
      </c>
      <c r="AL1253" s="60">
        <v>0</v>
      </c>
      <c r="AM1253" s="60">
        <v>0</v>
      </c>
      <c r="AN1253" s="60">
        <v>0</v>
      </c>
      <c r="AO1253" s="60">
        <v>196.3</v>
      </c>
      <c r="AP1253" s="60">
        <v>129.36000000000001</v>
      </c>
      <c r="AQ1253" s="60">
        <v>76.400000000000006</v>
      </c>
      <c r="AR1253" s="61">
        <v>196.3</v>
      </c>
    </row>
    <row r="1254" spans="1:44" x14ac:dyDescent="0.35">
      <c r="A1254" s="49" t="str">
        <f t="shared" si="103"/>
        <v>10</v>
      </c>
      <c r="B1254" s="27">
        <v>10108</v>
      </c>
      <c r="C1254" s="25" t="str">
        <f>TEXT(6085112,"0000000")</f>
        <v>6085112</v>
      </c>
      <c r="D1254" s="26" t="s">
        <v>406</v>
      </c>
      <c r="E1254" s="25" t="s">
        <v>404</v>
      </c>
      <c r="F1254" s="25" t="s">
        <v>389</v>
      </c>
      <c r="G1254" s="59" t="s">
        <v>405</v>
      </c>
      <c r="H1254" s="60">
        <v>0</v>
      </c>
      <c r="I1254" s="60">
        <v>0</v>
      </c>
      <c r="J1254" s="60">
        <v>0</v>
      </c>
      <c r="K1254" s="60">
        <v>0</v>
      </c>
      <c r="L1254" s="60">
        <v>0</v>
      </c>
      <c r="M1254" s="60">
        <v>0</v>
      </c>
      <c r="N1254" s="60">
        <v>0</v>
      </c>
      <c r="O1254" s="60">
        <v>0</v>
      </c>
      <c r="P1254" s="60">
        <v>0</v>
      </c>
      <c r="Q1254" s="60">
        <v>0</v>
      </c>
      <c r="R1254" s="60">
        <v>0</v>
      </c>
      <c r="S1254" s="60">
        <v>0</v>
      </c>
      <c r="T1254" s="60">
        <v>0</v>
      </c>
      <c r="U1254" s="60">
        <v>0</v>
      </c>
      <c r="V1254" s="60">
        <v>0</v>
      </c>
      <c r="W1254" s="60">
        <v>0</v>
      </c>
      <c r="X1254" s="60">
        <v>0</v>
      </c>
      <c r="Y1254" s="60">
        <v>0</v>
      </c>
      <c r="Z1254" s="60">
        <v>0</v>
      </c>
      <c r="AA1254" s="60">
        <v>0</v>
      </c>
      <c r="AB1254" s="60">
        <v>0</v>
      </c>
      <c r="AC1254" s="60">
        <v>390.14</v>
      </c>
      <c r="AD1254" s="60">
        <v>405.61</v>
      </c>
      <c r="AE1254" s="60">
        <v>487.95</v>
      </c>
      <c r="AF1254" s="60">
        <v>0</v>
      </c>
      <c r="AG1254" s="60">
        <v>0</v>
      </c>
      <c r="AH1254" s="60">
        <v>0</v>
      </c>
      <c r="AI1254" s="60">
        <v>390.14</v>
      </c>
      <c r="AJ1254" s="60">
        <v>405.61</v>
      </c>
      <c r="AK1254" s="60">
        <v>487.95</v>
      </c>
      <c r="AL1254" s="60">
        <v>0</v>
      </c>
      <c r="AM1254" s="60">
        <v>0</v>
      </c>
      <c r="AN1254" s="60">
        <v>0</v>
      </c>
      <c r="AO1254" s="60">
        <v>390.14</v>
      </c>
      <c r="AP1254" s="60">
        <v>405.61</v>
      </c>
      <c r="AQ1254" s="60">
        <v>487.95</v>
      </c>
      <c r="AR1254" s="61">
        <v>487.95</v>
      </c>
    </row>
    <row r="1255" spans="1:44" x14ac:dyDescent="0.35">
      <c r="A1255" s="49" t="str">
        <f t="shared" si="103"/>
        <v>10</v>
      </c>
      <c r="B1255" s="27">
        <v>62166</v>
      </c>
      <c r="C1255" s="25" t="str">
        <f>TEXT(114553,"0000000")</f>
        <v>0114553</v>
      </c>
      <c r="D1255" s="26" t="s">
        <v>431</v>
      </c>
      <c r="E1255" s="25" t="s">
        <v>429</v>
      </c>
      <c r="F1255" s="25" t="s">
        <v>389</v>
      </c>
      <c r="G1255" s="59" t="s">
        <v>430</v>
      </c>
      <c r="H1255" s="60">
        <v>0</v>
      </c>
      <c r="I1255" s="60">
        <v>0</v>
      </c>
      <c r="J1255" s="60">
        <v>0</v>
      </c>
      <c r="K1255" s="60">
        <v>0</v>
      </c>
      <c r="L1255" s="60">
        <v>0</v>
      </c>
      <c r="M1255" s="60">
        <v>0</v>
      </c>
      <c r="N1255" s="60">
        <v>0</v>
      </c>
      <c r="O1255" s="60">
        <v>0</v>
      </c>
      <c r="P1255" s="60">
        <v>0</v>
      </c>
      <c r="Q1255" s="60">
        <v>0</v>
      </c>
      <c r="R1255" s="60">
        <v>0</v>
      </c>
      <c r="S1255" s="60">
        <v>0</v>
      </c>
      <c r="T1255" s="60">
        <v>0</v>
      </c>
      <c r="U1255" s="60">
        <v>0</v>
      </c>
      <c r="V1255" s="60">
        <v>0</v>
      </c>
      <c r="W1255" s="60">
        <v>0</v>
      </c>
      <c r="X1255" s="60">
        <v>0</v>
      </c>
      <c r="Y1255" s="60">
        <v>0</v>
      </c>
      <c r="Z1255" s="60">
        <v>0</v>
      </c>
      <c r="AA1255" s="60">
        <v>0</v>
      </c>
      <c r="AB1255" s="60">
        <v>0</v>
      </c>
      <c r="AC1255" s="60">
        <v>470.23</v>
      </c>
      <c r="AD1255" s="60">
        <v>475.39</v>
      </c>
      <c r="AE1255" s="60">
        <v>466.98</v>
      </c>
      <c r="AF1255" s="60">
        <v>0</v>
      </c>
      <c r="AG1255" s="60">
        <v>0</v>
      </c>
      <c r="AH1255" s="60">
        <v>0</v>
      </c>
      <c r="AI1255" s="60">
        <v>470.23</v>
      </c>
      <c r="AJ1255" s="60">
        <v>475.39</v>
      </c>
      <c r="AK1255" s="60">
        <v>466.98</v>
      </c>
      <c r="AL1255" s="60">
        <v>0</v>
      </c>
      <c r="AM1255" s="60">
        <v>0</v>
      </c>
      <c r="AN1255" s="60">
        <v>0</v>
      </c>
      <c r="AO1255" s="60">
        <v>470.23</v>
      </c>
      <c r="AP1255" s="60">
        <v>475.39</v>
      </c>
      <c r="AQ1255" s="60">
        <v>466.98</v>
      </c>
      <c r="AR1255" s="61">
        <v>475.39</v>
      </c>
    </row>
    <row r="1256" spans="1:44" x14ac:dyDescent="0.35">
      <c r="A1256" s="49" t="str">
        <f t="shared" si="103"/>
        <v>10</v>
      </c>
      <c r="B1256" s="27">
        <v>62166</v>
      </c>
      <c r="C1256" s="25" t="str">
        <f>TEXT(140038,"0000000")</f>
        <v>0140038</v>
      </c>
      <c r="D1256" s="27">
        <v>2099</v>
      </c>
      <c r="E1256" s="25" t="s">
        <v>434</v>
      </c>
      <c r="F1256" s="25" t="s">
        <v>389</v>
      </c>
      <c r="G1256" s="59" t="s">
        <v>435</v>
      </c>
      <c r="H1256" s="60">
        <v>0</v>
      </c>
      <c r="I1256" s="60">
        <v>0</v>
      </c>
      <c r="J1256" s="60">
        <v>0</v>
      </c>
      <c r="K1256" s="60">
        <v>0</v>
      </c>
      <c r="L1256" s="60">
        <v>0</v>
      </c>
      <c r="M1256" s="60">
        <v>0</v>
      </c>
      <c r="N1256" s="60">
        <v>0</v>
      </c>
      <c r="O1256" s="60">
        <v>0</v>
      </c>
      <c r="P1256" s="60">
        <v>0</v>
      </c>
      <c r="Q1256" s="60">
        <v>0</v>
      </c>
      <c r="R1256" s="60">
        <v>0</v>
      </c>
      <c r="S1256" s="60">
        <v>0</v>
      </c>
      <c r="T1256" s="60">
        <v>0</v>
      </c>
      <c r="U1256" s="60">
        <v>0</v>
      </c>
      <c r="V1256" s="60">
        <v>0</v>
      </c>
      <c r="W1256" s="60">
        <v>0</v>
      </c>
      <c r="X1256" s="60">
        <v>0</v>
      </c>
      <c r="Y1256" s="60">
        <v>0</v>
      </c>
      <c r="Z1256" s="60">
        <v>0</v>
      </c>
      <c r="AA1256" s="60">
        <v>0</v>
      </c>
      <c r="AB1256" s="60">
        <v>0</v>
      </c>
      <c r="AC1256" s="60">
        <v>325.74</v>
      </c>
      <c r="AD1256" s="60">
        <v>305.95</v>
      </c>
      <c r="AE1256" s="60">
        <v>233.66</v>
      </c>
      <c r="AF1256" s="60">
        <v>0</v>
      </c>
      <c r="AG1256" s="60">
        <v>0</v>
      </c>
      <c r="AH1256" s="60">
        <v>0</v>
      </c>
      <c r="AI1256" s="60">
        <v>325.74</v>
      </c>
      <c r="AJ1256" s="60">
        <v>305.95</v>
      </c>
      <c r="AK1256" s="60">
        <v>233.66</v>
      </c>
      <c r="AL1256" s="60">
        <v>0</v>
      </c>
      <c r="AM1256" s="60">
        <v>0</v>
      </c>
      <c r="AN1256" s="60">
        <v>0</v>
      </c>
      <c r="AO1256" s="60">
        <v>325.74</v>
      </c>
      <c r="AP1256" s="60">
        <v>305.95</v>
      </c>
      <c r="AQ1256" s="60">
        <v>233.66</v>
      </c>
      <c r="AR1256" s="61">
        <v>325.74</v>
      </c>
    </row>
    <row r="1257" spans="1:44" x14ac:dyDescent="0.35">
      <c r="A1257" s="49" t="str">
        <f t="shared" si="103"/>
        <v>10</v>
      </c>
      <c r="B1257" s="27">
        <v>62166</v>
      </c>
      <c r="C1257" s="25" t="str">
        <f>TEXT(140764,"0000000")</f>
        <v>0140764</v>
      </c>
      <c r="D1257" s="27">
        <v>2113</v>
      </c>
      <c r="E1257" s="25" t="s">
        <v>436</v>
      </c>
      <c r="F1257" s="25" t="s">
        <v>389</v>
      </c>
      <c r="G1257" s="59" t="s">
        <v>437</v>
      </c>
      <c r="H1257" s="60">
        <v>0</v>
      </c>
      <c r="I1257" s="60">
        <v>0</v>
      </c>
      <c r="J1257" s="60">
        <v>0</v>
      </c>
      <c r="K1257" s="60">
        <v>0</v>
      </c>
      <c r="L1257" s="60">
        <v>0</v>
      </c>
      <c r="M1257" s="60">
        <v>0</v>
      </c>
      <c r="N1257" s="60">
        <v>0</v>
      </c>
      <c r="O1257" s="60">
        <v>0</v>
      </c>
      <c r="P1257" s="60">
        <v>0</v>
      </c>
      <c r="Q1257" s="60">
        <v>0</v>
      </c>
      <c r="R1257" s="60">
        <v>0</v>
      </c>
      <c r="S1257" s="60">
        <v>0</v>
      </c>
      <c r="T1257" s="60">
        <v>0</v>
      </c>
      <c r="U1257" s="60">
        <v>0</v>
      </c>
      <c r="V1257" s="60">
        <v>0</v>
      </c>
      <c r="W1257" s="60">
        <v>0</v>
      </c>
      <c r="X1257" s="60">
        <v>0</v>
      </c>
      <c r="Y1257" s="60">
        <v>0</v>
      </c>
      <c r="Z1257" s="60">
        <v>0</v>
      </c>
      <c r="AA1257" s="60">
        <v>0</v>
      </c>
      <c r="AB1257" s="60">
        <v>0</v>
      </c>
      <c r="AC1257" s="60">
        <v>231.95</v>
      </c>
      <c r="AD1257" s="60">
        <v>0</v>
      </c>
      <c r="AE1257" s="60">
        <v>0</v>
      </c>
      <c r="AF1257" s="60">
        <v>0</v>
      </c>
      <c r="AG1257" s="60">
        <v>0</v>
      </c>
      <c r="AH1257" s="60">
        <v>0</v>
      </c>
      <c r="AI1257" s="60">
        <v>231.95</v>
      </c>
      <c r="AJ1257" s="60">
        <v>0</v>
      </c>
      <c r="AK1257" s="60">
        <v>0</v>
      </c>
      <c r="AL1257" s="60">
        <v>0</v>
      </c>
      <c r="AM1257" s="60">
        <v>170.34</v>
      </c>
      <c r="AN1257" s="60">
        <v>0</v>
      </c>
      <c r="AO1257" s="60">
        <v>231.95</v>
      </c>
      <c r="AP1257" s="60">
        <v>170.34</v>
      </c>
      <c r="AQ1257" s="60">
        <v>0</v>
      </c>
      <c r="AR1257" s="61">
        <v>231.95</v>
      </c>
    </row>
    <row r="1258" spans="1:44" x14ac:dyDescent="0.35">
      <c r="A1258" s="49" t="str">
        <f t="shared" si="103"/>
        <v>10</v>
      </c>
      <c r="B1258" s="27">
        <v>62380</v>
      </c>
      <c r="C1258" s="25" t="str">
        <f>TEXT(136499,"0000000")</f>
        <v>0136499</v>
      </c>
      <c r="D1258" s="27">
        <v>1905</v>
      </c>
      <c r="E1258" s="25" t="s">
        <v>462</v>
      </c>
      <c r="F1258" s="25" t="s">
        <v>389</v>
      </c>
      <c r="G1258" s="59" t="s">
        <v>463</v>
      </c>
      <c r="H1258" s="60">
        <v>0</v>
      </c>
      <c r="I1258" s="60">
        <v>0</v>
      </c>
      <c r="J1258" s="60">
        <v>0</v>
      </c>
      <c r="K1258" s="60">
        <v>0</v>
      </c>
      <c r="L1258" s="60">
        <v>0</v>
      </c>
      <c r="M1258" s="60">
        <v>0</v>
      </c>
      <c r="N1258" s="60">
        <v>0</v>
      </c>
      <c r="O1258" s="60">
        <v>0</v>
      </c>
      <c r="P1258" s="60">
        <v>0</v>
      </c>
      <c r="Q1258" s="60">
        <v>0</v>
      </c>
      <c r="R1258" s="60">
        <v>0</v>
      </c>
      <c r="S1258" s="60">
        <v>0</v>
      </c>
      <c r="T1258" s="60">
        <v>0</v>
      </c>
      <c r="U1258" s="60">
        <v>0</v>
      </c>
      <c r="V1258" s="60">
        <v>0</v>
      </c>
      <c r="W1258" s="60">
        <v>0</v>
      </c>
      <c r="X1258" s="60">
        <v>0</v>
      </c>
      <c r="Y1258" s="60">
        <v>0</v>
      </c>
      <c r="Z1258" s="60">
        <v>0</v>
      </c>
      <c r="AA1258" s="60">
        <v>0</v>
      </c>
      <c r="AB1258" s="60">
        <v>0</v>
      </c>
      <c r="AC1258" s="60">
        <v>336.45</v>
      </c>
      <c r="AD1258" s="60">
        <v>355.23</v>
      </c>
      <c r="AE1258" s="60">
        <v>331.12</v>
      </c>
      <c r="AF1258" s="60">
        <v>0</v>
      </c>
      <c r="AG1258" s="60">
        <v>0</v>
      </c>
      <c r="AH1258" s="60">
        <v>0</v>
      </c>
      <c r="AI1258" s="60">
        <v>336.45</v>
      </c>
      <c r="AJ1258" s="60">
        <v>355.23</v>
      </c>
      <c r="AK1258" s="60">
        <v>331.12</v>
      </c>
      <c r="AL1258" s="60">
        <v>0</v>
      </c>
      <c r="AM1258" s="60">
        <v>0</v>
      </c>
      <c r="AN1258" s="60">
        <v>0</v>
      </c>
      <c r="AO1258" s="60">
        <v>336.45</v>
      </c>
      <c r="AP1258" s="60">
        <v>355.23</v>
      </c>
      <c r="AQ1258" s="60">
        <v>331.12</v>
      </c>
      <c r="AR1258" s="61">
        <v>355.23</v>
      </c>
    </row>
    <row r="1259" spans="1:44" x14ac:dyDescent="0.35">
      <c r="A1259" s="49" t="str">
        <f t="shared" si="103"/>
        <v>10</v>
      </c>
      <c r="B1259" s="27">
        <v>62547</v>
      </c>
      <c r="C1259" s="25" t="str">
        <f>TEXT(136523,"0000000")</f>
        <v>0136523</v>
      </c>
      <c r="D1259" s="27">
        <v>1893</v>
      </c>
      <c r="E1259" s="25" t="s">
        <v>476</v>
      </c>
      <c r="F1259" s="25" t="s">
        <v>389</v>
      </c>
      <c r="G1259" s="59" t="s">
        <v>477</v>
      </c>
      <c r="H1259" s="60">
        <v>0</v>
      </c>
      <c r="I1259" s="60">
        <v>0</v>
      </c>
      <c r="J1259" s="60">
        <v>0</v>
      </c>
      <c r="K1259" s="60">
        <v>0</v>
      </c>
      <c r="L1259" s="60">
        <v>0</v>
      </c>
      <c r="M1259" s="60">
        <v>0</v>
      </c>
      <c r="N1259" s="60">
        <v>0</v>
      </c>
      <c r="O1259" s="60">
        <v>0</v>
      </c>
      <c r="P1259" s="60">
        <v>0</v>
      </c>
      <c r="Q1259" s="60">
        <v>0</v>
      </c>
      <c r="R1259" s="60">
        <v>0</v>
      </c>
      <c r="S1259" s="60">
        <v>0</v>
      </c>
      <c r="T1259" s="60">
        <v>0</v>
      </c>
      <c r="U1259" s="60">
        <v>0</v>
      </c>
      <c r="V1259" s="60">
        <v>0</v>
      </c>
      <c r="W1259" s="60">
        <v>0</v>
      </c>
      <c r="X1259" s="60">
        <v>0</v>
      </c>
      <c r="Y1259" s="60">
        <v>0</v>
      </c>
      <c r="Z1259" s="60">
        <v>0</v>
      </c>
      <c r="AA1259" s="60">
        <v>0</v>
      </c>
      <c r="AB1259" s="60">
        <v>0</v>
      </c>
      <c r="AC1259" s="60">
        <v>1348.33</v>
      </c>
      <c r="AD1259" s="60">
        <v>1303.19</v>
      </c>
      <c r="AE1259" s="60">
        <v>1118.43</v>
      </c>
      <c r="AF1259" s="60">
        <v>0</v>
      </c>
      <c r="AG1259" s="60">
        <v>0</v>
      </c>
      <c r="AH1259" s="60">
        <v>0</v>
      </c>
      <c r="AI1259" s="60">
        <v>1348.33</v>
      </c>
      <c r="AJ1259" s="60">
        <v>1303.19</v>
      </c>
      <c r="AK1259" s="60">
        <v>1118.43</v>
      </c>
      <c r="AL1259" s="60">
        <v>0</v>
      </c>
      <c r="AM1259" s="60">
        <v>0</v>
      </c>
      <c r="AN1259" s="60">
        <v>0</v>
      </c>
      <c r="AO1259" s="60">
        <v>1348.33</v>
      </c>
      <c r="AP1259" s="60">
        <v>1303.19</v>
      </c>
      <c r="AQ1259" s="60">
        <v>1118.43</v>
      </c>
      <c r="AR1259" s="61">
        <v>1348.33</v>
      </c>
    </row>
    <row r="1260" spans="1:44" x14ac:dyDescent="0.35">
      <c r="A1260" s="49" t="str">
        <f>TEXT(16,"00")</f>
        <v>16</v>
      </c>
      <c r="B1260" s="27">
        <v>63958</v>
      </c>
      <c r="C1260" s="25" t="str">
        <f>TEXT(136556,"0000000")</f>
        <v>0136556</v>
      </c>
      <c r="D1260" s="27">
        <v>1896</v>
      </c>
      <c r="E1260" s="25" t="s">
        <v>774</v>
      </c>
      <c r="F1260" s="25" t="s">
        <v>389</v>
      </c>
      <c r="G1260" s="59" t="s">
        <v>775</v>
      </c>
      <c r="H1260" s="60">
        <v>0</v>
      </c>
      <c r="I1260" s="60">
        <v>0</v>
      </c>
      <c r="J1260" s="60">
        <v>0</v>
      </c>
      <c r="K1260" s="60">
        <v>0</v>
      </c>
      <c r="L1260" s="60">
        <v>0</v>
      </c>
      <c r="M1260" s="60">
        <v>0</v>
      </c>
      <c r="N1260" s="60">
        <v>0</v>
      </c>
      <c r="O1260" s="60">
        <v>0</v>
      </c>
      <c r="P1260" s="60">
        <v>0</v>
      </c>
      <c r="Q1260" s="60">
        <v>0</v>
      </c>
      <c r="R1260" s="60">
        <v>0</v>
      </c>
      <c r="S1260" s="60">
        <v>0</v>
      </c>
      <c r="T1260" s="60">
        <v>0</v>
      </c>
      <c r="U1260" s="60">
        <v>0</v>
      </c>
      <c r="V1260" s="60">
        <v>0</v>
      </c>
      <c r="W1260" s="60">
        <v>0</v>
      </c>
      <c r="X1260" s="60">
        <v>0</v>
      </c>
      <c r="Y1260" s="60">
        <v>0</v>
      </c>
      <c r="Z1260" s="60">
        <v>0</v>
      </c>
      <c r="AA1260" s="60">
        <v>0</v>
      </c>
      <c r="AB1260" s="60">
        <v>0</v>
      </c>
      <c r="AC1260" s="60">
        <v>1114.98</v>
      </c>
      <c r="AD1260" s="60">
        <v>1053.8</v>
      </c>
      <c r="AE1260" s="60">
        <v>1111.81</v>
      </c>
      <c r="AF1260" s="60">
        <v>0</v>
      </c>
      <c r="AG1260" s="60">
        <v>0</v>
      </c>
      <c r="AH1260" s="60">
        <v>0</v>
      </c>
      <c r="AI1260" s="60">
        <v>1114.98</v>
      </c>
      <c r="AJ1260" s="60">
        <v>1053.8</v>
      </c>
      <c r="AK1260" s="60">
        <v>1111.81</v>
      </c>
      <c r="AL1260" s="60">
        <v>0</v>
      </c>
      <c r="AM1260" s="60">
        <v>0</v>
      </c>
      <c r="AN1260" s="60">
        <v>0</v>
      </c>
      <c r="AO1260" s="60">
        <v>1114.98</v>
      </c>
      <c r="AP1260" s="60">
        <v>1053.8</v>
      </c>
      <c r="AQ1260" s="60">
        <v>1111.81</v>
      </c>
      <c r="AR1260" s="61">
        <v>1114.98</v>
      </c>
    </row>
    <row r="1261" spans="1:44" x14ac:dyDescent="0.35">
      <c r="A1261" s="49" t="str">
        <f>TEXT(34,"00")</f>
        <v>34</v>
      </c>
      <c r="B1261" s="27">
        <v>67421</v>
      </c>
      <c r="C1261" s="25" t="str">
        <f>TEXT(132019,"0000000")</f>
        <v>0132019</v>
      </c>
      <c r="D1261" s="27">
        <v>1727</v>
      </c>
      <c r="E1261" s="25" t="s">
        <v>1815</v>
      </c>
      <c r="F1261" s="25" t="s">
        <v>389</v>
      </c>
      <c r="G1261" s="59" t="s">
        <v>1816</v>
      </c>
      <c r="H1261" s="60">
        <v>0</v>
      </c>
      <c r="I1261" s="60">
        <v>0</v>
      </c>
      <c r="J1261" s="60">
        <v>0</v>
      </c>
      <c r="K1261" s="60">
        <v>0</v>
      </c>
      <c r="L1261" s="60">
        <v>0</v>
      </c>
      <c r="M1261" s="60">
        <v>0</v>
      </c>
      <c r="N1261" s="60">
        <v>0</v>
      </c>
      <c r="O1261" s="60">
        <v>0</v>
      </c>
      <c r="P1261" s="60">
        <v>0</v>
      </c>
      <c r="Q1261" s="60">
        <v>0</v>
      </c>
      <c r="R1261" s="60">
        <v>0</v>
      </c>
      <c r="S1261" s="60">
        <v>0</v>
      </c>
      <c r="T1261" s="60">
        <v>0</v>
      </c>
      <c r="U1261" s="60">
        <v>0</v>
      </c>
      <c r="V1261" s="60">
        <v>0</v>
      </c>
      <c r="W1261" s="60">
        <v>0</v>
      </c>
      <c r="X1261" s="60">
        <v>0</v>
      </c>
      <c r="Y1261" s="60">
        <v>0</v>
      </c>
      <c r="Z1261" s="60">
        <v>0</v>
      </c>
      <c r="AA1261" s="60">
        <v>0</v>
      </c>
      <c r="AB1261" s="60">
        <v>0</v>
      </c>
      <c r="AC1261" s="60">
        <v>73.02</v>
      </c>
      <c r="AD1261" s="60">
        <v>21.83</v>
      </c>
      <c r="AE1261" s="60">
        <v>14.07</v>
      </c>
      <c r="AF1261" s="60">
        <v>0</v>
      </c>
      <c r="AG1261" s="60">
        <v>0</v>
      </c>
      <c r="AH1261" s="60">
        <v>0</v>
      </c>
      <c r="AI1261" s="60">
        <v>73.02</v>
      </c>
      <c r="AJ1261" s="60">
        <v>21.83</v>
      </c>
      <c r="AK1261" s="60">
        <v>14.07</v>
      </c>
      <c r="AL1261" s="60">
        <v>0</v>
      </c>
      <c r="AM1261" s="60">
        <v>0</v>
      </c>
      <c r="AN1261" s="60">
        <v>0</v>
      </c>
      <c r="AO1261" s="60">
        <v>73.02</v>
      </c>
      <c r="AP1261" s="60">
        <v>21.83</v>
      </c>
      <c r="AQ1261" s="60">
        <v>14.07</v>
      </c>
      <c r="AR1261" s="61">
        <v>73.02</v>
      </c>
    </row>
    <row r="1262" spans="1:44" x14ac:dyDescent="0.35">
      <c r="A1262" s="49" t="str">
        <f>TEXT(34,"00")</f>
        <v>34</v>
      </c>
      <c r="B1262" s="27">
        <v>67421</v>
      </c>
      <c r="C1262" s="25" t="str">
        <f>TEXT(137950,"0000000")</f>
        <v>0137950</v>
      </c>
      <c r="D1262" s="27">
        <v>1970</v>
      </c>
      <c r="E1262" s="25" t="s">
        <v>1817</v>
      </c>
      <c r="F1262" s="25" t="s">
        <v>389</v>
      </c>
      <c r="G1262" s="59" t="s">
        <v>1818</v>
      </c>
      <c r="H1262" s="60">
        <v>0</v>
      </c>
      <c r="I1262" s="60">
        <v>0</v>
      </c>
      <c r="J1262" s="60">
        <v>0</v>
      </c>
      <c r="K1262" s="60">
        <v>0</v>
      </c>
      <c r="L1262" s="60">
        <v>0</v>
      </c>
      <c r="M1262" s="60">
        <v>0</v>
      </c>
      <c r="N1262" s="60">
        <v>0</v>
      </c>
      <c r="O1262" s="60">
        <v>0</v>
      </c>
      <c r="P1262" s="60">
        <v>0</v>
      </c>
      <c r="Q1262" s="60">
        <v>0</v>
      </c>
      <c r="R1262" s="60">
        <v>0</v>
      </c>
      <c r="S1262" s="60">
        <v>0</v>
      </c>
      <c r="T1262" s="60">
        <v>0</v>
      </c>
      <c r="U1262" s="60">
        <v>0</v>
      </c>
      <c r="V1262" s="60">
        <v>0</v>
      </c>
      <c r="W1262" s="60">
        <v>0</v>
      </c>
      <c r="X1262" s="60">
        <v>0</v>
      </c>
      <c r="Y1262" s="60">
        <v>0</v>
      </c>
      <c r="Z1262" s="60">
        <v>0</v>
      </c>
      <c r="AA1262" s="60">
        <v>0</v>
      </c>
      <c r="AB1262" s="60">
        <v>0</v>
      </c>
      <c r="AC1262" s="60">
        <v>383.25</v>
      </c>
      <c r="AD1262" s="60">
        <v>339.46</v>
      </c>
      <c r="AE1262" s="60">
        <v>341.12</v>
      </c>
      <c r="AF1262" s="60">
        <v>0</v>
      </c>
      <c r="AG1262" s="60">
        <v>0</v>
      </c>
      <c r="AH1262" s="60">
        <v>0</v>
      </c>
      <c r="AI1262" s="60">
        <v>383.25</v>
      </c>
      <c r="AJ1262" s="60">
        <v>339.46</v>
      </c>
      <c r="AK1262" s="60">
        <v>341.12</v>
      </c>
      <c r="AL1262" s="60">
        <v>0</v>
      </c>
      <c r="AM1262" s="60">
        <v>0</v>
      </c>
      <c r="AN1262" s="60">
        <v>0</v>
      </c>
      <c r="AO1262" s="60">
        <v>383.25</v>
      </c>
      <c r="AP1262" s="60">
        <v>339.46</v>
      </c>
      <c r="AQ1262" s="60">
        <v>341.12</v>
      </c>
      <c r="AR1262" s="61">
        <v>383.25</v>
      </c>
    </row>
    <row r="1263" spans="1:44" ht="31" x14ac:dyDescent="0.35">
      <c r="A1263" s="49" t="str">
        <f>TEXT(39,"00")</f>
        <v>39</v>
      </c>
      <c r="B1263" s="27">
        <v>68627</v>
      </c>
      <c r="C1263" s="25" t="str">
        <f>TEXT(126755,"0000000")</f>
        <v>0126755</v>
      </c>
      <c r="D1263" s="27">
        <v>1448</v>
      </c>
      <c r="E1263" s="25" t="s">
        <v>2442</v>
      </c>
      <c r="F1263" s="25" t="s">
        <v>389</v>
      </c>
      <c r="G1263" s="59" t="s">
        <v>2443</v>
      </c>
      <c r="H1263" s="60">
        <v>0</v>
      </c>
      <c r="I1263" s="60">
        <v>0</v>
      </c>
      <c r="J1263" s="60">
        <v>0</v>
      </c>
      <c r="K1263" s="60">
        <v>0</v>
      </c>
      <c r="L1263" s="60">
        <v>0</v>
      </c>
      <c r="M1263" s="60">
        <v>0</v>
      </c>
      <c r="N1263" s="60">
        <v>0</v>
      </c>
      <c r="O1263" s="60">
        <v>0</v>
      </c>
      <c r="P1263" s="60">
        <v>0</v>
      </c>
      <c r="Q1263" s="60">
        <v>0</v>
      </c>
      <c r="R1263" s="60">
        <v>0</v>
      </c>
      <c r="S1263" s="60">
        <v>0</v>
      </c>
      <c r="T1263" s="60">
        <v>0</v>
      </c>
      <c r="U1263" s="60">
        <v>0</v>
      </c>
      <c r="V1263" s="60">
        <v>0</v>
      </c>
      <c r="W1263" s="60">
        <v>0</v>
      </c>
      <c r="X1263" s="60">
        <v>0</v>
      </c>
      <c r="Y1263" s="60">
        <v>0</v>
      </c>
      <c r="Z1263" s="60">
        <v>0</v>
      </c>
      <c r="AA1263" s="60">
        <v>0</v>
      </c>
      <c r="AB1263" s="60">
        <v>0</v>
      </c>
      <c r="AC1263" s="60">
        <v>1081.3</v>
      </c>
      <c r="AD1263" s="60">
        <v>922.1</v>
      </c>
      <c r="AE1263" s="60">
        <v>982.1</v>
      </c>
      <c r="AF1263" s="60">
        <v>0</v>
      </c>
      <c r="AG1263" s="60">
        <v>0</v>
      </c>
      <c r="AH1263" s="60">
        <v>0</v>
      </c>
      <c r="AI1263" s="60">
        <v>1081.3</v>
      </c>
      <c r="AJ1263" s="60">
        <v>922.1</v>
      </c>
      <c r="AK1263" s="60">
        <v>982.1</v>
      </c>
      <c r="AL1263" s="60">
        <v>0</v>
      </c>
      <c r="AM1263" s="60">
        <v>0</v>
      </c>
      <c r="AN1263" s="60">
        <v>0</v>
      </c>
      <c r="AO1263" s="60">
        <v>1081.3</v>
      </c>
      <c r="AP1263" s="60">
        <v>922.1</v>
      </c>
      <c r="AQ1263" s="60">
        <v>982.1</v>
      </c>
      <c r="AR1263" s="61">
        <v>1081.3</v>
      </c>
    </row>
    <row r="1264" spans="1:44" x14ac:dyDescent="0.35">
      <c r="A1264" s="49" t="str">
        <f>TEXT(54,"00")</f>
        <v>54</v>
      </c>
      <c r="B1264" s="27">
        <v>72140</v>
      </c>
      <c r="C1264" s="25" t="str">
        <f>TEXT(136507,"0000000")</f>
        <v>0136507</v>
      </c>
      <c r="D1264" s="27">
        <v>1894</v>
      </c>
      <c r="E1264" s="25" t="s">
        <v>3376</v>
      </c>
      <c r="F1264" s="25" t="s">
        <v>389</v>
      </c>
      <c r="G1264" s="59" t="s">
        <v>3377</v>
      </c>
      <c r="H1264" s="60">
        <v>0</v>
      </c>
      <c r="I1264" s="60">
        <v>0</v>
      </c>
      <c r="J1264" s="60">
        <v>0</v>
      </c>
      <c r="K1264" s="60">
        <v>0</v>
      </c>
      <c r="L1264" s="60">
        <v>0</v>
      </c>
      <c r="M1264" s="60">
        <v>0</v>
      </c>
      <c r="N1264" s="60">
        <v>0</v>
      </c>
      <c r="O1264" s="60">
        <v>0</v>
      </c>
      <c r="P1264" s="60">
        <v>0</v>
      </c>
      <c r="Q1264" s="60">
        <v>0</v>
      </c>
      <c r="R1264" s="60">
        <v>0</v>
      </c>
      <c r="S1264" s="60">
        <v>0</v>
      </c>
      <c r="T1264" s="60">
        <v>0</v>
      </c>
      <c r="U1264" s="60">
        <v>0</v>
      </c>
      <c r="V1264" s="60">
        <v>0</v>
      </c>
      <c r="W1264" s="60">
        <v>0</v>
      </c>
      <c r="X1264" s="60">
        <v>0</v>
      </c>
      <c r="Y1264" s="60">
        <v>0</v>
      </c>
      <c r="Z1264" s="60">
        <v>0</v>
      </c>
      <c r="AA1264" s="60">
        <v>0</v>
      </c>
      <c r="AB1264" s="60">
        <v>0</v>
      </c>
      <c r="AC1264" s="60">
        <v>735.87</v>
      </c>
      <c r="AD1264" s="60">
        <v>623.77</v>
      </c>
      <c r="AE1264" s="60">
        <v>528.13</v>
      </c>
      <c r="AF1264" s="60">
        <v>0</v>
      </c>
      <c r="AG1264" s="60">
        <v>0</v>
      </c>
      <c r="AH1264" s="60">
        <v>0</v>
      </c>
      <c r="AI1264" s="60">
        <v>735.87</v>
      </c>
      <c r="AJ1264" s="60">
        <v>623.77</v>
      </c>
      <c r="AK1264" s="60">
        <v>528.13</v>
      </c>
      <c r="AL1264" s="60">
        <v>0</v>
      </c>
      <c r="AM1264" s="60">
        <v>0</v>
      </c>
      <c r="AN1264" s="60">
        <v>0</v>
      </c>
      <c r="AO1264" s="60">
        <v>735.87</v>
      </c>
      <c r="AP1264" s="60">
        <v>623.77</v>
      </c>
      <c r="AQ1264" s="60">
        <v>528.13</v>
      </c>
      <c r="AR1264" s="61">
        <v>735.87</v>
      </c>
    </row>
    <row r="1265" spans="1:44" x14ac:dyDescent="0.35">
      <c r="A1265" s="49" t="str">
        <f>TEXT(19,"00")</f>
        <v>19</v>
      </c>
      <c r="B1265" s="27">
        <v>10199</v>
      </c>
      <c r="C1265" s="25" t="str">
        <f>TEXT(,"0000000")</f>
        <v>0000000</v>
      </c>
      <c r="D1265" s="26" t="s">
        <v>3663</v>
      </c>
      <c r="E1265" s="25" t="s">
        <v>504</v>
      </c>
      <c r="F1265" s="25" t="s">
        <v>505</v>
      </c>
      <c r="G1265" s="59" t="s">
        <v>505</v>
      </c>
      <c r="H1265" s="60">
        <v>0</v>
      </c>
      <c r="I1265" s="60">
        <v>0</v>
      </c>
      <c r="J1265" s="60">
        <v>0</v>
      </c>
      <c r="K1265" s="60">
        <v>0</v>
      </c>
      <c r="L1265" s="60">
        <v>0</v>
      </c>
      <c r="M1265" s="60">
        <v>0</v>
      </c>
      <c r="N1265" s="60">
        <v>0</v>
      </c>
      <c r="O1265" s="60">
        <v>0</v>
      </c>
      <c r="P1265" s="60">
        <v>0</v>
      </c>
      <c r="Q1265" s="60">
        <v>0</v>
      </c>
      <c r="R1265" s="60">
        <v>0</v>
      </c>
      <c r="S1265" s="60">
        <v>0</v>
      </c>
      <c r="T1265" s="60">
        <v>0</v>
      </c>
      <c r="U1265" s="60">
        <v>0</v>
      </c>
      <c r="V1265" s="60">
        <v>0</v>
      </c>
      <c r="W1265" s="60">
        <v>0</v>
      </c>
      <c r="X1265" s="60">
        <v>0</v>
      </c>
      <c r="Y1265" s="60">
        <v>0</v>
      </c>
      <c r="Z1265" s="60">
        <v>0</v>
      </c>
      <c r="AA1265" s="60">
        <v>0</v>
      </c>
      <c r="AB1265" s="60">
        <v>0</v>
      </c>
      <c r="AC1265" s="60">
        <v>0</v>
      </c>
      <c r="AD1265" s="60">
        <v>0</v>
      </c>
      <c r="AE1265" s="60">
        <v>0</v>
      </c>
      <c r="AF1265" s="60">
        <v>0</v>
      </c>
      <c r="AG1265" s="60">
        <v>0</v>
      </c>
      <c r="AH1265" s="60">
        <v>0</v>
      </c>
      <c r="AI1265" s="60">
        <v>0</v>
      </c>
      <c r="AJ1265" s="60">
        <v>0</v>
      </c>
      <c r="AK1265" s="60">
        <v>0</v>
      </c>
      <c r="AL1265" s="60">
        <v>0</v>
      </c>
      <c r="AM1265" s="60">
        <v>0</v>
      </c>
      <c r="AN1265" s="60">
        <v>0</v>
      </c>
      <c r="AO1265" s="60">
        <v>0</v>
      </c>
      <c r="AP1265" s="60">
        <v>0</v>
      </c>
      <c r="AQ1265" s="60">
        <v>0</v>
      </c>
      <c r="AR1265" s="61">
        <v>0</v>
      </c>
    </row>
    <row r="1266" spans="1:44" x14ac:dyDescent="0.35">
      <c r="A1266" s="49" t="str">
        <f>TEXT(11,"00")</f>
        <v>11</v>
      </c>
      <c r="B1266" s="27">
        <v>62596</v>
      </c>
      <c r="C1266" s="25" t="str">
        <f>TEXT(139550,"0000000")</f>
        <v>0139550</v>
      </c>
      <c r="D1266" s="27">
        <v>2069</v>
      </c>
      <c r="E1266" s="25" t="s">
        <v>506</v>
      </c>
      <c r="F1266" s="25" t="s">
        <v>505</v>
      </c>
      <c r="G1266" s="59" t="s">
        <v>507</v>
      </c>
      <c r="H1266" s="60">
        <v>0</v>
      </c>
      <c r="I1266" s="60">
        <v>0</v>
      </c>
      <c r="J1266" s="60">
        <v>0</v>
      </c>
      <c r="K1266" s="60">
        <v>0</v>
      </c>
      <c r="L1266" s="60">
        <v>0</v>
      </c>
      <c r="M1266" s="60">
        <v>0</v>
      </c>
      <c r="N1266" s="60">
        <v>0</v>
      </c>
      <c r="O1266" s="60">
        <v>0</v>
      </c>
      <c r="P1266" s="60">
        <v>0</v>
      </c>
      <c r="Q1266" s="60">
        <v>0</v>
      </c>
      <c r="R1266" s="60">
        <v>0</v>
      </c>
      <c r="S1266" s="60">
        <v>0</v>
      </c>
      <c r="T1266" s="60">
        <v>0</v>
      </c>
      <c r="U1266" s="60">
        <v>0</v>
      </c>
      <c r="V1266" s="60">
        <v>0</v>
      </c>
      <c r="W1266" s="60">
        <v>0</v>
      </c>
      <c r="X1266" s="60">
        <v>0</v>
      </c>
      <c r="Y1266" s="60">
        <v>0</v>
      </c>
      <c r="Z1266" s="60">
        <v>0</v>
      </c>
      <c r="AA1266" s="60">
        <v>0</v>
      </c>
      <c r="AB1266" s="60">
        <v>0</v>
      </c>
      <c r="AC1266" s="60">
        <v>715.31</v>
      </c>
      <c r="AD1266" s="60">
        <v>617.04999999999995</v>
      </c>
      <c r="AE1266" s="60">
        <v>434.25</v>
      </c>
      <c r="AF1266" s="60">
        <v>0</v>
      </c>
      <c r="AG1266" s="60">
        <v>0</v>
      </c>
      <c r="AH1266" s="60">
        <v>0</v>
      </c>
      <c r="AI1266" s="60">
        <v>715.31</v>
      </c>
      <c r="AJ1266" s="60">
        <v>617.04999999999995</v>
      </c>
      <c r="AK1266" s="60">
        <v>434.25</v>
      </c>
      <c r="AL1266" s="60">
        <v>0</v>
      </c>
      <c r="AM1266" s="60">
        <v>0</v>
      </c>
      <c r="AN1266" s="60">
        <v>0</v>
      </c>
      <c r="AO1266" s="60">
        <v>715.31</v>
      </c>
      <c r="AP1266" s="60">
        <v>617.04999999999995</v>
      </c>
      <c r="AQ1266" s="60">
        <v>434.25</v>
      </c>
      <c r="AR1266" s="61">
        <v>715.31</v>
      </c>
    </row>
    <row r="1267" spans="1:44" x14ac:dyDescent="0.35">
      <c r="A1267" s="49" t="str">
        <f>TEXT(15,"00")</f>
        <v>15</v>
      </c>
      <c r="B1267" s="27">
        <v>63628</v>
      </c>
      <c r="C1267" s="25" t="str">
        <f>TEXT(134312,"0000000")</f>
        <v>0134312</v>
      </c>
      <c r="D1267" s="27">
        <v>1816</v>
      </c>
      <c r="E1267" s="25" t="s">
        <v>705</v>
      </c>
      <c r="F1267" s="25" t="s">
        <v>505</v>
      </c>
      <c r="G1267" s="59" t="s">
        <v>706</v>
      </c>
      <c r="H1267" s="60">
        <v>0</v>
      </c>
      <c r="I1267" s="60">
        <v>0</v>
      </c>
      <c r="J1267" s="60">
        <v>0</v>
      </c>
      <c r="K1267" s="60">
        <v>0</v>
      </c>
      <c r="L1267" s="60">
        <v>0</v>
      </c>
      <c r="M1267" s="60">
        <v>0</v>
      </c>
      <c r="N1267" s="60">
        <v>0</v>
      </c>
      <c r="O1267" s="60">
        <v>0</v>
      </c>
      <c r="P1267" s="60">
        <v>0</v>
      </c>
      <c r="Q1267" s="60">
        <v>0</v>
      </c>
      <c r="R1267" s="60">
        <v>0</v>
      </c>
      <c r="S1267" s="60">
        <v>0</v>
      </c>
      <c r="T1267" s="60">
        <v>0</v>
      </c>
      <c r="U1267" s="60">
        <v>0</v>
      </c>
      <c r="V1267" s="60">
        <v>0</v>
      </c>
      <c r="W1267" s="60">
        <v>0</v>
      </c>
      <c r="X1267" s="60">
        <v>0</v>
      </c>
      <c r="Y1267" s="60">
        <v>0</v>
      </c>
      <c r="Z1267" s="60">
        <v>0</v>
      </c>
      <c r="AA1267" s="60">
        <v>0</v>
      </c>
      <c r="AB1267" s="60">
        <v>0</v>
      </c>
      <c r="AC1267" s="60">
        <v>6650.93</v>
      </c>
      <c r="AD1267" s="60">
        <v>6475.8</v>
      </c>
      <c r="AE1267" s="60">
        <v>6986.25</v>
      </c>
      <c r="AF1267" s="60">
        <v>0</v>
      </c>
      <c r="AG1267" s="60">
        <v>0</v>
      </c>
      <c r="AH1267" s="60">
        <v>0</v>
      </c>
      <c r="AI1267" s="60">
        <v>6650.93</v>
      </c>
      <c r="AJ1267" s="60">
        <v>6475.8</v>
      </c>
      <c r="AK1267" s="60">
        <v>6986.25</v>
      </c>
      <c r="AL1267" s="60">
        <v>0</v>
      </c>
      <c r="AM1267" s="60">
        <v>0</v>
      </c>
      <c r="AN1267" s="60">
        <v>0</v>
      </c>
      <c r="AO1267" s="60">
        <v>6650.93</v>
      </c>
      <c r="AP1267" s="60">
        <v>6475.8</v>
      </c>
      <c r="AQ1267" s="60">
        <v>6986.25</v>
      </c>
      <c r="AR1267" s="61">
        <v>6986.25</v>
      </c>
    </row>
    <row r="1268" spans="1:44" x14ac:dyDescent="0.35">
      <c r="A1268" s="49" t="str">
        <f>TEXT(15,"00")</f>
        <v>15</v>
      </c>
      <c r="B1268" s="27">
        <v>63628</v>
      </c>
      <c r="C1268" s="25" t="str">
        <f>TEXT(138131,"0000000")</f>
        <v>0138131</v>
      </c>
      <c r="D1268" s="27">
        <v>1998</v>
      </c>
      <c r="E1268" s="25" t="s">
        <v>709</v>
      </c>
      <c r="F1268" s="25" t="s">
        <v>505</v>
      </c>
      <c r="G1268" s="59" t="s">
        <v>710</v>
      </c>
      <c r="H1268" s="60">
        <v>0</v>
      </c>
      <c r="I1268" s="60">
        <v>0</v>
      </c>
      <c r="J1268" s="60">
        <v>0</v>
      </c>
      <c r="K1268" s="60">
        <v>0</v>
      </c>
      <c r="L1268" s="60">
        <v>0</v>
      </c>
      <c r="M1268" s="60">
        <v>0</v>
      </c>
      <c r="N1268" s="60">
        <v>0</v>
      </c>
      <c r="O1268" s="60">
        <v>0</v>
      </c>
      <c r="P1268" s="60">
        <v>0</v>
      </c>
      <c r="Q1268" s="60">
        <v>0</v>
      </c>
      <c r="R1268" s="60">
        <v>0</v>
      </c>
      <c r="S1268" s="60">
        <v>0</v>
      </c>
      <c r="T1268" s="60">
        <v>0</v>
      </c>
      <c r="U1268" s="60">
        <v>0</v>
      </c>
      <c r="V1268" s="60">
        <v>0</v>
      </c>
      <c r="W1268" s="60">
        <v>0</v>
      </c>
      <c r="X1268" s="60">
        <v>0</v>
      </c>
      <c r="Y1268" s="60">
        <v>0</v>
      </c>
      <c r="Z1268" s="60">
        <v>0</v>
      </c>
      <c r="AA1268" s="60">
        <v>0</v>
      </c>
      <c r="AB1268" s="60">
        <v>0</v>
      </c>
      <c r="AC1268" s="60">
        <v>4624.82</v>
      </c>
      <c r="AD1268" s="60">
        <v>4355.13</v>
      </c>
      <c r="AE1268" s="60">
        <v>4124.45</v>
      </c>
      <c r="AF1268" s="60">
        <v>0</v>
      </c>
      <c r="AG1268" s="60">
        <v>0</v>
      </c>
      <c r="AH1268" s="60">
        <v>0</v>
      </c>
      <c r="AI1268" s="60">
        <v>4624.82</v>
      </c>
      <c r="AJ1268" s="60">
        <v>4355.13</v>
      </c>
      <c r="AK1268" s="60">
        <v>4124.45</v>
      </c>
      <c r="AL1268" s="60">
        <v>0</v>
      </c>
      <c r="AM1268" s="60">
        <v>0</v>
      </c>
      <c r="AN1268" s="60">
        <v>0</v>
      </c>
      <c r="AO1268" s="60">
        <v>4624.82</v>
      </c>
      <c r="AP1268" s="60">
        <v>4355.13</v>
      </c>
      <c r="AQ1268" s="60">
        <v>4124.45</v>
      </c>
      <c r="AR1268" s="61">
        <v>4624.82</v>
      </c>
    </row>
    <row r="1269" spans="1:44" x14ac:dyDescent="0.35">
      <c r="A1269" s="49" t="str">
        <f t="shared" ref="A1269:A1289" si="104">TEXT(19,"00")</f>
        <v>19</v>
      </c>
      <c r="B1269" s="27">
        <v>10199</v>
      </c>
      <c r="C1269" s="25" t="str">
        <f>TEXT(106880,"0000000")</f>
        <v>0106880</v>
      </c>
      <c r="D1269" s="26" t="s">
        <v>834</v>
      </c>
      <c r="E1269" s="25" t="s">
        <v>832</v>
      </c>
      <c r="F1269" s="25" t="s">
        <v>505</v>
      </c>
      <c r="G1269" s="59" t="s">
        <v>833</v>
      </c>
      <c r="H1269" s="60">
        <v>0</v>
      </c>
      <c r="I1269" s="60">
        <v>0</v>
      </c>
      <c r="J1269" s="60">
        <v>0</v>
      </c>
      <c r="K1269" s="60">
        <v>0</v>
      </c>
      <c r="L1269" s="60">
        <v>0</v>
      </c>
      <c r="M1269" s="60">
        <v>0</v>
      </c>
      <c r="N1269" s="60">
        <v>0</v>
      </c>
      <c r="O1269" s="60">
        <v>0</v>
      </c>
      <c r="P1269" s="60">
        <v>0</v>
      </c>
      <c r="Q1269" s="60">
        <v>0</v>
      </c>
      <c r="R1269" s="60">
        <v>0</v>
      </c>
      <c r="S1269" s="60">
        <v>0</v>
      </c>
      <c r="T1269" s="60">
        <v>0</v>
      </c>
      <c r="U1269" s="60">
        <v>0</v>
      </c>
      <c r="V1269" s="60">
        <v>0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13.87</v>
      </c>
      <c r="AD1269" s="60">
        <v>15.15</v>
      </c>
      <c r="AE1269" s="60">
        <v>29.31</v>
      </c>
      <c r="AF1269" s="60">
        <v>0</v>
      </c>
      <c r="AG1269" s="60">
        <v>0</v>
      </c>
      <c r="AH1269" s="60">
        <v>0</v>
      </c>
      <c r="AI1269" s="60">
        <v>13.87</v>
      </c>
      <c r="AJ1269" s="60">
        <v>15.15</v>
      </c>
      <c r="AK1269" s="60">
        <v>29.31</v>
      </c>
      <c r="AL1269" s="60">
        <v>0</v>
      </c>
      <c r="AM1269" s="60">
        <v>0</v>
      </c>
      <c r="AN1269" s="60">
        <v>0</v>
      </c>
      <c r="AO1269" s="60">
        <v>13.87</v>
      </c>
      <c r="AP1269" s="60">
        <v>15.15</v>
      </c>
      <c r="AQ1269" s="60">
        <v>29.31</v>
      </c>
      <c r="AR1269" s="61">
        <v>29.31</v>
      </c>
    </row>
    <row r="1270" spans="1:44" x14ac:dyDescent="0.35">
      <c r="A1270" s="49" t="str">
        <f t="shared" si="104"/>
        <v>19</v>
      </c>
      <c r="B1270" s="27">
        <v>10199</v>
      </c>
      <c r="C1270" s="25" t="str">
        <f>TEXT(128025,"0000000")</f>
        <v>0128025</v>
      </c>
      <c r="D1270" s="27">
        <v>1560</v>
      </c>
      <c r="E1270" s="25" t="s">
        <v>851</v>
      </c>
      <c r="F1270" s="25" t="s">
        <v>505</v>
      </c>
      <c r="G1270" s="59" t="s">
        <v>852</v>
      </c>
      <c r="H1270" s="60">
        <v>0</v>
      </c>
      <c r="I1270" s="60">
        <v>0</v>
      </c>
      <c r="J1270" s="60">
        <v>0</v>
      </c>
      <c r="K1270" s="60">
        <v>0</v>
      </c>
      <c r="L1270" s="60">
        <v>0</v>
      </c>
      <c r="M1270" s="60">
        <v>0</v>
      </c>
      <c r="N1270" s="60">
        <v>0</v>
      </c>
      <c r="O1270" s="60">
        <v>0</v>
      </c>
      <c r="P1270" s="60">
        <v>0</v>
      </c>
      <c r="Q1270" s="60">
        <v>0</v>
      </c>
      <c r="R1270" s="60">
        <v>0</v>
      </c>
      <c r="S1270" s="60">
        <v>0</v>
      </c>
      <c r="T1270" s="60">
        <v>0</v>
      </c>
      <c r="U1270" s="60">
        <v>0</v>
      </c>
      <c r="V1270" s="60">
        <v>0</v>
      </c>
      <c r="W1270" s="60">
        <v>0</v>
      </c>
      <c r="X1270" s="60">
        <v>0</v>
      </c>
      <c r="Y1270" s="60">
        <v>0</v>
      </c>
      <c r="Z1270" s="60">
        <v>0</v>
      </c>
      <c r="AA1270" s="60">
        <v>0</v>
      </c>
      <c r="AB1270" s="60">
        <v>0</v>
      </c>
      <c r="AC1270" s="60">
        <v>505.54</v>
      </c>
      <c r="AD1270" s="60">
        <v>501</v>
      </c>
      <c r="AE1270" s="60">
        <v>554.9</v>
      </c>
      <c r="AF1270" s="60">
        <v>0</v>
      </c>
      <c r="AG1270" s="60">
        <v>0</v>
      </c>
      <c r="AH1270" s="60">
        <v>0</v>
      </c>
      <c r="AI1270" s="60">
        <v>505.54</v>
      </c>
      <c r="AJ1270" s="60">
        <v>501</v>
      </c>
      <c r="AK1270" s="60">
        <v>554.9</v>
      </c>
      <c r="AL1270" s="60">
        <v>0</v>
      </c>
      <c r="AM1270" s="60">
        <v>0</v>
      </c>
      <c r="AN1270" s="60">
        <v>0</v>
      </c>
      <c r="AO1270" s="60">
        <v>505.54</v>
      </c>
      <c r="AP1270" s="60">
        <v>501</v>
      </c>
      <c r="AQ1270" s="60">
        <v>554.9</v>
      </c>
      <c r="AR1270" s="61">
        <v>554.9</v>
      </c>
    </row>
    <row r="1271" spans="1:44" x14ac:dyDescent="0.35">
      <c r="A1271" s="49" t="str">
        <f t="shared" si="104"/>
        <v>19</v>
      </c>
      <c r="B1271" s="27">
        <v>10199</v>
      </c>
      <c r="C1271" s="25" t="str">
        <f>TEXT(134346,"0000000")</f>
        <v>0134346</v>
      </c>
      <c r="D1271" s="27">
        <v>1814</v>
      </c>
      <c r="E1271" s="25" t="s">
        <v>855</v>
      </c>
      <c r="F1271" s="25" t="s">
        <v>505</v>
      </c>
      <c r="G1271" s="59" t="s">
        <v>856</v>
      </c>
      <c r="H1271" s="60">
        <v>0</v>
      </c>
      <c r="I1271" s="60">
        <v>0</v>
      </c>
      <c r="J1271" s="60">
        <v>0</v>
      </c>
      <c r="K1271" s="60">
        <v>0</v>
      </c>
      <c r="L1271" s="60">
        <v>0</v>
      </c>
      <c r="M1271" s="60">
        <v>0</v>
      </c>
      <c r="N1271" s="60">
        <v>0</v>
      </c>
      <c r="O1271" s="60">
        <v>0</v>
      </c>
      <c r="P1271" s="60">
        <v>0</v>
      </c>
      <c r="Q1271" s="60">
        <v>0</v>
      </c>
      <c r="R1271" s="60">
        <v>0</v>
      </c>
      <c r="S1271" s="60">
        <v>0</v>
      </c>
      <c r="T1271" s="60">
        <v>0</v>
      </c>
      <c r="U1271" s="60">
        <v>0</v>
      </c>
      <c r="V1271" s="60">
        <v>0</v>
      </c>
      <c r="W1271" s="60">
        <v>0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v>84.72</v>
      </c>
      <c r="AD1271" s="60">
        <v>85.66</v>
      </c>
      <c r="AE1271" s="60">
        <v>106.97</v>
      </c>
      <c r="AF1271" s="60">
        <v>0</v>
      </c>
      <c r="AG1271" s="60">
        <v>0</v>
      </c>
      <c r="AH1271" s="60">
        <v>0</v>
      </c>
      <c r="AI1271" s="60">
        <v>84.72</v>
      </c>
      <c r="AJ1271" s="60">
        <v>85.66</v>
      </c>
      <c r="AK1271" s="60">
        <v>106.97</v>
      </c>
      <c r="AL1271" s="60">
        <v>0</v>
      </c>
      <c r="AM1271" s="60">
        <v>0</v>
      </c>
      <c r="AN1271" s="60">
        <v>0</v>
      </c>
      <c r="AO1271" s="60">
        <v>84.72</v>
      </c>
      <c r="AP1271" s="60">
        <v>85.66</v>
      </c>
      <c r="AQ1271" s="60">
        <v>106.97</v>
      </c>
      <c r="AR1271" s="61">
        <v>106.97</v>
      </c>
    </row>
    <row r="1272" spans="1:44" x14ac:dyDescent="0.35">
      <c r="A1272" s="49" t="str">
        <f t="shared" si="104"/>
        <v>19</v>
      </c>
      <c r="B1272" s="27">
        <v>10199</v>
      </c>
      <c r="C1272" s="25" t="str">
        <f>TEXT(134361,"0000000")</f>
        <v>0134361</v>
      </c>
      <c r="D1272" s="27">
        <v>1818</v>
      </c>
      <c r="E1272" s="25" t="s">
        <v>857</v>
      </c>
      <c r="F1272" s="25" t="s">
        <v>505</v>
      </c>
      <c r="G1272" s="59" t="s">
        <v>858</v>
      </c>
      <c r="H1272" s="60">
        <v>0</v>
      </c>
      <c r="I1272" s="60">
        <v>0</v>
      </c>
      <c r="J1272" s="60">
        <v>0</v>
      </c>
      <c r="K1272" s="60">
        <v>0</v>
      </c>
      <c r="L1272" s="60">
        <v>0</v>
      </c>
      <c r="M1272" s="60">
        <v>0</v>
      </c>
      <c r="N1272" s="60">
        <v>0</v>
      </c>
      <c r="O1272" s="60">
        <v>0</v>
      </c>
      <c r="P1272" s="60">
        <v>0</v>
      </c>
      <c r="Q1272" s="60">
        <v>0</v>
      </c>
      <c r="R1272" s="60">
        <v>0</v>
      </c>
      <c r="S1272" s="60">
        <v>0</v>
      </c>
      <c r="T1272" s="60">
        <v>0</v>
      </c>
      <c r="U1272" s="60">
        <v>0</v>
      </c>
      <c r="V1272" s="60">
        <v>0</v>
      </c>
      <c r="W1272" s="60">
        <v>0</v>
      </c>
      <c r="X1272" s="60">
        <v>0</v>
      </c>
      <c r="Y1272" s="60">
        <v>0</v>
      </c>
      <c r="Z1272" s="60">
        <v>0</v>
      </c>
      <c r="AA1272" s="60">
        <v>0</v>
      </c>
      <c r="AB1272" s="60">
        <v>0</v>
      </c>
      <c r="AC1272" s="60">
        <v>120.42</v>
      </c>
      <c r="AD1272" s="60">
        <v>148.04</v>
      </c>
      <c r="AE1272" s="60">
        <v>203.24</v>
      </c>
      <c r="AF1272" s="60">
        <v>0</v>
      </c>
      <c r="AG1272" s="60">
        <v>0</v>
      </c>
      <c r="AH1272" s="60">
        <v>0</v>
      </c>
      <c r="AI1272" s="60">
        <v>120.42</v>
      </c>
      <c r="AJ1272" s="60">
        <v>148.04</v>
      </c>
      <c r="AK1272" s="60">
        <v>203.24</v>
      </c>
      <c r="AL1272" s="60">
        <v>0</v>
      </c>
      <c r="AM1272" s="60">
        <v>0</v>
      </c>
      <c r="AN1272" s="60">
        <v>0</v>
      </c>
      <c r="AO1272" s="60">
        <v>120.42</v>
      </c>
      <c r="AP1272" s="60">
        <v>148.04</v>
      </c>
      <c r="AQ1272" s="60">
        <v>203.24</v>
      </c>
      <c r="AR1272" s="61">
        <v>203.24</v>
      </c>
    </row>
    <row r="1273" spans="1:44" x14ac:dyDescent="0.35">
      <c r="A1273" s="49" t="str">
        <f t="shared" si="104"/>
        <v>19</v>
      </c>
      <c r="B1273" s="27">
        <v>10199</v>
      </c>
      <c r="C1273" s="25" t="str">
        <f>TEXT(135582,"0000000")</f>
        <v>0135582</v>
      </c>
      <c r="D1273" s="27">
        <v>1817</v>
      </c>
      <c r="E1273" s="25" t="s">
        <v>861</v>
      </c>
      <c r="F1273" s="25" t="s">
        <v>505</v>
      </c>
      <c r="G1273" s="59" t="s">
        <v>862</v>
      </c>
      <c r="H1273" s="60">
        <v>0</v>
      </c>
      <c r="I1273" s="60">
        <v>0</v>
      </c>
      <c r="J1273" s="60">
        <v>0</v>
      </c>
      <c r="K1273" s="60">
        <v>0</v>
      </c>
      <c r="L1273" s="60">
        <v>0</v>
      </c>
      <c r="M1273" s="60">
        <v>0</v>
      </c>
      <c r="N1273" s="60">
        <v>0</v>
      </c>
      <c r="O1273" s="60">
        <v>0</v>
      </c>
      <c r="P1273" s="60">
        <v>0</v>
      </c>
      <c r="Q1273" s="60">
        <v>0</v>
      </c>
      <c r="R1273" s="60">
        <v>0</v>
      </c>
      <c r="S1273" s="60">
        <v>0</v>
      </c>
      <c r="T1273" s="60">
        <v>0</v>
      </c>
      <c r="U1273" s="60">
        <v>0</v>
      </c>
      <c r="V1273" s="60">
        <v>0</v>
      </c>
      <c r="W1273" s="60">
        <v>0</v>
      </c>
      <c r="X1273" s="60">
        <v>0</v>
      </c>
      <c r="Y1273" s="60">
        <v>0</v>
      </c>
      <c r="Z1273" s="60">
        <v>0</v>
      </c>
      <c r="AA1273" s="60">
        <v>0</v>
      </c>
      <c r="AB1273" s="60">
        <v>0</v>
      </c>
      <c r="AC1273" s="60">
        <v>194.1</v>
      </c>
      <c r="AD1273" s="60">
        <v>199.14</v>
      </c>
      <c r="AE1273" s="60">
        <v>190.8</v>
      </c>
      <c r="AF1273" s="60">
        <v>0</v>
      </c>
      <c r="AG1273" s="60">
        <v>0</v>
      </c>
      <c r="AH1273" s="60">
        <v>0</v>
      </c>
      <c r="AI1273" s="60">
        <v>194.1</v>
      </c>
      <c r="AJ1273" s="60">
        <v>199.14</v>
      </c>
      <c r="AK1273" s="60">
        <v>190.8</v>
      </c>
      <c r="AL1273" s="60">
        <v>0</v>
      </c>
      <c r="AM1273" s="60">
        <v>0</v>
      </c>
      <c r="AN1273" s="60">
        <v>0</v>
      </c>
      <c r="AO1273" s="60">
        <v>194.1</v>
      </c>
      <c r="AP1273" s="60">
        <v>199.14</v>
      </c>
      <c r="AQ1273" s="60">
        <v>190.8</v>
      </c>
      <c r="AR1273" s="61">
        <v>199.14</v>
      </c>
    </row>
    <row r="1274" spans="1:44" x14ac:dyDescent="0.35">
      <c r="A1274" s="49" t="str">
        <f t="shared" si="104"/>
        <v>19</v>
      </c>
      <c r="B1274" s="27">
        <v>10199</v>
      </c>
      <c r="C1274" s="25" t="str">
        <f>TEXT(137166,"0000000")</f>
        <v>0137166</v>
      </c>
      <c r="D1274" s="27">
        <v>1931</v>
      </c>
      <c r="E1274" s="25" t="s">
        <v>865</v>
      </c>
      <c r="F1274" s="25" t="s">
        <v>505</v>
      </c>
      <c r="G1274" s="59" t="s">
        <v>866</v>
      </c>
      <c r="H1274" s="60">
        <v>0</v>
      </c>
      <c r="I1274" s="60">
        <v>0</v>
      </c>
      <c r="J1274" s="60">
        <v>0</v>
      </c>
      <c r="K1274" s="60">
        <v>0</v>
      </c>
      <c r="L1274" s="60">
        <v>0</v>
      </c>
      <c r="M1274" s="60">
        <v>0</v>
      </c>
      <c r="N1274" s="60">
        <v>0</v>
      </c>
      <c r="O1274" s="60">
        <v>0</v>
      </c>
      <c r="P1274" s="60">
        <v>0</v>
      </c>
      <c r="Q1274" s="60">
        <v>0</v>
      </c>
      <c r="R1274" s="60">
        <v>0</v>
      </c>
      <c r="S1274" s="60">
        <v>0</v>
      </c>
      <c r="T1274" s="60">
        <v>0</v>
      </c>
      <c r="U1274" s="60">
        <v>0</v>
      </c>
      <c r="V1274" s="60">
        <v>0</v>
      </c>
      <c r="W1274" s="60">
        <v>0</v>
      </c>
      <c r="X1274" s="60">
        <v>0</v>
      </c>
      <c r="Y1274" s="60">
        <v>0</v>
      </c>
      <c r="Z1274" s="60">
        <v>0</v>
      </c>
      <c r="AA1274" s="60">
        <v>0</v>
      </c>
      <c r="AB1274" s="60">
        <v>0</v>
      </c>
      <c r="AC1274" s="60">
        <v>242.5</v>
      </c>
      <c r="AD1274" s="60">
        <v>203.42</v>
      </c>
      <c r="AE1274" s="60">
        <v>186.2</v>
      </c>
      <c r="AF1274" s="60">
        <v>0</v>
      </c>
      <c r="AG1274" s="60">
        <v>0</v>
      </c>
      <c r="AH1274" s="60">
        <v>0</v>
      </c>
      <c r="AI1274" s="60">
        <v>242.5</v>
      </c>
      <c r="AJ1274" s="60">
        <v>203.42</v>
      </c>
      <c r="AK1274" s="60">
        <v>186.2</v>
      </c>
      <c r="AL1274" s="60">
        <v>0</v>
      </c>
      <c r="AM1274" s="60">
        <v>0</v>
      </c>
      <c r="AN1274" s="60">
        <v>0</v>
      </c>
      <c r="AO1274" s="60">
        <v>242.5</v>
      </c>
      <c r="AP1274" s="60">
        <v>203.42</v>
      </c>
      <c r="AQ1274" s="60">
        <v>186.2</v>
      </c>
      <c r="AR1274" s="61">
        <v>242.5</v>
      </c>
    </row>
    <row r="1275" spans="1:44" x14ac:dyDescent="0.35">
      <c r="A1275" s="49" t="str">
        <f t="shared" si="104"/>
        <v>19</v>
      </c>
      <c r="B1275" s="27">
        <v>10199</v>
      </c>
      <c r="C1275" s="25" t="str">
        <f>TEXT(138669,"0000000")</f>
        <v>0138669</v>
      </c>
      <c r="D1275" s="27">
        <v>2017</v>
      </c>
      <c r="E1275" s="25" t="s">
        <v>870</v>
      </c>
      <c r="F1275" s="25" t="s">
        <v>505</v>
      </c>
      <c r="G1275" s="59" t="s">
        <v>871</v>
      </c>
      <c r="H1275" s="60">
        <v>0</v>
      </c>
      <c r="I1275" s="60">
        <v>0</v>
      </c>
      <c r="J1275" s="60">
        <v>0</v>
      </c>
      <c r="K1275" s="60">
        <v>0</v>
      </c>
      <c r="L1275" s="60">
        <v>0</v>
      </c>
      <c r="M1275" s="60">
        <v>0</v>
      </c>
      <c r="N1275" s="60">
        <v>0</v>
      </c>
      <c r="O1275" s="60">
        <v>0</v>
      </c>
      <c r="P1275" s="60">
        <v>0</v>
      </c>
      <c r="Q1275" s="60">
        <v>0</v>
      </c>
      <c r="R1275" s="60">
        <v>0</v>
      </c>
      <c r="S1275" s="60">
        <v>0</v>
      </c>
      <c r="T1275" s="60">
        <v>0</v>
      </c>
      <c r="U1275" s="60">
        <v>0</v>
      </c>
      <c r="V1275" s="60">
        <v>0</v>
      </c>
      <c r="W1275" s="60">
        <v>0</v>
      </c>
      <c r="X1275" s="60">
        <v>0</v>
      </c>
      <c r="Y1275" s="60">
        <v>0</v>
      </c>
      <c r="Z1275" s="60">
        <v>99.58</v>
      </c>
      <c r="AA1275" s="60">
        <v>113.65</v>
      </c>
      <c r="AB1275" s="60">
        <v>121.87</v>
      </c>
      <c r="AC1275" s="60">
        <v>0</v>
      </c>
      <c r="AD1275" s="60">
        <v>0</v>
      </c>
      <c r="AE1275" s="60">
        <v>0</v>
      </c>
      <c r="AF1275" s="60">
        <v>0</v>
      </c>
      <c r="AG1275" s="60">
        <v>0</v>
      </c>
      <c r="AH1275" s="60">
        <v>0</v>
      </c>
      <c r="AI1275" s="60">
        <v>99.58</v>
      </c>
      <c r="AJ1275" s="60">
        <v>113.65</v>
      </c>
      <c r="AK1275" s="60">
        <v>121.87</v>
      </c>
      <c r="AL1275" s="60">
        <v>0</v>
      </c>
      <c r="AM1275" s="60">
        <v>0</v>
      </c>
      <c r="AN1275" s="60">
        <v>0</v>
      </c>
      <c r="AO1275" s="60">
        <v>99.58</v>
      </c>
      <c r="AP1275" s="60">
        <v>113.65</v>
      </c>
      <c r="AQ1275" s="60">
        <v>121.87</v>
      </c>
      <c r="AR1275" s="61">
        <v>121.87</v>
      </c>
    </row>
    <row r="1276" spans="1:44" x14ac:dyDescent="0.35">
      <c r="A1276" s="49" t="str">
        <f t="shared" si="104"/>
        <v>19</v>
      </c>
      <c r="B1276" s="27">
        <v>10199</v>
      </c>
      <c r="C1276" s="25" t="str">
        <f>TEXT(139170,"0000000")</f>
        <v>0139170</v>
      </c>
      <c r="D1276" s="27">
        <v>2029</v>
      </c>
      <c r="E1276" s="25" t="s">
        <v>872</v>
      </c>
      <c r="F1276" s="25" t="s">
        <v>505</v>
      </c>
      <c r="G1276" s="59" t="s">
        <v>873</v>
      </c>
      <c r="H1276" s="60">
        <v>0</v>
      </c>
      <c r="I1276" s="60">
        <v>0</v>
      </c>
      <c r="J1276" s="60">
        <v>0</v>
      </c>
      <c r="K1276" s="60">
        <v>0</v>
      </c>
      <c r="L1276" s="60">
        <v>0</v>
      </c>
      <c r="M1276" s="60">
        <v>0</v>
      </c>
      <c r="N1276" s="60">
        <v>0</v>
      </c>
      <c r="O1276" s="60">
        <v>0</v>
      </c>
      <c r="P1276" s="60">
        <v>0</v>
      </c>
      <c r="Q1276" s="60">
        <v>0</v>
      </c>
      <c r="R1276" s="60">
        <v>0</v>
      </c>
      <c r="S1276" s="60">
        <v>0</v>
      </c>
      <c r="T1276" s="60">
        <v>0</v>
      </c>
      <c r="U1276" s="60">
        <v>0</v>
      </c>
      <c r="V1276" s="60">
        <v>0</v>
      </c>
      <c r="W1276" s="60">
        <v>0</v>
      </c>
      <c r="X1276" s="60">
        <v>0</v>
      </c>
      <c r="Y1276" s="60">
        <v>0</v>
      </c>
      <c r="Z1276" s="60">
        <v>0</v>
      </c>
      <c r="AA1276" s="60">
        <v>0</v>
      </c>
      <c r="AB1276" s="60">
        <v>0</v>
      </c>
      <c r="AC1276" s="60">
        <v>67.94</v>
      </c>
      <c r="AD1276" s="60">
        <v>36.28</v>
      </c>
      <c r="AE1276" s="60">
        <v>25.43</v>
      </c>
      <c r="AF1276" s="60">
        <v>0</v>
      </c>
      <c r="AG1276" s="60">
        <v>0</v>
      </c>
      <c r="AH1276" s="60">
        <v>0</v>
      </c>
      <c r="AI1276" s="60">
        <v>67.94</v>
      </c>
      <c r="AJ1276" s="60">
        <v>36.28</v>
      </c>
      <c r="AK1276" s="60">
        <v>25.43</v>
      </c>
      <c r="AL1276" s="60">
        <v>0</v>
      </c>
      <c r="AM1276" s="60">
        <v>0</v>
      </c>
      <c r="AN1276" s="60">
        <v>0</v>
      </c>
      <c r="AO1276" s="60">
        <v>67.94</v>
      </c>
      <c r="AP1276" s="60">
        <v>36.28</v>
      </c>
      <c r="AQ1276" s="60">
        <v>25.43</v>
      </c>
      <c r="AR1276" s="61">
        <v>67.94</v>
      </c>
    </row>
    <row r="1277" spans="1:44" x14ac:dyDescent="0.35">
      <c r="A1277" s="49" t="str">
        <f t="shared" si="104"/>
        <v>19</v>
      </c>
      <c r="B1277" s="27">
        <v>10199</v>
      </c>
      <c r="C1277" s="25" t="str">
        <f>TEXT(139345,"0000000")</f>
        <v>0139345</v>
      </c>
      <c r="D1277" s="27">
        <v>2045</v>
      </c>
      <c r="E1277" s="25" t="s">
        <v>874</v>
      </c>
      <c r="F1277" s="25" t="s">
        <v>505</v>
      </c>
      <c r="G1277" s="59" t="s">
        <v>875</v>
      </c>
      <c r="H1277" s="60">
        <v>0</v>
      </c>
      <c r="I1277" s="60">
        <v>0</v>
      </c>
      <c r="J1277" s="60">
        <v>0</v>
      </c>
      <c r="K1277" s="60">
        <v>0</v>
      </c>
      <c r="L1277" s="60">
        <v>0</v>
      </c>
      <c r="M1277" s="60">
        <v>0</v>
      </c>
      <c r="N1277" s="60">
        <v>0</v>
      </c>
      <c r="O1277" s="60">
        <v>0</v>
      </c>
      <c r="P1277" s="60">
        <v>0</v>
      </c>
      <c r="Q1277" s="60">
        <v>0</v>
      </c>
      <c r="R1277" s="60">
        <v>0</v>
      </c>
      <c r="S1277" s="60">
        <v>0</v>
      </c>
      <c r="T1277" s="60">
        <v>0</v>
      </c>
      <c r="U1277" s="60">
        <v>0</v>
      </c>
      <c r="V1277" s="60">
        <v>0</v>
      </c>
      <c r="W1277" s="60">
        <v>0</v>
      </c>
      <c r="X1277" s="60">
        <v>0</v>
      </c>
      <c r="Y1277" s="60">
        <v>0</v>
      </c>
      <c r="Z1277" s="60">
        <v>0</v>
      </c>
      <c r="AA1277" s="60">
        <v>0</v>
      </c>
      <c r="AB1277" s="60">
        <v>0</v>
      </c>
      <c r="AC1277" s="60">
        <v>33.33</v>
      </c>
      <c r="AD1277" s="60">
        <v>44.67</v>
      </c>
      <c r="AE1277" s="60">
        <v>20.7</v>
      </c>
      <c r="AF1277" s="60">
        <v>0</v>
      </c>
      <c r="AG1277" s="60">
        <v>0</v>
      </c>
      <c r="AH1277" s="60">
        <v>0</v>
      </c>
      <c r="AI1277" s="60">
        <v>33.33</v>
      </c>
      <c r="AJ1277" s="60">
        <v>44.67</v>
      </c>
      <c r="AK1277" s="60">
        <v>20.7</v>
      </c>
      <c r="AL1277" s="60">
        <v>0</v>
      </c>
      <c r="AM1277" s="60">
        <v>0</v>
      </c>
      <c r="AN1277" s="60">
        <v>0</v>
      </c>
      <c r="AO1277" s="60">
        <v>33.33</v>
      </c>
      <c r="AP1277" s="60">
        <v>44.67</v>
      </c>
      <c r="AQ1277" s="60">
        <v>20.7</v>
      </c>
      <c r="AR1277" s="61">
        <v>44.67</v>
      </c>
    </row>
    <row r="1278" spans="1:44" x14ac:dyDescent="0.35">
      <c r="A1278" s="49" t="str">
        <f t="shared" si="104"/>
        <v>19</v>
      </c>
      <c r="B1278" s="27">
        <v>10199</v>
      </c>
      <c r="C1278" s="25" t="str">
        <f>TEXT(140756,"0000000")</f>
        <v>0140756</v>
      </c>
      <c r="D1278" s="27">
        <v>2110</v>
      </c>
      <c r="E1278" s="25" t="s">
        <v>878</v>
      </c>
      <c r="F1278" s="25" t="s">
        <v>505</v>
      </c>
      <c r="G1278" s="59" t="s">
        <v>879</v>
      </c>
      <c r="H1278" s="60">
        <v>0</v>
      </c>
      <c r="I1278" s="60">
        <v>0</v>
      </c>
      <c r="J1278" s="60">
        <v>0</v>
      </c>
      <c r="K1278" s="60">
        <v>0</v>
      </c>
      <c r="L1278" s="60">
        <v>0</v>
      </c>
      <c r="M1278" s="60">
        <v>0</v>
      </c>
      <c r="N1278" s="60">
        <v>0</v>
      </c>
      <c r="O1278" s="60">
        <v>0</v>
      </c>
      <c r="P1278" s="60">
        <v>0</v>
      </c>
      <c r="Q1278" s="60">
        <v>0</v>
      </c>
      <c r="R1278" s="60">
        <v>0</v>
      </c>
      <c r="S1278" s="60">
        <v>0</v>
      </c>
      <c r="T1278" s="60">
        <v>0</v>
      </c>
      <c r="U1278" s="60">
        <v>0</v>
      </c>
      <c r="V1278" s="60">
        <v>0</v>
      </c>
      <c r="W1278" s="60">
        <v>0</v>
      </c>
      <c r="X1278" s="60">
        <v>0</v>
      </c>
      <c r="Y1278" s="60">
        <v>0</v>
      </c>
      <c r="Z1278" s="60">
        <v>0</v>
      </c>
      <c r="AA1278" s="60">
        <v>0</v>
      </c>
      <c r="AB1278" s="60">
        <v>0</v>
      </c>
      <c r="AC1278" s="60">
        <v>50.33</v>
      </c>
      <c r="AD1278" s="60">
        <v>34.369999999999997</v>
      </c>
      <c r="AE1278" s="60">
        <v>0</v>
      </c>
      <c r="AF1278" s="60">
        <v>0</v>
      </c>
      <c r="AG1278" s="60">
        <v>0</v>
      </c>
      <c r="AH1278" s="60">
        <v>0</v>
      </c>
      <c r="AI1278" s="60">
        <v>50.33</v>
      </c>
      <c r="AJ1278" s="60">
        <v>34.369999999999997</v>
      </c>
      <c r="AK1278" s="60">
        <v>0</v>
      </c>
      <c r="AL1278" s="60">
        <v>0</v>
      </c>
      <c r="AM1278" s="60">
        <v>0</v>
      </c>
      <c r="AN1278" s="60">
        <v>0</v>
      </c>
      <c r="AO1278" s="60">
        <v>50.33</v>
      </c>
      <c r="AP1278" s="60">
        <v>34.369999999999997</v>
      </c>
      <c r="AQ1278" s="60">
        <v>0</v>
      </c>
      <c r="AR1278" s="61">
        <v>50.33</v>
      </c>
    </row>
    <row r="1279" spans="1:44" x14ac:dyDescent="0.35">
      <c r="A1279" s="49" t="str">
        <f t="shared" si="104"/>
        <v>19</v>
      </c>
      <c r="B1279" s="27">
        <v>10199</v>
      </c>
      <c r="C1279" s="25" t="str">
        <f>TEXT(140798,"0000000")</f>
        <v>0140798</v>
      </c>
      <c r="D1279" s="27">
        <v>2114</v>
      </c>
      <c r="E1279" s="25" t="s">
        <v>882</v>
      </c>
      <c r="F1279" s="25" t="s">
        <v>505</v>
      </c>
      <c r="G1279" s="59" t="s">
        <v>883</v>
      </c>
      <c r="H1279" s="60">
        <v>0</v>
      </c>
      <c r="I1279" s="60">
        <v>0</v>
      </c>
      <c r="J1279" s="60">
        <v>0</v>
      </c>
      <c r="K1279" s="60">
        <v>0</v>
      </c>
      <c r="L1279" s="60">
        <v>0</v>
      </c>
      <c r="M1279" s="60">
        <v>0</v>
      </c>
      <c r="N1279" s="60">
        <v>0</v>
      </c>
      <c r="O1279" s="60">
        <v>0</v>
      </c>
      <c r="P1279" s="60">
        <v>0</v>
      </c>
      <c r="Q1279" s="60">
        <v>0</v>
      </c>
      <c r="R1279" s="60">
        <v>0</v>
      </c>
      <c r="S1279" s="60">
        <v>0</v>
      </c>
      <c r="T1279" s="60">
        <v>0</v>
      </c>
      <c r="U1279" s="60">
        <v>0</v>
      </c>
      <c r="V1279" s="60">
        <v>0</v>
      </c>
      <c r="W1279" s="60">
        <v>0</v>
      </c>
      <c r="X1279" s="60">
        <v>0</v>
      </c>
      <c r="Y1279" s="60">
        <v>0</v>
      </c>
      <c r="Z1279" s="60">
        <v>0</v>
      </c>
      <c r="AA1279" s="60">
        <v>0</v>
      </c>
      <c r="AB1279" s="60">
        <v>0</v>
      </c>
      <c r="AC1279" s="60">
        <v>115.85</v>
      </c>
      <c r="AD1279" s="60">
        <v>79.209999999999994</v>
      </c>
      <c r="AE1279" s="60">
        <v>0</v>
      </c>
      <c r="AF1279" s="60">
        <v>0</v>
      </c>
      <c r="AG1279" s="60">
        <v>0</v>
      </c>
      <c r="AH1279" s="60">
        <v>0</v>
      </c>
      <c r="AI1279" s="60">
        <v>115.85</v>
      </c>
      <c r="AJ1279" s="60">
        <v>79.209999999999994</v>
      </c>
      <c r="AK1279" s="60">
        <v>0</v>
      </c>
      <c r="AL1279" s="60">
        <v>0</v>
      </c>
      <c r="AM1279" s="60">
        <v>0</v>
      </c>
      <c r="AN1279" s="60">
        <v>0</v>
      </c>
      <c r="AO1279" s="60">
        <v>115.85</v>
      </c>
      <c r="AP1279" s="60">
        <v>79.209999999999994</v>
      </c>
      <c r="AQ1279" s="60">
        <v>0</v>
      </c>
      <c r="AR1279" s="61">
        <v>115.85</v>
      </c>
    </row>
    <row r="1280" spans="1:44" x14ac:dyDescent="0.35">
      <c r="A1280" s="49" t="str">
        <f t="shared" si="104"/>
        <v>19</v>
      </c>
      <c r="B1280" s="27">
        <v>10199</v>
      </c>
      <c r="C1280" s="25" t="str">
        <f>TEXT(140962,"0000000")</f>
        <v>0140962</v>
      </c>
      <c r="D1280" s="27">
        <v>2108</v>
      </c>
      <c r="E1280" s="25" t="s">
        <v>884</v>
      </c>
      <c r="F1280" s="25" t="s">
        <v>505</v>
      </c>
      <c r="G1280" s="59" t="s">
        <v>885</v>
      </c>
      <c r="H1280" s="60">
        <v>0</v>
      </c>
      <c r="I1280" s="60">
        <v>0</v>
      </c>
      <c r="J1280" s="60">
        <v>0</v>
      </c>
      <c r="K1280" s="60">
        <v>0</v>
      </c>
      <c r="L1280" s="60">
        <v>0</v>
      </c>
      <c r="M1280" s="60">
        <v>0</v>
      </c>
      <c r="N1280" s="60">
        <v>0</v>
      </c>
      <c r="O1280" s="60">
        <v>0</v>
      </c>
      <c r="P1280" s="60">
        <v>0</v>
      </c>
      <c r="Q1280" s="60">
        <v>0</v>
      </c>
      <c r="R1280" s="60">
        <v>0</v>
      </c>
      <c r="S1280" s="60">
        <v>0</v>
      </c>
      <c r="T1280" s="60">
        <v>0</v>
      </c>
      <c r="U1280" s="60">
        <v>0</v>
      </c>
      <c r="V1280" s="60">
        <v>0</v>
      </c>
      <c r="W1280" s="60">
        <v>0</v>
      </c>
      <c r="X1280" s="60">
        <v>0</v>
      </c>
      <c r="Y1280" s="60">
        <v>0</v>
      </c>
      <c r="Z1280" s="60">
        <v>65.569999999999993</v>
      </c>
      <c r="AA1280" s="60">
        <v>0</v>
      </c>
      <c r="AB1280" s="60">
        <v>0</v>
      </c>
      <c r="AC1280" s="60">
        <v>0</v>
      </c>
      <c r="AD1280" s="60">
        <v>0</v>
      </c>
      <c r="AE1280" s="60">
        <v>0</v>
      </c>
      <c r="AF1280" s="60">
        <v>0</v>
      </c>
      <c r="AG1280" s="60">
        <v>0</v>
      </c>
      <c r="AH1280" s="60">
        <v>0</v>
      </c>
      <c r="AI1280" s="60">
        <v>65.569999999999993</v>
      </c>
      <c r="AJ1280" s="60">
        <v>0</v>
      </c>
      <c r="AK1280" s="60">
        <v>0</v>
      </c>
      <c r="AL1280" s="60">
        <v>0</v>
      </c>
      <c r="AM1280" s="60">
        <v>0</v>
      </c>
      <c r="AN1280" s="60">
        <v>0</v>
      </c>
      <c r="AO1280" s="60">
        <v>65.569999999999993</v>
      </c>
      <c r="AP1280" s="60">
        <v>0</v>
      </c>
      <c r="AQ1280" s="60">
        <v>0</v>
      </c>
      <c r="AR1280" s="61">
        <v>65.569999999999993</v>
      </c>
    </row>
    <row r="1281" spans="1:44" x14ac:dyDescent="0.35">
      <c r="A1281" s="49" t="str">
        <f t="shared" si="104"/>
        <v>19</v>
      </c>
      <c r="B1281" s="27">
        <v>64469</v>
      </c>
      <c r="C1281" s="25" t="str">
        <f>TEXT(128736,"0000000")</f>
        <v>0128736</v>
      </c>
      <c r="D1281" s="27">
        <v>1599</v>
      </c>
      <c r="E1281" s="25" t="s">
        <v>948</v>
      </c>
      <c r="F1281" s="25" t="s">
        <v>505</v>
      </c>
      <c r="G1281" s="59" t="s">
        <v>949</v>
      </c>
      <c r="H1281" s="60">
        <v>0</v>
      </c>
      <c r="I1281" s="60">
        <v>0</v>
      </c>
      <c r="J1281" s="60">
        <v>0</v>
      </c>
      <c r="K1281" s="60">
        <v>0</v>
      </c>
      <c r="L1281" s="60">
        <v>0</v>
      </c>
      <c r="M1281" s="60">
        <v>0</v>
      </c>
      <c r="N1281" s="60">
        <v>0</v>
      </c>
      <c r="O1281" s="60">
        <v>0</v>
      </c>
      <c r="P1281" s="60">
        <v>0</v>
      </c>
      <c r="Q1281" s="60">
        <v>0</v>
      </c>
      <c r="R1281" s="60">
        <v>0</v>
      </c>
      <c r="S1281" s="60">
        <v>0</v>
      </c>
      <c r="T1281" s="60">
        <v>0</v>
      </c>
      <c r="U1281" s="60">
        <v>0</v>
      </c>
      <c r="V1281" s="60">
        <v>0</v>
      </c>
      <c r="W1281" s="60">
        <v>0</v>
      </c>
      <c r="X1281" s="60">
        <v>0</v>
      </c>
      <c r="Y1281" s="60">
        <v>0</v>
      </c>
      <c r="Z1281" s="60">
        <v>0</v>
      </c>
      <c r="AA1281" s="60">
        <v>0</v>
      </c>
      <c r="AB1281" s="60">
        <v>0</v>
      </c>
      <c r="AC1281" s="60">
        <v>351.4</v>
      </c>
      <c r="AD1281" s="60">
        <v>303.01</v>
      </c>
      <c r="AE1281" s="60">
        <v>423.57</v>
      </c>
      <c r="AF1281" s="60">
        <v>0</v>
      </c>
      <c r="AG1281" s="60">
        <v>0</v>
      </c>
      <c r="AH1281" s="60">
        <v>0</v>
      </c>
      <c r="AI1281" s="60">
        <v>351.4</v>
      </c>
      <c r="AJ1281" s="60">
        <v>303.01</v>
      </c>
      <c r="AK1281" s="60">
        <v>423.57</v>
      </c>
      <c r="AL1281" s="60">
        <v>0</v>
      </c>
      <c r="AM1281" s="60">
        <v>0</v>
      </c>
      <c r="AN1281" s="60">
        <v>0</v>
      </c>
      <c r="AO1281" s="60">
        <v>351.4</v>
      </c>
      <c r="AP1281" s="60">
        <v>303.01</v>
      </c>
      <c r="AQ1281" s="60">
        <v>423.57</v>
      </c>
      <c r="AR1281" s="61">
        <v>423.57</v>
      </c>
    </row>
    <row r="1282" spans="1:44" x14ac:dyDescent="0.35">
      <c r="A1282" s="49" t="str">
        <f t="shared" si="104"/>
        <v>19</v>
      </c>
      <c r="B1282" s="27">
        <v>64634</v>
      </c>
      <c r="C1282" s="25" t="str">
        <f>TEXT(120303,"0000000")</f>
        <v>0120303</v>
      </c>
      <c r="D1282" s="27">
        <v>1121</v>
      </c>
      <c r="E1282" s="25" t="s">
        <v>989</v>
      </c>
      <c r="F1282" s="25" t="s">
        <v>505</v>
      </c>
      <c r="G1282" s="59" t="s">
        <v>990</v>
      </c>
      <c r="H1282" s="60">
        <v>0</v>
      </c>
      <c r="I1282" s="60">
        <v>0</v>
      </c>
      <c r="J1282" s="60">
        <v>0</v>
      </c>
      <c r="K1282" s="60">
        <v>0</v>
      </c>
      <c r="L1282" s="60">
        <v>0</v>
      </c>
      <c r="M1282" s="60">
        <v>0</v>
      </c>
      <c r="N1282" s="60">
        <v>0</v>
      </c>
      <c r="O1282" s="60">
        <v>0</v>
      </c>
      <c r="P1282" s="60">
        <v>0</v>
      </c>
      <c r="Q1282" s="60">
        <v>0</v>
      </c>
      <c r="R1282" s="60">
        <v>0</v>
      </c>
      <c r="S1282" s="60">
        <v>0</v>
      </c>
      <c r="T1282" s="60">
        <v>0</v>
      </c>
      <c r="U1282" s="60">
        <v>0</v>
      </c>
      <c r="V1282" s="60">
        <v>0</v>
      </c>
      <c r="W1282" s="60">
        <v>0</v>
      </c>
      <c r="X1282" s="60">
        <v>0</v>
      </c>
      <c r="Y1282" s="60">
        <v>0</v>
      </c>
      <c r="Z1282" s="60">
        <v>0</v>
      </c>
      <c r="AA1282" s="60">
        <v>0</v>
      </c>
      <c r="AB1282" s="60">
        <v>0</v>
      </c>
      <c r="AC1282" s="60">
        <v>345.66</v>
      </c>
      <c r="AD1282" s="60">
        <v>324.45999999999998</v>
      </c>
      <c r="AE1282" s="60">
        <v>374.64</v>
      </c>
      <c r="AF1282" s="60">
        <v>0</v>
      </c>
      <c r="AG1282" s="60">
        <v>0</v>
      </c>
      <c r="AH1282" s="60">
        <v>0</v>
      </c>
      <c r="AI1282" s="60">
        <v>345.66</v>
      </c>
      <c r="AJ1282" s="60">
        <v>324.45999999999998</v>
      </c>
      <c r="AK1282" s="60">
        <v>374.64</v>
      </c>
      <c r="AL1282" s="60">
        <v>0</v>
      </c>
      <c r="AM1282" s="60">
        <v>0</v>
      </c>
      <c r="AN1282" s="60">
        <v>0</v>
      </c>
      <c r="AO1282" s="60">
        <v>345.66</v>
      </c>
      <c r="AP1282" s="60">
        <v>324.45999999999998</v>
      </c>
      <c r="AQ1282" s="60">
        <v>374.64</v>
      </c>
      <c r="AR1282" s="61">
        <v>374.64</v>
      </c>
    </row>
    <row r="1283" spans="1:44" x14ac:dyDescent="0.35">
      <c r="A1283" s="49" t="str">
        <f t="shared" si="104"/>
        <v>19</v>
      </c>
      <c r="B1283" s="27">
        <v>64733</v>
      </c>
      <c r="C1283" s="25" t="str">
        <f>TEXT(120097,"0000000")</f>
        <v>0120097</v>
      </c>
      <c r="D1283" s="27">
        <v>1101</v>
      </c>
      <c r="E1283" s="25" t="s">
        <v>1035</v>
      </c>
      <c r="F1283" s="25" t="s">
        <v>505</v>
      </c>
      <c r="G1283" s="59" t="s">
        <v>1036</v>
      </c>
      <c r="H1283" s="60">
        <v>0</v>
      </c>
      <c r="I1283" s="60">
        <v>0</v>
      </c>
      <c r="J1283" s="60">
        <v>0</v>
      </c>
      <c r="K1283" s="60">
        <v>0</v>
      </c>
      <c r="L1283" s="60">
        <v>0</v>
      </c>
      <c r="M1283" s="60">
        <v>0</v>
      </c>
      <c r="N1283" s="60">
        <v>0</v>
      </c>
      <c r="O1283" s="60">
        <v>0</v>
      </c>
      <c r="P1283" s="60">
        <v>0</v>
      </c>
      <c r="Q1283" s="60">
        <v>0</v>
      </c>
      <c r="R1283" s="60">
        <v>0</v>
      </c>
      <c r="S1283" s="60">
        <v>0</v>
      </c>
      <c r="T1283" s="60">
        <v>0</v>
      </c>
      <c r="U1283" s="60">
        <v>0</v>
      </c>
      <c r="V1283" s="60">
        <v>0</v>
      </c>
      <c r="W1283" s="60">
        <v>0</v>
      </c>
      <c r="X1283" s="60">
        <v>0</v>
      </c>
      <c r="Y1283" s="60">
        <v>0</v>
      </c>
      <c r="Z1283" s="60">
        <v>0</v>
      </c>
      <c r="AA1283" s="60">
        <v>0</v>
      </c>
      <c r="AB1283" s="60">
        <v>0</v>
      </c>
      <c r="AC1283" s="60">
        <v>393.7</v>
      </c>
      <c r="AD1283" s="60">
        <v>382.89</v>
      </c>
      <c r="AE1283" s="60">
        <v>447.74</v>
      </c>
      <c r="AF1283" s="60">
        <v>0</v>
      </c>
      <c r="AG1283" s="60">
        <v>0</v>
      </c>
      <c r="AH1283" s="60">
        <v>0</v>
      </c>
      <c r="AI1283" s="60">
        <v>393.7</v>
      </c>
      <c r="AJ1283" s="60">
        <v>382.89</v>
      </c>
      <c r="AK1283" s="60">
        <v>447.74</v>
      </c>
      <c r="AL1283" s="60">
        <v>0</v>
      </c>
      <c r="AM1283" s="60">
        <v>0</v>
      </c>
      <c r="AN1283" s="60">
        <v>0</v>
      </c>
      <c r="AO1283" s="60">
        <v>393.7</v>
      </c>
      <c r="AP1283" s="60">
        <v>382.89</v>
      </c>
      <c r="AQ1283" s="60">
        <v>447.74</v>
      </c>
      <c r="AR1283" s="61">
        <v>447.74</v>
      </c>
    </row>
    <row r="1284" spans="1:44" x14ac:dyDescent="0.35">
      <c r="A1284" s="49" t="str">
        <f t="shared" si="104"/>
        <v>19</v>
      </c>
      <c r="B1284" s="27">
        <v>64733</v>
      </c>
      <c r="C1284" s="25" t="str">
        <f>TEXT(127936,"0000000")</f>
        <v>0127936</v>
      </c>
      <c r="D1284" s="27">
        <v>1542</v>
      </c>
      <c r="E1284" s="25" t="s">
        <v>1045</v>
      </c>
      <c r="F1284" s="25" t="s">
        <v>505</v>
      </c>
      <c r="G1284" s="59" t="s">
        <v>1046</v>
      </c>
      <c r="H1284" s="60">
        <v>0</v>
      </c>
      <c r="I1284" s="60">
        <v>0</v>
      </c>
      <c r="J1284" s="60">
        <v>0</v>
      </c>
      <c r="K1284" s="60">
        <v>0</v>
      </c>
      <c r="L1284" s="60">
        <v>0</v>
      </c>
      <c r="M1284" s="60">
        <v>0</v>
      </c>
      <c r="N1284" s="60">
        <v>0</v>
      </c>
      <c r="O1284" s="60">
        <v>0</v>
      </c>
      <c r="P1284" s="60">
        <v>0</v>
      </c>
      <c r="Q1284" s="60">
        <v>0</v>
      </c>
      <c r="R1284" s="60">
        <v>0</v>
      </c>
      <c r="S1284" s="60">
        <v>0</v>
      </c>
      <c r="T1284" s="60">
        <v>0</v>
      </c>
      <c r="U1284" s="60">
        <v>0</v>
      </c>
      <c r="V1284" s="60">
        <v>0</v>
      </c>
      <c r="W1284" s="60">
        <v>0</v>
      </c>
      <c r="X1284" s="60">
        <v>0</v>
      </c>
      <c r="Y1284" s="60">
        <v>0</v>
      </c>
      <c r="Z1284" s="60">
        <v>0</v>
      </c>
      <c r="AA1284" s="60">
        <v>0</v>
      </c>
      <c r="AB1284" s="60">
        <v>0</v>
      </c>
      <c r="AC1284" s="60">
        <v>261.17</v>
      </c>
      <c r="AD1284" s="60">
        <v>244.74</v>
      </c>
      <c r="AE1284" s="60">
        <v>325.58</v>
      </c>
      <c r="AF1284" s="60">
        <v>0</v>
      </c>
      <c r="AG1284" s="60">
        <v>0</v>
      </c>
      <c r="AH1284" s="60">
        <v>0</v>
      </c>
      <c r="AI1284" s="60">
        <v>261.17</v>
      </c>
      <c r="AJ1284" s="60">
        <v>244.74</v>
      </c>
      <c r="AK1284" s="60">
        <v>325.58</v>
      </c>
      <c r="AL1284" s="60">
        <v>0</v>
      </c>
      <c r="AM1284" s="60">
        <v>0</v>
      </c>
      <c r="AN1284" s="60">
        <v>0</v>
      </c>
      <c r="AO1284" s="60">
        <v>261.17</v>
      </c>
      <c r="AP1284" s="60">
        <v>244.74</v>
      </c>
      <c r="AQ1284" s="60">
        <v>325.58</v>
      </c>
      <c r="AR1284" s="61">
        <v>325.58</v>
      </c>
    </row>
    <row r="1285" spans="1:44" x14ac:dyDescent="0.35">
      <c r="A1285" s="49" t="str">
        <f t="shared" si="104"/>
        <v>19</v>
      </c>
      <c r="B1285" s="27">
        <v>64733</v>
      </c>
      <c r="C1285" s="25" t="str">
        <f>TEXT(129866,"0000000")</f>
        <v>0129866</v>
      </c>
      <c r="D1285" s="27">
        <v>1639</v>
      </c>
      <c r="E1285" s="25" t="s">
        <v>1047</v>
      </c>
      <c r="F1285" s="25" t="s">
        <v>505</v>
      </c>
      <c r="G1285" s="59" t="s">
        <v>1048</v>
      </c>
      <c r="H1285" s="60">
        <v>0</v>
      </c>
      <c r="I1285" s="60">
        <v>0</v>
      </c>
      <c r="J1285" s="60">
        <v>0</v>
      </c>
      <c r="K1285" s="60">
        <v>0</v>
      </c>
      <c r="L1285" s="60">
        <v>0</v>
      </c>
      <c r="M1285" s="60">
        <v>0</v>
      </c>
      <c r="N1285" s="60">
        <v>0</v>
      </c>
      <c r="O1285" s="60">
        <v>0</v>
      </c>
      <c r="P1285" s="60">
        <v>0</v>
      </c>
      <c r="Q1285" s="60">
        <v>0</v>
      </c>
      <c r="R1285" s="60">
        <v>0</v>
      </c>
      <c r="S1285" s="60">
        <v>0</v>
      </c>
      <c r="T1285" s="60">
        <v>0</v>
      </c>
      <c r="U1285" s="60">
        <v>0</v>
      </c>
      <c r="V1285" s="60">
        <v>0</v>
      </c>
      <c r="W1285" s="60">
        <v>0</v>
      </c>
      <c r="X1285" s="60">
        <v>0</v>
      </c>
      <c r="Y1285" s="60">
        <v>0</v>
      </c>
      <c r="Z1285" s="60">
        <v>0</v>
      </c>
      <c r="AA1285" s="60">
        <v>0</v>
      </c>
      <c r="AB1285" s="60">
        <v>0</v>
      </c>
      <c r="AC1285" s="60">
        <v>273.83</v>
      </c>
      <c r="AD1285" s="60">
        <v>253.84</v>
      </c>
      <c r="AE1285" s="60">
        <v>273.10000000000002</v>
      </c>
      <c r="AF1285" s="60">
        <v>0</v>
      </c>
      <c r="AG1285" s="60">
        <v>0</v>
      </c>
      <c r="AH1285" s="60">
        <v>0</v>
      </c>
      <c r="AI1285" s="60">
        <v>273.83</v>
      </c>
      <c r="AJ1285" s="60">
        <v>253.84</v>
      </c>
      <c r="AK1285" s="60">
        <v>273.10000000000002</v>
      </c>
      <c r="AL1285" s="60">
        <v>0</v>
      </c>
      <c r="AM1285" s="60">
        <v>0</v>
      </c>
      <c r="AN1285" s="60">
        <v>0</v>
      </c>
      <c r="AO1285" s="60">
        <v>273.83</v>
      </c>
      <c r="AP1285" s="60">
        <v>253.84</v>
      </c>
      <c r="AQ1285" s="60">
        <v>273.10000000000002</v>
      </c>
      <c r="AR1285" s="61">
        <v>273.83</v>
      </c>
    </row>
    <row r="1286" spans="1:44" x14ac:dyDescent="0.35">
      <c r="A1286" s="49" t="str">
        <f t="shared" si="104"/>
        <v>19</v>
      </c>
      <c r="B1286" s="27">
        <v>65136</v>
      </c>
      <c r="C1286" s="25" t="str">
        <f>TEXT(1996263,"0000000")</f>
        <v>1996263</v>
      </c>
      <c r="D1286" s="26" t="s">
        <v>1138</v>
      </c>
      <c r="E1286" s="25" t="s">
        <v>1136</v>
      </c>
      <c r="F1286" s="25" t="s">
        <v>505</v>
      </c>
      <c r="G1286" s="59" t="s">
        <v>1137</v>
      </c>
      <c r="H1286" s="60">
        <v>0</v>
      </c>
      <c r="I1286" s="60">
        <v>0</v>
      </c>
      <c r="J1286" s="60">
        <v>0</v>
      </c>
      <c r="K1286" s="60">
        <v>0</v>
      </c>
      <c r="L1286" s="60">
        <v>0</v>
      </c>
      <c r="M1286" s="60">
        <v>0</v>
      </c>
      <c r="N1286" s="60">
        <v>0</v>
      </c>
      <c r="O1286" s="60">
        <v>0</v>
      </c>
      <c r="P1286" s="60">
        <v>0</v>
      </c>
      <c r="Q1286" s="60">
        <v>0</v>
      </c>
      <c r="R1286" s="60">
        <v>0</v>
      </c>
      <c r="S1286" s="60">
        <v>0</v>
      </c>
      <c r="T1286" s="60">
        <v>0</v>
      </c>
      <c r="U1286" s="60">
        <v>0</v>
      </c>
      <c r="V1286" s="60">
        <v>0</v>
      </c>
      <c r="W1286" s="60">
        <v>0</v>
      </c>
      <c r="X1286" s="60">
        <v>0</v>
      </c>
      <c r="Y1286" s="60">
        <v>0</v>
      </c>
      <c r="Z1286" s="60">
        <v>0</v>
      </c>
      <c r="AA1286" s="60">
        <v>0</v>
      </c>
      <c r="AB1286" s="60">
        <v>0</v>
      </c>
      <c r="AC1286" s="60">
        <v>1403.38</v>
      </c>
      <c r="AD1286" s="60">
        <v>1468.88</v>
      </c>
      <c r="AE1286" s="60">
        <v>1762.62</v>
      </c>
      <c r="AF1286" s="60">
        <v>0</v>
      </c>
      <c r="AG1286" s="60">
        <v>0</v>
      </c>
      <c r="AH1286" s="60">
        <v>0</v>
      </c>
      <c r="AI1286" s="60">
        <v>1403.38</v>
      </c>
      <c r="AJ1286" s="60">
        <v>1468.88</v>
      </c>
      <c r="AK1286" s="60">
        <v>1762.62</v>
      </c>
      <c r="AL1286" s="60">
        <v>0</v>
      </c>
      <c r="AM1286" s="60">
        <v>0</v>
      </c>
      <c r="AN1286" s="60">
        <v>0</v>
      </c>
      <c r="AO1286" s="60">
        <v>1403.38</v>
      </c>
      <c r="AP1286" s="60">
        <v>1468.88</v>
      </c>
      <c r="AQ1286" s="60">
        <v>1762.62</v>
      </c>
      <c r="AR1286" s="61">
        <v>1762.62</v>
      </c>
    </row>
    <row r="1287" spans="1:44" x14ac:dyDescent="0.35">
      <c r="A1287" s="49" t="str">
        <f t="shared" si="104"/>
        <v>19</v>
      </c>
      <c r="B1287" s="27">
        <v>73437</v>
      </c>
      <c r="C1287" s="25" t="str">
        <f>TEXT(134338,"0000000")</f>
        <v>0134338</v>
      </c>
      <c r="D1287" s="27">
        <v>1827</v>
      </c>
      <c r="E1287" s="25" t="s">
        <v>1150</v>
      </c>
      <c r="F1287" s="25" t="s">
        <v>505</v>
      </c>
      <c r="G1287" s="59" t="s">
        <v>1151</v>
      </c>
      <c r="H1287" s="60">
        <v>0</v>
      </c>
      <c r="I1287" s="60">
        <v>0</v>
      </c>
      <c r="J1287" s="60">
        <v>0</v>
      </c>
      <c r="K1287" s="60">
        <v>0</v>
      </c>
      <c r="L1287" s="60">
        <v>0</v>
      </c>
      <c r="M1287" s="60">
        <v>0</v>
      </c>
      <c r="N1287" s="60">
        <v>0</v>
      </c>
      <c r="O1287" s="60">
        <v>0</v>
      </c>
      <c r="P1287" s="60">
        <v>0</v>
      </c>
      <c r="Q1287" s="60">
        <v>0</v>
      </c>
      <c r="R1287" s="60">
        <v>0</v>
      </c>
      <c r="S1287" s="60">
        <v>0</v>
      </c>
      <c r="T1287" s="60">
        <v>0</v>
      </c>
      <c r="U1287" s="60">
        <v>0</v>
      </c>
      <c r="V1287" s="60">
        <v>0</v>
      </c>
      <c r="W1287" s="60">
        <v>0</v>
      </c>
      <c r="X1287" s="60">
        <v>0</v>
      </c>
      <c r="Y1287" s="60">
        <v>0</v>
      </c>
      <c r="Z1287" s="60">
        <v>0</v>
      </c>
      <c r="AA1287" s="60">
        <v>0</v>
      </c>
      <c r="AB1287" s="60">
        <v>0</v>
      </c>
      <c r="AC1287" s="60">
        <v>388.97</v>
      </c>
      <c r="AD1287" s="60">
        <v>428.24</v>
      </c>
      <c r="AE1287" s="60">
        <v>472.73</v>
      </c>
      <c r="AF1287" s="60">
        <v>0</v>
      </c>
      <c r="AG1287" s="60">
        <v>0</v>
      </c>
      <c r="AH1287" s="60">
        <v>0</v>
      </c>
      <c r="AI1287" s="60">
        <v>388.97</v>
      </c>
      <c r="AJ1287" s="60">
        <v>428.24</v>
      </c>
      <c r="AK1287" s="60">
        <v>472.73</v>
      </c>
      <c r="AL1287" s="60">
        <v>0</v>
      </c>
      <c r="AM1287" s="60">
        <v>0</v>
      </c>
      <c r="AN1287" s="60">
        <v>0</v>
      </c>
      <c r="AO1287" s="60">
        <v>388.97</v>
      </c>
      <c r="AP1287" s="60">
        <v>428.24</v>
      </c>
      <c r="AQ1287" s="60">
        <v>472.73</v>
      </c>
      <c r="AR1287" s="61">
        <v>472.73</v>
      </c>
    </row>
    <row r="1288" spans="1:44" x14ac:dyDescent="0.35">
      <c r="A1288" s="49" t="str">
        <f t="shared" si="104"/>
        <v>19</v>
      </c>
      <c r="B1288" s="27">
        <v>75309</v>
      </c>
      <c r="C1288" s="25" t="str">
        <f>TEXT(136648,"0000000")</f>
        <v>0136648</v>
      </c>
      <c r="D1288" s="27">
        <v>1911</v>
      </c>
      <c r="E1288" s="25" t="s">
        <v>1182</v>
      </c>
      <c r="F1288" s="25" t="s">
        <v>505</v>
      </c>
      <c r="G1288" s="59" t="s">
        <v>1183</v>
      </c>
      <c r="H1288" s="60">
        <v>0</v>
      </c>
      <c r="I1288" s="60">
        <v>0</v>
      </c>
      <c r="J1288" s="60">
        <v>0</v>
      </c>
      <c r="K1288" s="60">
        <v>0</v>
      </c>
      <c r="L1288" s="60">
        <v>0</v>
      </c>
      <c r="M1288" s="60">
        <v>0</v>
      </c>
      <c r="N1288" s="60">
        <v>0</v>
      </c>
      <c r="O1288" s="60">
        <v>0</v>
      </c>
      <c r="P1288" s="60">
        <v>0</v>
      </c>
      <c r="Q1288" s="60">
        <v>0</v>
      </c>
      <c r="R1288" s="60">
        <v>0</v>
      </c>
      <c r="S1288" s="60">
        <v>0</v>
      </c>
      <c r="T1288" s="60">
        <v>0</v>
      </c>
      <c r="U1288" s="60">
        <v>0</v>
      </c>
      <c r="V1288" s="60">
        <v>0</v>
      </c>
      <c r="W1288" s="60">
        <v>0</v>
      </c>
      <c r="X1288" s="60">
        <v>0</v>
      </c>
      <c r="Y1288" s="60">
        <v>0</v>
      </c>
      <c r="Z1288" s="60">
        <v>0</v>
      </c>
      <c r="AA1288" s="60">
        <v>0</v>
      </c>
      <c r="AB1288" s="60">
        <v>0</v>
      </c>
      <c r="AC1288" s="60">
        <v>2072.5500000000002</v>
      </c>
      <c r="AD1288" s="60">
        <v>1842.06</v>
      </c>
      <c r="AE1288" s="60">
        <v>2166.7199999999998</v>
      </c>
      <c r="AF1288" s="60">
        <v>0</v>
      </c>
      <c r="AG1288" s="60">
        <v>0</v>
      </c>
      <c r="AH1288" s="60">
        <v>0</v>
      </c>
      <c r="AI1288" s="60">
        <v>2072.5500000000002</v>
      </c>
      <c r="AJ1288" s="60">
        <v>1842.06</v>
      </c>
      <c r="AK1288" s="60">
        <v>2166.7199999999998</v>
      </c>
      <c r="AL1288" s="60">
        <v>0</v>
      </c>
      <c r="AM1288" s="60">
        <v>0</v>
      </c>
      <c r="AN1288" s="60">
        <v>0</v>
      </c>
      <c r="AO1288" s="60">
        <v>2072.5500000000002</v>
      </c>
      <c r="AP1288" s="60">
        <v>1842.06</v>
      </c>
      <c r="AQ1288" s="60">
        <v>2166.7199999999998</v>
      </c>
      <c r="AR1288" s="61">
        <v>2166.7199999999998</v>
      </c>
    </row>
    <row r="1289" spans="1:44" x14ac:dyDescent="0.35">
      <c r="A1289" s="49" t="str">
        <f t="shared" si="104"/>
        <v>19</v>
      </c>
      <c r="B1289" s="27">
        <v>76968</v>
      </c>
      <c r="C1289" s="25" t="str">
        <f>TEXT(109926,"0000000")</f>
        <v>0109926</v>
      </c>
      <c r="D1289" s="26" t="s">
        <v>1209</v>
      </c>
      <c r="E1289" s="25" t="s">
        <v>1207</v>
      </c>
      <c r="F1289" s="25" t="s">
        <v>505</v>
      </c>
      <c r="G1289" s="59" t="s">
        <v>1208</v>
      </c>
      <c r="H1289" s="60">
        <v>0</v>
      </c>
      <c r="I1289" s="60">
        <v>0</v>
      </c>
      <c r="J1289" s="60">
        <v>0</v>
      </c>
      <c r="K1289" s="60">
        <v>0</v>
      </c>
      <c r="L1289" s="60">
        <v>0</v>
      </c>
      <c r="M1289" s="60">
        <v>0</v>
      </c>
      <c r="N1289" s="60">
        <v>0</v>
      </c>
      <c r="O1289" s="60">
        <v>0</v>
      </c>
      <c r="P1289" s="60">
        <v>0</v>
      </c>
      <c r="Q1289" s="60">
        <v>0</v>
      </c>
      <c r="R1289" s="60">
        <v>0</v>
      </c>
      <c r="S1289" s="60">
        <v>0</v>
      </c>
      <c r="T1289" s="60">
        <v>0</v>
      </c>
      <c r="U1289" s="60">
        <v>0</v>
      </c>
      <c r="V1289" s="60">
        <v>0</v>
      </c>
      <c r="W1289" s="60">
        <v>0</v>
      </c>
      <c r="X1289" s="60">
        <v>0</v>
      </c>
      <c r="Y1289" s="60">
        <v>0</v>
      </c>
      <c r="Z1289" s="60">
        <v>0</v>
      </c>
      <c r="AA1289" s="60">
        <v>0</v>
      </c>
      <c r="AB1289" s="60">
        <v>0</v>
      </c>
      <c r="AC1289" s="60">
        <v>223.3</v>
      </c>
      <c r="AD1289" s="60">
        <v>232.26</v>
      </c>
      <c r="AE1289" s="60">
        <v>308.36</v>
      </c>
      <c r="AF1289" s="60">
        <v>0</v>
      </c>
      <c r="AG1289" s="60">
        <v>0</v>
      </c>
      <c r="AH1289" s="60">
        <v>0</v>
      </c>
      <c r="AI1289" s="60">
        <v>223.3</v>
      </c>
      <c r="AJ1289" s="60">
        <v>232.26</v>
      </c>
      <c r="AK1289" s="60">
        <v>308.36</v>
      </c>
      <c r="AL1289" s="60">
        <v>0</v>
      </c>
      <c r="AM1289" s="60">
        <v>0</v>
      </c>
      <c r="AN1289" s="60">
        <v>0</v>
      </c>
      <c r="AO1289" s="60">
        <v>223.3</v>
      </c>
      <c r="AP1289" s="60">
        <v>232.26</v>
      </c>
      <c r="AQ1289" s="60">
        <v>308.36</v>
      </c>
      <c r="AR1289" s="61">
        <v>308.36</v>
      </c>
    </row>
    <row r="1290" spans="1:44" x14ac:dyDescent="0.35">
      <c r="A1290" s="49" t="str">
        <f>TEXT(30,"00")</f>
        <v>30</v>
      </c>
      <c r="B1290" s="27">
        <v>10306</v>
      </c>
      <c r="C1290" s="25" t="str">
        <f>TEXT(139352,"0000000")</f>
        <v>0139352</v>
      </c>
      <c r="D1290" s="27">
        <v>2047</v>
      </c>
      <c r="E1290" s="25" t="s">
        <v>1520</v>
      </c>
      <c r="F1290" s="25" t="s">
        <v>505</v>
      </c>
      <c r="G1290" s="59" t="s">
        <v>1521</v>
      </c>
      <c r="H1290" s="60">
        <v>0</v>
      </c>
      <c r="I1290" s="60">
        <v>0</v>
      </c>
      <c r="J1290" s="60">
        <v>0</v>
      </c>
      <c r="K1290" s="60">
        <v>0</v>
      </c>
      <c r="L1290" s="60">
        <v>0</v>
      </c>
      <c r="M1290" s="60">
        <v>0</v>
      </c>
      <c r="N1290" s="60">
        <v>0</v>
      </c>
      <c r="O1290" s="60">
        <v>0</v>
      </c>
      <c r="P1290" s="60">
        <v>0</v>
      </c>
      <c r="Q1290" s="60">
        <v>0</v>
      </c>
      <c r="R1290" s="60">
        <v>0</v>
      </c>
      <c r="S1290" s="60">
        <v>0</v>
      </c>
      <c r="T1290" s="60">
        <v>0</v>
      </c>
      <c r="U1290" s="60">
        <v>0</v>
      </c>
      <c r="V1290" s="60">
        <v>0</v>
      </c>
      <c r="W1290" s="60">
        <v>0</v>
      </c>
      <c r="X1290" s="60">
        <v>0</v>
      </c>
      <c r="Y1290" s="60">
        <v>0</v>
      </c>
      <c r="Z1290" s="60">
        <v>0</v>
      </c>
      <c r="AA1290" s="60">
        <v>0</v>
      </c>
      <c r="AB1290" s="60">
        <v>0</v>
      </c>
      <c r="AC1290" s="60">
        <v>148.77000000000001</v>
      </c>
      <c r="AD1290" s="60">
        <v>131.84</v>
      </c>
      <c r="AE1290" s="60">
        <v>119.4</v>
      </c>
      <c r="AF1290" s="60">
        <v>0</v>
      </c>
      <c r="AG1290" s="60">
        <v>0</v>
      </c>
      <c r="AH1290" s="60">
        <v>0</v>
      </c>
      <c r="AI1290" s="60">
        <v>148.77000000000001</v>
      </c>
      <c r="AJ1290" s="60">
        <v>131.84</v>
      </c>
      <c r="AK1290" s="60">
        <v>119.4</v>
      </c>
      <c r="AL1290" s="60">
        <v>0</v>
      </c>
      <c r="AM1290" s="60">
        <v>0</v>
      </c>
      <c r="AN1290" s="60">
        <v>0</v>
      </c>
      <c r="AO1290" s="60">
        <v>148.77000000000001</v>
      </c>
      <c r="AP1290" s="60">
        <v>131.84</v>
      </c>
      <c r="AQ1290" s="60">
        <v>119.4</v>
      </c>
      <c r="AR1290" s="61">
        <v>148.77000000000001</v>
      </c>
    </row>
    <row r="1291" spans="1:44" x14ac:dyDescent="0.35">
      <c r="A1291" s="49" t="str">
        <f>TEXT(30,"00")</f>
        <v>30</v>
      </c>
      <c r="B1291" s="27">
        <v>10306</v>
      </c>
      <c r="C1291" s="25" t="str">
        <f>TEXT(139469,"0000000")</f>
        <v>0139469</v>
      </c>
      <c r="D1291" s="27">
        <v>2048</v>
      </c>
      <c r="E1291" s="25" t="s">
        <v>1522</v>
      </c>
      <c r="F1291" s="25" t="s">
        <v>505</v>
      </c>
      <c r="G1291" s="59" t="s">
        <v>1523</v>
      </c>
      <c r="H1291" s="60">
        <v>0</v>
      </c>
      <c r="I1291" s="60">
        <v>0</v>
      </c>
      <c r="J1291" s="60">
        <v>0</v>
      </c>
      <c r="K1291" s="60">
        <v>0</v>
      </c>
      <c r="L1291" s="60">
        <v>0</v>
      </c>
      <c r="M1291" s="60">
        <v>0</v>
      </c>
      <c r="N1291" s="60">
        <v>0</v>
      </c>
      <c r="O1291" s="60">
        <v>0</v>
      </c>
      <c r="P1291" s="60">
        <v>0</v>
      </c>
      <c r="Q1291" s="60">
        <v>0</v>
      </c>
      <c r="R1291" s="60">
        <v>0</v>
      </c>
      <c r="S1291" s="60">
        <v>0</v>
      </c>
      <c r="T1291" s="60">
        <v>0</v>
      </c>
      <c r="U1291" s="60">
        <v>0</v>
      </c>
      <c r="V1291" s="60">
        <v>0</v>
      </c>
      <c r="W1291" s="60">
        <v>0</v>
      </c>
      <c r="X1291" s="60">
        <v>0</v>
      </c>
      <c r="Y1291" s="60">
        <v>0</v>
      </c>
      <c r="Z1291" s="60">
        <v>0</v>
      </c>
      <c r="AA1291" s="60">
        <v>0</v>
      </c>
      <c r="AB1291" s="60">
        <v>0</v>
      </c>
      <c r="AC1291" s="60">
        <v>125.7</v>
      </c>
      <c r="AD1291" s="60">
        <v>163.94</v>
      </c>
      <c r="AE1291" s="60">
        <v>95.5</v>
      </c>
      <c r="AF1291" s="60">
        <v>0</v>
      </c>
      <c r="AG1291" s="60">
        <v>0</v>
      </c>
      <c r="AH1291" s="60">
        <v>0</v>
      </c>
      <c r="AI1291" s="60">
        <v>125.7</v>
      </c>
      <c r="AJ1291" s="60">
        <v>163.94</v>
      </c>
      <c r="AK1291" s="60">
        <v>95.5</v>
      </c>
      <c r="AL1291" s="60">
        <v>0</v>
      </c>
      <c r="AM1291" s="60">
        <v>0</v>
      </c>
      <c r="AN1291" s="60">
        <v>0</v>
      </c>
      <c r="AO1291" s="60">
        <v>125.7</v>
      </c>
      <c r="AP1291" s="60">
        <v>163.94</v>
      </c>
      <c r="AQ1291" s="60">
        <v>95.5</v>
      </c>
      <c r="AR1291" s="61">
        <v>163.94</v>
      </c>
    </row>
    <row r="1292" spans="1:44" x14ac:dyDescent="0.35">
      <c r="A1292" s="49" t="str">
        <f>TEXT(30,"00")</f>
        <v>30</v>
      </c>
      <c r="B1292" s="27">
        <v>10306</v>
      </c>
      <c r="C1292" s="25" t="str">
        <f>TEXT(140822,"0000000")</f>
        <v>0140822</v>
      </c>
      <c r="D1292" s="27">
        <v>2116</v>
      </c>
      <c r="E1292" s="25" t="s">
        <v>1526</v>
      </c>
      <c r="F1292" s="25" t="s">
        <v>505</v>
      </c>
      <c r="G1292" s="59" t="s">
        <v>1527</v>
      </c>
      <c r="H1292" s="60">
        <v>0</v>
      </c>
      <c r="I1292" s="60">
        <v>0</v>
      </c>
      <c r="J1292" s="60">
        <v>0</v>
      </c>
      <c r="K1292" s="60">
        <v>0</v>
      </c>
      <c r="L1292" s="60">
        <v>0</v>
      </c>
      <c r="M1292" s="60">
        <v>0</v>
      </c>
      <c r="N1292" s="60">
        <v>0</v>
      </c>
      <c r="O1292" s="60">
        <v>0</v>
      </c>
      <c r="P1292" s="60">
        <v>0</v>
      </c>
      <c r="Q1292" s="60">
        <v>0</v>
      </c>
      <c r="R1292" s="60">
        <v>0</v>
      </c>
      <c r="S1292" s="60">
        <v>0</v>
      </c>
      <c r="T1292" s="60">
        <v>0</v>
      </c>
      <c r="U1292" s="60">
        <v>0</v>
      </c>
      <c r="V1292" s="60">
        <v>0</v>
      </c>
      <c r="W1292" s="60">
        <v>0</v>
      </c>
      <c r="X1292" s="60">
        <v>0</v>
      </c>
      <c r="Y1292" s="60">
        <v>0</v>
      </c>
      <c r="Z1292" s="60">
        <v>0</v>
      </c>
      <c r="AA1292" s="60">
        <v>0</v>
      </c>
      <c r="AB1292" s="60">
        <v>0</v>
      </c>
      <c r="AC1292" s="60">
        <v>211.2</v>
      </c>
      <c r="AD1292" s="60">
        <v>305.7</v>
      </c>
      <c r="AE1292" s="60">
        <v>0</v>
      </c>
      <c r="AF1292" s="60">
        <v>0</v>
      </c>
      <c r="AG1292" s="60">
        <v>0</v>
      </c>
      <c r="AH1292" s="60">
        <v>0</v>
      </c>
      <c r="AI1292" s="60">
        <v>211.2</v>
      </c>
      <c r="AJ1292" s="60">
        <v>305.7</v>
      </c>
      <c r="AK1292" s="60">
        <v>0</v>
      </c>
      <c r="AL1292" s="60">
        <v>0</v>
      </c>
      <c r="AM1292" s="60">
        <v>0</v>
      </c>
      <c r="AN1292" s="60">
        <v>0</v>
      </c>
      <c r="AO1292" s="60">
        <v>211.2</v>
      </c>
      <c r="AP1292" s="60">
        <v>305.7</v>
      </c>
      <c r="AQ1292" s="60">
        <v>0</v>
      </c>
      <c r="AR1292" s="61">
        <v>305.7</v>
      </c>
    </row>
    <row r="1293" spans="1:44" x14ac:dyDescent="0.35">
      <c r="A1293" s="49" t="str">
        <f>TEXT(30,"00")</f>
        <v>30</v>
      </c>
      <c r="B1293" s="27">
        <v>66670</v>
      </c>
      <c r="C1293" s="25" t="str">
        <f>TEXT(101626,"0000000")</f>
        <v>0101626</v>
      </c>
      <c r="D1293" s="26" t="s">
        <v>1603</v>
      </c>
      <c r="E1293" s="25" t="s">
        <v>1601</v>
      </c>
      <c r="F1293" s="25" t="s">
        <v>505</v>
      </c>
      <c r="G1293" s="59" t="s">
        <v>1602</v>
      </c>
      <c r="H1293" s="60">
        <v>0</v>
      </c>
      <c r="I1293" s="60">
        <v>0</v>
      </c>
      <c r="J1293" s="60">
        <v>0</v>
      </c>
      <c r="K1293" s="60">
        <v>0</v>
      </c>
      <c r="L1293" s="60">
        <v>0</v>
      </c>
      <c r="M1293" s="60">
        <v>0</v>
      </c>
      <c r="N1293" s="60">
        <v>0</v>
      </c>
      <c r="O1293" s="60">
        <v>0</v>
      </c>
      <c r="P1293" s="60">
        <v>0</v>
      </c>
      <c r="Q1293" s="60">
        <v>0</v>
      </c>
      <c r="R1293" s="60">
        <v>0</v>
      </c>
      <c r="S1293" s="60">
        <v>0</v>
      </c>
      <c r="T1293" s="60">
        <v>0</v>
      </c>
      <c r="U1293" s="60">
        <v>0</v>
      </c>
      <c r="V1293" s="60">
        <v>0</v>
      </c>
      <c r="W1293" s="60">
        <v>0</v>
      </c>
      <c r="X1293" s="60">
        <v>0</v>
      </c>
      <c r="Y1293" s="60">
        <v>0</v>
      </c>
      <c r="Z1293" s="60">
        <v>0</v>
      </c>
      <c r="AA1293" s="60">
        <v>0</v>
      </c>
      <c r="AB1293" s="60">
        <v>0</v>
      </c>
      <c r="AC1293" s="60">
        <v>400.73</v>
      </c>
      <c r="AD1293" s="60">
        <v>372.66</v>
      </c>
      <c r="AE1293" s="60">
        <v>376.21</v>
      </c>
      <c r="AF1293" s="60">
        <v>0</v>
      </c>
      <c r="AG1293" s="60">
        <v>0</v>
      </c>
      <c r="AH1293" s="60">
        <v>0</v>
      </c>
      <c r="AI1293" s="60">
        <v>400.73</v>
      </c>
      <c r="AJ1293" s="60">
        <v>372.66</v>
      </c>
      <c r="AK1293" s="60">
        <v>376.21</v>
      </c>
      <c r="AL1293" s="60">
        <v>0</v>
      </c>
      <c r="AM1293" s="60">
        <v>0</v>
      </c>
      <c r="AN1293" s="60">
        <v>0</v>
      </c>
      <c r="AO1293" s="60">
        <v>400.73</v>
      </c>
      <c r="AP1293" s="60">
        <v>372.66</v>
      </c>
      <c r="AQ1293" s="60">
        <v>376.21</v>
      </c>
      <c r="AR1293" s="61">
        <v>400.73</v>
      </c>
    </row>
    <row r="1294" spans="1:44" x14ac:dyDescent="0.35">
      <c r="A1294" s="49" t="str">
        <f>TEXT(36,"00")</f>
        <v>36</v>
      </c>
      <c r="B1294" s="27">
        <v>75051</v>
      </c>
      <c r="C1294" s="25" t="str">
        <f>TEXT(139188,"0000000")</f>
        <v>0139188</v>
      </c>
      <c r="D1294" s="27">
        <v>2033</v>
      </c>
      <c r="E1294" s="25" t="s">
        <v>2037</v>
      </c>
      <c r="F1294" s="25" t="s">
        <v>505</v>
      </c>
      <c r="G1294" s="59" t="s">
        <v>2038</v>
      </c>
      <c r="H1294" s="60">
        <v>0</v>
      </c>
      <c r="I1294" s="60">
        <v>0</v>
      </c>
      <c r="J1294" s="60">
        <v>0</v>
      </c>
      <c r="K1294" s="60">
        <v>0</v>
      </c>
      <c r="L1294" s="60">
        <v>0</v>
      </c>
      <c r="M1294" s="60">
        <v>0</v>
      </c>
      <c r="N1294" s="60">
        <v>0</v>
      </c>
      <c r="O1294" s="60">
        <v>0</v>
      </c>
      <c r="P1294" s="60">
        <v>0</v>
      </c>
      <c r="Q1294" s="60">
        <v>0</v>
      </c>
      <c r="R1294" s="60">
        <v>0</v>
      </c>
      <c r="S1294" s="60">
        <v>0</v>
      </c>
      <c r="T1294" s="60">
        <v>0</v>
      </c>
      <c r="U1294" s="60">
        <v>0</v>
      </c>
      <c r="V1294" s="60">
        <v>0</v>
      </c>
      <c r="W1294" s="60">
        <v>0</v>
      </c>
      <c r="X1294" s="60">
        <v>0</v>
      </c>
      <c r="Y1294" s="60">
        <v>0</v>
      </c>
      <c r="Z1294" s="60">
        <v>0</v>
      </c>
      <c r="AA1294" s="60">
        <v>0</v>
      </c>
      <c r="AB1294" s="60">
        <v>0</v>
      </c>
      <c r="AC1294" s="60">
        <v>3485.72</v>
      </c>
      <c r="AD1294" s="60">
        <v>3365.35</v>
      </c>
      <c r="AE1294" s="60">
        <v>3181.82</v>
      </c>
      <c r="AF1294" s="60">
        <v>0</v>
      </c>
      <c r="AG1294" s="60">
        <v>0</v>
      </c>
      <c r="AH1294" s="60">
        <v>0</v>
      </c>
      <c r="AI1294" s="60">
        <v>3485.72</v>
      </c>
      <c r="AJ1294" s="60">
        <v>3365.35</v>
      </c>
      <c r="AK1294" s="60">
        <v>3181.82</v>
      </c>
      <c r="AL1294" s="60">
        <v>0</v>
      </c>
      <c r="AM1294" s="60">
        <v>0</v>
      </c>
      <c r="AN1294" s="60">
        <v>0</v>
      </c>
      <c r="AO1294" s="60">
        <v>3485.72</v>
      </c>
      <c r="AP1294" s="60">
        <v>3365.35</v>
      </c>
      <c r="AQ1294" s="60">
        <v>3181.82</v>
      </c>
      <c r="AR1294" s="61">
        <v>3485.72</v>
      </c>
    </row>
    <row r="1295" spans="1:44" x14ac:dyDescent="0.35">
      <c r="A1295" s="49" t="str">
        <f>TEXT(19,"00")</f>
        <v>19</v>
      </c>
      <c r="B1295" s="27">
        <v>73437</v>
      </c>
      <c r="C1295" s="25" t="str">
        <f t="shared" ref="C1295:C1326" si="105">TEXT(,"0000000")</f>
        <v>0000000</v>
      </c>
      <c r="D1295" s="26" t="s">
        <v>3663</v>
      </c>
      <c r="E1295" s="25" t="s">
        <v>1141</v>
      </c>
      <c r="F1295" s="25" t="s">
        <v>1142</v>
      </c>
      <c r="G1295" s="59" t="s">
        <v>1142</v>
      </c>
      <c r="H1295" s="60">
        <v>15906.59</v>
      </c>
      <c r="I1295" s="60">
        <v>16342.18</v>
      </c>
      <c r="J1295" s="60">
        <v>19392.57</v>
      </c>
      <c r="K1295" s="60">
        <v>0</v>
      </c>
      <c r="L1295" s="60">
        <v>0</v>
      </c>
      <c r="M1295" s="60">
        <v>0</v>
      </c>
      <c r="N1295" s="60">
        <v>0</v>
      </c>
      <c r="O1295" s="60">
        <v>0</v>
      </c>
      <c r="P1295" s="60">
        <v>0</v>
      </c>
      <c r="Q1295" s="60">
        <v>0</v>
      </c>
      <c r="R1295" s="60">
        <v>0</v>
      </c>
      <c r="S1295" s="60">
        <v>0</v>
      </c>
      <c r="T1295" s="60">
        <v>7.14</v>
      </c>
      <c r="U1295" s="60">
        <v>6.58</v>
      </c>
      <c r="V1295" s="60">
        <v>19.68</v>
      </c>
      <c r="W1295" s="60">
        <v>8.19</v>
      </c>
      <c r="X1295" s="60">
        <v>5.75</v>
      </c>
      <c r="Y1295" s="60">
        <v>7.2</v>
      </c>
      <c r="Z1295" s="60">
        <v>0</v>
      </c>
      <c r="AA1295" s="60">
        <v>0</v>
      </c>
      <c r="AB1295" s="60">
        <v>0</v>
      </c>
      <c r="AC1295" s="60">
        <v>0</v>
      </c>
      <c r="AD1295" s="60">
        <v>0</v>
      </c>
      <c r="AE1295" s="60">
        <v>0</v>
      </c>
      <c r="AF1295" s="60">
        <v>0</v>
      </c>
      <c r="AG1295" s="60">
        <v>0</v>
      </c>
      <c r="AH1295" s="60">
        <v>0</v>
      </c>
      <c r="AI1295" s="60">
        <v>15921.92</v>
      </c>
      <c r="AJ1295" s="60">
        <v>16354.51</v>
      </c>
      <c r="AK1295" s="60">
        <v>19419.45</v>
      </c>
      <c r="AL1295" s="60">
        <v>0</v>
      </c>
      <c r="AM1295" s="60">
        <v>0</v>
      </c>
      <c r="AN1295" s="60">
        <v>0</v>
      </c>
      <c r="AO1295" s="60">
        <v>15921.92</v>
      </c>
      <c r="AP1295" s="60">
        <v>16354.51</v>
      </c>
      <c r="AQ1295" s="60">
        <v>19419.45</v>
      </c>
      <c r="AR1295" s="61">
        <v>19419.45</v>
      </c>
    </row>
    <row r="1296" spans="1:44" x14ac:dyDescent="0.35">
      <c r="A1296" s="49" t="str">
        <f t="shared" ref="A1296:A1304" si="106">TEXT(30,"00")</f>
        <v>30</v>
      </c>
      <c r="B1296" s="27">
        <v>66431</v>
      </c>
      <c r="C1296" s="25" t="str">
        <f t="shared" si="105"/>
        <v>0000000</v>
      </c>
      <c r="D1296" s="26" t="s">
        <v>3663</v>
      </c>
      <c r="E1296" s="25" t="s">
        <v>1539</v>
      </c>
      <c r="F1296" s="25" t="s">
        <v>1540</v>
      </c>
      <c r="G1296" s="59" t="s">
        <v>1540</v>
      </c>
      <c r="H1296" s="60">
        <v>25309.01</v>
      </c>
      <c r="I1296" s="60">
        <v>26099.97</v>
      </c>
      <c r="J1296" s="60">
        <v>28386.37</v>
      </c>
      <c r="K1296" s="60">
        <v>0</v>
      </c>
      <c r="L1296" s="60">
        <v>0</v>
      </c>
      <c r="M1296" s="60">
        <v>0</v>
      </c>
      <c r="N1296" s="60">
        <v>0</v>
      </c>
      <c r="O1296" s="60">
        <v>0</v>
      </c>
      <c r="P1296" s="60">
        <v>0</v>
      </c>
      <c r="Q1296" s="60">
        <v>0</v>
      </c>
      <c r="R1296" s="60">
        <v>0</v>
      </c>
      <c r="S1296" s="60">
        <v>0</v>
      </c>
      <c r="T1296" s="60">
        <v>0</v>
      </c>
      <c r="U1296" s="60">
        <v>0</v>
      </c>
      <c r="V1296" s="60">
        <v>0</v>
      </c>
      <c r="W1296" s="60">
        <v>0</v>
      </c>
      <c r="X1296" s="60">
        <v>0</v>
      </c>
      <c r="Y1296" s="60">
        <v>0</v>
      </c>
      <c r="Z1296" s="60">
        <v>0</v>
      </c>
      <c r="AA1296" s="60">
        <v>0</v>
      </c>
      <c r="AB1296" s="60">
        <v>0</v>
      </c>
      <c r="AC1296" s="60">
        <v>0</v>
      </c>
      <c r="AD1296" s="60">
        <v>0</v>
      </c>
      <c r="AE1296" s="60">
        <v>0</v>
      </c>
      <c r="AF1296" s="60">
        <v>0</v>
      </c>
      <c r="AG1296" s="60">
        <v>0</v>
      </c>
      <c r="AH1296" s="60">
        <v>0</v>
      </c>
      <c r="AI1296" s="60">
        <v>25309.01</v>
      </c>
      <c r="AJ1296" s="60">
        <v>26099.97</v>
      </c>
      <c r="AK1296" s="60">
        <v>28386.37</v>
      </c>
      <c r="AL1296" s="60">
        <v>0</v>
      </c>
      <c r="AM1296" s="60">
        <v>0</v>
      </c>
      <c r="AN1296" s="60">
        <v>0</v>
      </c>
      <c r="AO1296" s="60">
        <v>25309.01</v>
      </c>
      <c r="AP1296" s="60">
        <v>26099.97</v>
      </c>
      <c r="AQ1296" s="60">
        <v>28386.37</v>
      </c>
      <c r="AR1296" s="61">
        <v>28386.37</v>
      </c>
    </row>
    <row r="1297" spans="1:44" x14ac:dyDescent="0.35">
      <c r="A1297" s="49" t="str">
        <f t="shared" si="106"/>
        <v>30</v>
      </c>
      <c r="B1297" s="27">
        <v>66472</v>
      </c>
      <c r="C1297" s="25" t="str">
        <f t="shared" si="105"/>
        <v>0000000</v>
      </c>
      <c r="D1297" s="26" t="s">
        <v>3663</v>
      </c>
      <c r="E1297" s="25" t="s">
        <v>1561</v>
      </c>
      <c r="F1297" s="25" t="s">
        <v>1540</v>
      </c>
      <c r="G1297" s="59" t="s">
        <v>1562</v>
      </c>
      <c r="H1297" s="60">
        <v>3765.58</v>
      </c>
      <c r="I1297" s="60">
        <v>3750.13</v>
      </c>
      <c r="J1297" s="60">
        <v>4053.81</v>
      </c>
      <c r="K1297" s="60">
        <v>0</v>
      </c>
      <c r="L1297" s="60">
        <v>0</v>
      </c>
      <c r="M1297" s="60">
        <v>0</v>
      </c>
      <c r="N1297" s="60">
        <v>0</v>
      </c>
      <c r="O1297" s="60">
        <v>0</v>
      </c>
      <c r="P1297" s="60">
        <v>0</v>
      </c>
      <c r="Q1297" s="60">
        <v>0</v>
      </c>
      <c r="R1297" s="60">
        <v>0</v>
      </c>
      <c r="S1297" s="60">
        <v>0</v>
      </c>
      <c r="T1297" s="60">
        <v>0</v>
      </c>
      <c r="U1297" s="60">
        <v>0</v>
      </c>
      <c r="V1297" s="60">
        <v>0</v>
      </c>
      <c r="W1297" s="60">
        <v>0</v>
      </c>
      <c r="X1297" s="60">
        <v>0</v>
      </c>
      <c r="Y1297" s="60">
        <v>0</v>
      </c>
      <c r="Z1297" s="60">
        <v>0</v>
      </c>
      <c r="AA1297" s="60">
        <v>0</v>
      </c>
      <c r="AB1297" s="60">
        <v>0</v>
      </c>
      <c r="AC1297" s="60">
        <v>0</v>
      </c>
      <c r="AD1297" s="60">
        <v>0</v>
      </c>
      <c r="AE1297" s="60">
        <v>0</v>
      </c>
      <c r="AF1297" s="60">
        <v>0</v>
      </c>
      <c r="AG1297" s="60">
        <v>0</v>
      </c>
      <c r="AH1297" s="60">
        <v>0</v>
      </c>
      <c r="AI1297" s="60">
        <v>3765.58</v>
      </c>
      <c r="AJ1297" s="60">
        <v>3750.13</v>
      </c>
      <c r="AK1297" s="60">
        <v>4053.81</v>
      </c>
      <c r="AL1297" s="60">
        <v>0</v>
      </c>
      <c r="AM1297" s="60">
        <v>0</v>
      </c>
      <c r="AN1297" s="60">
        <v>0</v>
      </c>
      <c r="AO1297" s="60">
        <v>3765.58</v>
      </c>
      <c r="AP1297" s="60">
        <v>3750.13</v>
      </c>
      <c r="AQ1297" s="60">
        <v>4053.81</v>
      </c>
      <c r="AR1297" s="61">
        <v>4053.81</v>
      </c>
    </row>
    <row r="1298" spans="1:44" x14ac:dyDescent="0.35">
      <c r="A1298" s="49" t="str">
        <f t="shared" si="106"/>
        <v>30</v>
      </c>
      <c r="B1298" s="27">
        <v>66480</v>
      </c>
      <c r="C1298" s="25" t="str">
        <f t="shared" si="105"/>
        <v>0000000</v>
      </c>
      <c r="D1298" s="26" t="s">
        <v>3663</v>
      </c>
      <c r="E1298" s="25" t="s">
        <v>1563</v>
      </c>
      <c r="F1298" s="25" t="s">
        <v>1540</v>
      </c>
      <c r="G1298" s="59" t="s">
        <v>1564</v>
      </c>
      <c r="H1298" s="60">
        <v>3218.76</v>
      </c>
      <c r="I1298" s="60">
        <v>3228.38</v>
      </c>
      <c r="J1298" s="60">
        <v>3693.45</v>
      </c>
      <c r="K1298" s="60">
        <v>0</v>
      </c>
      <c r="L1298" s="60">
        <v>0</v>
      </c>
      <c r="M1298" s="60">
        <v>0</v>
      </c>
      <c r="N1298" s="60">
        <v>0</v>
      </c>
      <c r="O1298" s="60">
        <v>0</v>
      </c>
      <c r="P1298" s="60">
        <v>0</v>
      </c>
      <c r="Q1298" s="60">
        <v>0</v>
      </c>
      <c r="R1298" s="60">
        <v>0</v>
      </c>
      <c r="S1298" s="60">
        <v>0</v>
      </c>
      <c r="T1298" s="60">
        <v>0</v>
      </c>
      <c r="U1298" s="60">
        <v>0</v>
      </c>
      <c r="V1298" s="60">
        <v>0</v>
      </c>
      <c r="W1298" s="60">
        <v>0</v>
      </c>
      <c r="X1298" s="60">
        <v>0</v>
      </c>
      <c r="Y1298" s="60">
        <v>0</v>
      </c>
      <c r="Z1298" s="60">
        <v>0</v>
      </c>
      <c r="AA1298" s="60">
        <v>0</v>
      </c>
      <c r="AB1298" s="60">
        <v>0</v>
      </c>
      <c r="AC1298" s="60">
        <v>0</v>
      </c>
      <c r="AD1298" s="60">
        <v>0</v>
      </c>
      <c r="AE1298" s="60">
        <v>0</v>
      </c>
      <c r="AF1298" s="60">
        <v>0</v>
      </c>
      <c r="AG1298" s="60">
        <v>0</v>
      </c>
      <c r="AH1298" s="60">
        <v>0</v>
      </c>
      <c r="AI1298" s="60">
        <v>3218.76</v>
      </c>
      <c r="AJ1298" s="60">
        <v>3228.38</v>
      </c>
      <c r="AK1298" s="60">
        <v>3693.45</v>
      </c>
      <c r="AL1298" s="60">
        <v>0</v>
      </c>
      <c r="AM1298" s="60">
        <v>0</v>
      </c>
      <c r="AN1298" s="60">
        <v>0</v>
      </c>
      <c r="AO1298" s="60">
        <v>3218.76</v>
      </c>
      <c r="AP1298" s="60">
        <v>3228.38</v>
      </c>
      <c r="AQ1298" s="60">
        <v>3693.45</v>
      </c>
      <c r="AR1298" s="61">
        <v>3693.45</v>
      </c>
    </row>
    <row r="1299" spans="1:44" x14ac:dyDescent="0.35">
      <c r="A1299" s="49" t="str">
        <f t="shared" si="106"/>
        <v>30</v>
      </c>
      <c r="B1299" s="27">
        <v>66589</v>
      </c>
      <c r="C1299" s="25" t="str">
        <f t="shared" si="105"/>
        <v>0000000</v>
      </c>
      <c r="D1299" s="26" t="s">
        <v>3663</v>
      </c>
      <c r="E1299" s="25" t="s">
        <v>1585</v>
      </c>
      <c r="F1299" s="25" t="s">
        <v>1540</v>
      </c>
      <c r="G1299" s="59" t="s">
        <v>1586</v>
      </c>
      <c r="H1299" s="60">
        <v>4636.43</v>
      </c>
      <c r="I1299" s="60">
        <v>4702.2</v>
      </c>
      <c r="J1299" s="60">
        <v>5446.41</v>
      </c>
      <c r="K1299" s="60">
        <v>0</v>
      </c>
      <c r="L1299" s="60">
        <v>0</v>
      </c>
      <c r="M1299" s="60">
        <v>0</v>
      </c>
      <c r="N1299" s="60">
        <v>0</v>
      </c>
      <c r="O1299" s="60">
        <v>0</v>
      </c>
      <c r="P1299" s="60">
        <v>0</v>
      </c>
      <c r="Q1299" s="60">
        <v>0</v>
      </c>
      <c r="R1299" s="60">
        <v>0</v>
      </c>
      <c r="S1299" s="60">
        <v>0</v>
      </c>
      <c r="T1299" s="60">
        <v>0</v>
      </c>
      <c r="U1299" s="60">
        <v>0</v>
      </c>
      <c r="V1299" s="60">
        <v>0</v>
      </c>
      <c r="W1299" s="60">
        <v>0</v>
      </c>
      <c r="X1299" s="60">
        <v>0</v>
      </c>
      <c r="Y1299" s="60">
        <v>0</v>
      </c>
      <c r="Z1299" s="60">
        <v>0</v>
      </c>
      <c r="AA1299" s="60">
        <v>0</v>
      </c>
      <c r="AB1299" s="60">
        <v>0</v>
      </c>
      <c r="AC1299" s="60">
        <v>0</v>
      </c>
      <c r="AD1299" s="60">
        <v>0</v>
      </c>
      <c r="AE1299" s="60">
        <v>0</v>
      </c>
      <c r="AF1299" s="60">
        <v>0</v>
      </c>
      <c r="AG1299" s="60">
        <v>0</v>
      </c>
      <c r="AH1299" s="60">
        <v>0</v>
      </c>
      <c r="AI1299" s="60">
        <v>4636.43</v>
      </c>
      <c r="AJ1299" s="60">
        <v>4702.2</v>
      </c>
      <c r="AK1299" s="60">
        <v>5446.41</v>
      </c>
      <c r="AL1299" s="60">
        <v>0</v>
      </c>
      <c r="AM1299" s="60">
        <v>0</v>
      </c>
      <c r="AN1299" s="60">
        <v>0</v>
      </c>
      <c r="AO1299" s="60">
        <v>4636.43</v>
      </c>
      <c r="AP1299" s="60">
        <v>4702.2</v>
      </c>
      <c r="AQ1299" s="60">
        <v>5446.41</v>
      </c>
      <c r="AR1299" s="61">
        <v>5446.41</v>
      </c>
    </row>
    <row r="1300" spans="1:44" x14ac:dyDescent="0.35">
      <c r="A1300" s="49" t="str">
        <f t="shared" si="106"/>
        <v>30</v>
      </c>
      <c r="B1300" s="27">
        <v>66696</v>
      </c>
      <c r="C1300" s="25" t="str">
        <f t="shared" si="105"/>
        <v>0000000</v>
      </c>
      <c r="D1300" s="26" t="s">
        <v>3663</v>
      </c>
      <c r="E1300" s="25" t="s">
        <v>1613</v>
      </c>
      <c r="F1300" s="25" t="s">
        <v>1540</v>
      </c>
      <c r="G1300" s="59" t="s">
        <v>1614</v>
      </c>
      <c r="H1300" s="60">
        <v>1682.39</v>
      </c>
      <c r="I1300" s="60">
        <v>1671.43</v>
      </c>
      <c r="J1300" s="60">
        <v>2013.12</v>
      </c>
      <c r="K1300" s="60">
        <v>0</v>
      </c>
      <c r="L1300" s="60">
        <v>0</v>
      </c>
      <c r="M1300" s="60">
        <v>0</v>
      </c>
      <c r="N1300" s="60">
        <v>0</v>
      </c>
      <c r="O1300" s="60">
        <v>0</v>
      </c>
      <c r="P1300" s="60">
        <v>0</v>
      </c>
      <c r="Q1300" s="60">
        <v>0</v>
      </c>
      <c r="R1300" s="60">
        <v>0</v>
      </c>
      <c r="S1300" s="60">
        <v>0</v>
      </c>
      <c r="T1300" s="60">
        <v>0</v>
      </c>
      <c r="U1300" s="60">
        <v>0</v>
      </c>
      <c r="V1300" s="60">
        <v>0</v>
      </c>
      <c r="W1300" s="60">
        <v>0</v>
      </c>
      <c r="X1300" s="60">
        <v>0</v>
      </c>
      <c r="Y1300" s="60">
        <v>0</v>
      </c>
      <c r="Z1300" s="60">
        <v>0</v>
      </c>
      <c r="AA1300" s="60">
        <v>0</v>
      </c>
      <c r="AB1300" s="60">
        <v>0</v>
      </c>
      <c r="AC1300" s="60">
        <v>0</v>
      </c>
      <c r="AD1300" s="60">
        <v>0</v>
      </c>
      <c r="AE1300" s="60">
        <v>0</v>
      </c>
      <c r="AF1300" s="60">
        <v>0</v>
      </c>
      <c r="AG1300" s="60">
        <v>0</v>
      </c>
      <c r="AH1300" s="60">
        <v>0</v>
      </c>
      <c r="AI1300" s="60">
        <v>1682.39</v>
      </c>
      <c r="AJ1300" s="60">
        <v>1671.43</v>
      </c>
      <c r="AK1300" s="60">
        <v>2013.12</v>
      </c>
      <c r="AL1300" s="60">
        <v>0</v>
      </c>
      <c r="AM1300" s="60">
        <v>0</v>
      </c>
      <c r="AN1300" s="60">
        <v>0</v>
      </c>
      <c r="AO1300" s="60">
        <v>1682.39</v>
      </c>
      <c r="AP1300" s="60">
        <v>1671.43</v>
      </c>
      <c r="AQ1300" s="60">
        <v>2013.12</v>
      </c>
      <c r="AR1300" s="61">
        <v>2013.12</v>
      </c>
    </row>
    <row r="1301" spans="1:44" x14ac:dyDescent="0.35">
      <c r="A1301" s="49" t="str">
        <f t="shared" si="106"/>
        <v>30</v>
      </c>
      <c r="B1301" s="27">
        <v>73924</v>
      </c>
      <c r="C1301" s="25" t="str">
        <f t="shared" si="105"/>
        <v>0000000</v>
      </c>
      <c r="D1301" s="26" t="s">
        <v>3663</v>
      </c>
      <c r="E1301" s="25" t="s">
        <v>1621</v>
      </c>
      <c r="F1301" s="25" t="s">
        <v>1540</v>
      </c>
      <c r="G1301" s="59" t="s">
        <v>1622</v>
      </c>
      <c r="H1301" s="60">
        <v>8496.76</v>
      </c>
      <c r="I1301" s="60">
        <v>8701.2800000000007</v>
      </c>
      <c r="J1301" s="60">
        <v>9436.75</v>
      </c>
      <c r="K1301" s="60">
        <v>0</v>
      </c>
      <c r="L1301" s="60">
        <v>0</v>
      </c>
      <c r="M1301" s="60">
        <v>0</v>
      </c>
      <c r="N1301" s="60">
        <v>0</v>
      </c>
      <c r="O1301" s="60">
        <v>0</v>
      </c>
      <c r="P1301" s="60">
        <v>0</v>
      </c>
      <c r="Q1301" s="60">
        <v>0</v>
      </c>
      <c r="R1301" s="60">
        <v>0</v>
      </c>
      <c r="S1301" s="60">
        <v>0</v>
      </c>
      <c r="T1301" s="60">
        <v>0</v>
      </c>
      <c r="U1301" s="60">
        <v>0</v>
      </c>
      <c r="V1301" s="60">
        <v>0</v>
      </c>
      <c r="W1301" s="60">
        <v>0</v>
      </c>
      <c r="X1301" s="60">
        <v>0</v>
      </c>
      <c r="Y1301" s="60">
        <v>0</v>
      </c>
      <c r="Z1301" s="60">
        <v>0</v>
      </c>
      <c r="AA1301" s="60">
        <v>0</v>
      </c>
      <c r="AB1301" s="60">
        <v>0</v>
      </c>
      <c r="AC1301" s="60">
        <v>0</v>
      </c>
      <c r="AD1301" s="60">
        <v>0</v>
      </c>
      <c r="AE1301" s="60">
        <v>0</v>
      </c>
      <c r="AF1301" s="60">
        <v>0</v>
      </c>
      <c r="AG1301" s="60">
        <v>0</v>
      </c>
      <c r="AH1301" s="60">
        <v>0</v>
      </c>
      <c r="AI1301" s="60">
        <v>8496.76</v>
      </c>
      <c r="AJ1301" s="60">
        <v>8701.2800000000007</v>
      </c>
      <c r="AK1301" s="60">
        <v>9436.75</v>
      </c>
      <c r="AL1301" s="60">
        <v>0</v>
      </c>
      <c r="AM1301" s="60">
        <v>0</v>
      </c>
      <c r="AN1301" s="60">
        <v>0</v>
      </c>
      <c r="AO1301" s="60">
        <v>8496.76</v>
      </c>
      <c r="AP1301" s="60">
        <v>8701.2800000000007</v>
      </c>
      <c r="AQ1301" s="60">
        <v>9436.75</v>
      </c>
      <c r="AR1301" s="61">
        <v>9436.75</v>
      </c>
    </row>
    <row r="1302" spans="1:44" x14ac:dyDescent="0.35">
      <c r="A1302" s="49" t="str">
        <f t="shared" si="106"/>
        <v>30</v>
      </c>
      <c r="B1302" s="27">
        <v>73635</v>
      </c>
      <c r="C1302" s="25" t="str">
        <f t="shared" si="105"/>
        <v>0000000</v>
      </c>
      <c r="D1302" s="26" t="s">
        <v>3663</v>
      </c>
      <c r="E1302" s="25" t="s">
        <v>1579</v>
      </c>
      <c r="F1302" s="25" t="s">
        <v>1580</v>
      </c>
      <c r="G1302" s="59" t="s">
        <v>1580</v>
      </c>
      <c r="H1302" s="60">
        <v>22226.65</v>
      </c>
      <c r="I1302" s="60">
        <v>22706.69</v>
      </c>
      <c r="J1302" s="60">
        <v>25249.34</v>
      </c>
      <c r="K1302" s="60">
        <v>0</v>
      </c>
      <c r="L1302" s="60">
        <v>0</v>
      </c>
      <c r="M1302" s="60">
        <v>0</v>
      </c>
      <c r="N1302" s="60">
        <v>0</v>
      </c>
      <c r="O1302" s="60">
        <v>0</v>
      </c>
      <c r="P1302" s="60">
        <v>0</v>
      </c>
      <c r="Q1302" s="60">
        <v>0</v>
      </c>
      <c r="R1302" s="60">
        <v>0</v>
      </c>
      <c r="S1302" s="60">
        <v>0</v>
      </c>
      <c r="T1302" s="60">
        <v>0</v>
      </c>
      <c r="U1302" s="60">
        <v>0</v>
      </c>
      <c r="V1302" s="60">
        <v>0</v>
      </c>
      <c r="W1302" s="60">
        <v>0</v>
      </c>
      <c r="X1302" s="60">
        <v>0</v>
      </c>
      <c r="Y1302" s="60">
        <v>0</v>
      </c>
      <c r="Z1302" s="60">
        <v>0</v>
      </c>
      <c r="AA1302" s="60">
        <v>0</v>
      </c>
      <c r="AB1302" s="60">
        <v>0</v>
      </c>
      <c r="AC1302" s="60">
        <v>0</v>
      </c>
      <c r="AD1302" s="60">
        <v>0</v>
      </c>
      <c r="AE1302" s="60">
        <v>0</v>
      </c>
      <c r="AF1302" s="60">
        <v>0</v>
      </c>
      <c r="AG1302" s="60">
        <v>0</v>
      </c>
      <c r="AH1302" s="60">
        <v>0</v>
      </c>
      <c r="AI1302" s="60">
        <v>22226.65</v>
      </c>
      <c r="AJ1302" s="60">
        <v>22706.69</v>
      </c>
      <c r="AK1302" s="60">
        <v>25249.34</v>
      </c>
      <c r="AL1302" s="60">
        <v>0</v>
      </c>
      <c r="AM1302" s="60">
        <v>0</v>
      </c>
      <c r="AN1302" s="60">
        <v>0</v>
      </c>
      <c r="AO1302" s="60">
        <v>22226.65</v>
      </c>
      <c r="AP1302" s="60">
        <v>22706.69</v>
      </c>
      <c r="AQ1302" s="60">
        <v>25249.34</v>
      </c>
      <c r="AR1302" s="61">
        <v>25249.34</v>
      </c>
    </row>
    <row r="1303" spans="1:44" x14ac:dyDescent="0.35">
      <c r="A1303" s="49" t="str">
        <f t="shared" si="106"/>
        <v>30</v>
      </c>
      <c r="B1303" s="27">
        <v>66555</v>
      </c>
      <c r="C1303" s="25" t="str">
        <f t="shared" si="105"/>
        <v>0000000</v>
      </c>
      <c r="D1303" s="26" t="s">
        <v>3663</v>
      </c>
      <c r="E1303" s="25" t="s">
        <v>1581</v>
      </c>
      <c r="F1303" s="25" t="s">
        <v>1580</v>
      </c>
      <c r="G1303" s="59" t="s">
        <v>1582</v>
      </c>
      <c r="H1303" s="60">
        <v>2296.6799999999998</v>
      </c>
      <c r="I1303" s="60">
        <v>2394.44</v>
      </c>
      <c r="J1303" s="60">
        <v>2675.03</v>
      </c>
      <c r="K1303" s="60">
        <v>0</v>
      </c>
      <c r="L1303" s="60">
        <v>0</v>
      </c>
      <c r="M1303" s="60">
        <v>0</v>
      </c>
      <c r="N1303" s="60">
        <v>0</v>
      </c>
      <c r="O1303" s="60">
        <v>0</v>
      </c>
      <c r="P1303" s="60">
        <v>0</v>
      </c>
      <c r="Q1303" s="60">
        <v>0</v>
      </c>
      <c r="R1303" s="60">
        <v>0</v>
      </c>
      <c r="S1303" s="60">
        <v>0</v>
      </c>
      <c r="T1303" s="60">
        <v>0</v>
      </c>
      <c r="U1303" s="60">
        <v>0</v>
      </c>
      <c r="V1303" s="60">
        <v>0</v>
      </c>
      <c r="W1303" s="60">
        <v>0</v>
      </c>
      <c r="X1303" s="60">
        <v>0</v>
      </c>
      <c r="Y1303" s="60">
        <v>0</v>
      </c>
      <c r="Z1303" s="60">
        <v>0</v>
      </c>
      <c r="AA1303" s="60">
        <v>0</v>
      </c>
      <c r="AB1303" s="60">
        <v>0</v>
      </c>
      <c r="AC1303" s="60">
        <v>0</v>
      </c>
      <c r="AD1303" s="60">
        <v>0</v>
      </c>
      <c r="AE1303" s="60">
        <v>0</v>
      </c>
      <c r="AF1303" s="60">
        <v>0</v>
      </c>
      <c r="AG1303" s="60">
        <v>0</v>
      </c>
      <c r="AH1303" s="60">
        <v>0</v>
      </c>
      <c r="AI1303" s="60">
        <v>2296.6799999999998</v>
      </c>
      <c r="AJ1303" s="60">
        <v>2394.44</v>
      </c>
      <c r="AK1303" s="60">
        <v>2675.03</v>
      </c>
      <c r="AL1303" s="60">
        <v>0</v>
      </c>
      <c r="AM1303" s="60">
        <v>0</v>
      </c>
      <c r="AN1303" s="60">
        <v>0</v>
      </c>
      <c r="AO1303" s="60">
        <v>2296.6799999999998</v>
      </c>
      <c r="AP1303" s="60">
        <v>2394.44</v>
      </c>
      <c r="AQ1303" s="60">
        <v>2675.03</v>
      </c>
      <c r="AR1303" s="61">
        <v>2675.03</v>
      </c>
    </row>
    <row r="1304" spans="1:44" x14ac:dyDescent="0.35">
      <c r="A1304" s="49" t="str">
        <f t="shared" si="106"/>
        <v>30</v>
      </c>
      <c r="B1304" s="27">
        <v>66423</v>
      </c>
      <c r="C1304" s="25" t="str">
        <f t="shared" si="105"/>
        <v>0000000</v>
      </c>
      <c r="D1304" s="26" t="s">
        <v>3663</v>
      </c>
      <c r="E1304" s="25" t="s">
        <v>1533</v>
      </c>
      <c r="F1304" s="25" t="s">
        <v>1534</v>
      </c>
      <c r="G1304" s="59" t="s">
        <v>1534</v>
      </c>
      <c r="H1304" s="60">
        <v>13090.74</v>
      </c>
      <c r="I1304" s="60">
        <v>13218.13</v>
      </c>
      <c r="J1304" s="60">
        <v>15525.43</v>
      </c>
      <c r="K1304" s="60">
        <v>0</v>
      </c>
      <c r="L1304" s="60">
        <v>0</v>
      </c>
      <c r="M1304" s="60">
        <v>0</v>
      </c>
      <c r="N1304" s="60">
        <v>0</v>
      </c>
      <c r="O1304" s="60">
        <v>0</v>
      </c>
      <c r="P1304" s="60">
        <v>0</v>
      </c>
      <c r="Q1304" s="60">
        <v>0</v>
      </c>
      <c r="R1304" s="60">
        <v>0</v>
      </c>
      <c r="S1304" s="60">
        <v>0</v>
      </c>
      <c r="T1304" s="60">
        <v>0</v>
      </c>
      <c r="U1304" s="60">
        <v>0</v>
      </c>
      <c r="V1304" s="60">
        <v>0</v>
      </c>
      <c r="W1304" s="60">
        <v>0</v>
      </c>
      <c r="X1304" s="60">
        <v>0</v>
      </c>
      <c r="Y1304" s="60">
        <v>0</v>
      </c>
      <c r="Z1304" s="60">
        <v>0</v>
      </c>
      <c r="AA1304" s="60">
        <v>0</v>
      </c>
      <c r="AB1304" s="60">
        <v>0</v>
      </c>
      <c r="AC1304" s="60">
        <v>0</v>
      </c>
      <c r="AD1304" s="60">
        <v>0</v>
      </c>
      <c r="AE1304" s="60">
        <v>0</v>
      </c>
      <c r="AF1304" s="60">
        <v>0</v>
      </c>
      <c r="AG1304" s="60">
        <v>0</v>
      </c>
      <c r="AH1304" s="60">
        <v>0</v>
      </c>
      <c r="AI1304" s="60">
        <v>13090.74</v>
      </c>
      <c r="AJ1304" s="60">
        <v>13218.13</v>
      </c>
      <c r="AK1304" s="60">
        <v>15525.43</v>
      </c>
      <c r="AL1304" s="60">
        <v>0</v>
      </c>
      <c r="AM1304" s="60">
        <v>0</v>
      </c>
      <c r="AN1304" s="60">
        <v>0</v>
      </c>
      <c r="AO1304" s="60">
        <v>13090.74</v>
      </c>
      <c r="AP1304" s="60">
        <v>13218.13</v>
      </c>
      <c r="AQ1304" s="60">
        <v>15525.43</v>
      </c>
      <c r="AR1304" s="61">
        <v>15525.43</v>
      </c>
    </row>
    <row r="1305" spans="1:44" x14ac:dyDescent="0.35">
      <c r="A1305" s="49" t="str">
        <f>TEXT(3,"00")</f>
        <v>03</v>
      </c>
      <c r="B1305" s="27">
        <v>10033</v>
      </c>
      <c r="C1305" s="25" t="str">
        <f t="shared" si="105"/>
        <v>0000000</v>
      </c>
      <c r="D1305" s="26" t="s">
        <v>3663</v>
      </c>
      <c r="E1305" s="25" t="s">
        <v>171</v>
      </c>
      <c r="F1305" s="25" t="s">
        <v>172</v>
      </c>
      <c r="G1305" s="59" t="s">
        <v>172</v>
      </c>
      <c r="H1305" s="60">
        <v>0</v>
      </c>
      <c r="I1305" s="60">
        <v>0</v>
      </c>
      <c r="J1305" s="60">
        <v>0</v>
      </c>
      <c r="K1305" s="60">
        <v>0</v>
      </c>
      <c r="L1305" s="60">
        <v>0</v>
      </c>
      <c r="M1305" s="60">
        <v>0</v>
      </c>
      <c r="N1305" s="60">
        <v>0</v>
      </c>
      <c r="O1305" s="60">
        <v>0</v>
      </c>
      <c r="P1305" s="60">
        <v>0</v>
      </c>
      <c r="Q1305" s="60">
        <v>0</v>
      </c>
      <c r="R1305" s="60">
        <v>0</v>
      </c>
      <c r="S1305" s="60">
        <v>0</v>
      </c>
      <c r="T1305" s="60">
        <v>3.28</v>
      </c>
      <c r="U1305" s="60">
        <v>1.82</v>
      </c>
      <c r="V1305" s="60">
        <v>2.4300000000000002</v>
      </c>
      <c r="W1305" s="60">
        <v>72.599999999999994</v>
      </c>
      <c r="X1305" s="60">
        <v>31.05</v>
      </c>
      <c r="Y1305" s="60">
        <v>184.64</v>
      </c>
      <c r="Z1305" s="60">
        <v>0</v>
      </c>
      <c r="AA1305" s="60">
        <v>0</v>
      </c>
      <c r="AB1305" s="60">
        <v>0</v>
      </c>
      <c r="AC1305" s="60">
        <v>0</v>
      </c>
      <c r="AD1305" s="60">
        <v>0</v>
      </c>
      <c r="AE1305" s="60">
        <v>0</v>
      </c>
      <c r="AF1305" s="60">
        <v>0</v>
      </c>
      <c r="AG1305" s="60">
        <v>0</v>
      </c>
      <c r="AH1305" s="60">
        <v>0</v>
      </c>
      <c r="AI1305" s="60">
        <v>75.88</v>
      </c>
      <c r="AJ1305" s="60">
        <v>32.869999999999997</v>
      </c>
      <c r="AK1305" s="60">
        <v>187.07</v>
      </c>
      <c r="AL1305" s="60">
        <v>0</v>
      </c>
      <c r="AM1305" s="60">
        <v>0</v>
      </c>
      <c r="AN1305" s="60">
        <v>0</v>
      </c>
      <c r="AO1305" s="60">
        <v>75.88</v>
      </c>
      <c r="AP1305" s="60">
        <v>32.869999999999997</v>
      </c>
      <c r="AQ1305" s="60">
        <v>187.07</v>
      </c>
      <c r="AR1305" s="61">
        <v>187.07</v>
      </c>
    </row>
    <row r="1306" spans="1:44" x14ac:dyDescent="0.35">
      <c r="A1306" s="49" t="str">
        <f>TEXT(3,"00")</f>
        <v>03</v>
      </c>
      <c r="B1306" s="27">
        <v>73981</v>
      </c>
      <c r="C1306" s="25" t="str">
        <f t="shared" si="105"/>
        <v>0000000</v>
      </c>
      <c r="D1306" s="26" t="s">
        <v>3663</v>
      </c>
      <c r="E1306" s="25" t="s">
        <v>173</v>
      </c>
      <c r="F1306" s="25" t="s">
        <v>172</v>
      </c>
      <c r="G1306" s="59" t="s">
        <v>174</v>
      </c>
      <c r="H1306" s="60">
        <v>3797.19</v>
      </c>
      <c r="I1306" s="60">
        <v>3720.07</v>
      </c>
      <c r="J1306" s="60">
        <v>3723.58</v>
      </c>
      <c r="K1306" s="60">
        <v>0</v>
      </c>
      <c r="L1306" s="60">
        <v>0</v>
      </c>
      <c r="M1306" s="60">
        <v>0</v>
      </c>
      <c r="N1306" s="60">
        <v>0</v>
      </c>
      <c r="O1306" s="60">
        <v>0</v>
      </c>
      <c r="P1306" s="60">
        <v>0</v>
      </c>
      <c r="Q1306" s="60">
        <v>0</v>
      </c>
      <c r="R1306" s="60">
        <v>0</v>
      </c>
      <c r="S1306" s="60">
        <v>0</v>
      </c>
      <c r="T1306" s="60">
        <v>0</v>
      </c>
      <c r="U1306" s="60">
        <v>0</v>
      </c>
      <c r="V1306" s="60">
        <v>0</v>
      </c>
      <c r="W1306" s="60">
        <v>0</v>
      </c>
      <c r="X1306" s="60">
        <v>0</v>
      </c>
      <c r="Y1306" s="60">
        <v>0</v>
      </c>
      <c r="Z1306" s="60">
        <v>0</v>
      </c>
      <c r="AA1306" s="60">
        <v>0</v>
      </c>
      <c r="AB1306" s="60">
        <v>0</v>
      </c>
      <c r="AC1306" s="60">
        <v>0</v>
      </c>
      <c r="AD1306" s="60">
        <v>0</v>
      </c>
      <c r="AE1306" s="60">
        <v>0</v>
      </c>
      <c r="AF1306" s="60">
        <v>0</v>
      </c>
      <c r="AG1306" s="60">
        <v>0</v>
      </c>
      <c r="AH1306" s="60">
        <v>0</v>
      </c>
      <c r="AI1306" s="60">
        <v>3797.19</v>
      </c>
      <c r="AJ1306" s="60">
        <v>3720.07</v>
      </c>
      <c r="AK1306" s="60">
        <v>3723.58</v>
      </c>
      <c r="AL1306" s="60">
        <v>0</v>
      </c>
      <c r="AM1306" s="60">
        <v>0</v>
      </c>
      <c r="AN1306" s="60">
        <v>0</v>
      </c>
      <c r="AO1306" s="60">
        <v>3797.19</v>
      </c>
      <c r="AP1306" s="60">
        <v>3720.07</v>
      </c>
      <c r="AQ1306" s="60">
        <v>3723.58</v>
      </c>
      <c r="AR1306" s="61">
        <v>3797.19</v>
      </c>
    </row>
    <row r="1307" spans="1:44" x14ac:dyDescent="0.35">
      <c r="A1307" s="49" t="str">
        <f t="shared" ref="A1307:A1312" si="107">TEXT(30,"00")</f>
        <v>30</v>
      </c>
      <c r="B1307" s="27">
        <v>10306</v>
      </c>
      <c r="C1307" s="25" t="str">
        <f t="shared" si="105"/>
        <v>0000000</v>
      </c>
      <c r="D1307" s="26" t="s">
        <v>3663</v>
      </c>
      <c r="E1307" s="25" t="s">
        <v>1492</v>
      </c>
      <c r="F1307" s="25" t="s">
        <v>1493</v>
      </c>
      <c r="G1307" s="59" t="s">
        <v>1493</v>
      </c>
      <c r="H1307" s="60">
        <v>0</v>
      </c>
      <c r="I1307" s="60">
        <v>0</v>
      </c>
      <c r="J1307" s="60">
        <v>0</v>
      </c>
      <c r="K1307" s="60">
        <v>0</v>
      </c>
      <c r="L1307" s="60">
        <v>0</v>
      </c>
      <c r="M1307" s="60">
        <v>0</v>
      </c>
      <c r="N1307" s="60">
        <v>0</v>
      </c>
      <c r="O1307" s="60">
        <v>0</v>
      </c>
      <c r="P1307" s="60">
        <v>0</v>
      </c>
      <c r="Q1307" s="60">
        <v>0</v>
      </c>
      <c r="R1307" s="60">
        <v>0</v>
      </c>
      <c r="S1307" s="60">
        <v>0</v>
      </c>
      <c r="T1307" s="60">
        <v>1282.67</v>
      </c>
      <c r="U1307" s="60">
        <v>867.08</v>
      </c>
      <c r="V1307" s="60">
        <v>2597.2800000000002</v>
      </c>
      <c r="W1307" s="60">
        <v>3194.69</v>
      </c>
      <c r="X1307" s="60">
        <v>3434.31</v>
      </c>
      <c r="Y1307" s="60">
        <v>3834.3</v>
      </c>
      <c r="Z1307" s="60">
        <v>0</v>
      </c>
      <c r="AA1307" s="60">
        <v>0</v>
      </c>
      <c r="AB1307" s="60">
        <v>0</v>
      </c>
      <c r="AC1307" s="60">
        <v>0</v>
      </c>
      <c r="AD1307" s="60">
        <v>0</v>
      </c>
      <c r="AE1307" s="60">
        <v>0</v>
      </c>
      <c r="AF1307" s="60">
        <v>0</v>
      </c>
      <c r="AG1307" s="60">
        <v>0</v>
      </c>
      <c r="AH1307" s="60">
        <v>0</v>
      </c>
      <c r="AI1307" s="60">
        <v>4477.3599999999997</v>
      </c>
      <c r="AJ1307" s="60">
        <v>4301.3900000000003</v>
      </c>
      <c r="AK1307" s="60">
        <v>6431.58</v>
      </c>
      <c r="AL1307" s="60">
        <v>0</v>
      </c>
      <c r="AM1307" s="60">
        <v>0</v>
      </c>
      <c r="AN1307" s="60">
        <v>0</v>
      </c>
      <c r="AO1307" s="60">
        <v>4477.3599999999997</v>
      </c>
      <c r="AP1307" s="60">
        <v>4301.3900000000003</v>
      </c>
      <c r="AQ1307" s="60">
        <v>6431.58</v>
      </c>
      <c r="AR1307" s="61">
        <v>6431.58</v>
      </c>
    </row>
    <row r="1308" spans="1:44" x14ac:dyDescent="0.35">
      <c r="A1308" s="49" t="str">
        <f t="shared" si="107"/>
        <v>30</v>
      </c>
      <c r="B1308" s="27">
        <v>66456</v>
      </c>
      <c r="C1308" s="25" t="str">
        <f t="shared" si="105"/>
        <v>0000000</v>
      </c>
      <c r="D1308" s="26" t="s">
        <v>3663</v>
      </c>
      <c r="E1308" s="25" t="s">
        <v>1545</v>
      </c>
      <c r="F1308" s="25" t="s">
        <v>1493</v>
      </c>
      <c r="G1308" s="59" t="s">
        <v>1546</v>
      </c>
      <c r="H1308" s="60">
        <v>3611.73</v>
      </c>
      <c r="I1308" s="60">
        <v>3695.86</v>
      </c>
      <c r="J1308" s="60">
        <v>4236.42</v>
      </c>
      <c r="K1308" s="60">
        <v>0</v>
      </c>
      <c r="L1308" s="60">
        <v>0</v>
      </c>
      <c r="M1308" s="60">
        <v>0</v>
      </c>
      <c r="N1308" s="60">
        <v>0</v>
      </c>
      <c r="O1308" s="60">
        <v>0</v>
      </c>
      <c r="P1308" s="60">
        <v>0</v>
      </c>
      <c r="Q1308" s="60">
        <v>0</v>
      </c>
      <c r="R1308" s="60">
        <v>0</v>
      </c>
      <c r="S1308" s="60">
        <v>0</v>
      </c>
      <c r="T1308" s="60">
        <v>0</v>
      </c>
      <c r="U1308" s="60">
        <v>0</v>
      </c>
      <c r="V1308" s="60">
        <v>0</v>
      </c>
      <c r="W1308" s="60">
        <v>0</v>
      </c>
      <c r="X1308" s="60">
        <v>0</v>
      </c>
      <c r="Y1308" s="60">
        <v>0</v>
      </c>
      <c r="Z1308" s="60">
        <v>0</v>
      </c>
      <c r="AA1308" s="60">
        <v>0</v>
      </c>
      <c r="AB1308" s="60">
        <v>0</v>
      </c>
      <c r="AC1308" s="60">
        <v>0</v>
      </c>
      <c r="AD1308" s="60">
        <v>0</v>
      </c>
      <c r="AE1308" s="60">
        <v>0</v>
      </c>
      <c r="AF1308" s="60">
        <v>0</v>
      </c>
      <c r="AG1308" s="60">
        <v>0</v>
      </c>
      <c r="AH1308" s="60">
        <v>0</v>
      </c>
      <c r="AI1308" s="60">
        <v>3611.73</v>
      </c>
      <c r="AJ1308" s="60">
        <v>3695.86</v>
      </c>
      <c r="AK1308" s="60">
        <v>4236.42</v>
      </c>
      <c r="AL1308" s="60">
        <v>0</v>
      </c>
      <c r="AM1308" s="60">
        <v>0</v>
      </c>
      <c r="AN1308" s="60">
        <v>0</v>
      </c>
      <c r="AO1308" s="60">
        <v>3611.73</v>
      </c>
      <c r="AP1308" s="60">
        <v>3695.86</v>
      </c>
      <c r="AQ1308" s="60">
        <v>4236.42</v>
      </c>
      <c r="AR1308" s="61">
        <v>4236.42</v>
      </c>
    </row>
    <row r="1309" spans="1:44" x14ac:dyDescent="0.35">
      <c r="A1309" s="49" t="str">
        <f t="shared" si="107"/>
        <v>30</v>
      </c>
      <c r="B1309" s="27">
        <v>66506</v>
      </c>
      <c r="C1309" s="25" t="str">
        <f t="shared" si="105"/>
        <v>0000000</v>
      </c>
      <c r="D1309" s="26" t="s">
        <v>3663</v>
      </c>
      <c r="E1309" s="25" t="s">
        <v>1569</v>
      </c>
      <c r="F1309" s="25" t="s">
        <v>1493</v>
      </c>
      <c r="G1309" s="59" t="s">
        <v>1570</v>
      </c>
      <c r="H1309" s="60">
        <v>11042.21</v>
      </c>
      <c r="I1309" s="60">
        <v>11135.59</v>
      </c>
      <c r="J1309" s="60">
        <v>12440.34</v>
      </c>
      <c r="K1309" s="60">
        <v>0</v>
      </c>
      <c r="L1309" s="60">
        <v>0</v>
      </c>
      <c r="M1309" s="60">
        <v>0</v>
      </c>
      <c r="N1309" s="60">
        <v>0</v>
      </c>
      <c r="O1309" s="60">
        <v>0</v>
      </c>
      <c r="P1309" s="60">
        <v>0</v>
      </c>
      <c r="Q1309" s="60">
        <v>0</v>
      </c>
      <c r="R1309" s="60">
        <v>0</v>
      </c>
      <c r="S1309" s="60">
        <v>0</v>
      </c>
      <c r="T1309" s="60">
        <v>0</v>
      </c>
      <c r="U1309" s="60">
        <v>0</v>
      </c>
      <c r="V1309" s="60">
        <v>0</v>
      </c>
      <c r="W1309" s="60">
        <v>0</v>
      </c>
      <c r="X1309" s="60">
        <v>0</v>
      </c>
      <c r="Y1309" s="60">
        <v>0</v>
      </c>
      <c r="Z1309" s="60">
        <v>0</v>
      </c>
      <c r="AA1309" s="60">
        <v>0</v>
      </c>
      <c r="AB1309" s="60">
        <v>0</v>
      </c>
      <c r="AC1309" s="60">
        <v>0</v>
      </c>
      <c r="AD1309" s="60">
        <v>0</v>
      </c>
      <c r="AE1309" s="60">
        <v>0</v>
      </c>
      <c r="AF1309" s="60">
        <v>0</v>
      </c>
      <c r="AG1309" s="60">
        <v>0</v>
      </c>
      <c r="AH1309" s="60">
        <v>0</v>
      </c>
      <c r="AI1309" s="60">
        <v>11042.21</v>
      </c>
      <c r="AJ1309" s="60">
        <v>11135.59</v>
      </c>
      <c r="AK1309" s="60">
        <v>12440.34</v>
      </c>
      <c r="AL1309" s="60">
        <v>0</v>
      </c>
      <c r="AM1309" s="60">
        <v>0</v>
      </c>
      <c r="AN1309" s="60">
        <v>0</v>
      </c>
      <c r="AO1309" s="60">
        <v>11042.21</v>
      </c>
      <c r="AP1309" s="60">
        <v>11135.59</v>
      </c>
      <c r="AQ1309" s="60">
        <v>12440.34</v>
      </c>
      <c r="AR1309" s="61">
        <v>12440.34</v>
      </c>
    </row>
    <row r="1310" spans="1:44" x14ac:dyDescent="0.35">
      <c r="A1310" s="49" t="str">
        <f t="shared" si="107"/>
        <v>30</v>
      </c>
      <c r="B1310" s="27">
        <v>66563</v>
      </c>
      <c r="C1310" s="25" t="str">
        <f t="shared" si="105"/>
        <v>0000000</v>
      </c>
      <c r="D1310" s="26" t="s">
        <v>3663</v>
      </c>
      <c r="E1310" s="25" t="s">
        <v>1583</v>
      </c>
      <c r="F1310" s="25" t="s">
        <v>1493</v>
      </c>
      <c r="G1310" s="59" t="s">
        <v>1584</v>
      </c>
      <c r="H1310" s="60">
        <v>3985.1</v>
      </c>
      <c r="I1310" s="60">
        <v>4027.93</v>
      </c>
      <c r="J1310" s="60">
        <v>4449.59</v>
      </c>
      <c r="K1310" s="60">
        <v>0</v>
      </c>
      <c r="L1310" s="60">
        <v>0</v>
      </c>
      <c r="M1310" s="60">
        <v>0</v>
      </c>
      <c r="N1310" s="60">
        <v>0</v>
      </c>
      <c r="O1310" s="60">
        <v>0</v>
      </c>
      <c r="P1310" s="60">
        <v>0</v>
      </c>
      <c r="Q1310" s="60">
        <v>0</v>
      </c>
      <c r="R1310" s="60">
        <v>0</v>
      </c>
      <c r="S1310" s="60">
        <v>0</v>
      </c>
      <c r="T1310" s="60">
        <v>0</v>
      </c>
      <c r="U1310" s="60">
        <v>0</v>
      </c>
      <c r="V1310" s="60">
        <v>0</v>
      </c>
      <c r="W1310" s="60">
        <v>0</v>
      </c>
      <c r="X1310" s="60">
        <v>0</v>
      </c>
      <c r="Y1310" s="60">
        <v>0</v>
      </c>
      <c r="Z1310" s="60">
        <v>0</v>
      </c>
      <c r="AA1310" s="60">
        <v>0</v>
      </c>
      <c r="AB1310" s="60">
        <v>0</v>
      </c>
      <c r="AC1310" s="60">
        <v>0</v>
      </c>
      <c r="AD1310" s="60">
        <v>0</v>
      </c>
      <c r="AE1310" s="60">
        <v>0</v>
      </c>
      <c r="AF1310" s="60">
        <v>0</v>
      </c>
      <c r="AG1310" s="60">
        <v>0</v>
      </c>
      <c r="AH1310" s="60">
        <v>0</v>
      </c>
      <c r="AI1310" s="60">
        <v>3985.1</v>
      </c>
      <c r="AJ1310" s="60">
        <v>4027.93</v>
      </c>
      <c r="AK1310" s="60">
        <v>4449.59</v>
      </c>
      <c r="AL1310" s="60">
        <v>0</v>
      </c>
      <c r="AM1310" s="60">
        <v>0</v>
      </c>
      <c r="AN1310" s="60">
        <v>0</v>
      </c>
      <c r="AO1310" s="60">
        <v>3985.1</v>
      </c>
      <c r="AP1310" s="60">
        <v>4027.93</v>
      </c>
      <c r="AQ1310" s="60">
        <v>4449.59</v>
      </c>
      <c r="AR1310" s="61">
        <v>4449.59</v>
      </c>
    </row>
    <row r="1311" spans="1:44" x14ac:dyDescent="0.35">
      <c r="A1311" s="49" t="str">
        <f t="shared" si="107"/>
        <v>30</v>
      </c>
      <c r="B1311" s="27">
        <v>66514</v>
      </c>
      <c r="C1311" s="25" t="str">
        <f t="shared" si="105"/>
        <v>0000000</v>
      </c>
      <c r="D1311" s="26" t="s">
        <v>3663</v>
      </c>
      <c r="E1311" s="25" t="s">
        <v>1571</v>
      </c>
      <c r="F1311" s="25" t="s">
        <v>1493</v>
      </c>
      <c r="G1311" s="59" t="s">
        <v>1572</v>
      </c>
      <c r="H1311" s="60">
        <v>12353.85</v>
      </c>
      <c r="I1311" s="60">
        <v>12502.56</v>
      </c>
      <c r="J1311" s="60">
        <v>13003.87</v>
      </c>
      <c r="K1311" s="60">
        <v>0</v>
      </c>
      <c r="L1311" s="60">
        <v>0</v>
      </c>
      <c r="M1311" s="60">
        <v>0</v>
      </c>
      <c r="N1311" s="60">
        <v>0</v>
      </c>
      <c r="O1311" s="60">
        <v>0</v>
      </c>
      <c r="P1311" s="60">
        <v>0</v>
      </c>
      <c r="Q1311" s="60">
        <v>0</v>
      </c>
      <c r="R1311" s="60">
        <v>0</v>
      </c>
      <c r="S1311" s="60">
        <v>0</v>
      </c>
      <c r="T1311" s="60">
        <v>0</v>
      </c>
      <c r="U1311" s="60">
        <v>0</v>
      </c>
      <c r="V1311" s="60">
        <v>0</v>
      </c>
      <c r="W1311" s="60">
        <v>0</v>
      </c>
      <c r="X1311" s="60">
        <v>0</v>
      </c>
      <c r="Y1311" s="60">
        <v>0</v>
      </c>
      <c r="Z1311" s="60">
        <v>0</v>
      </c>
      <c r="AA1311" s="60">
        <v>0</v>
      </c>
      <c r="AB1311" s="60">
        <v>0</v>
      </c>
      <c r="AC1311" s="60">
        <v>0</v>
      </c>
      <c r="AD1311" s="60">
        <v>0</v>
      </c>
      <c r="AE1311" s="60">
        <v>0</v>
      </c>
      <c r="AF1311" s="60">
        <v>0</v>
      </c>
      <c r="AG1311" s="60">
        <v>0</v>
      </c>
      <c r="AH1311" s="60">
        <v>0</v>
      </c>
      <c r="AI1311" s="60">
        <v>12353.85</v>
      </c>
      <c r="AJ1311" s="60">
        <v>12502.56</v>
      </c>
      <c r="AK1311" s="60">
        <v>13003.87</v>
      </c>
      <c r="AL1311" s="60">
        <v>0</v>
      </c>
      <c r="AM1311" s="60">
        <v>0</v>
      </c>
      <c r="AN1311" s="60">
        <v>0</v>
      </c>
      <c r="AO1311" s="60">
        <v>12353.85</v>
      </c>
      <c r="AP1311" s="60">
        <v>12502.56</v>
      </c>
      <c r="AQ1311" s="60">
        <v>13003.87</v>
      </c>
      <c r="AR1311" s="61">
        <v>13003.87</v>
      </c>
    </row>
    <row r="1312" spans="1:44" x14ac:dyDescent="0.35">
      <c r="A1312" s="49" t="str">
        <f t="shared" si="107"/>
        <v>30</v>
      </c>
      <c r="B1312" s="27">
        <v>64766</v>
      </c>
      <c r="C1312" s="25" t="str">
        <f t="shared" si="105"/>
        <v>0000000</v>
      </c>
      <c r="D1312" s="26" t="s">
        <v>3663</v>
      </c>
      <c r="E1312" s="25" t="s">
        <v>1531</v>
      </c>
      <c r="F1312" s="25" t="s">
        <v>1493</v>
      </c>
      <c r="G1312" s="59" t="s">
        <v>1532</v>
      </c>
      <c r="H1312" s="60">
        <v>2829.47</v>
      </c>
      <c r="I1312" s="60">
        <v>2873.7</v>
      </c>
      <c r="J1312" s="60">
        <v>3056.49</v>
      </c>
      <c r="K1312" s="60">
        <v>0</v>
      </c>
      <c r="L1312" s="60">
        <v>0</v>
      </c>
      <c r="M1312" s="60">
        <v>0</v>
      </c>
      <c r="N1312" s="60">
        <v>0</v>
      </c>
      <c r="O1312" s="60">
        <v>0</v>
      </c>
      <c r="P1312" s="60">
        <v>0</v>
      </c>
      <c r="Q1312" s="60">
        <v>0</v>
      </c>
      <c r="R1312" s="60">
        <v>0</v>
      </c>
      <c r="S1312" s="60">
        <v>0</v>
      </c>
      <c r="T1312" s="60">
        <v>0</v>
      </c>
      <c r="U1312" s="60">
        <v>0</v>
      </c>
      <c r="V1312" s="60">
        <v>0</v>
      </c>
      <c r="W1312" s="60">
        <v>0</v>
      </c>
      <c r="X1312" s="60">
        <v>0</v>
      </c>
      <c r="Y1312" s="60">
        <v>0</v>
      </c>
      <c r="Z1312" s="60">
        <v>0</v>
      </c>
      <c r="AA1312" s="60">
        <v>0</v>
      </c>
      <c r="AB1312" s="60">
        <v>0</v>
      </c>
      <c r="AC1312" s="60">
        <v>0</v>
      </c>
      <c r="AD1312" s="60">
        <v>0</v>
      </c>
      <c r="AE1312" s="60">
        <v>0</v>
      </c>
      <c r="AF1312" s="60">
        <v>0</v>
      </c>
      <c r="AG1312" s="60">
        <v>0</v>
      </c>
      <c r="AH1312" s="60">
        <v>0</v>
      </c>
      <c r="AI1312" s="60">
        <v>2829.47</v>
      </c>
      <c r="AJ1312" s="60">
        <v>2873.7</v>
      </c>
      <c r="AK1312" s="60">
        <v>3056.49</v>
      </c>
      <c r="AL1312" s="60">
        <v>0</v>
      </c>
      <c r="AM1312" s="60">
        <v>0</v>
      </c>
      <c r="AN1312" s="60">
        <v>0</v>
      </c>
      <c r="AO1312" s="60">
        <v>2829.47</v>
      </c>
      <c r="AP1312" s="60">
        <v>2873.7</v>
      </c>
      <c r="AQ1312" s="60">
        <v>3056.49</v>
      </c>
      <c r="AR1312" s="61">
        <v>3056.49</v>
      </c>
    </row>
    <row r="1313" spans="1:44" x14ac:dyDescent="0.35">
      <c r="A1313" s="49" t="str">
        <f>TEXT(33,"00")</f>
        <v>33</v>
      </c>
      <c r="B1313" s="27">
        <v>67124</v>
      </c>
      <c r="C1313" s="25" t="str">
        <f t="shared" si="105"/>
        <v>0000000</v>
      </c>
      <c r="D1313" s="26" t="s">
        <v>3663</v>
      </c>
      <c r="E1313" s="25" t="s">
        <v>1745</v>
      </c>
      <c r="F1313" s="25" t="s">
        <v>1746</v>
      </c>
      <c r="G1313" s="59" t="s">
        <v>1746</v>
      </c>
      <c r="H1313" s="60">
        <v>28691.22</v>
      </c>
      <c r="I1313" s="60">
        <v>28539.29</v>
      </c>
      <c r="J1313" s="60">
        <v>30379.72</v>
      </c>
      <c r="K1313" s="60">
        <v>0</v>
      </c>
      <c r="L1313" s="60">
        <v>0</v>
      </c>
      <c r="M1313" s="60">
        <v>0</v>
      </c>
      <c r="N1313" s="60">
        <v>0</v>
      </c>
      <c r="O1313" s="60">
        <v>0</v>
      </c>
      <c r="P1313" s="60">
        <v>0</v>
      </c>
      <c r="Q1313" s="60">
        <v>0</v>
      </c>
      <c r="R1313" s="60">
        <v>0</v>
      </c>
      <c r="S1313" s="60">
        <v>0</v>
      </c>
      <c r="T1313" s="60">
        <v>0</v>
      </c>
      <c r="U1313" s="60">
        <v>0</v>
      </c>
      <c r="V1313" s="60">
        <v>0</v>
      </c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0">
        <v>0</v>
      </c>
      <c r="AE1313" s="60">
        <v>12.31</v>
      </c>
      <c r="AF1313" s="60">
        <v>0</v>
      </c>
      <c r="AG1313" s="60">
        <v>0</v>
      </c>
      <c r="AH1313" s="60">
        <v>0</v>
      </c>
      <c r="AI1313" s="60">
        <v>28691.22</v>
      </c>
      <c r="AJ1313" s="60">
        <v>28539.29</v>
      </c>
      <c r="AK1313" s="60">
        <v>30392.03</v>
      </c>
      <c r="AL1313" s="60">
        <v>0</v>
      </c>
      <c r="AM1313" s="60">
        <v>0</v>
      </c>
      <c r="AN1313" s="60">
        <v>0</v>
      </c>
      <c r="AO1313" s="60">
        <v>28691.22</v>
      </c>
      <c r="AP1313" s="60">
        <v>28539.29</v>
      </c>
      <c r="AQ1313" s="60">
        <v>30392.03</v>
      </c>
      <c r="AR1313" s="61">
        <v>30392.03</v>
      </c>
    </row>
    <row r="1314" spans="1:44" x14ac:dyDescent="0.35">
      <c r="A1314" s="49" t="str">
        <f t="shared" ref="A1314:A1346" si="108">TEXT(43,"00")</f>
        <v>43</v>
      </c>
      <c r="B1314" s="27">
        <v>10439</v>
      </c>
      <c r="C1314" s="25" t="str">
        <f t="shared" si="105"/>
        <v>0000000</v>
      </c>
      <c r="D1314" s="26" t="s">
        <v>3663</v>
      </c>
      <c r="E1314" s="25" t="s">
        <v>2685</v>
      </c>
      <c r="F1314" s="25" t="s">
        <v>2686</v>
      </c>
      <c r="G1314" s="59" t="s">
        <v>2686</v>
      </c>
      <c r="H1314" s="60">
        <v>0</v>
      </c>
      <c r="I1314" s="60">
        <v>0</v>
      </c>
      <c r="J1314" s="60">
        <v>0</v>
      </c>
      <c r="K1314" s="60">
        <v>0</v>
      </c>
      <c r="L1314" s="60">
        <v>0</v>
      </c>
      <c r="M1314" s="60">
        <v>0</v>
      </c>
      <c r="N1314" s="60">
        <v>0</v>
      </c>
      <c r="O1314" s="60">
        <v>0</v>
      </c>
      <c r="P1314" s="60">
        <v>0</v>
      </c>
      <c r="Q1314" s="60">
        <v>0</v>
      </c>
      <c r="R1314" s="60">
        <v>0</v>
      </c>
      <c r="S1314" s="60">
        <v>0</v>
      </c>
      <c r="T1314" s="60">
        <v>14.34</v>
      </c>
      <c r="U1314" s="60">
        <v>10.59</v>
      </c>
      <c r="V1314" s="60">
        <v>31.07</v>
      </c>
      <c r="W1314" s="60">
        <v>147.51</v>
      </c>
      <c r="X1314" s="60">
        <v>122.78</v>
      </c>
      <c r="Y1314" s="60">
        <v>151.63999999999999</v>
      </c>
      <c r="Z1314" s="60">
        <v>0</v>
      </c>
      <c r="AA1314" s="60">
        <v>0</v>
      </c>
      <c r="AB1314" s="60">
        <v>0</v>
      </c>
      <c r="AC1314" s="60">
        <v>505.97</v>
      </c>
      <c r="AD1314" s="60">
        <v>511.96</v>
      </c>
      <c r="AE1314" s="60">
        <v>544.19000000000005</v>
      </c>
      <c r="AF1314" s="60">
        <v>0</v>
      </c>
      <c r="AG1314" s="60">
        <v>0</v>
      </c>
      <c r="AH1314" s="60">
        <v>0</v>
      </c>
      <c r="AI1314" s="60">
        <v>667.82</v>
      </c>
      <c r="AJ1314" s="60">
        <v>645.33000000000004</v>
      </c>
      <c r="AK1314" s="60">
        <v>726.9</v>
      </c>
      <c r="AL1314" s="60">
        <v>0</v>
      </c>
      <c r="AM1314" s="60">
        <v>0</v>
      </c>
      <c r="AN1314" s="60">
        <v>0</v>
      </c>
      <c r="AO1314" s="60">
        <v>667.82</v>
      </c>
      <c r="AP1314" s="60">
        <v>645.33000000000004</v>
      </c>
      <c r="AQ1314" s="60">
        <v>726.9</v>
      </c>
      <c r="AR1314" s="61">
        <v>726.9</v>
      </c>
    </row>
    <row r="1315" spans="1:44" x14ac:dyDescent="0.35">
      <c r="A1315" s="49" t="str">
        <f t="shared" si="108"/>
        <v>43</v>
      </c>
      <c r="B1315" s="27">
        <v>69385</v>
      </c>
      <c r="C1315" s="25" t="str">
        <f t="shared" si="105"/>
        <v>0000000</v>
      </c>
      <c r="D1315" s="26" t="s">
        <v>3663</v>
      </c>
      <c r="E1315" s="25" t="s">
        <v>2744</v>
      </c>
      <c r="F1315" s="25" t="s">
        <v>2686</v>
      </c>
      <c r="G1315" s="59" t="s">
        <v>2745</v>
      </c>
      <c r="H1315" s="60">
        <v>935.85</v>
      </c>
      <c r="I1315" s="60">
        <v>907.21</v>
      </c>
      <c r="J1315" s="60">
        <v>936.11</v>
      </c>
      <c r="K1315" s="60">
        <v>0</v>
      </c>
      <c r="L1315" s="60">
        <v>0</v>
      </c>
      <c r="M1315" s="60">
        <v>0</v>
      </c>
      <c r="N1315" s="60">
        <v>0</v>
      </c>
      <c r="O1315" s="60">
        <v>0</v>
      </c>
      <c r="P1315" s="60">
        <v>0</v>
      </c>
      <c r="Q1315" s="60">
        <v>0</v>
      </c>
      <c r="R1315" s="60">
        <v>0</v>
      </c>
      <c r="S1315" s="60">
        <v>0</v>
      </c>
      <c r="T1315" s="60">
        <v>0</v>
      </c>
      <c r="U1315" s="60">
        <v>0</v>
      </c>
      <c r="V1315" s="60">
        <v>0</v>
      </c>
      <c r="W1315" s="60">
        <v>0</v>
      </c>
      <c r="X1315" s="60">
        <v>0</v>
      </c>
      <c r="Y1315" s="60">
        <v>0</v>
      </c>
      <c r="Z1315" s="60">
        <v>0</v>
      </c>
      <c r="AA1315" s="60">
        <v>0</v>
      </c>
      <c r="AB1315" s="60">
        <v>0</v>
      </c>
      <c r="AC1315" s="60">
        <v>1838.95</v>
      </c>
      <c r="AD1315" s="60">
        <v>1930.56</v>
      </c>
      <c r="AE1315" s="60">
        <v>2334.77</v>
      </c>
      <c r="AF1315" s="60">
        <v>0</v>
      </c>
      <c r="AG1315" s="60">
        <v>0</v>
      </c>
      <c r="AH1315" s="60">
        <v>0</v>
      </c>
      <c r="AI1315" s="60">
        <v>2774.8</v>
      </c>
      <c r="AJ1315" s="60">
        <v>2837.77</v>
      </c>
      <c r="AK1315" s="60">
        <v>3270.88</v>
      </c>
      <c r="AL1315" s="60">
        <v>0</v>
      </c>
      <c r="AM1315" s="60">
        <v>0</v>
      </c>
      <c r="AN1315" s="60">
        <v>0</v>
      </c>
      <c r="AO1315" s="60">
        <v>2774.8</v>
      </c>
      <c r="AP1315" s="60">
        <v>2837.77</v>
      </c>
      <c r="AQ1315" s="60">
        <v>3270.88</v>
      </c>
      <c r="AR1315" s="61">
        <v>3270.88</v>
      </c>
    </row>
    <row r="1316" spans="1:44" x14ac:dyDescent="0.35">
      <c r="A1316" s="49" t="str">
        <f t="shared" si="108"/>
        <v>43</v>
      </c>
      <c r="B1316" s="27">
        <v>69393</v>
      </c>
      <c r="C1316" s="25" t="str">
        <f t="shared" si="105"/>
        <v>0000000</v>
      </c>
      <c r="D1316" s="26" t="s">
        <v>3663</v>
      </c>
      <c r="E1316" s="25" t="s">
        <v>2746</v>
      </c>
      <c r="F1316" s="25" t="s">
        <v>2686</v>
      </c>
      <c r="G1316" s="59" t="s">
        <v>2747</v>
      </c>
      <c r="H1316" s="60">
        <v>347.73</v>
      </c>
      <c r="I1316" s="60">
        <v>366.44</v>
      </c>
      <c r="J1316" s="60">
        <v>427.18</v>
      </c>
      <c r="K1316" s="60">
        <v>0</v>
      </c>
      <c r="L1316" s="60">
        <v>0</v>
      </c>
      <c r="M1316" s="60">
        <v>0</v>
      </c>
      <c r="N1316" s="60">
        <v>0</v>
      </c>
      <c r="O1316" s="60">
        <v>0</v>
      </c>
      <c r="P1316" s="60">
        <v>0</v>
      </c>
      <c r="Q1316" s="60">
        <v>0</v>
      </c>
      <c r="R1316" s="60">
        <v>0</v>
      </c>
      <c r="S1316" s="60">
        <v>0</v>
      </c>
      <c r="T1316" s="60">
        <v>0</v>
      </c>
      <c r="U1316" s="60">
        <v>0</v>
      </c>
      <c r="V1316" s="60">
        <v>0</v>
      </c>
      <c r="W1316" s="60">
        <v>0</v>
      </c>
      <c r="X1316" s="60">
        <v>0</v>
      </c>
      <c r="Y1316" s="60">
        <v>0</v>
      </c>
      <c r="Z1316" s="60">
        <v>0</v>
      </c>
      <c r="AA1316" s="60">
        <v>0</v>
      </c>
      <c r="AB1316" s="60">
        <v>0</v>
      </c>
      <c r="AC1316" s="60">
        <v>5516.75</v>
      </c>
      <c r="AD1316" s="60">
        <v>5477.45</v>
      </c>
      <c r="AE1316" s="60">
        <v>6302.47</v>
      </c>
      <c r="AF1316" s="60">
        <v>0</v>
      </c>
      <c r="AG1316" s="60">
        <v>0</v>
      </c>
      <c r="AH1316" s="60">
        <v>0</v>
      </c>
      <c r="AI1316" s="60">
        <v>5864.48</v>
      </c>
      <c r="AJ1316" s="60">
        <v>5843.89</v>
      </c>
      <c r="AK1316" s="60">
        <v>6729.65</v>
      </c>
      <c r="AL1316" s="60">
        <v>0</v>
      </c>
      <c r="AM1316" s="60">
        <v>0</v>
      </c>
      <c r="AN1316" s="60">
        <v>0</v>
      </c>
      <c r="AO1316" s="60">
        <v>5864.48</v>
      </c>
      <c r="AP1316" s="60">
        <v>5843.89</v>
      </c>
      <c r="AQ1316" s="60">
        <v>6729.65</v>
      </c>
      <c r="AR1316" s="61">
        <v>6729.65</v>
      </c>
    </row>
    <row r="1317" spans="1:44" x14ac:dyDescent="0.35">
      <c r="A1317" s="49" t="str">
        <f t="shared" si="108"/>
        <v>43</v>
      </c>
      <c r="B1317" s="27">
        <v>69401</v>
      </c>
      <c r="C1317" s="25" t="str">
        <f t="shared" si="105"/>
        <v>0000000</v>
      </c>
      <c r="D1317" s="26" t="s">
        <v>3663</v>
      </c>
      <c r="E1317" s="25" t="s">
        <v>2748</v>
      </c>
      <c r="F1317" s="25" t="s">
        <v>2686</v>
      </c>
      <c r="G1317" s="59" t="s">
        <v>2749</v>
      </c>
      <c r="H1317" s="60">
        <v>8014.13</v>
      </c>
      <c r="I1317" s="60">
        <v>7961.35</v>
      </c>
      <c r="J1317" s="60">
        <v>8204.64</v>
      </c>
      <c r="K1317" s="60">
        <v>0</v>
      </c>
      <c r="L1317" s="60">
        <v>0</v>
      </c>
      <c r="M1317" s="60">
        <v>0</v>
      </c>
      <c r="N1317" s="60">
        <v>0</v>
      </c>
      <c r="O1317" s="60">
        <v>0</v>
      </c>
      <c r="P1317" s="60">
        <v>0</v>
      </c>
      <c r="Q1317" s="60">
        <v>0</v>
      </c>
      <c r="R1317" s="60">
        <v>0</v>
      </c>
      <c r="S1317" s="60">
        <v>0</v>
      </c>
      <c r="T1317" s="60">
        <v>0</v>
      </c>
      <c r="U1317" s="60">
        <v>0</v>
      </c>
      <c r="V1317" s="60">
        <v>0</v>
      </c>
      <c r="W1317" s="60">
        <v>0</v>
      </c>
      <c r="X1317" s="60">
        <v>0</v>
      </c>
      <c r="Y1317" s="60">
        <v>0</v>
      </c>
      <c r="Z1317" s="60">
        <v>0</v>
      </c>
      <c r="AA1317" s="60">
        <v>0</v>
      </c>
      <c r="AB1317" s="60">
        <v>0</v>
      </c>
      <c r="AC1317" s="60">
        <v>0</v>
      </c>
      <c r="AD1317" s="60">
        <v>0</v>
      </c>
      <c r="AE1317" s="60">
        <v>0</v>
      </c>
      <c r="AF1317" s="60">
        <v>0</v>
      </c>
      <c r="AG1317" s="60">
        <v>0</v>
      </c>
      <c r="AH1317" s="60">
        <v>0</v>
      </c>
      <c r="AI1317" s="60">
        <v>8014.13</v>
      </c>
      <c r="AJ1317" s="60">
        <v>7961.35</v>
      </c>
      <c r="AK1317" s="60">
        <v>8204.64</v>
      </c>
      <c r="AL1317" s="60">
        <v>0</v>
      </c>
      <c r="AM1317" s="60">
        <v>0</v>
      </c>
      <c r="AN1317" s="60">
        <v>0</v>
      </c>
      <c r="AO1317" s="60">
        <v>8014.13</v>
      </c>
      <c r="AP1317" s="60">
        <v>7961.35</v>
      </c>
      <c r="AQ1317" s="60">
        <v>8204.64</v>
      </c>
      <c r="AR1317" s="61">
        <v>8204.64</v>
      </c>
    </row>
    <row r="1318" spans="1:44" x14ac:dyDescent="0.35">
      <c r="A1318" s="49" t="str">
        <f t="shared" si="108"/>
        <v>43</v>
      </c>
      <c r="B1318" s="27">
        <v>69500</v>
      </c>
      <c r="C1318" s="25" t="str">
        <f t="shared" si="105"/>
        <v>0000000</v>
      </c>
      <c r="D1318" s="26" t="s">
        <v>3663</v>
      </c>
      <c r="E1318" s="25" t="s">
        <v>2800</v>
      </c>
      <c r="F1318" s="25" t="s">
        <v>2686</v>
      </c>
      <c r="G1318" s="59" t="s">
        <v>2801</v>
      </c>
      <c r="H1318" s="60">
        <v>402.63</v>
      </c>
      <c r="I1318" s="60">
        <v>402.29</v>
      </c>
      <c r="J1318" s="60">
        <v>473.99</v>
      </c>
      <c r="K1318" s="60">
        <v>0</v>
      </c>
      <c r="L1318" s="60">
        <v>0</v>
      </c>
      <c r="M1318" s="60">
        <v>0</v>
      </c>
      <c r="N1318" s="60">
        <v>0</v>
      </c>
      <c r="O1318" s="60">
        <v>0</v>
      </c>
      <c r="P1318" s="60">
        <v>0</v>
      </c>
      <c r="Q1318" s="60">
        <v>0</v>
      </c>
      <c r="R1318" s="60">
        <v>0</v>
      </c>
      <c r="S1318" s="60">
        <v>0</v>
      </c>
      <c r="T1318" s="60">
        <v>0</v>
      </c>
      <c r="U1318" s="60">
        <v>0</v>
      </c>
      <c r="V1318" s="60">
        <v>0</v>
      </c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v>0</v>
      </c>
      <c r="AD1318" s="60">
        <v>0</v>
      </c>
      <c r="AE1318" s="60">
        <v>0</v>
      </c>
      <c r="AF1318" s="60">
        <v>0</v>
      </c>
      <c r="AG1318" s="60">
        <v>0</v>
      </c>
      <c r="AH1318" s="60">
        <v>0</v>
      </c>
      <c r="AI1318" s="60">
        <v>402.63</v>
      </c>
      <c r="AJ1318" s="60">
        <v>402.29</v>
      </c>
      <c r="AK1318" s="60">
        <v>473.99</v>
      </c>
      <c r="AL1318" s="60">
        <v>0</v>
      </c>
      <c r="AM1318" s="60">
        <v>0</v>
      </c>
      <c r="AN1318" s="60">
        <v>0</v>
      </c>
      <c r="AO1318" s="60">
        <v>402.63</v>
      </c>
      <c r="AP1318" s="60">
        <v>402.29</v>
      </c>
      <c r="AQ1318" s="60">
        <v>473.99</v>
      </c>
      <c r="AR1318" s="61">
        <v>473.99</v>
      </c>
    </row>
    <row r="1319" spans="1:44" x14ac:dyDescent="0.35">
      <c r="A1319" s="49" t="str">
        <f t="shared" si="108"/>
        <v>43</v>
      </c>
      <c r="B1319" s="27">
        <v>69534</v>
      </c>
      <c r="C1319" s="25" t="str">
        <f t="shared" si="105"/>
        <v>0000000</v>
      </c>
      <c r="D1319" s="26" t="s">
        <v>3663</v>
      </c>
      <c r="E1319" s="25" t="s">
        <v>2806</v>
      </c>
      <c r="F1319" s="25" t="s">
        <v>2686</v>
      </c>
      <c r="G1319" s="59" t="s">
        <v>2807</v>
      </c>
      <c r="H1319" s="60">
        <v>3068.1</v>
      </c>
      <c r="I1319" s="60">
        <v>3175.55</v>
      </c>
      <c r="J1319" s="60">
        <v>3422.45</v>
      </c>
      <c r="K1319" s="60">
        <v>0</v>
      </c>
      <c r="L1319" s="60">
        <v>0</v>
      </c>
      <c r="M1319" s="60">
        <v>0</v>
      </c>
      <c r="N1319" s="60">
        <v>0</v>
      </c>
      <c r="O1319" s="60">
        <v>0</v>
      </c>
      <c r="P1319" s="60">
        <v>0</v>
      </c>
      <c r="Q1319" s="60">
        <v>0</v>
      </c>
      <c r="R1319" s="60">
        <v>0</v>
      </c>
      <c r="S1319" s="60">
        <v>0</v>
      </c>
      <c r="T1319" s="60">
        <v>0</v>
      </c>
      <c r="U1319" s="60">
        <v>0</v>
      </c>
      <c r="V1319" s="60">
        <v>0</v>
      </c>
      <c r="W1319" s="60">
        <v>0</v>
      </c>
      <c r="X1319" s="60">
        <v>0</v>
      </c>
      <c r="Y1319" s="60">
        <v>0</v>
      </c>
      <c r="Z1319" s="60">
        <v>0</v>
      </c>
      <c r="AA1319" s="60">
        <v>0</v>
      </c>
      <c r="AB1319" s="60">
        <v>0</v>
      </c>
      <c r="AC1319" s="60">
        <v>0</v>
      </c>
      <c r="AD1319" s="60">
        <v>0</v>
      </c>
      <c r="AE1319" s="60">
        <v>0</v>
      </c>
      <c r="AF1319" s="60">
        <v>0</v>
      </c>
      <c r="AG1319" s="60">
        <v>0</v>
      </c>
      <c r="AH1319" s="60">
        <v>0</v>
      </c>
      <c r="AI1319" s="60">
        <v>3068.1</v>
      </c>
      <c r="AJ1319" s="60">
        <v>3175.55</v>
      </c>
      <c r="AK1319" s="60">
        <v>3422.45</v>
      </c>
      <c r="AL1319" s="60">
        <v>0</v>
      </c>
      <c r="AM1319" s="60">
        <v>0</v>
      </c>
      <c r="AN1319" s="60">
        <v>0</v>
      </c>
      <c r="AO1319" s="60">
        <v>3068.1</v>
      </c>
      <c r="AP1319" s="60">
        <v>3175.55</v>
      </c>
      <c r="AQ1319" s="60">
        <v>3422.45</v>
      </c>
      <c r="AR1319" s="61">
        <v>3422.45</v>
      </c>
    </row>
    <row r="1320" spans="1:44" x14ac:dyDescent="0.35">
      <c r="A1320" s="49" t="str">
        <f t="shared" si="108"/>
        <v>43</v>
      </c>
      <c r="B1320" s="27">
        <v>69526</v>
      </c>
      <c r="C1320" s="25" t="str">
        <f t="shared" si="105"/>
        <v>0000000</v>
      </c>
      <c r="D1320" s="26" t="s">
        <v>3663</v>
      </c>
      <c r="E1320" s="25" t="s">
        <v>2804</v>
      </c>
      <c r="F1320" s="25" t="s">
        <v>2686</v>
      </c>
      <c r="G1320" s="59" t="s">
        <v>2805</v>
      </c>
      <c r="H1320" s="60">
        <v>2505.65</v>
      </c>
      <c r="I1320" s="60">
        <v>2496.7399999999998</v>
      </c>
      <c r="J1320" s="60">
        <v>2882.84</v>
      </c>
      <c r="K1320" s="60">
        <v>0</v>
      </c>
      <c r="L1320" s="60">
        <v>0</v>
      </c>
      <c r="M1320" s="60">
        <v>0</v>
      </c>
      <c r="N1320" s="60">
        <v>0</v>
      </c>
      <c r="O1320" s="60">
        <v>0</v>
      </c>
      <c r="P1320" s="60">
        <v>0</v>
      </c>
      <c r="Q1320" s="60">
        <v>0</v>
      </c>
      <c r="R1320" s="60">
        <v>0</v>
      </c>
      <c r="S1320" s="60">
        <v>0</v>
      </c>
      <c r="T1320" s="60">
        <v>0</v>
      </c>
      <c r="U1320" s="60">
        <v>0</v>
      </c>
      <c r="V1320" s="60">
        <v>0</v>
      </c>
      <c r="W1320" s="60">
        <v>0</v>
      </c>
      <c r="X1320" s="60">
        <v>0</v>
      </c>
      <c r="Y1320" s="60">
        <v>0</v>
      </c>
      <c r="Z1320" s="60">
        <v>0</v>
      </c>
      <c r="AA1320" s="60">
        <v>0</v>
      </c>
      <c r="AB1320" s="60">
        <v>0</v>
      </c>
      <c r="AC1320" s="60">
        <v>0</v>
      </c>
      <c r="AD1320" s="60">
        <v>0</v>
      </c>
      <c r="AE1320" s="60">
        <v>0</v>
      </c>
      <c r="AF1320" s="60">
        <v>0</v>
      </c>
      <c r="AG1320" s="60">
        <v>0</v>
      </c>
      <c r="AH1320" s="60">
        <v>0</v>
      </c>
      <c r="AI1320" s="60">
        <v>2505.65</v>
      </c>
      <c r="AJ1320" s="60">
        <v>2496.7399999999998</v>
      </c>
      <c r="AK1320" s="60">
        <v>2882.84</v>
      </c>
      <c r="AL1320" s="60">
        <v>0</v>
      </c>
      <c r="AM1320" s="60">
        <v>0</v>
      </c>
      <c r="AN1320" s="60">
        <v>0</v>
      </c>
      <c r="AO1320" s="60">
        <v>2505.65</v>
      </c>
      <c r="AP1320" s="60">
        <v>2496.7399999999998</v>
      </c>
      <c r="AQ1320" s="60">
        <v>2882.84</v>
      </c>
      <c r="AR1320" s="61">
        <v>2882.84</v>
      </c>
    </row>
    <row r="1321" spans="1:44" x14ac:dyDescent="0.35">
      <c r="A1321" s="49" t="str">
        <f t="shared" si="108"/>
        <v>43</v>
      </c>
      <c r="B1321" s="27">
        <v>69542</v>
      </c>
      <c r="C1321" s="25" t="str">
        <f t="shared" si="105"/>
        <v>0000000</v>
      </c>
      <c r="D1321" s="26" t="s">
        <v>3663</v>
      </c>
      <c r="E1321" s="25" t="s">
        <v>2808</v>
      </c>
      <c r="F1321" s="25" t="s">
        <v>2686</v>
      </c>
      <c r="G1321" s="59" t="s">
        <v>2809</v>
      </c>
      <c r="H1321" s="60">
        <v>383.14</v>
      </c>
      <c r="I1321" s="60">
        <v>395.87</v>
      </c>
      <c r="J1321" s="60">
        <v>492.91</v>
      </c>
      <c r="K1321" s="60">
        <v>0</v>
      </c>
      <c r="L1321" s="60">
        <v>0</v>
      </c>
      <c r="M1321" s="60">
        <v>0</v>
      </c>
      <c r="N1321" s="60">
        <v>0</v>
      </c>
      <c r="O1321" s="60">
        <v>0</v>
      </c>
      <c r="P1321" s="60">
        <v>0</v>
      </c>
      <c r="Q1321" s="60">
        <v>0</v>
      </c>
      <c r="R1321" s="60">
        <v>0</v>
      </c>
      <c r="S1321" s="60">
        <v>0</v>
      </c>
      <c r="T1321" s="60">
        <v>0</v>
      </c>
      <c r="U1321" s="60">
        <v>0</v>
      </c>
      <c r="V1321" s="60">
        <v>0</v>
      </c>
      <c r="W1321" s="60">
        <v>0</v>
      </c>
      <c r="X1321" s="60">
        <v>0</v>
      </c>
      <c r="Y1321" s="60">
        <v>0</v>
      </c>
      <c r="Z1321" s="60">
        <v>0</v>
      </c>
      <c r="AA1321" s="60">
        <v>0</v>
      </c>
      <c r="AB1321" s="60">
        <v>0</v>
      </c>
      <c r="AC1321" s="60">
        <v>0</v>
      </c>
      <c r="AD1321" s="60">
        <v>0</v>
      </c>
      <c r="AE1321" s="60">
        <v>0</v>
      </c>
      <c r="AF1321" s="60">
        <v>0</v>
      </c>
      <c r="AG1321" s="60">
        <v>0</v>
      </c>
      <c r="AH1321" s="60">
        <v>0</v>
      </c>
      <c r="AI1321" s="60">
        <v>383.14</v>
      </c>
      <c r="AJ1321" s="60">
        <v>395.87</v>
      </c>
      <c r="AK1321" s="60">
        <v>492.91</v>
      </c>
      <c r="AL1321" s="60">
        <v>0</v>
      </c>
      <c r="AM1321" s="60">
        <v>0</v>
      </c>
      <c r="AN1321" s="60">
        <v>0</v>
      </c>
      <c r="AO1321" s="60">
        <v>383.14</v>
      </c>
      <c r="AP1321" s="60">
        <v>395.87</v>
      </c>
      <c r="AQ1321" s="60">
        <v>492.91</v>
      </c>
      <c r="AR1321" s="61">
        <v>492.91</v>
      </c>
    </row>
    <row r="1322" spans="1:44" x14ac:dyDescent="0.35">
      <c r="A1322" s="49" t="str">
        <f t="shared" si="108"/>
        <v>43</v>
      </c>
      <c r="B1322" s="27">
        <v>69575</v>
      </c>
      <c r="C1322" s="25" t="str">
        <f t="shared" si="105"/>
        <v>0000000</v>
      </c>
      <c r="D1322" s="26" t="s">
        <v>3663</v>
      </c>
      <c r="E1322" s="25" t="s">
        <v>2810</v>
      </c>
      <c r="F1322" s="25" t="s">
        <v>2686</v>
      </c>
      <c r="G1322" s="59" t="s">
        <v>2811</v>
      </c>
      <c r="H1322" s="60">
        <v>3710.28</v>
      </c>
      <c r="I1322" s="60">
        <v>3810.19</v>
      </c>
      <c r="J1322" s="60">
        <v>4555.1400000000003</v>
      </c>
      <c r="K1322" s="60">
        <v>0</v>
      </c>
      <c r="L1322" s="60">
        <v>0</v>
      </c>
      <c r="M1322" s="60">
        <v>0</v>
      </c>
      <c r="N1322" s="60">
        <v>0</v>
      </c>
      <c r="O1322" s="60">
        <v>0</v>
      </c>
      <c r="P1322" s="60">
        <v>0</v>
      </c>
      <c r="Q1322" s="60">
        <v>0</v>
      </c>
      <c r="R1322" s="60">
        <v>0</v>
      </c>
      <c r="S1322" s="60">
        <v>0</v>
      </c>
      <c r="T1322" s="60">
        <v>0</v>
      </c>
      <c r="U1322" s="60">
        <v>0</v>
      </c>
      <c r="V1322" s="60">
        <v>0</v>
      </c>
      <c r="W1322" s="60">
        <v>0</v>
      </c>
      <c r="X1322" s="60">
        <v>0</v>
      </c>
      <c r="Y1322" s="60">
        <v>0</v>
      </c>
      <c r="Z1322" s="60">
        <v>0</v>
      </c>
      <c r="AA1322" s="60">
        <v>0</v>
      </c>
      <c r="AB1322" s="60">
        <v>0</v>
      </c>
      <c r="AC1322" s="60">
        <v>0</v>
      </c>
      <c r="AD1322" s="60">
        <v>0</v>
      </c>
      <c r="AE1322" s="60">
        <v>0</v>
      </c>
      <c r="AF1322" s="60">
        <v>0</v>
      </c>
      <c r="AG1322" s="60">
        <v>0</v>
      </c>
      <c r="AH1322" s="60">
        <v>0</v>
      </c>
      <c r="AI1322" s="60">
        <v>3710.28</v>
      </c>
      <c r="AJ1322" s="60">
        <v>3810.19</v>
      </c>
      <c r="AK1322" s="60">
        <v>4555.1400000000003</v>
      </c>
      <c r="AL1322" s="60">
        <v>0</v>
      </c>
      <c r="AM1322" s="60">
        <v>0</v>
      </c>
      <c r="AN1322" s="60">
        <v>0</v>
      </c>
      <c r="AO1322" s="60">
        <v>3710.28</v>
      </c>
      <c r="AP1322" s="60">
        <v>3810.19</v>
      </c>
      <c r="AQ1322" s="60">
        <v>4555.1400000000003</v>
      </c>
      <c r="AR1322" s="61">
        <v>4555.1400000000003</v>
      </c>
    </row>
    <row r="1323" spans="1:44" x14ac:dyDescent="0.35">
      <c r="A1323" s="49" t="str">
        <f t="shared" si="108"/>
        <v>43</v>
      </c>
      <c r="B1323" s="27">
        <v>69682</v>
      </c>
      <c r="C1323" s="25" t="str">
        <f t="shared" si="105"/>
        <v>0000000</v>
      </c>
      <c r="D1323" s="26" t="s">
        <v>3663</v>
      </c>
      <c r="E1323" s="25" t="s">
        <v>2838</v>
      </c>
      <c r="F1323" s="25" t="s">
        <v>2686</v>
      </c>
      <c r="G1323" s="59" t="s">
        <v>2839</v>
      </c>
      <c r="H1323" s="60">
        <v>1571.81</v>
      </c>
      <c r="I1323" s="60">
        <v>1568.93</v>
      </c>
      <c r="J1323" s="60">
        <v>1674.24</v>
      </c>
      <c r="K1323" s="60">
        <v>0</v>
      </c>
      <c r="L1323" s="60">
        <v>0</v>
      </c>
      <c r="M1323" s="60">
        <v>0</v>
      </c>
      <c r="N1323" s="60">
        <v>0</v>
      </c>
      <c r="O1323" s="60">
        <v>0</v>
      </c>
      <c r="P1323" s="60">
        <v>0</v>
      </c>
      <c r="Q1323" s="60">
        <v>0</v>
      </c>
      <c r="R1323" s="60">
        <v>0</v>
      </c>
      <c r="S1323" s="60">
        <v>0</v>
      </c>
      <c r="T1323" s="60">
        <v>0</v>
      </c>
      <c r="U1323" s="60">
        <v>0</v>
      </c>
      <c r="V1323" s="60">
        <v>0</v>
      </c>
      <c r="W1323" s="60">
        <v>0</v>
      </c>
      <c r="X1323" s="60">
        <v>0</v>
      </c>
      <c r="Y1323" s="60">
        <v>0</v>
      </c>
      <c r="Z1323" s="60">
        <v>0</v>
      </c>
      <c r="AA1323" s="60">
        <v>0</v>
      </c>
      <c r="AB1323" s="60">
        <v>0</v>
      </c>
      <c r="AC1323" s="60">
        <v>0</v>
      </c>
      <c r="AD1323" s="60">
        <v>0</v>
      </c>
      <c r="AE1323" s="60">
        <v>0</v>
      </c>
      <c r="AF1323" s="60">
        <v>0</v>
      </c>
      <c r="AG1323" s="60">
        <v>0</v>
      </c>
      <c r="AH1323" s="60">
        <v>0</v>
      </c>
      <c r="AI1323" s="60">
        <v>1571.81</v>
      </c>
      <c r="AJ1323" s="60">
        <v>1568.93</v>
      </c>
      <c r="AK1323" s="60">
        <v>1674.24</v>
      </c>
      <c r="AL1323" s="60">
        <v>0</v>
      </c>
      <c r="AM1323" s="60">
        <v>0</v>
      </c>
      <c r="AN1323" s="60">
        <v>0</v>
      </c>
      <c r="AO1323" s="60">
        <v>1571.81</v>
      </c>
      <c r="AP1323" s="60">
        <v>1568.93</v>
      </c>
      <c r="AQ1323" s="60">
        <v>1674.24</v>
      </c>
      <c r="AR1323" s="61">
        <v>1674.24</v>
      </c>
    </row>
    <row r="1324" spans="1:44" x14ac:dyDescent="0.35">
      <c r="A1324" s="49" t="str">
        <f t="shared" si="108"/>
        <v>43</v>
      </c>
      <c r="B1324" s="27">
        <v>69708</v>
      </c>
      <c r="C1324" s="25" t="str">
        <f t="shared" si="105"/>
        <v>0000000</v>
      </c>
      <c r="D1324" s="26" t="s">
        <v>3663</v>
      </c>
      <c r="E1324" s="25" t="s">
        <v>2842</v>
      </c>
      <c r="F1324" s="25" t="s">
        <v>2686</v>
      </c>
      <c r="G1324" s="59" t="s">
        <v>2843</v>
      </c>
      <c r="H1324" s="60">
        <v>5129.33</v>
      </c>
      <c r="I1324" s="60">
        <v>5244.33</v>
      </c>
      <c r="J1324" s="60">
        <v>5718.05</v>
      </c>
      <c r="K1324" s="60">
        <v>0</v>
      </c>
      <c r="L1324" s="60">
        <v>0</v>
      </c>
      <c r="M1324" s="60">
        <v>0</v>
      </c>
      <c r="N1324" s="60">
        <v>0</v>
      </c>
      <c r="O1324" s="60">
        <v>0</v>
      </c>
      <c r="P1324" s="60">
        <v>0</v>
      </c>
      <c r="Q1324" s="60">
        <v>0</v>
      </c>
      <c r="R1324" s="60">
        <v>0</v>
      </c>
      <c r="S1324" s="60">
        <v>0</v>
      </c>
      <c r="T1324" s="60">
        <v>0</v>
      </c>
      <c r="U1324" s="60">
        <v>0</v>
      </c>
      <c r="V1324" s="60">
        <v>0</v>
      </c>
      <c r="W1324" s="60">
        <v>0</v>
      </c>
      <c r="X1324" s="60">
        <v>0</v>
      </c>
      <c r="Y1324" s="60">
        <v>0</v>
      </c>
      <c r="Z1324" s="60">
        <v>0</v>
      </c>
      <c r="AA1324" s="60">
        <v>0</v>
      </c>
      <c r="AB1324" s="60">
        <v>0</v>
      </c>
      <c r="AC1324" s="60">
        <v>0</v>
      </c>
      <c r="AD1324" s="60">
        <v>0</v>
      </c>
      <c r="AE1324" s="60">
        <v>0</v>
      </c>
      <c r="AF1324" s="60">
        <v>0</v>
      </c>
      <c r="AG1324" s="60">
        <v>0</v>
      </c>
      <c r="AH1324" s="60">
        <v>0</v>
      </c>
      <c r="AI1324" s="60">
        <v>5129.33</v>
      </c>
      <c r="AJ1324" s="60">
        <v>5244.33</v>
      </c>
      <c r="AK1324" s="60">
        <v>5718.05</v>
      </c>
      <c r="AL1324" s="60">
        <v>0</v>
      </c>
      <c r="AM1324" s="60">
        <v>0</v>
      </c>
      <c r="AN1324" s="60">
        <v>0</v>
      </c>
      <c r="AO1324" s="60">
        <v>5129.33</v>
      </c>
      <c r="AP1324" s="60">
        <v>5244.33</v>
      </c>
      <c r="AQ1324" s="60">
        <v>5718.05</v>
      </c>
      <c r="AR1324" s="61">
        <v>5718.05</v>
      </c>
    </row>
    <row r="1325" spans="1:44" x14ac:dyDescent="0.35">
      <c r="A1325" s="49" t="str">
        <f t="shared" si="108"/>
        <v>43</v>
      </c>
      <c r="B1325" s="27">
        <v>69492</v>
      </c>
      <c r="C1325" s="25" t="str">
        <f t="shared" si="105"/>
        <v>0000000</v>
      </c>
      <c r="D1325" s="26" t="s">
        <v>3663</v>
      </c>
      <c r="E1325" s="25" t="s">
        <v>2798</v>
      </c>
      <c r="F1325" s="25" t="s">
        <v>2686</v>
      </c>
      <c r="G1325" s="59" t="s">
        <v>2799</v>
      </c>
      <c r="H1325" s="60">
        <v>69.27</v>
      </c>
      <c r="I1325" s="60">
        <v>63.88</v>
      </c>
      <c r="J1325" s="60">
        <v>72.17</v>
      </c>
      <c r="K1325" s="60">
        <v>0</v>
      </c>
      <c r="L1325" s="60">
        <v>0</v>
      </c>
      <c r="M1325" s="60">
        <v>0</v>
      </c>
      <c r="N1325" s="60">
        <v>0</v>
      </c>
      <c r="O1325" s="60">
        <v>0</v>
      </c>
      <c r="P1325" s="60">
        <v>0</v>
      </c>
      <c r="Q1325" s="60">
        <v>0</v>
      </c>
      <c r="R1325" s="60">
        <v>0</v>
      </c>
      <c r="S1325" s="60">
        <v>0</v>
      </c>
      <c r="T1325" s="60">
        <v>0</v>
      </c>
      <c r="U1325" s="60">
        <v>0</v>
      </c>
      <c r="V1325" s="60">
        <v>0</v>
      </c>
      <c r="W1325" s="60">
        <v>0</v>
      </c>
      <c r="X1325" s="60">
        <v>0</v>
      </c>
      <c r="Y1325" s="60">
        <v>0</v>
      </c>
      <c r="Z1325" s="60">
        <v>0</v>
      </c>
      <c r="AA1325" s="60">
        <v>0</v>
      </c>
      <c r="AB1325" s="60">
        <v>0</v>
      </c>
      <c r="AC1325" s="60">
        <v>0</v>
      </c>
      <c r="AD1325" s="60">
        <v>0</v>
      </c>
      <c r="AE1325" s="60">
        <v>0</v>
      </c>
      <c r="AF1325" s="60">
        <v>0</v>
      </c>
      <c r="AG1325" s="60">
        <v>0</v>
      </c>
      <c r="AH1325" s="60">
        <v>0</v>
      </c>
      <c r="AI1325" s="60">
        <v>69.27</v>
      </c>
      <c r="AJ1325" s="60">
        <v>63.88</v>
      </c>
      <c r="AK1325" s="60">
        <v>72.17</v>
      </c>
      <c r="AL1325" s="60">
        <v>0</v>
      </c>
      <c r="AM1325" s="60">
        <v>0</v>
      </c>
      <c r="AN1325" s="60">
        <v>0</v>
      </c>
      <c r="AO1325" s="60">
        <v>69.27</v>
      </c>
      <c r="AP1325" s="60">
        <v>63.88</v>
      </c>
      <c r="AQ1325" s="60">
        <v>72.17</v>
      </c>
      <c r="AR1325" s="61">
        <v>72.17</v>
      </c>
    </row>
    <row r="1326" spans="1:44" x14ac:dyDescent="0.35">
      <c r="A1326" s="49" t="str">
        <f t="shared" si="108"/>
        <v>43</v>
      </c>
      <c r="B1326" s="27">
        <v>10439</v>
      </c>
      <c r="C1326" s="25" t="str">
        <f t="shared" si="105"/>
        <v>0000000</v>
      </c>
      <c r="D1326" s="26" t="s">
        <v>3663</v>
      </c>
      <c r="E1326" s="25" t="s">
        <v>2687</v>
      </c>
      <c r="F1326" s="25" t="s">
        <v>2688</v>
      </c>
      <c r="G1326" s="59" t="s">
        <v>2688</v>
      </c>
      <c r="H1326" s="60">
        <v>0</v>
      </c>
      <c r="I1326" s="60">
        <v>0</v>
      </c>
      <c r="J1326" s="60">
        <v>0</v>
      </c>
      <c r="K1326" s="60">
        <v>0</v>
      </c>
      <c r="L1326" s="60">
        <v>0</v>
      </c>
      <c r="M1326" s="60">
        <v>0</v>
      </c>
      <c r="N1326" s="60">
        <v>0</v>
      </c>
      <c r="O1326" s="60">
        <v>0</v>
      </c>
      <c r="P1326" s="60">
        <v>0</v>
      </c>
      <c r="Q1326" s="60">
        <v>0</v>
      </c>
      <c r="R1326" s="60">
        <v>0</v>
      </c>
      <c r="S1326" s="60">
        <v>0</v>
      </c>
      <c r="T1326" s="60">
        <v>20.71</v>
      </c>
      <c r="U1326" s="60">
        <v>15.3</v>
      </c>
      <c r="V1326" s="60">
        <v>44.87</v>
      </c>
      <c r="W1326" s="60">
        <v>128.72999999999999</v>
      </c>
      <c r="X1326" s="60">
        <v>123.14</v>
      </c>
      <c r="Y1326" s="60">
        <v>139.69999999999999</v>
      </c>
      <c r="Z1326" s="60">
        <v>696.1</v>
      </c>
      <c r="AA1326" s="60">
        <v>699.56</v>
      </c>
      <c r="AB1326" s="60">
        <v>678.84</v>
      </c>
      <c r="AC1326" s="60">
        <v>445.72</v>
      </c>
      <c r="AD1326" s="60">
        <v>487.71</v>
      </c>
      <c r="AE1326" s="60">
        <v>537.79999999999995</v>
      </c>
      <c r="AF1326" s="60">
        <v>0</v>
      </c>
      <c r="AG1326" s="60">
        <v>0</v>
      </c>
      <c r="AH1326" s="60">
        <v>0</v>
      </c>
      <c r="AI1326" s="60">
        <v>1291.26</v>
      </c>
      <c r="AJ1326" s="60">
        <v>1325.71</v>
      </c>
      <c r="AK1326" s="60">
        <v>1401.21</v>
      </c>
      <c r="AL1326" s="60">
        <v>0</v>
      </c>
      <c r="AM1326" s="60">
        <v>0</v>
      </c>
      <c r="AN1326" s="60">
        <v>0</v>
      </c>
      <c r="AO1326" s="60">
        <v>1291.26</v>
      </c>
      <c r="AP1326" s="60">
        <v>1325.71</v>
      </c>
      <c r="AQ1326" s="60">
        <v>1401.21</v>
      </c>
      <c r="AR1326" s="61">
        <v>1401.21</v>
      </c>
    </row>
    <row r="1327" spans="1:44" x14ac:dyDescent="0.35">
      <c r="A1327" s="49" t="str">
        <f t="shared" si="108"/>
        <v>43</v>
      </c>
      <c r="B1327" s="27">
        <v>69666</v>
      </c>
      <c r="C1327" s="25" t="str">
        <f t="shared" ref="C1327:C1355" si="109">TEXT(,"0000000")</f>
        <v>0000000</v>
      </c>
      <c r="D1327" s="26" t="s">
        <v>3663</v>
      </c>
      <c r="E1327" s="25" t="s">
        <v>2827</v>
      </c>
      <c r="F1327" s="25" t="s">
        <v>2688</v>
      </c>
      <c r="G1327" s="59" t="s">
        <v>2828</v>
      </c>
      <c r="H1327" s="60">
        <v>23138.27</v>
      </c>
      <c r="I1327" s="60">
        <v>23558.49</v>
      </c>
      <c r="J1327" s="60">
        <v>27502.21</v>
      </c>
      <c r="K1327" s="60">
        <v>0</v>
      </c>
      <c r="L1327" s="60">
        <v>0</v>
      </c>
      <c r="M1327" s="60">
        <v>0</v>
      </c>
      <c r="N1327" s="60">
        <v>0</v>
      </c>
      <c r="O1327" s="60">
        <v>0</v>
      </c>
      <c r="P1327" s="60">
        <v>0</v>
      </c>
      <c r="Q1327" s="60">
        <v>0</v>
      </c>
      <c r="R1327" s="60">
        <v>0</v>
      </c>
      <c r="S1327" s="60">
        <v>0</v>
      </c>
      <c r="T1327" s="60">
        <v>0</v>
      </c>
      <c r="U1327" s="60">
        <v>0</v>
      </c>
      <c r="V1327" s="60">
        <v>0</v>
      </c>
      <c r="W1327" s="60">
        <v>0</v>
      </c>
      <c r="X1327" s="60">
        <v>0</v>
      </c>
      <c r="Y1327" s="60">
        <v>0</v>
      </c>
      <c r="Z1327" s="60">
        <v>0</v>
      </c>
      <c r="AA1327" s="60">
        <v>0</v>
      </c>
      <c r="AB1327" s="60">
        <v>0</v>
      </c>
      <c r="AC1327" s="60">
        <v>0</v>
      </c>
      <c r="AD1327" s="60">
        <v>0</v>
      </c>
      <c r="AE1327" s="60">
        <v>1043.49</v>
      </c>
      <c r="AF1327" s="60">
        <v>0</v>
      </c>
      <c r="AG1327" s="60">
        <v>0</v>
      </c>
      <c r="AH1327" s="60">
        <v>0</v>
      </c>
      <c r="AI1327" s="60">
        <v>23138.27</v>
      </c>
      <c r="AJ1327" s="60">
        <v>23558.49</v>
      </c>
      <c r="AK1327" s="60">
        <v>28545.7</v>
      </c>
      <c r="AL1327" s="60">
        <v>0</v>
      </c>
      <c r="AM1327" s="60">
        <v>0</v>
      </c>
      <c r="AN1327" s="60">
        <v>0</v>
      </c>
      <c r="AO1327" s="60">
        <v>23138.27</v>
      </c>
      <c r="AP1327" s="60">
        <v>23558.49</v>
      </c>
      <c r="AQ1327" s="60">
        <v>28545.7</v>
      </c>
      <c r="AR1327" s="61">
        <v>28545.7</v>
      </c>
    </row>
    <row r="1328" spans="1:44" x14ac:dyDescent="0.35">
      <c r="A1328" s="49" t="str">
        <f t="shared" si="108"/>
        <v>43</v>
      </c>
      <c r="B1328" s="27">
        <v>69617</v>
      </c>
      <c r="C1328" s="25" t="str">
        <f t="shared" si="109"/>
        <v>0000000</v>
      </c>
      <c r="D1328" s="26" t="s">
        <v>3663</v>
      </c>
      <c r="E1328" s="25" t="s">
        <v>2689</v>
      </c>
      <c r="F1328" s="25" t="s">
        <v>2690</v>
      </c>
      <c r="G1328" s="59" t="s">
        <v>2690</v>
      </c>
      <c r="H1328" s="60">
        <v>1129.93</v>
      </c>
      <c r="I1328" s="60">
        <v>1192.92</v>
      </c>
      <c r="J1328" s="60">
        <v>1459.44</v>
      </c>
      <c r="K1328" s="60">
        <v>0</v>
      </c>
      <c r="L1328" s="60">
        <v>0</v>
      </c>
      <c r="M1328" s="60">
        <v>0</v>
      </c>
      <c r="N1328" s="60">
        <v>0</v>
      </c>
      <c r="O1328" s="60">
        <v>0</v>
      </c>
      <c r="P1328" s="60">
        <v>0</v>
      </c>
      <c r="Q1328" s="60">
        <v>0</v>
      </c>
      <c r="R1328" s="60">
        <v>0</v>
      </c>
      <c r="S1328" s="60">
        <v>0</v>
      </c>
      <c r="T1328" s="60">
        <v>0</v>
      </c>
      <c r="U1328" s="60">
        <v>0</v>
      </c>
      <c r="V1328" s="60">
        <v>0</v>
      </c>
      <c r="W1328" s="60">
        <v>0</v>
      </c>
      <c r="X1328" s="60">
        <v>0</v>
      </c>
      <c r="Y1328" s="60">
        <v>0</v>
      </c>
      <c r="Z1328" s="60">
        <v>0</v>
      </c>
      <c r="AA1328" s="60">
        <v>0</v>
      </c>
      <c r="AB1328" s="60">
        <v>0</v>
      </c>
      <c r="AC1328" s="60">
        <v>381.63</v>
      </c>
      <c r="AD1328" s="60">
        <v>396.11</v>
      </c>
      <c r="AE1328" s="60">
        <v>553.35</v>
      </c>
      <c r="AF1328" s="60">
        <v>0</v>
      </c>
      <c r="AG1328" s="60">
        <v>0</v>
      </c>
      <c r="AH1328" s="60">
        <v>0</v>
      </c>
      <c r="AI1328" s="60">
        <v>1511.56</v>
      </c>
      <c r="AJ1328" s="60">
        <v>1589.03</v>
      </c>
      <c r="AK1328" s="60">
        <v>2012.79</v>
      </c>
      <c r="AL1328" s="60">
        <v>0</v>
      </c>
      <c r="AM1328" s="60">
        <v>0</v>
      </c>
      <c r="AN1328" s="60">
        <v>0</v>
      </c>
      <c r="AO1328" s="60">
        <v>1511.56</v>
      </c>
      <c r="AP1328" s="60">
        <v>1589.03</v>
      </c>
      <c r="AQ1328" s="60">
        <v>2012.79</v>
      </c>
      <c r="AR1328" s="61">
        <v>2012.79</v>
      </c>
    </row>
    <row r="1329" spans="1:44" x14ac:dyDescent="0.35">
      <c r="A1329" s="49" t="str">
        <f t="shared" si="108"/>
        <v>43</v>
      </c>
      <c r="B1329" s="27">
        <v>69369</v>
      </c>
      <c r="C1329" s="25" t="str">
        <f t="shared" si="109"/>
        <v>0000000</v>
      </c>
      <c r="D1329" s="26" t="s">
        <v>3663</v>
      </c>
      <c r="E1329" s="25" t="s">
        <v>2733</v>
      </c>
      <c r="F1329" s="25" t="s">
        <v>2690</v>
      </c>
      <c r="G1329" s="59" t="s">
        <v>2734</v>
      </c>
      <c r="H1329" s="60">
        <v>6534.84</v>
      </c>
      <c r="I1329" s="60">
        <v>7257.81</v>
      </c>
      <c r="J1329" s="60">
        <v>8390.0300000000007</v>
      </c>
      <c r="K1329" s="60">
        <v>0</v>
      </c>
      <c r="L1329" s="60">
        <v>0</v>
      </c>
      <c r="M1329" s="60">
        <v>0</v>
      </c>
      <c r="N1329" s="60">
        <v>0</v>
      </c>
      <c r="O1329" s="60">
        <v>0</v>
      </c>
      <c r="P1329" s="60">
        <v>0</v>
      </c>
      <c r="Q1329" s="60">
        <v>0</v>
      </c>
      <c r="R1329" s="60">
        <v>0</v>
      </c>
      <c r="S1329" s="60">
        <v>0</v>
      </c>
      <c r="T1329" s="60">
        <v>0</v>
      </c>
      <c r="U1329" s="60">
        <v>0</v>
      </c>
      <c r="V1329" s="60">
        <v>0</v>
      </c>
      <c r="W1329" s="60">
        <v>0</v>
      </c>
      <c r="X1329" s="60">
        <v>0</v>
      </c>
      <c r="Y1329" s="60">
        <v>0</v>
      </c>
      <c r="Z1329" s="60">
        <v>0</v>
      </c>
      <c r="AA1329" s="60">
        <v>0</v>
      </c>
      <c r="AB1329" s="60">
        <v>0</v>
      </c>
      <c r="AC1329" s="60">
        <v>385.28</v>
      </c>
      <c r="AD1329" s="60">
        <v>385.12</v>
      </c>
      <c r="AE1329" s="60">
        <v>398.28</v>
      </c>
      <c r="AF1329" s="60">
        <v>0</v>
      </c>
      <c r="AG1329" s="60">
        <v>0</v>
      </c>
      <c r="AH1329" s="60">
        <v>0</v>
      </c>
      <c r="AI1329" s="60">
        <v>6920.12</v>
      </c>
      <c r="AJ1329" s="60">
        <v>7642.93</v>
      </c>
      <c r="AK1329" s="60">
        <v>8788.31</v>
      </c>
      <c r="AL1329" s="60">
        <v>0</v>
      </c>
      <c r="AM1329" s="60">
        <v>0</v>
      </c>
      <c r="AN1329" s="60">
        <v>0</v>
      </c>
      <c r="AO1329" s="60">
        <v>6920.12</v>
      </c>
      <c r="AP1329" s="60">
        <v>7642.93</v>
      </c>
      <c r="AQ1329" s="60">
        <v>8788.31</v>
      </c>
      <c r="AR1329" s="61">
        <v>8788.31</v>
      </c>
    </row>
    <row r="1330" spans="1:44" x14ac:dyDescent="0.35">
      <c r="A1330" s="49" t="str">
        <f t="shared" si="108"/>
        <v>43</v>
      </c>
      <c r="B1330" s="27">
        <v>69377</v>
      </c>
      <c r="C1330" s="25" t="str">
        <f t="shared" si="109"/>
        <v>0000000</v>
      </c>
      <c r="D1330" s="26" t="s">
        <v>3663</v>
      </c>
      <c r="E1330" s="25" t="s">
        <v>2742</v>
      </c>
      <c r="F1330" s="25" t="s">
        <v>2690</v>
      </c>
      <c r="G1330" s="59" t="s">
        <v>2743</v>
      </c>
      <c r="H1330" s="60">
        <v>5629.25</v>
      </c>
      <c r="I1330" s="60">
        <v>5663</v>
      </c>
      <c r="J1330" s="60">
        <v>6634.07</v>
      </c>
      <c r="K1330" s="60">
        <v>0</v>
      </c>
      <c r="L1330" s="60">
        <v>0</v>
      </c>
      <c r="M1330" s="60">
        <v>0</v>
      </c>
      <c r="N1330" s="60">
        <v>0</v>
      </c>
      <c r="O1330" s="60">
        <v>0</v>
      </c>
      <c r="P1330" s="60">
        <v>0</v>
      </c>
      <c r="Q1330" s="60">
        <v>0</v>
      </c>
      <c r="R1330" s="60">
        <v>0</v>
      </c>
      <c r="S1330" s="60">
        <v>0</v>
      </c>
      <c r="T1330" s="60">
        <v>0</v>
      </c>
      <c r="U1330" s="60">
        <v>0</v>
      </c>
      <c r="V1330" s="60">
        <v>0</v>
      </c>
      <c r="W1330" s="60">
        <v>0</v>
      </c>
      <c r="X1330" s="60">
        <v>0</v>
      </c>
      <c r="Y1330" s="60">
        <v>0</v>
      </c>
      <c r="Z1330" s="60">
        <v>0</v>
      </c>
      <c r="AA1330" s="60">
        <v>0</v>
      </c>
      <c r="AB1330" s="60">
        <v>0</v>
      </c>
      <c r="AC1330" s="60">
        <v>0</v>
      </c>
      <c r="AD1330" s="60">
        <v>0</v>
      </c>
      <c r="AE1330" s="60">
        <v>0</v>
      </c>
      <c r="AF1330" s="60">
        <v>0</v>
      </c>
      <c r="AG1330" s="60">
        <v>0</v>
      </c>
      <c r="AH1330" s="60">
        <v>0</v>
      </c>
      <c r="AI1330" s="60">
        <v>5629.25</v>
      </c>
      <c r="AJ1330" s="60">
        <v>5663</v>
      </c>
      <c r="AK1330" s="60">
        <v>6634.07</v>
      </c>
      <c r="AL1330" s="60">
        <v>0</v>
      </c>
      <c r="AM1330" s="60">
        <v>0</v>
      </c>
      <c r="AN1330" s="60">
        <v>0</v>
      </c>
      <c r="AO1330" s="60">
        <v>5629.25</v>
      </c>
      <c r="AP1330" s="60">
        <v>5663</v>
      </c>
      <c r="AQ1330" s="60">
        <v>6634.07</v>
      </c>
      <c r="AR1330" s="61">
        <v>6634.07</v>
      </c>
    </row>
    <row r="1331" spans="1:44" x14ac:dyDescent="0.35">
      <c r="A1331" s="49" t="str">
        <f t="shared" si="108"/>
        <v>43</v>
      </c>
      <c r="B1331" s="27">
        <v>69427</v>
      </c>
      <c r="C1331" s="25" t="str">
        <f t="shared" si="109"/>
        <v>0000000</v>
      </c>
      <c r="D1331" s="26" t="s">
        <v>3663</v>
      </c>
      <c r="E1331" s="25" t="s">
        <v>2752</v>
      </c>
      <c r="F1331" s="25" t="s">
        <v>2690</v>
      </c>
      <c r="G1331" s="59" t="s">
        <v>2753</v>
      </c>
      <c r="H1331" s="60">
        <v>19307.45</v>
      </c>
      <c r="I1331" s="60">
        <v>19939.04</v>
      </c>
      <c r="J1331" s="60">
        <v>21771.22</v>
      </c>
      <c r="K1331" s="60">
        <v>0</v>
      </c>
      <c r="L1331" s="60">
        <v>0</v>
      </c>
      <c r="M1331" s="60">
        <v>0</v>
      </c>
      <c r="N1331" s="60">
        <v>0</v>
      </c>
      <c r="O1331" s="60">
        <v>0</v>
      </c>
      <c r="P1331" s="60">
        <v>0</v>
      </c>
      <c r="Q1331" s="60">
        <v>0</v>
      </c>
      <c r="R1331" s="60">
        <v>0</v>
      </c>
      <c r="S1331" s="60">
        <v>0</v>
      </c>
      <c r="T1331" s="60">
        <v>0</v>
      </c>
      <c r="U1331" s="60">
        <v>0</v>
      </c>
      <c r="V1331" s="60">
        <v>0</v>
      </c>
      <c r="W1331" s="60">
        <v>0</v>
      </c>
      <c r="X1331" s="60">
        <v>0</v>
      </c>
      <c r="Y1331" s="60">
        <v>0</v>
      </c>
      <c r="Z1331" s="60">
        <v>0</v>
      </c>
      <c r="AA1331" s="60">
        <v>0</v>
      </c>
      <c r="AB1331" s="60">
        <v>0</v>
      </c>
      <c r="AC1331" s="60">
        <v>0</v>
      </c>
      <c r="AD1331" s="60">
        <v>0</v>
      </c>
      <c r="AE1331" s="60">
        <v>0</v>
      </c>
      <c r="AF1331" s="60">
        <v>0</v>
      </c>
      <c r="AG1331" s="60">
        <v>0</v>
      </c>
      <c r="AH1331" s="60">
        <v>0</v>
      </c>
      <c r="AI1331" s="60">
        <v>19307.45</v>
      </c>
      <c r="AJ1331" s="60">
        <v>19939.04</v>
      </c>
      <c r="AK1331" s="60">
        <v>21771.22</v>
      </c>
      <c r="AL1331" s="60">
        <v>0</v>
      </c>
      <c r="AM1331" s="60">
        <v>0</v>
      </c>
      <c r="AN1331" s="60">
        <v>0</v>
      </c>
      <c r="AO1331" s="60">
        <v>19307.45</v>
      </c>
      <c r="AP1331" s="60">
        <v>19939.04</v>
      </c>
      <c r="AQ1331" s="60">
        <v>21771.22</v>
      </c>
      <c r="AR1331" s="61">
        <v>21771.22</v>
      </c>
    </row>
    <row r="1332" spans="1:44" x14ac:dyDescent="0.35">
      <c r="A1332" s="49" t="str">
        <f t="shared" si="108"/>
        <v>43</v>
      </c>
      <c r="B1332" s="27">
        <v>69435</v>
      </c>
      <c r="C1332" s="25" t="str">
        <f t="shared" si="109"/>
        <v>0000000</v>
      </c>
      <c r="D1332" s="26" t="s">
        <v>3663</v>
      </c>
      <c r="E1332" s="25" t="s">
        <v>2777</v>
      </c>
      <c r="F1332" s="25" t="s">
        <v>2690</v>
      </c>
      <c r="G1332" s="59" t="s">
        <v>2778</v>
      </c>
      <c r="H1332" s="60">
        <v>8402.42</v>
      </c>
      <c r="I1332" s="60">
        <v>8781.31</v>
      </c>
      <c r="J1332" s="60">
        <v>10097.709999999999</v>
      </c>
      <c r="K1332" s="60">
        <v>0</v>
      </c>
      <c r="L1332" s="60">
        <v>0</v>
      </c>
      <c r="M1332" s="60">
        <v>0</v>
      </c>
      <c r="N1332" s="60">
        <v>0</v>
      </c>
      <c r="O1332" s="60">
        <v>0</v>
      </c>
      <c r="P1332" s="60">
        <v>0</v>
      </c>
      <c r="Q1332" s="60">
        <v>0</v>
      </c>
      <c r="R1332" s="60">
        <v>0</v>
      </c>
      <c r="S1332" s="60">
        <v>0</v>
      </c>
      <c r="T1332" s="60">
        <v>0</v>
      </c>
      <c r="U1332" s="60">
        <v>0</v>
      </c>
      <c r="V1332" s="60">
        <v>0</v>
      </c>
      <c r="W1332" s="60">
        <v>0</v>
      </c>
      <c r="X1332" s="60">
        <v>0</v>
      </c>
      <c r="Y1332" s="60">
        <v>0</v>
      </c>
      <c r="Z1332" s="60">
        <v>0</v>
      </c>
      <c r="AA1332" s="60">
        <v>0</v>
      </c>
      <c r="AB1332" s="60">
        <v>0</v>
      </c>
      <c r="AC1332" s="60">
        <v>0</v>
      </c>
      <c r="AD1332" s="60">
        <v>0</v>
      </c>
      <c r="AE1332" s="60">
        <v>0</v>
      </c>
      <c r="AF1332" s="60">
        <v>0</v>
      </c>
      <c r="AG1332" s="60">
        <v>0</v>
      </c>
      <c r="AH1332" s="60">
        <v>0</v>
      </c>
      <c r="AI1332" s="60">
        <v>8402.42</v>
      </c>
      <c r="AJ1332" s="60">
        <v>8781.31</v>
      </c>
      <c r="AK1332" s="60">
        <v>10097.709999999999</v>
      </c>
      <c r="AL1332" s="60">
        <v>0</v>
      </c>
      <c r="AM1332" s="60">
        <v>0</v>
      </c>
      <c r="AN1332" s="60">
        <v>0</v>
      </c>
      <c r="AO1332" s="60">
        <v>8402.42</v>
      </c>
      <c r="AP1332" s="60">
        <v>8781.31</v>
      </c>
      <c r="AQ1332" s="60">
        <v>10097.709999999999</v>
      </c>
      <c r="AR1332" s="61">
        <v>10097.709999999999</v>
      </c>
    </row>
    <row r="1333" spans="1:44" x14ac:dyDescent="0.35">
      <c r="A1333" s="49" t="str">
        <f t="shared" si="108"/>
        <v>43</v>
      </c>
      <c r="B1333" s="27">
        <v>69450</v>
      </c>
      <c r="C1333" s="25" t="str">
        <f t="shared" si="109"/>
        <v>0000000</v>
      </c>
      <c r="D1333" s="26" t="s">
        <v>3663</v>
      </c>
      <c r="E1333" s="25" t="s">
        <v>2779</v>
      </c>
      <c r="F1333" s="25" t="s">
        <v>2690</v>
      </c>
      <c r="G1333" s="59" t="s">
        <v>2780</v>
      </c>
      <c r="H1333" s="60">
        <v>5487.25</v>
      </c>
      <c r="I1333" s="60">
        <v>5569.31</v>
      </c>
      <c r="J1333" s="60">
        <v>6573.3</v>
      </c>
      <c r="K1333" s="60">
        <v>0</v>
      </c>
      <c r="L1333" s="60">
        <v>0</v>
      </c>
      <c r="M1333" s="60">
        <v>0</v>
      </c>
      <c r="N1333" s="60">
        <v>0</v>
      </c>
      <c r="O1333" s="60">
        <v>0</v>
      </c>
      <c r="P1333" s="60">
        <v>0</v>
      </c>
      <c r="Q1333" s="60">
        <v>0</v>
      </c>
      <c r="R1333" s="60">
        <v>0</v>
      </c>
      <c r="S1333" s="60">
        <v>0</v>
      </c>
      <c r="T1333" s="60">
        <v>0</v>
      </c>
      <c r="U1333" s="60">
        <v>0</v>
      </c>
      <c r="V1333" s="60">
        <v>0</v>
      </c>
      <c r="W1333" s="60">
        <v>0</v>
      </c>
      <c r="X1333" s="60">
        <v>0</v>
      </c>
      <c r="Y1333" s="60">
        <v>0</v>
      </c>
      <c r="Z1333" s="60">
        <v>0</v>
      </c>
      <c r="AA1333" s="60">
        <v>0</v>
      </c>
      <c r="AB1333" s="60">
        <v>0</v>
      </c>
      <c r="AC1333" s="60">
        <v>0</v>
      </c>
      <c r="AD1333" s="60">
        <v>0</v>
      </c>
      <c r="AE1333" s="60">
        <v>0</v>
      </c>
      <c r="AF1333" s="60">
        <v>0</v>
      </c>
      <c r="AG1333" s="60">
        <v>0</v>
      </c>
      <c r="AH1333" s="60">
        <v>0</v>
      </c>
      <c r="AI1333" s="60">
        <v>5487.25</v>
      </c>
      <c r="AJ1333" s="60">
        <v>5569.31</v>
      </c>
      <c r="AK1333" s="60">
        <v>6573.3</v>
      </c>
      <c r="AL1333" s="60">
        <v>0</v>
      </c>
      <c r="AM1333" s="60">
        <v>0</v>
      </c>
      <c r="AN1333" s="60">
        <v>0</v>
      </c>
      <c r="AO1333" s="60">
        <v>5487.25</v>
      </c>
      <c r="AP1333" s="60">
        <v>5569.31</v>
      </c>
      <c r="AQ1333" s="60">
        <v>6573.3</v>
      </c>
      <c r="AR1333" s="61">
        <v>6573.3</v>
      </c>
    </row>
    <row r="1334" spans="1:44" x14ac:dyDescent="0.35">
      <c r="A1334" s="49" t="str">
        <f t="shared" si="108"/>
        <v>43</v>
      </c>
      <c r="B1334" s="27">
        <v>73387</v>
      </c>
      <c r="C1334" s="25" t="str">
        <f t="shared" si="109"/>
        <v>0000000</v>
      </c>
      <c r="D1334" s="26" t="s">
        <v>3663</v>
      </c>
      <c r="E1334" s="25" t="s">
        <v>2844</v>
      </c>
      <c r="F1334" s="25" t="s">
        <v>2690</v>
      </c>
      <c r="G1334" s="59" t="s">
        <v>2845</v>
      </c>
      <c r="H1334" s="60">
        <v>9513.4699999999993</v>
      </c>
      <c r="I1334" s="60">
        <v>9608.51</v>
      </c>
      <c r="J1334" s="60">
        <v>9989.7999999999993</v>
      </c>
      <c r="K1334" s="60">
        <v>0</v>
      </c>
      <c r="L1334" s="60">
        <v>0</v>
      </c>
      <c r="M1334" s="60">
        <v>0</v>
      </c>
      <c r="N1334" s="60">
        <v>0</v>
      </c>
      <c r="O1334" s="60">
        <v>0</v>
      </c>
      <c r="P1334" s="60">
        <v>0</v>
      </c>
      <c r="Q1334" s="60">
        <v>0</v>
      </c>
      <c r="R1334" s="60">
        <v>0</v>
      </c>
      <c r="S1334" s="60">
        <v>0</v>
      </c>
      <c r="T1334" s="60">
        <v>0</v>
      </c>
      <c r="U1334" s="60">
        <v>0</v>
      </c>
      <c r="V1334" s="60">
        <v>0</v>
      </c>
      <c r="W1334" s="60">
        <v>0</v>
      </c>
      <c r="X1334" s="60">
        <v>0</v>
      </c>
      <c r="Y1334" s="60">
        <v>0</v>
      </c>
      <c r="Z1334" s="60">
        <v>0</v>
      </c>
      <c r="AA1334" s="60">
        <v>0</v>
      </c>
      <c r="AB1334" s="60">
        <v>0</v>
      </c>
      <c r="AC1334" s="60">
        <v>0</v>
      </c>
      <c r="AD1334" s="60">
        <v>0</v>
      </c>
      <c r="AE1334" s="60">
        <v>0</v>
      </c>
      <c r="AF1334" s="60">
        <v>0</v>
      </c>
      <c r="AG1334" s="60">
        <v>0</v>
      </c>
      <c r="AH1334" s="60">
        <v>0</v>
      </c>
      <c r="AI1334" s="60">
        <v>9513.4699999999993</v>
      </c>
      <c r="AJ1334" s="60">
        <v>9608.51</v>
      </c>
      <c r="AK1334" s="60">
        <v>9989.7999999999993</v>
      </c>
      <c r="AL1334" s="60">
        <v>0</v>
      </c>
      <c r="AM1334" s="60">
        <v>0</v>
      </c>
      <c r="AN1334" s="60">
        <v>0</v>
      </c>
      <c r="AO1334" s="60">
        <v>9513.4699999999993</v>
      </c>
      <c r="AP1334" s="60">
        <v>9608.51</v>
      </c>
      <c r="AQ1334" s="60">
        <v>9989.7999999999993</v>
      </c>
      <c r="AR1334" s="61">
        <v>9989.7999999999993</v>
      </c>
    </row>
    <row r="1335" spans="1:44" x14ac:dyDescent="0.35">
      <c r="A1335" s="49" t="str">
        <f t="shared" si="108"/>
        <v>43</v>
      </c>
      <c r="B1335" s="27">
        <v>69625</v>
      </c>
      <c r="C1335" s="25" t="str">
        <f t="shared" si="109"/>
        <v>0000000</v>
      </c>
      <c r="D1335" s="26" t="s">
        <v>3663</v>
      </c>
      <c r="E1335" s="25" t="s">
        <v>2821</v>
      </c>
      <c r="F1335" s="25" t="s">
        <v>2690</v>
      </c>
      <c r="G1335" s="59" t="s">
        <v>2822</v>
      </c>
      <c r="H1335" s="60">
        <v>8066.4</v>
      </c>
      <c r="I1335" s="60">
        <v>8121</v>
      </c>
      <c r="J1335" s="60">
        <v>9415.24</v>
      </c>
      <c r="K1335" s="60">
        <v>0</v>
      </c>
      <c r="L1335" s="60">
        <v>0</v>
      </c>
      <c r="M1335" s="60">
        <v>0</v>
      </c>
      <c r="N1335" s="60">
        <v>0</v>
      </c>
      <c r="O1335" s="60">
        <v>0</v>
      </c>
      <c r="P1335" s="60">
        <v>0</v>
      </c>
      <c r="Q1335" s="60">
        <v>0</v>
      </c>
      <c r="R1335" s="60">
        <v>0</v>
      </c>
      <c r="S1335" s="60">
        <v>0</v>
      </c>
      <c r="T1335" s="60">
        <v>0</v>
      </c>
      <c r="U1335" s="60">
        <v>0</v>
      </c>
      <c r="V1335" s="60">
        <v>0</v>
      </c>
      <c r="W1335" s="60">
        <v>0</v>
      </c>
      <c r="X1335" s="60">
        <v>0</v>
      </c>
      <c r="Y1335" s="60">
        <v>0</v>
      </c>
      <c r="Z1335" s="60">
        <v>0</v>
      </c>
      <c r="AA1335" s="60">
        <v>0</v>
      </c>
      <c r="AB1335" s="60">
        <v>0</v>
      </c>
      <c r="AC1335" s="60">
        <v>0</v>
      </c>
      <c r="AD1335" s="60">
        <v>0</v>
      </c>
      <c r="AE1335" s="60">
        <v>0</v>
      </c>
      <c r="AF1335" s="60">
        <v>0</v>
      </c>
      <c r="AG1335" s="60">
        <v>0</v>
      </c>
      <c r="AH1335" s="60">
        <v>0</v>
      </c>
      <c r="AI1335" s="60">
        <v>8066.4</v>
      </c>
      <c r="AJ1335" s="60">
        <v>8121</v>
      </c>
      <c r="AK1335" s="60">
        <v>9415.24</v>
      </c>
      <c r="AL1335" s="60">
        <v>0</v>
      </c>
      <c r="AM1335" s="60">
        <v>0</v>
      </c>
      <c r="AN1335" s="60">
        <v>0</v>
      </c>
      <c r="AO1335" s="60">
        <v>8066.4</v>
      </c>
      <c r="AP1335" s="60">
        <v>8121</v>
      </c>
      <c r="AQ1335" s="60">
        <v>9415.24</v>
      </c>
      <c r="AR1335" s="61">
        <v>9415.24</v>
      </c>
    </row>
    <row r="1336" spans="1:44" x14ac:dyDescent="0.35">
      <c r="A1336" s="49" t="str">
        <f t="shared" si="108"/>
        <v>43</v>
      </c>
      <c r="B1336" s="27">
        <v>69633</v>
      </c>
      <c r="C1336" s="25" t="str">
        <f t="shared" si="109"/>
        <v>0000000</v>
      </c>
      <c r="D1336" s="26" t="s">
        <v>3663</v>
      </c>
      <c r="E1336" s="25" t="s">
        <v>2823</v>
      </c>
      <c r="F1336" s="25" t="s">
        <v>2690</v>
      </c>
      <c r="G1336" s="59" t="s">
        <v>2824</v>
      </c>
      <c r="H1336" s="60">
        <v>714.72</v>
      </c>
      <c r="I1336" s="60">
        <v>695.56</v>
      </c>
      <c r="J1336" s="60">
        <v>823.59</v>
      </c>
      <c r="K1336" s="60">
        <v>0</v>
      </c>
      <c r="L1336" s="60">
        <v>0</v>
      </c>
      <c r="M1336" s="60">
        <v>0</v>
      </c>
      <c r="N1336" s="60">
        <v>0</v>
      </c>
      <c r="O1336" s="60">
        <v>0</v>
      </c>
      <c r="P1336" s="60">
        <v>0</v>
      </c>
      <c r="Q1336" s="60">
        <v>0</v>
      </c>
      <c r="R1336" s="60">
        <v>0</v>
      </c>
      <c r="S1336" s="60">
        <v>0</v>
      </c>
      <c r="T1336" s="60">
        <v>0</v>
      </c>
      <c r="U1336" s="60">
        <v>0</v>
      </c>
      <c r="V1336" s="60">
        <v>0</v>
      </c>
      <c r="W1336" s="60">
        <v>0</v>
      </c>
      <c r="X1336" s="60">
        <v>0</v>
      </c>
      <c r="Y1336" s="60">
        <v>0</v>
      </c>
      <c r="Z1336" s="60">
        <v>0</v>
      </c>
      <c r="AA1336" s="60">
        <v>0</v>
      </c>
      <c r="AB1336" s="60">
        <v>0</v>
      </c>
      <c r="AC1336" s="60">
        <v>0</v>
      </c>
      <c r="AD1336" s="60">
        <v>0</v>
      </c>
      <c r="AE1336" s="60">
        <v>0</v>
      </c>
      <c r="AF1336" s="60">
        <v>0</v>
      </c>
      <c r="AG1336" s="60">
        <v>0</v>
      </c>
      <c r="AH1336" s="60">
        <v>0</v>
      </c>
      <c r="AI1336" s="60">
        <v>714.72</v>
      </c>
      <c r="AJ1336" s="60">
        <v>695.56</v>
      </c>
      <c r="AK1336" s="60">
        <v>823.59</v>
      </c>
      <c r="AL1336" s="60">
        <v>0</v>
      </c>
      <c r="AM1336" s="60">
        <v>0</v>
      </c>
      <c r="AN1336" s="60">
        <v>0</v>
      </c>
      <c r="AO1336" s="60">
        <v>714.72</v>
      </c>
      <c r="AP1336" s="60">
        <v>695.56</v>
      </c>
      <c r="AQ1336" s="60">
        <v>823.59</v>
      </c>
      <c r="AR1336" s="61">
        <v>823.59</v>
      </c>
    </row>
    <row r="1337" spans="1:44" x14ac:dyDescent="0.35">
      <c r="A1337" s="49" t="str">
        <f t="shared" si="108"/>
        <v>43</v>
      </c>
      <c r="B1337" s="27">
        <v>10439</v>
      </c>
      <c r="C1337" s="25" t="str">
        <f t="shared" si="109"/>
        <v>0000000</v>
      </c>
      <c r="D1337" s="26" t="s">
        <v>3663</v>
      </c>
      <c r="E1337" s="25" t="s">
        <v>2691</v>
      </c>
      <c r="F1337" s="25" t="s">
        <v>2690</v>
      </c>
      <c r="G1337" s="59" t="s">
        <v>2692</v>
      </c>
      <c r="H1337" s="60">
        <v>0</v>
      </c>
      <c r="I1337" s="60">
        <v>0</v>
      </c>
      <c r="J1337" s="60">
        <v>0</v>
      </c>
      <c r="K1337" s="60">
        <v>0</v>
      </c>
      <c r="L1337" s="60">
        <v>0</v>
      </c>
      <c r="M1337" s="60">
        <v>0</v>
      </c>
      <c r="N1337" s="60">
        <v>0</v>
      </c>
      <c r="O1337" s="60">
        <v>0</v>
      </c>
      <c r="P1337" s="60">
        <v>0</v>
      </c>
      <c r="Q1337" s="60">
        <v>0</v>
      </c>
      <c r="R1337" s="60">
        <v>0</v>
      </c>
      <c r="S1337" s="60">
        <v>0</v>
      </c>
      <c r="T1337" s="60">
        <v>153.44</v>
      </c>
      <c r="U1337" s="60">
        <v>117.8</v>
      </c>
      <c r="V1337" s="60">
        <v>294</v>
      </c>
      <c r="W1337" s="60">
        <v>709.39</v>
      </c>
      <c r="X1337" s="60">
        <v>633.13</v>
      </c>
      <c r="Y1337" s="60">
        <v>872.34</v>
      </c>
      <c r="Z1337" s="60">
        <v>0</v>
      </c>
      <c r="AA1337" s="60">
        <v>0</v>
      </c>
      <c r="AB1337" s="60">
        <v>0</v>
      </c>
      <c r="AC1337" s="60">
        <v>471.73</v>
      </c>
      <c r="AD1337" s="60">
        <v>491.03</v>
      </c>
      <c r="AE1337" s="60">
        <v>669.04</v>
      </c>
      <c r="AF1337" s="60">
        <v>0</v>
      </c>
      <c r="AG1337" s="60">
        <v>0</v>
      </c>
      <c r="AH1337" s="60">
        <v>0</v>
      </c>
      <c r="AI1337" s="60">
        <v>1334.56</v>
      </c>
      <c r="AJ1337" s="60">
        <v>1241.96</v>
      </c>
      <c r="AK1337" s="60">
        <v>1835.38</v>
      </c>
      <c r="AL1337" s="60">
        <v>0</v>
      </c>
      <c r="AM1337" s="60">
        <v>0</v>
      </c>
      <c r="AN1337" s="60">
        <v>0</v>
      </c>
      <c r="AO1337" s="60">
        <v>1334.56</v>
      </c>
      <c r="AP1337" s="60">
        <v>1241.96</v>
      </c>
      <c r="AQ1337" s="60">
        <v>1835.38</v>
      </c>
      <c r="AR1337" s="61">
        <v>1835.38</v>
      </c>
    </row>
    <row r="1338" spans="1:44" x14ac:dyDescent="0.35">
      <c r="A1338" s="49" t="str">
        <f t="shared" si="108"/>
        <v>43</v>
      </c>
      <c r="B1338" s="27">
        <v>69484</v>
      </c>
      <c r="C1338" s="25" t="str">
        <f t="shared" si="109"/>
        <v>0000000</v>
      </c>
      <c r="D1338" s="26" t="s">
        <v>3663</v>
      </c>
      <c r="E1338" s="25" t="s">
        <v>2794</v>
      </c>
      <c r="F1338" s="25" t="s">
        <v>2690</v>
      </c>
      <c r="G1338" s="59" t="s">
        <v>2795</v>
      </c>
      <c r="H1338" s="60">
        <v>9492.4699999999993</v>
      </c>
      <c r="I1338" s="60">
        <v>9622.0300000000007</v>
      </c>
      <c r="J1338" s="60">
        <v>10615.77</v>
      </c>
      <c r="K1338" s="60">
        <v>0</v>
      </c>
      <c r="L1338" s="60">
        <v>0</v>
      </c>
      <c r="M1338" s="60">
        <v>0</v>
      </c>
      <c r="N1338" s="60">
        <v>0</v>
      </c>
      <c r="O1338" s="60">
        <v>0</v>
      </c>
      <c r="P1338" s="60">
        <v>0</v>
      </c>
      <c r="Q1338" s="60">
        <v>0</v>
      </c>
      <c r="R1338" s="60">
        <v>0</v>
      </c>
      <c r="S1338" s="60">
        <v>0</v>
      </c>
      <c r="T1338" s="60">
        <v>0</v>
      </c>
      <c r="U1338" s="60">
        <v>0</v>
      </c>
      <c r="V1338" s="60">
        <v>0</v>
      </c>
      <c r="W1338" s="60">
        <v>0</v>
      </c>
      <c r="X1338" s="60">
        <v>0</v>
      </c>
      <c r="Y1338" s="60">
        <v>0</v>
      </c>
      <c r="Z1338" s="60">
        <v>0</v>
      </c>
      <c r="AA1338" s="60">
        <v>0</v>
      </c>
      <c r="AB1338" s="60">
        <v>0</v>
      </c>
      <c r="AC1338" s="60">
        <v>0</v>
      </c>
      <c r="AD1338" s="60">
        <v>0</v>
      </c>
      <c r="AE1338" s="60">
        <v>0</v>
      </c>
      <c r="AF1338" s="60">
        <v>0</v>
      </c>
      <c r="AG1338" s="60">
        <v>0</v>
      </c>
      <c r="AH1338" s="60">
        <v>0</v>
      </c>
      <c r="AI1338" s="60">
        <v>9492.4699999999993</v>
      </c>
      <c r="AJ1338" s="60">
        <v>9622.0300000000007</v>
      </c>
      <c r="AK1338" s="60">
        <v>10615.77</v>
      </c>
      <c r="AL1338" s="60">
        <v>0</v>
      </c>
      <c r="AM1338" s="60">
        <v>0</v>
      </c>
      <c r="AN1338" s="60">
        <v>0</v>
      </c>
      <c r="AO1338" s="60">
        <v>9492.4699999999993</v>
      </c>
      <c r="AP1338" s="60">
        <v>9622.0300000000007</v>
      </c>
      <c r="AQ1338" s="60">
        <v>10615.77</v>
      </c>
      <c r="AR1338" s="61">
        <v>10615.77</v>
      </c>
    </row>
    <row r="1339" spans="1:44" x14ac:dyDescent="0.35">
      <c r="A1339" s="49" t="str">
        <f t="shared" si="108"/>
        <v>43</v>
      </c>
      <c r="B1339" s="27">
        <v>69583</v>
      </c>
      <c r="C1339" s="25" t="str">
        <f t="shared" si="109"/>
        <v>0000000</v>
      </c>
      <c r="D1339" s="26" t="s">
        <v>3663</v>
      </c>
      <c r="E1339" s="25" t="s">
        <v>2812</v>
      </c>
      <c r="F1339" s="25" t="s">
        <v>2690</v>
      </c>
      <c r="G1339" s="59" t="s">
        <v>2813</v>
      </c>
      <c r="H1339" s="60">
        <v>7467.14</v>
      </c>
      <c r="I1339" s="60">
        <v>7337.83</v>
      </c>
      <c r="J1339" s="60">
        <v>7961.51</v>
      </c>
      <c r="K1339" s="60">
        <v>0</v>
      </c>
      <c r="L1339" s="60">
        <v>0</v>
      </c>
      <c r="M1339" s="60">
        <v>0</v>
      </c>
      <c r="N1339" s="60">
        <v>0</v>
      </c>
      <c r="O1339" s="60">
        <v>0</v>
      </c>
      <c r="P1339" s="60">
        <v>0</v>
      </c>
      <c r="Q1339" s="60">
        <v>0</v>
      </c>
      <c r="R1339" s="60">
        <v>0</v>
      </c>
      <c r="S1339" s="60">
        <v>0</v>
      </c>
      <c r="T1339" s="60">
        <v>0</v>
      </c>
      <c r="U1339" s="60">
        <v>0</v>
      </c>
      <c r="V1339" s="60">
        <v>0</v>
      </c>
      <c r="W1339" s="60">
        <v>0</v>
      </c>
      <c r="X1339" s="60">
        <v>0</v>
      </c>
      <c r="Y1339" s="60">
        <v>0</v>
      </c>
      <c r="Z1339" s="60">
        <v>0</v>
      </c>
      <c r="AA1339" s="60">
        <v>0</v>
      </c>
      <c r="AB1339" s="60">
        <v>0</v>
      </c>
      <c r="AC1339" s="60">
        <v>0</v>
      </c>
      <c r="AD1339" s="60">
        <v>0</v>
      </c>
      <c r="AE1339" s="60">
        <v>0</v>
      </c>
      <c r="AF1339" s="60">
        <v>0</v>
      </c>
      <c r="AG1339" s="60">
        <v>0</v>
      </c>
      <c r="AH1339" s="60">
        <v>0</v>
      </c>
      <c r="AI1339" s="60">
        <v>7467.14</v>
      </c>
      <c r="AJ1339" s="60">
        <v>7337.83</v>
      </c>
      <c r="AK1339" s="60">
        <v>7961.51</v>
      </c>
      <c r="AL1339" s="60">
        <v>0</v>
      </c>
      <c r="AM1339" s="60">
        <v>0</v>
      </c>
      <c r="AN1339" s="60">
        <v>0</v>
      </c>
      <c r="AO1339" s="60">
        <v>7467.14</v>
      </c>
      <c r="AP1339" s="60">
        <v>7337.83</v>
      </c>
      <c r="AQ1339" s="60">
        <v>7961.51</v>
      </c>
      <c r="AR1339" s="61">
        <v>7961.51</v>
      </c>
    </row>
    <row r="1340" spans="1:44" x14ac:dyDescent="0.35">
      <c r="A1340" s="49" t="str">
        <f t="shared" si="108"/>
        <v>43</v>
      </c>
      <c r="B1340" s="27">
        <v>10439</v>
      </c>
      <c r="C1340" s="25" t="str">
        <f t="shared" si="109"/>
        <v>0000000</v>
      </c>
      <c r="D1340" s="26" t="s">
        <v>3663</v>
      </c>
      <c r="E1340" s="25" t="s">
        <v>2693</v>
      </c>
      <c r="F1340" s="25" t="s">
        <v>2694</v>
      </c>
      <c r="G1340" s="59" t="s">
        <v>2694</v>
      </c>
      <c r="H1340" s="60">
        <v>0</v>
      </c>
      <c r="I1340" s="60">
        <v>0</v>
      </c>
      <c r="J1340" s="60">
        <v>0</v>
      </c>
      <c r="K1340" s="60">
        <v>0</v>
      </c>
      <c r="L1340" s="60">
        <v>0</v>
      </c>
      <c r="M1340" s="60">
        <v>0</v>
      </c>
      <c r="N1340" s="60">
        <v>0</v>
      </c>
      <c r="O1340" s="60">
        <v>0</v>
      </c>
      <c r="P1340" s="60">
        <v>0</v>
      </c>
      <c r="Q1340" s="60">
        <v>0</v>
      </c>
      <c r="R1340" s="60">
        <v>0</v>
      </c>
      <c r="S1340" s="60">
        <v>0</v>
      </c>
      <c r="T1340" s="60">
        <v>3.19</v>
      </c>
      <c r="U1340" s="60">
        <v>2.35</v>
      </c>
      <c r="V1340" s="60">
        <v>6.9</v>
      </c>
      <c r="W1340" s="60">
        <v>27.47</v>
      </c>
      <c r="X1340" s="60">
        <v>28</v>
      </c>
      <c r="Y1340" s="60">
        <v>33.700000000000003</v>
      </c>
      <c r="Z1340" s="60">
        <v>0</v>
      </c>
      <c r="AA1340" s="60">
        <v>0</v>
      </c>
      <c r="AB1340" s="60">
        <v>0</v>
      </c>
      <c r="AC1340" s="60">
        <v>0</v>
      </c>
      <c r="AD1340" s="60">
        <v>0</v>
      </c>
      <c r="AE1340" s="60">
        <v>0</v>
      </c>
      <c r="AF1340" s="60">
        <v>0</v>
      </c>
      <c r="AG1340" s="60">
        <v>0</v>
      </c>
      <c r="AH1340" s="60">
        <v>0</v>
      </c>
      <c r="AI1340" s="60">
        <v>30.66</v>
      </c>
      <c r="AJ1340" s="60">
        <v>30.35</v>
      </c>
      <c r="AK1340" s="60">
        <v>40.6</v>
      </c>
      <c r="AL1340" s="60">
        <v>0</v>
      </c>
      <c r="AM1340" s="60">
        <v>0</v>
      </c>
      <c r="AN1340" s="60">
        <v>0</v>
      </c>
      <c r="AO1340" s="60">
        <v>30.66</v>
      </c>
      <c r="AP1340" s="60">
        <v>30.35</v>
      </c>
      <c r="AQ1340" s="60">
        <v>40.6</v>
      </c>
      <c r="AR1340" s="61">
        <v>40.6</v>
      </c>
    </row>
    <row r="1341" spans="1:44" x14ac:dyDescent="0.35">
      <c r="A1341" s="49" t="str">
        <f t="shared" si="108"/>
        <v>43</v>
      </c>
      <c r="B1341" s="27">
        <v>69674</v>
      </c>
      <c r="C1341" s="25" t="str">
        <f t="shared" si="109"/>
        <v>0000000</v>
      </c>
      <c r="D1341" s="26" t="s">
        <v>3663</v>
      </c>
      <c r="E1341" s="25" t="s">
        <v>2836</v>
      </c>
      <c r="F1341" s="25" t="s">
        <v>2694</v>
      </c>
      <c r="G1341" s="59" t="s">
        <v>2837</v>
      </c>
      <c r="H1341" s="60">
        <v>13036.48</v>
      </c>
      <c r="I1341" s="60">
        <v>13041.87</v>
      </c>
      <c r="J1341" s="60">
        <v>14597.39</v>
      </c>
      <c r="K1341" s="60">
        <v>0</v>
      </c>
      <c r="L1341" s="60">
        <v>0</v>
      </c>
      <c r="M1341" s="60">
        <v>0</v>
      </c>
      <c r="N1341" s="60">
        <v>0</v>
      </c>
      <c r="O1341" s="60">
        <v>0</v>
      </c>
      <c r="P1341" s="60">
        <v>0</v>
      </c>
      <c r="Q1341" s="60">
        <v>0</v>
      </c>
      <c r="R1341" s="60">
        <v>0</v>
      </c>
      <c r="S1341" s="60">
        <v>0</v>
      </c>
      <c r="T1341" s="60">
        <v>0</v>
      </c>
      <c r="U1341" s="60">
        <v>0</v>
      </c>
      <c r="V1341" s="60">
        <v>0</v>
      </c>
      <c r="W1341" s="60">
        <v>0</v>
      </c>
      <c r="X1341" s="60">
        <v>0</v>
      </c>
      <c r="Y1341" s="60">
        <v>0</v>
      </c>
      <c r="Z1341" s="60">
        <v>0</v>
      </c>
      <c r="AA1341" s="60">
        <v>0</v>
      </c>
      <c r="AB1341" s="60">
        <v>0</v>
      </c>
      <c r="AC1341" s="60">
        <v>0</v>
      </c>
      <c r="AD1341" s="60">
        <v>0</v>
      </c>
      <c r="AE1341" s="60">
        <v>0</v>
      </c>
      <c r="AF1341" s="60">
        <v>0</v>
      </c>
      <c r="AG1341" s="60">
        <v>0</v>
      </c>
      <c r="AH1341" s="60">
        <v>0</v>
      </c>
      <c r="AI1341" s="60">
        <v>13036.48</v>
      </c>
      <c r="AJ1341" s="60">
        <v>13041.87</v>
      </c>
      <c r="AK1341" s="60">
        <v>14597.39</v>
      </c>
      <c r="AL1341" s="60">
        <v>0</v>
      </c>
      <c r="AM1341" s="60">
        <v>0</v>
      </c>
      <c r="AN1341" s="60">
        <v>0</v>
      </c>
      <c r="AO1341" s="60">
        <v>13036.48</v>
      </c>
      <c r="AP1341" s="60">
        <v>13041.87</v>
      </c>
      <c r="AQ1341" s="60">
        <v>14597.39</v>
      </c>
      <c r="AR1341" s="61">
        <v>14597.39</v>
      </c>
    </row>
    <row r="1342" spans="1:44" x14ac:dyDescent="0.35">
      <c r="A1342" s="49" t="str">
        <f t="shared" si="108"/>
        <v>43</v>
      </c>
      <c r="B1342" s="27">
        <v>10439</v>
      </c>
      <c r="C1342" s="25" t="str">
        <f t="shared" si="109"/>
        <v>0000000</v>
      </c>
      <c r="D1342" s="26" t="s">
        <v>3663</v>
      </c>
      <c r="E1342" s="25" t="s">
        <v>2695</v>
      </c>
      <c r="F1342" s="25" t="s">
        <v>2696</v>
      </c>
      <c r="G1342" s="59" t="s">
        <v>2696</v>
      </c>
      <c r="H1342" s="60">
        <v>0</v>
      </c>
      <c r="I1342" s="60">
        <v>0</v>
      </c>
      <c r="J1342" s="60">
        <v>0</v>
      </c>
      <c r="K1342" s="60">
        <v>0</v>
      </c>
      <c r="L1342" s="60">
        <v>0</v>
      </c>
      <c r="M1342" s="60">
        <v>0</v>
      </c>
      <c r="N1342" s="60">
        <v>0</v>
      </c>
      <c r="O1342" s="60">
        <v>0</v>
      </c>
      <c r="P1342" s="60">
        <v>0</v>
      </c>
      <c r="Q1342" s="60">
        <v>0</v>
      </c>
      <c r="R1342" s="60">
        <v>0</v>
      </c>
      <c r="S1342" s="60">
        <v>0</v>
      </c>
      <c r="T1342" s="60">
        <v>11.15</v>
      </c>
      <c r="U1342" s="60">
        <v>8.24</v>
      </c>
      <c r="V1342" s="60">
        <v>24.16</v>
      </c>
      <c r="W1342" s="60">
        <v>1.89</v>
      </c>
      <c r="X1342" s="60">
        <v>3.57</v>
      </c>
      <c r="Y1342" s="60">
        <v>4.16</v>
      </c>
      <c r="Z1342" s="60">
        <v>0</v>
      </c>
      <c r="AA1342" s="60">
        <v>0</v>
      </c>
      <c r="AB1342" s="60">
        <v>0</v>
      </c>
      <c r="AC1342" s="60">
        <v>1017.23</v>
      </c>
      <c r="AD1342" s="60">
        <v>1030.04</v>
      </c>
      <c r="AE1342" s="60">
        <v>1043.9000000000001</v>
      </c>
      <c r="AF1342" s="60">
        <v>0</v>
      </c>
      <c r="AG1342" s="60">
        <v>0</v>
      </c>
      <c r="AH1342" s="60">
        <v>0</v>
      </c>
      <c r="AI1342" s="60">
        <v>1030.27</v>
      </c>
      <c r="AJ1342" s="60">
        <v>1041.8499999999999</v>
      </c>
      <c r="AK1342" s="60">
        <v>1072.22</v>
      </c>
      <c r="AL1342" s="60">
        <v>0</v>
      </c>
      <c r="AM1342" s="60">
        <v>0</v>
      </c>
      <c r="AN1342" s="60">
        <v>0</v>
      </c>
      <c r="AO1342" s="60">
        <v>1030.27</v>
      </c>
      <c r="AP1342" s="60">
        <v>1041.8499999999999</v>
      </c>
      <c r="AQ1342" s="60">
        <v>1072.22</v>
      </c>
      <c r="AR1342" s="61">
        <v>1072.22</v>
      </c>
    </row>
    <row r="1343" spans="1:44" x14ac:dyDescent="0.35">
      <c r="A1343" s="49" t="str">
        <f t="shared" si="108"/>
        <v>43</v>
      </c>
      <c r="B1343" s="27">
        <v>69518</v>
      </c>
      <c r="C1343" s="25" t="str">
        <f t="shared" si="109"/>
        <v>0000000</v>
      </c>
      <c r="D1343" s="26" t="s">
        <v>3663</v>
      </c>
      <c r="E1343" s="25" t="s">
        <v>2802</v>
      </c>
      <c r="F1343" s="25" t="s">
        <v>2696</v>
      </c>
      <c r="G1343" s="59" t="s">
        <v>2803</v>
      </c>
      <c r="H1343" s="60">
        <v>3201.1</v>
      </c>
      <c r="I1343" s="60">
        <v>3278.89</v>
      </c>
      <c r="J1343" s="60">
        <v>3897.68</v>
      </c>
      <c r="K1343" s="60">
        <v>0</v>
      </c>
      <c r="L1343" s="60">
        <v>0</v>
      </c>
      <c r="M1343" s="60">
        <v>0</v>
      </c>
      <c r="N1343" s="60">
        <v>0</v>
      </c>
      <c r="O1343" s="60">
        <v>0</v>
      </c>
      <c r="P1343" s="60">
        <v>0</v>
      </c>
      <c r="Q1343" s="60">
        <v>0</v>
      </c>
      <c r="R1343" s="60">
        <v>0</v>
      </c>
      <c r="S1343" s="60">
        <v>0</v>
      </c>
      <c r="T1343" s="60">
        <v>0</v>
      </c>
      <c r="U1343" s="60">
        <v>0</v>
      </c>
      <c r="V1343" s="60">
        <v>0</v>
      </c>
      <c r="W1343" s="60">
        <v>0</v>
      </c>
      <c r="X1343" s="60">
        <v>0</v>
      </c>
      <c r="Y1343" s="60">
        <v>0</v>
      </c>
      <c r="Z1343" s="60">
        <v>0</v>
      </c>
      <c r="AA1343" s="60">
        <v>0</v>
      </c>
      <c r="AB1343" s="60">
        <v>0</v>
      </c>
      <c r="AC1343" s="60">
        <v>0</v>
      </c>
      <c r="AD1343" s="60">
        <v>0</v>
      </c>
      <c r="AE1343" s="60">
        <v>0</v>
      </c>
      <c r="AF1343" s="60">
        <v>0</v>
      </c>
      <c r="AG1343" s="60">
        <v>0</v>
      </c>
      <c r="AH1343" s="60">
        <v>0</v>
      </c>
      <c r="AI1343" s="60">
        <v>3201.1</v>
      </c>
      <c r="AJ1343" s="60">
        <v>3278.89</v>
      </c>
      <c r="AK1343" s="60">
        <v>3897.68</v>
      </c>
      <c r="AL1343" s="60">
        <v>0</v>
      </c>
      <c r="AM1343" s="60">
        <v>0</v>
      </c>
      <c r="AN1343" s="60">
        <v>0</v>
      </c>
      <c r="AO1343" s="60">
        <v>3201.1</v>
      </c>
      <c r="AP1343" s="60">
        <v>3278.89</v>
      </c>
      <c r="AQ1343" s="60">
        <v>3897.68</v>
      </c>
      <c r="AR1343" s="61">
        <v>3897.68</v>
      </c>
    </row>
    <row r="1344" spans="1:44" x14ac:dyDescent="0.35">
      <c r="A1344" s="49" t="str">
        <f t="shared" si="108"/>
        <v>43</v>
      </c>
      <c r="B1344" s="27">
        <v>69641</v>
      </c>
      <c r="C1344" s="25" t="str">
        <f t="shared" si="109"/>
        <v>0000000</v>
      </c>
      <c r="D1344" s="26" t="s">
        <v>3663</v>
      </c>
      <c r="E1344" s="25" t="s">
        <v>2825</v>
      </c>
      <c r="F1344" s="25" t="s">
        <v>2696</v>
      </c>
      <c r="G1344" s="59" t="s">
        <v>2826</v>
      </c>
      <c r="H1344" s="60">
        <v>9285.52</v>
      </c>
      <c r="I1344" s="60">
        <v>9411.06</v>
      </c>
      <c r="J1344" s="60">
        <v>10699.87</v>
      </c>
      <c r="K1344" s="60">
        <v>0</v>
      </c>
      <c r="L1344" s="60">
        <v>0</v>
      </c>
      <c r="M1344" s="60">
        <v>0</v>
      </c>
      <c r="N1344" s="60">
        <v>456.63</v>
      </c>
      <c r="O1344" s="60">
        <v>424.78</v>
      </c>
      <c r="P1344" s="60">
        <v>580.16</v>
      </c>
      <c r="Q1344" s="60">
        <v>0</v>
      </c>
      <c r="R1344" s="60">
        <v>0</v>
      </c>
      <c r="S1344" s="60">
        <v>0</v>
      </c>
      <c r="T1344" s="60">
        <v>0</v>
      </c>
      <c r="U1344" s="60">
        <v>0</v>
      </c>
      <c r="V1344" s="60">
        <v>0</v>
      </c>
      <c r="W1344" s="60">
        <v>0</v>
      </c>
      <c r="X1344" s="60">
        <v>0</v>
      </c>
      <c r="Y1344" s="60">
        <v>0</v>
      </c>
      <c r="Z1344" s="60">
        <v>0</v>
      </c>
      <c r="AA1344" s="60">
        <v>0</v>
      </c>
      <c r="AB1344" s="60">
        <v>0</v>
      </c>
      <c r="AC1344" s="60">
        <v>0</v>
      </c>
      <c r="AD1344" s="60">
        <v>0</v>
      </c>
      <c r="AE1344" s="60">
        <v>0</v>
      </c>
      <c r="AF1344" s="60">
        <v>0</v>
      </c>
      <c r="AG1344" s="60">
        <v>0</v>
      </c>
      <c r="AH1344" s="60">
        <v>0</v>
      </c>
      <c r="AI1344" s="60">
        <v>9742.15</v>
      </c>
      <c r="AJ1344" s="60">
        <v>9835.84</v>
      </c>
      <c r="AK1344" s="60">
        <v>11280.03</v>
      </c>
      <c r="AL1344" s="60">
        <v>0</v>
      </c>
      <c r="AM1344" s="60">
        <v>0</v>
      </c>
      <c r="AN1344" s="60">
        <v>0</v>
      </c>
      <c r="AO1344" s="60">
        <v>9742.15</v>
      </c>
      <c r="AP1344" s="60">
        <v>9835.84</v>
      </c>
      <c r="AQ1344" s="60">
        <v>11280.03</v>
      </c>
      <c r="AR1344" s="61">
        <v>11280.03</v>
      </c>
    </row>
    <row r="1345" spans="1:44" x14ac:dyDescent="0.35">
      <c r="A1345" s="49" t="str">
        <f t="shared" si="108"/>
        <v>43</v>
      </c>
      <c r="B1345" s="27">
        <v>69609</v>
      </c>
      <c r="C1345" s="25" t="str">
        <f t="shared" si="109"/>
        <v>0000000</v>
      </c>
      <c r="D1345" s="26" t="s">
        <v>3663</v>
      </c>
      <c r="E1345" s="25" t="s">
        <v>2819</v>
      </c>
      <c r="F1345" s="25" t="s">
        <v>2696</v>
      </c>
      <c r="G1345" s="59" t="s">
        <v>2820</v>
      </c>
      <c r="H1345" s="60">
        <v>4066.63</v>
      </c>
      <c r="I1345" s="60">
        <v>4154.26</v>
      </c>
      <c r="J1345" s="60">
        <v>4223.4799999999996</v>
      </c>
      <c r="K1345" s="60">
        <v>0</v>
      </c>
      <c r="L1345" s="60">
        <v>0</v>
      </c>
      <c r="M1345" s="60">
        <v>0</v>
      </c>
      <c r="N1345" s="60">
        <v>0</v>
      </c>
      <c r="O1345" s="60">
        <v>0</v>
      </c>
      <c r="P1345" s="60">
        <v>0</v>
      </c>
      <c r="Q1345" s="60">
        <v>0</v>
      </c>
      <c r="R1345" s="60">
        <v>0</v>
      </c>
      <c r="S1345" s="60">
        <v>0</v>
      </c>
      <c r="T1345" s="60">
        <v>0</v>
      </c>
      <c r="U1345" s="60">
        <v>0</v>
      </c>
      <c r="V1345" s="60">
        <v>0</v>
      </c>
      <c r="W1345" s="60">
        <v>0</v>
      </c>
      <c r="X1345" s="60">
        <v>0</v>
      </c>
      <c r="Y1345" s="60">
        <v>0</v>
      </c>
      <c r="Z1345" s="60">
        <v>0</v>
      </c>
      <c r="AA1345" s="60">
        <v>0</v>
      </c>
      <c r="AB1345" s="60">
        <v>0</v>
      </c>
      <c r="AC1345" s="60">
        <v>0</v>
      </c>
      <c r="AD1345" s="60">
        <v>0</v>
      </c>
      <c r="AE1345" s="60">
        <v>0</v>
      </c>
      <c r="AF1345" s="60">
        <v>0</v>
      </c>
      <c r="AG1345" s="60">
        <v>0</v>
      </c>
      <c r="AH1345" s="60">
        <v>0</v>
      </c>
      <c r="AI1345" s="60">
        <v>4066.63</v>
      </c>
      <c r="AJ1345" s="60">
        <v>4154.26</v>
      </c>
      <c r="AK1345" s="60">
        <v>4223.4799999999996</v>
      </c>
      <c r="AL1345" s="60">
        <v>0</v>
      </c>
      <c r="AM1345" s="60">
        <v>0</v>
      </c>
      <c r="AN1345" s="60">
        <v>0</v>
      </c>
      <c r="AO1345" s="60">
        <v>4066.63</v>
      </c>
      <c r="AP1345" s="60">
        <v>4154.26</v>
      </c>
      <c r="AQ1345" s="60">
        <v>4223.4799999999996</v>
      </c>
      <c r="AR1345" s="61">
        <v>4223.4799999999996</v>
      </c>
    </row>
    <row r="1346" spans="1:44" x14ac:dyDescent="0.35">
      <c r="A1346" s="49" t="str">
        <f t="shared" si="108"/>
        <v>43</v>
      </c>
      <c r="B1346" s="27">
        <v>69591</v>
      </c>
      <c r="C1346" s="25" t="str">
        <f t="shared" si="109"/>
        <v>0000000</v>
      </c>
      <c r="D1346" s="26" t="s">
        <v>3663</v>
      </c>
      <c r="E1346" s="25" t="s">
        <v>2817</v>
      </c>
      <c r="F1346" s="25" t="s">
        <v>2696</v>
      </c>
      <c r="G1346" s="59" t="s">
        <v>2818</v>
      </c>
      <c r="H1346" s="60">
        <v>4264.67</v>
      </c>
      <c r="I1346" s="60">
        <v>4251.83</v>
      </c>
      <c r="J1346" s="60">
        <v>4916.0600000000004</v>
      </c>
      <c r="K1346" s="60">
        <v>0</v>
      </c>
      <c r="L1346" s="60">
        <v>0</v>
      </c>
      <c r="M1346" s="60">
        <v>0</v>
      </c>
      <c r="N1346" s="60">
        <v>0</v>
      </c>
      <c r="O1346" s="60">
        <v>0</v>
      </c>
      <c r="P1346" s="60">
        <v>0</v>
      </c>
      <c r="Q1346" s="60">
        <v>0</v>
      </c>
      <c r="R1346" s="60">
        <v>0</v>
      </c>
      <c r="S1346" s="60">
        <v>0</v>
      </c>
      <c r="T1346" s="60">
        <v>0</v>
      </c>
      <c r="U1346" s="60">
        <v>0</v>
      </c>
      <c r="V1346" s="60">
        <v>0</v>
      </c>
      <c r="W1346" s="60">
        <v>0</v>
      </c>
      <c r="X1346" s="60">
        <v>0</v>
      </c>
      <c r="Y1346" s="60">
        <v>0</v>
      </c>
      <c r="Z1346" s="60">
        <v>0</v>
      </c>
      <c r="AA1346" s="60">
        <v>0</v>
      </c>
      <c r="AB1346" s="60">
        <v>0</v>
      </c>
      <c r="AC1346" s="60">
        <v>0</v>
      </c>
      <c r="AD1346" s="60">
        <v>0</v>
      </c>
      <c r="AE1346" s="60">
        <v>0</v>
      </c>
      <c r="AF1346" s="60">
        <v>0</v>
      </c>
      <c r="AG1346" s="60">
        <v>0</v>
      </c>
      <c r="AH1346" s="60">
        <v>0</v>
      </c>
      <c r="AI1346" s="60">
        <v>4264.67</v>
      </c>
      <c r="AJ1346" s="60">
        <v>4251.83</v>
      </c>
      <c r="AK1346" s="60">
        <v>4916.0600000000004</v>
      </c>
      <c r="AL1346" s="60">
        <v>0</v>
      </c>
      <c r="AM1346" s="60">
        <v>0</v>
      </c>
      <c r="AN1346" s="60">
        <v>0</v>
      </c>
      <c r="AO1346" s="60">
        <v>4264.67</v>
      </c>
      <c r="AP1346" s="60">
        <v>4251.83</v>
      </c>
      <c r="AQ1346" s="60">
        <v>4916.0600000000004</v>
      </c>
      <c r="AR1346" s="61">
        <v>4916.0600000000004</v>
      </c>
    </row>
    <row r="1347" spans="1:44" x14ac:dyDescent="0.35">
      <c r="A1347" s="49" t="str">
        <f t="shared" ref="A1347:A1361" si="110">TEXT(29,"00")</f>
        <v>29</v>
      </c>
      <c r="B1347" s="27">
        <v>10298</v>
      </c>
      <c r="C1347" s="25" t="str">
        <f t="shared" si="109"/>
        <v>0000000</v>
      </c>
      <c r="D1347" s="26" t="s">
        <v>3663</v>
      </c>
      <c r="E1347" s="25" t="s">
        <v>1457</v>
      </c>
      <c r="F1347" s="25" t="s">
        <v>1458</v>
      </c>
      <c r="G1347" s="59" t="s">
        <v>1458</v>
      </c>
      <c r="H1347" s="60">
        <v>0</v>
      </c>
      <c r="I1347" s="60">
        <v>0</v>
      </c>
      <c r="J1347" s="60">
        <v>0</v>
      </c>
      <c r="K1347" s="60">
        <v>0</v>
      </c>
      <c r="L1347" s="60">
        <v>0</v>
      </c>
      <c r="M1347" s="60">
        <v>0</v>
      </c>
      <c r="N1347" s="60">
        <v>0</v>
      </c>
      <c r="O1347" s="60">
        <v>0</v>
      </c>
      <c r="P1347" s="60">
        <v>0</v>
      </c>
      <c r="Q1347" s="60">
        <v>0</v>
      </c>
      <c r="R1347" s="60">
        <v>0</v>
      </c>
      <c r="S1347" s="60">
        <v>0</v>
      </c>
      <c r="T1347" s="60">
        <v>7.38</v>
      </c>
      <c r="U1347" s="60">
        <v>5.36</v>
      </c>
      <c r="V1347" s="60">
        <v>16.07</v>
      </c>
      <c r="W1347" s="60">
        <v>55.41</v>
      </c>
      <c r="X1347" s="60">
        <v>44.14</v>
      </c>
      <c r="Y1347" s="60">
        <v>61.89</v>
      </c>
      <c r="Z1347" s="60">
        <v>328.16</v>
      </c>
      <c r="AA1347" s="60">
        <v>337.83</v>
      </c>
      <c r="AB1347" s="60">
        <v>645.29999999999995</v>
      </c>
      <c r="AC1347" s="60">
        <v>0</v>
      </c>
      <c r="AD1347" s="60">
        <v>0</v>
      </c>
      <c r="AE1347" s="60">
        <v>0</v>
      </c>
      <c r="AF1347" s="60">
        <v>0</v>
      </c>
      <c r="AG1347" s="60">
        <v>0</v>
      </c>
      <c r="AH1347" s="60">
        <v>0</v>
      </c>
      <c r="AI1347" s="60">
        <v>390.95</v>
      </c>
      <c r="AJ1347" s="60">
        <v>387.33</v>
      </c>
      <c r="AK1347" s="60">
        <v>723.26</v>
      </c>
      <c r="AL1347" s="60">
        <v>0</v>
      </c>
      <c r="AM1347" s="60">
        <v>0</v>
      </c>
      <c r="AN1347" s="60">
        <v>0</v>
      </c>
      <c r="AO1347" s="60">
        <v>390.95</v>
      </c>
      <c r="AP1347" s="60">
        <v>387.33</v>
      </c>
      <c r="AQ1347" s="60">
        <v>723.26</v>
      </c>
      <c r="AR1347" s="61">
        <v>723.26</v>
      </c>
    </row>
    <row r="1348" spans="1:44" x14ac:dyDescent="0.35">
      <c r="A1348" s="49" t="str">
        <f t="shared" si="110"/>
        <v>29</v>
      </c>
      <c r="B1348" s="27">
        <v>66332</v>
      </c>
      <c r="C1348" s="25" t="str">
        <f t="shared" si="109"/>
        <v>0000000</v>
      </c>
      <c r="D1348" s="26" t="s">
        <v>3663</v>
      </c>
      <c r="E1348" s="25" t="s">
        <v>1476</v>
      </c>
      <c r="F1348" s="25" t="s">
        <v>1458</v>
      </c>
      <c r="G1348" s="59" t="s">
        <v>1477</v>
      </c>
      <c r="H1348" s="60">
        <v>955.56</v>
      </c>
      <c r="I1348" s="60">
        <v>962.95</v>
      </c>
      <c r="J1348" s="60">
        <v>1205.42</v>
      </c>
      <c r="K1348" s="60">
        <v>0</v>
      </c>
      <c r="L1348" s="60">
        <v>0</v>
      </c>
      <c r="M1348" s="60">
        <v>0</v>
      </c>
      <c r="N1348" s="60">
        <v>0</v>
      </c>
      <c r="O1348" s="60">
        <v>0</v>
      </c>
      <c r="P1348" s="60">
        <v>0</v>
      </c>
      <c r="Q1348" s="60">
        <v>0</v>
      </c>
      <c r="R1348" s="60">
        <v>0</v>
      </c>
      <c r="S1348" s="60">
        <v>0</v>
      </c>
      <c r="T1348" s="60">
        <v>0</v>
      </c>
      <c r="U1348" s="60">
        <v>0</v>
      </c>
      <c r="V1348" s="60">
        <v>0</v>
      </c>
      <c r="W1348" s="60">
        <v>0</v>
      </c>
      <c r="X1348" s="60">
        <v>0</v>
      </c>
      <c r="Y1348" s="60">
        <v>0</v>
      </c>
      <c r="Z1348" s="60">
        <v>0</v>
      </c>
      <c r="AA1348" s="60">
        <v>0</v>
      </c>
      <c r="AB1348" s="60">
        <v>0</v>
      </c>
      <c r="AC1348" s="60">
        <v>486.56</v>
      </c>
      <c r="AD1348" s="60">
        <v>455.72</v>
      </c>
      <c r="AE1348" s="60">
        <v>499.39</v>
      </c>
      <c r="AF1348" s="60">
        <v>0</v>
      </c>
      <c r="AG1348" s="60">
        <v>0</v>
      </c>
      <c r="AH1348" s="60">
        <v>0</v>
      </c>
      <c r="AI1348" s="60">
        <v>1442.12</v>
      </c>
      <c r="AJ1348" s="60">
        <v>1418.67</v>
      </c>
      <c r="AK1348" s="60">
        <v>1704.81</v>
      </c>
      <c r="AL1348" s="60">
        <v>0</v>
      </c>
      <c r="AM1348" s="60">
        <v>0</v>
      </c>
      <c r="AN1348" s="60">
        <v>0</v>
      </c>
      <c r="AO1348" s="60">
        <v>1442.12</v>
      </c>
      <c r="AP1348" s="60">
        <v>1418.67</v>
      </c>
      <c r="AQ1348" s="60">
        <v>1704.81</v>
      </c>
      <c r="AR1348" s="61">
        <v>1704.81</v>
      </c>
    </row>
    <row r="1349" spans="1:44" x14ac:dyDescent="0.35">
      <c r="A1349" s="49" t="str">
        <f t="shared" si="110"/>
        <v>29</v>
      </c>
      <c r="B1349" s="27">
        <v>66340</v>
      </c>
      <c r="C1349" s="25" t="str">
        <f t="shared" si="109"/>
        <v>0000000</v>
      </c>
      <c r="D1349" s="26" t="s">
        <v>3663</v>
      </c>
      <c r="E1349" s="25" t="s">
        <v>1478</v>
      </c>
      <c r="F1349" s="25" t="s">
        <v>1458</v>
      </c>
      <c r="G1349" s="59" t="s">
        <v>1479</v>
      </c>
      <c r="H1349" s="60">
        <v>592.12</v>
      </c>
      <c r="I1349" s="60">
        <v>580.26</v>
      </c>
      <c r="J1349" s="60">
        <v>648.42999999999995</v>
      </c>
      <c r="K1349" s="60">
        <v>0</v>
      </c>
      <c r="L1349" s="60">
        <v>0</v>
      </c>
      <c r="M1349" s="60">
        <v>0</v>
      </c>
      <c r="N1349" s="60">
        <v>38.520000000000003</v>
      </c>
      <c r="O1349" s="60">
        <v>33.75</v>
      </c>
      <c r="P1349" s="60">
        <v>60.26</v>
      </c>
      <c r="Q1349" s="60">
        <v>0</v>
      </c>
      <c r="R1349" s="60">
        <v>0</v>
      </c>
      <c r="S1349" s="60">
        <v>0</v>
      </c>
      <c r="T1349" s="60">
        <v>0</v>
      </c>
      <c r="U1349" s="60">
        <v>0</v>
      </c>
      <c r="V1349" s="60">
        <v>0</v>
      </c>
      <c r="W1349" s="60">
        <v>0</v>
      </c>
      <c r="X1349" s="60">
        <v>0</v>
      </c>
      <c r="Y1349" s="60">
        <v>0</v>
      </c>
      <c r="Z1349" s="60">
        <v>0</v>
      </c>
      <c r="AA1349" s="60">
        <v>0</v>
      </c>
      <c r="AB1349" s="60">
        <v>0</v>
      </c>
      <c r="AC1349" s="60">
        <v>0</v>
      </c>
      <c r="AD1349" s="60">
        <v>0</v>
      </c>
      <c r="AE1349" s="60">
        <v>0</v>
      </c>
      <c r="AF1349" s="60">
        <v>0</v>
      </c>
      <c r="AG1349" s="60">
        <v>0</v>
      </c>
      <c r="AH1349" s="60">
        <v>0</v>
      </c>
      <c r="AI1349" s="60">
        <v>630.64</v>
      </c>
      <c r="AJ1349" s="60">
        <v>614.01</v>
      </c>
      <c r="AK1349" s="60">
        <v>708.69</v>
      </c>
      <c r="AL1349" s="60">
        <v>0</v>
      </c>
      <c r="AM1349" s="60">
        <v>0</v>
      </c>
      <c r="AN1349" s="60">
        <v>0</v>
      </c>
      <c r="AO1349" s="60">
        <v>630.64</v>
      </c>
      <c r="AP1349" s="60">
        <v>614.01</v>
      </c>
      <c r="AQ1349" s="60">
        <v>708.69</v>
      </c>
      <c r="AR1349" s="61">
        <v>708.69</v>
      </c>
    </row>
    <row r="1350" spans="1:44" x14ac:dyDescent="0.35">
      <c r="A1350" s="49" t="str">
        <f t="shared" si="110"/>
        <v>29</v>
      </c>
      <c r="B1350" s="27">
        <v>66373</v>
      </c>
      <c r="C1350" s="25" t="str">
        <f t="shared" si="109"/>
        <v>0000000</v>
      </c>
      <c r="D1350" s="26" t="s">
        <v>3663</v>
      </c>
      <c r="E1350" s="25" t="s">
        <v>1484</v>
      </c>
      <c r="F1350" s="25" t="s">
        <v>1458</v>
      </c>
      <c r="G1350" s="59" t="s">
        <v>1485</v>
      </c>
      <c r="H1350" s="60">
        <v>1053.04</v>
      </c>
      <c r="I1350" s="60">
        <v>1033.5899999999999</v>
      </c>
      <c r="J1350" s="60">
        <v>1129.24</v>
      </c>
      <c r="K1350" s="60">
        <v>0</v>
      </c>
      <c r="L1350" s="60">
        <v>0</v>
      </c>
      <c r="M1350" s="60">
        <v>0</v>
      </c>
      <c r="N1350" s="60">
        <v>0</v>
      </c>
      <c r="O1350" s="60">
        <v>0</v>
      </c>
      <c r="P1350" s="60">
        <v>0</v>
      </c>
      <c r="Q1350" s="60">
        <v>0</v>
      </c>
      <c r="R1350" s="60">
        <v>0</v>
      </c>
      <c r="S1350" s="60">
        <v>0</v>
      </c>
      <c r="T1350" s="60">
        <v>0</v>
      </c>
      <c r="U1350" s="60">
        <v>0</v>
      </c>
      <c r="V1350" s="60">
        <v>0</v>
      </c>
      <c r="W1350" s="60">
        <v>0</v>
      </c>
      <c r="X1350" s="60">
        <v>0</v>
      </c>
      <c r="Y1350" s="60">
        <v>0</v>
      </c>
      <c r="Z1350" s="60">
        <v>0</v>
      </c>
      <c r="AA1350" s="60">
        <v>0</v>
      </c>
      <c r="AB1350" s="60">
        <v>0</v>
      </c>
      <c r="AC1350" s="60">
        <v>245.66</v>
      </c>
      <c r="AD1350" s="60">
        <v>215</v>
      </c>
      <c r="AE1350" s="60">
        <v>117.86</v>
      </c>
      <c r="AF1350" s="60">
        <v>0</v>
      </c>
      <c r="AG1350" s="60">
        <v>0</v>
      </c>
      <c r="AH1350" s="60">
        <v>0</v>
      </c>
      <c r="AI1350" s="60">
        <v>1298.7</v>
      </c>
      <c r="AJ1350" s="60">
        <v>1248.5899999999999</v>
      </c>
      <c r="AK1350" s="60">
        <v>1247.0999999999999</v>
      </c>
      <c r="AL1350" s="60">
        <v>0</v>
      </c>
      <c r="AM1350" s="60">
        <v>0</v>
      </c>
      <c r="AN1350" s="60">
        <v>0</v>
      </c>
      <c r="AO1350" s="60">
        <v>1298.7</v>
      </c>
      <c r="AP1350" s="60">
        <v>1248.5899999999999</v>
      </c>
      <c r="AQ1350" s="60">
        <v>1247.0999999999999</v>
      </c>
      <c r="AR1350" s="61">
        <v>1298.7</v>
      </c>
    </row>
    <row r="1351" spans="1:44" x14ac:dyDescent="0.35">
      <c r="A1351" s="49" t="str">
        <f t="shared" si="110"/>
        <v>29</v>
      </c>
      <c r="B1351" s="27">
        <v>66407</v>
      </c>
      <c r="C1351" s="25" t="str">
        <f t="shared" si="109"/>
        <v>0000000</v>
      </c>
      <c r="D1351" s="26" t="s">
        <v>3663</v>
      </c>
      <c r="E1351" s="25" t="s">
        <v>1486</v>
      </c>
      <c r="F1351" s="25" t="s">
        <v>1458</v>
      </c>
      <c r="G1351" s="59" t="s">
        <v>1487</v>
      </c>
      <c r="H1351" s="60">
        <v>127.15</v>
      </c>
      <c r="I1351" s="60">
        <v>128.04</v>
      </c>
      <c r="J1351" s="60">
        <v>135.79</v>
      </c>
      <c r="K1351" s="60">
        <v>0</v>
      </c>
      <c r="L1351" s="60">
        <v>0</v>
      </c>
      <c r="M1351" s="60">
        <v>0</v>
      </c>
      <c r="N1351" s="60">
        <v>0</v>
      </c>
      <c r="O1351" s="60">
        <v>0</v>
      </c>
      <c r="P1351" s="60">
        <v>0</v>
      </c>
      <c r="Q1351" s="60">
        <v>0</v>
      </c>
      <c r="R1351" s="60">
        <v>0</v>
      </c>
      <c r="S1351" s="60">
        <v>0</v>
      </c>
      <c r="T1351" s="60">
        <v>0</v>
      </c>
      <c r="U1351" s="60">
        <v>0</v>
      </c>
      <c r="V1351" s="60">
        <v>0</v>
      </c>
      <c r="W1351" s="60">
        <v>0</v>
      </c>
      <c r="X1351" s="60">
        <v>0</v>
      </c>
      <c r="Y1351" s="60">
        <v>0</v>
      </c>
      <c r="Z1351" s="60">
        <v>0</v>
      </c>
      <c r="AA1351" s="60">
        <v>0</v>
      </c>
      <c r="AB1351" s="60">
        <v>0</v>
      </c>
      <c r="AC1351" s="60">
        <v>490.97</v>
      </c>
      <c r="AD1351" s="60">
        <v>504.98</v>
      </c>
      <c r="AE1351" s="60">
        <v>575.76</v>
      </c>
      <c r="AF1351" s="60">
        <v>0</v>
      </c>
      <c r="AG1351" s="60">
        <v>0</v>
      </c>
      <c r="AH1351" s="60">
        <v>0</v>
      </c>
      <c r="AI1351" s="60">
        <v>618.12</v>
      </c>
      <c r="AJ1351" s="60">
        <v>633.02</v>
      </c>
      <c r="AK1351" s="60">
        <v>711.55</v>
      </c>
      <c r="AL1351" s="60">
        <v>0</v>
      </c>
      <c r="AM1351" s="60">
        <v>0</v>
      </c>
      <c r="AN1351" s="60">
        <v>0</v>
      </c>
      <c r="AO1351" s="60">
        <v>618.12</v>
      </c>
      <c r="AP1351" s="60">
        <v>633.02</v>
      </c>
      <c r="AQ1351" s="60">
        <v>711.55</v>
      </c>
      <c r="AR1351" s="61">
        <v>711.55</v>
      </c>
    </row>
    <row r="1352" spans="1:44" x14ac:dyDescent="0.35">
      <c r="A1352" s="49" t="str">
        <f t="shared" si="110"/>
        <v>29</v>
      </c>
      <c r="B1352" s="27">
        <v>66357</v>
      </c>
      <c r="C1352" s="25" t="str">
        <f t="shared" si="109"/>
        <v>0000000</v>
      </c>
      <c r="D1352" s="26" t="s">
        <v>3663</v>
      </c>
      <c r="E1352" s="25" t="s">
        <v>1480</v>
      </c>
      <c r="F1352" s="25" t="s">
        <v>1458</v>
      </c>
      <c r="G1352" s="59" t="s">
        <v>1481</v>
      </c>
      <c r="H1352" s="60">
        <v>2202.31</v>
      </c>
      <c r="I1352" s="60">
        <v>2155.66</v>
      </c>
      <c r="J1352" s="60">
        <v>2410.8000000000002</v>
      </c>
      <c r="K1352" s="60">
        <v>0</v>
      </c>
      <c r="L1352" s="60">
        <v>0</v>
      </c>
      <c r="M1352" s="60">
        <v>0</v>
      </c>
      <c r="N1352" s="60">
        <v>0</v>
      </c>
      <c r="O1352" s="60">
        <v>0</v>
      </c>
      <c r="P1352" s="60">
        <v>0</v>
      </c>
      <c r="Q1352" s="60">
        <v>0</v>
      </c>
      <c r="R1352" s="60">
        <v>0</v>
      </c>
      <c r="S1352" s="60">
        <v>0</v>
      </c>
      <c r="T1352" s="60">
        <v>0</v>
      </c>
      <c r="U1352" s="60">
        <v>0</v>
      </c>
      <c r="V1352" s="60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396.24</v>
      </c>
      <c r="AD1352" s="60">
        <v>334.84</v>
      </c>
      <c r="AE1352" s="60">
        <v>495</v>
      </c>
      <c r="AF1352" s="60">
        <v>0</v>
      </c>
      <c r="AG1352" s="60">
        <v>0</v>
      </c>
      <c r="AH1352" s="60">
        <v>0</v>
      </c>
      <c r="AI1352" s="60">
        <v>2598.5500000000002</v>
      </c>
      <c r="AJ1352" s="60">
        <v>2490.5</v>
      </c>
      <c r="AK1352" s="60">
        <v>2905.8</v>
      </c>
      <c r="AL1352" s="60">
        <v>0</v>
      </c>
      <c r="AM1352" s="60">
        <v>0</v>
      </c>
      <c r="AN1352" s="60">
        <v>0</v>
      </c>
      <c r="AO1352" s="60">
        <v>2598.5500000000002</v>
      </c>
      <c r="AP1352" s="60">
        <v>2490.5</v>
      </c>
      <c r="AQ1352" s="60">
        <v>2905.8</v>
      </c>
      <c r="AR1352" s="61">
        <v>2905.8</v>
      </c>
    </row>
    <row r="1353" spans="1:44" x14ac:dyDescent="0.35">
      <c r="A1353" s="49" t="str">
        <f t="shared" si="110"/>
        <v>29</v>
      </c>
      <c r="B1353" s="27">
        <v>66324</v>
      </c>
      <c r="C1353" s="25" t="str">
        <f t="shared" si="109"/>
        <v>0000000</v>
      </c>
      <c r="D1353" s="26" t="s">
        <v>3663</v>
      </c>
      <c r="E1353" s="25" t="s">
        <v>1474</v>
      </c>
      <c r="F1353" s="25" t="s">
        <v>1458</v>
      </c>
      <c r="G1353" s="59" t="s">
        <v>1475</v>
      </c>
      <c r="H1353" s="60">
        <v>141.11000000000001</v>
      </c>
      <c r="I1353" s="60">
        <v>141.85</v>
      </c>
      <c r="J1353" s="60">
        <v>172.58</v>
      </c>
      <c r="K1353" s="60">
        <v>0</v>
      </c>
      <c r="L1353" s="60">
        <v>0</v>
      </c>
      <c r="M1353" s="60">
        <v>0</v>
      </c>
      <c r="N1353" s="60">
        <v>0</v>
      </c>
      <c r="O1353" s="60">
        <v>0</v>
      </c>
      <c r="P1353" s="60">
        <v>0</v>
      </c>
      <c r="Q1353" s="60">
        <v>0</v>
      </c>
      <c r="R1353" s="60">
        <v>0</v>
      </c>
      <c r="S1353" s="60">
        <v>0</v>
      </c>
      <c r="T1353" s="60">
        <v>0</v>
      </c>
      <c r="U1353" s="60">
        <v>0</v>
      </c>
      <c r="V1353" s="60">
        <v>0</v>
      </c>
      <c r="W1353" s="60">
        <v>0</v>
      </c>
      <c r="X1353" s="60">
        <v>0</v>
      </c>
      <c r="Y1353" s="60">
        <v>0</v>
      </c>
      <c r="Z1353" s="60">
        <v>0</v>
      </c>
      <c r="AA1353" s="60">
        <v>0</v>
      </c>
      <c r="AB1353" s="60">
        <v>0</v>
      </c>
      <c r="AC1353" s="60">
        <v>0</v>
      </c>
      <c r="AD1353" s="60">
        <v>0</v>
      </c>
      <c r="AE1353" s="60">
        <v>0</v>
      </c>
      <c r="AF1353" s="60">
        <v>0</v>
      </c>
      <c r="AG1353" s="60">
        <v>0</v>
      </c>
      <c r="AH1353" s="60">
        <v>0</v>
      </c>
      <c r="AI1353" s="60">
        <v>141.11000000000001</v>
      </c>
      <c r="AJ1353" s="60">
        <v>141.85</v>
      </c>
      <c r="AK1353" s="60">
        <v>172.58</v>
      </c>
      <c r="AL1353" s="60">
        <v>0</v>
      </c>
      <c r="AM1353" s="60">
        <v>0</v>
      </c>
      <c r="AN1353" s="60">
        <v>0</v>
      </c>
      <c r="AO1353" s="60">
        <v>141.11000000000001</v>
      </c>
      <c r="AP1353" s="60">
        <v>141.85</v>
      </c>
      <c r="AQ1353" s="60">
        <v>172.58</v>
      </c>
      <c r="AR1353" s="61">
        <v>172.58</v>
      </c>
    </row>
    <row r="1354" spans="1:44" x14ac:dyDescent="0.35">
      <c r="A1354" s="49" t="str">
        <f t="shared" si="110"/>
        <v>29</v>
      </c>
      <c r="B1354" s="27">
        <v>66316</v>
      </c>
      <c r="C1354" s="25" t="str">
        <f t="shared" si="109"/>
        <v>0000000</v>
      </c>
      <c r="D1354" s="26" t="s">
        <v>3663</v>
      </c>
      <c r="E1354" s="25" t="s">
        <v>1472</v>
      </c>
      <c r="F1354" s="25" t="s">
        <v>1458</v>
      </c>
      <c r="G1354" s="59" t="s">
        <v>1473</v>
      </c>
      <c r="H1354" s="60">
        <v>109.6</v>
      </c>
      <c r="I1354" s="60">
        <v>112.54</v>
      </c>
      <c r="J1354" s="60">
        <v>110.93</v>
      </c>
      <c r="K1354" s="60">
        <v>0</v>
      </c>
      <c r="L1354" s="60">
        <v>0</v>
      </c>
      <c r="M1354" s="60">
        <v>0</v>
      </c>
      <c r="N1354" s="60">
        <v>0</v>
      </c>
      <c r="O1354" s="60">
        <v>0</v>
      </c>
      <c r="P1354" s="60">
        <v>0</v>
      </c>
      <c r="Q1354" s="60">
        <v>0</v>
      </c>
      <c r="R1354" s="60">
        <v>0</v>
      </c>
      <c r="S1354" s="60">
        <v>0</v>
      </c>
      <c r="T1354" s="60">
        <v>0</v>
      </c>
      <c r="U1354" s="60">
        <v>0</v>
      </c>
      <c r="V1354" s="60">
        <v>0</v>
      </c>
      <c r="W1354" s="60">
        <v>0</v>
      </c>
      <c r="X1354" s="60">
        <v>0</v>
      </c>
      <c r="Y1354" s="60">
        <v>0</v>
      </c>
      <c r="Z1354" s="60">
        <v>0</v>
      </c>
      <c r="AA1354" s="60">
        <v>0</v>
      </c>
      <c r="AB1354" s="60">
        <v>0</v>
      </c>
      <c r="AC1354" s="60">
        <v>31.74</v>
      </c>
      <c r="AD1354" s="60">
        <v>953.04</v>
      </c>
      <c r="AE1354" s="60">
        <v>980.17</v>
      </c>
      <c r="AF1354" s="60">
        <v>0</v>
      </c>
      <c r="AG1354" s="60">
        <v>0</v>
      </c>
      <c r="AH1354" s="60">
        <v>0</v>
      </c>
      <c r="AI1354" s="60">
        <v>141.34</v>
      </c>
      <c r="AJ1354" s="60">
        <v>1065.58</v>
      </c>
      <c r="AK1354" s="60">
        <v>1091.0999999999999</v>
      </c>
      <c r="AL1354" s="60">
        <v>0</v>
      </c>
      <c r="AM1354" s="60">
        <v>-920.21</v>
      </c>
      <c r="AN1354" s="60">
        <v>-927.61</v>
      </c>
      <c r="AO1354" s="60">
        <v>141.34</v>
      </c>
      <c r="AP1354" s="60">
        <v>145.37</v>
      </c>
      <c r="AQ1354" s="60">
        <v>163.49</v>
      </c>
      <c r="AR1354" s="61">
        <v>163.49</v>
      </c>
    </row>
    <row r="1355" spans="1:44" x14ac:dyDescent="0.35">
      <c r="A1355" s="49" t="str">
        <f t="shared" si="110"/>
        <v>29</v>
      </c>
      <c r="B1355" s="27">
        <v>66415</v>
      </c>
      <c r="C1355" s="25" t="str">
        <f t="shared" si="109"/>
        <v>0000000</v>
      </c>
      <c r="D1355" s="26" t="s">
        <v>3663</v>
      </c>
      <c r="E1355" s="25" t="s">
        <v>1488</v>
      </c>
      <c r="F1355" s="25" t="s">
        <v>1458</v>
      </c>
      <c r="G1355" s="59" t="s">
        <v>1489</v>
      </c>
      <c r="H1355" s="60">
        <v>81.040000000000006</v>
      </c>
      <c r="I1355" s="60">
        <v>73.25</v>
      </c>
      <c r="J1355" s="60">
        <v>86.9</v>
      </c>
      <c r="K1355" s="60">
        <v>0</v>
      </c>
      <c r="L1355" s="60">
        <v>0</v>
      </c>
      <c r="M1355" s="60">
        <v>0</v>
      </c>
      <c r="N1355" s="60">
        <v>0</v>
      </c>
      <c r="O1355" s="60">
        <v>0</v>
      </c>
      <c r="P1355" s="60">
        <v>0</v>
      </c>
      <c r="Q1355" s="60">
        <v>0</v>
      </c>
      <c r="R1355" s="60">
        <v>0</v>
      </c>
      <c r="S1355" s="60">
        <v>0</v>
      </c>
      <c r="T1355" s="60">
        <v>0</v>
      </c>
      <c r="U1355" s="60">
        <v>0</v>
      </c>
      <c r="V1355" s="60">
        <v>0</v>
      </c>
      <c r="W1355" s="60">
        <v>0</v>
      </c>
      <c r="X1355" s="60">
        <v>0</v>
      </c>
      <c r="Y1355" s="60">
        <v>0</v>
      </c>
      <c r="Z1355" s="60">
        <v>0</v>
      </c>
      <c r="AA1355" s="60">
        <v>0</v>
      </c>
      <c r="AB1355" s="60">
        <v>0</v>
      </c>
      <c r="AC1355" s="60">
        <v>0</v>
      </c>
      <c r="AD1355" s="60">
        <v>0</v>
      </c>
      <c r="AE1355" s="60">
        <v>0</v>
      </c>
      <c r="AF1355" s="60">
        <v>0</v>
      </c>
      <c r="AG1355" s="60">
        <v>0</v>
      </c>
      <c r="AH1355" s="60">
        <v>0</v>
      </c>
      <c r="AI1355" s="60">
        <v>81.040000000000006</v>
      </c>
      <c r="AJ1355" s="60">
        <v>73.25</v>
      </c>
      <c r="AK1355" s="60">
        <v>86.9</v>
      </c>
      <c r="AL1355" s="60">
        <v>0</v>
      </c>
      <c r="AM1355" s="60">
        <v>0</v>
      </c>
      <c r="AN1355" s="60">
        <v>0</v>
      </c>
      <c r="AO1355" s="60">
        <v>81.040000000000006</v>
      </c>
      <c r="AP1355" s="60">
        <v>73.25</v>
      </c>
      <c r="AQ1355" s="60">
        <v>86.9</v>
      </c>
      <c r="AR1355" s="61">
        <v>86.9</v>
      </c>
    </row>
    <row r="1356" spans="1:44" x14ac:dyDescent="0.35">
      <c r="A1356" s="49" t="str">
        <f t="shared" si="110"/>
        <v>29</v>
      </c>
      <c r="B1356" s="27">
        <v>10298</v>
      </c>
      <c r="C1356" s="25" t="str">
        <f>TEXT(114314,"0000000")</f>
        <v>0114314</v>
      </c>
      <c r="D1356" s="26" t="s">
        <v>1461</v>
      </c>
      <c r="E1356" s="25" t="s">
        <v>1459</v>
      </c>
      <c r="F1356" s="25" t="s">
        <v>1458</v>
      </c>
      <c r="G1356" s="59" t="s">
        <v>1460</v>
      </c>
      <c r="H1356" s="60">
        <v>0</v>
      </c>
      <c r="I1356" s="60">
        <v>0</v>
      </c>
      <c r="J1356" s="60">
        <v>0</v>
      </c>
      <c r="K1356" s="60">
        <v>0</v>
      </c>
      <c r="L1356" s="60">
        <v>0</v>
      </c>
      <c r="M1356" s="60">
        <v>0</v>
      </c>
      <c r="N1356" s="60">
        <v>0</v>
      </c>
      <c r="O1356" s="60">
        <v>0</v>
      </c>
      <c r="P1356" s="60">
        <v>0</v>
      </c>
      <c r="Q1356" s="60">
        <v>0</v>
      </c>
      <c r="R1356" s="60">
        <v>0</v>
      </c>
      <c r="S1356" s="60">
        <v>0</v>
      </c>
      <c r="T1356" s="60">
        <v>0</v>
      </c>
      <c r="U1356" s="60">
        <v>0</v>
      </c>
      <c r="V1356" s="60">
        <v>0</v>
      </c>
      <c r="W1356" s="60">
        <v>0</v>
      </c>
      <c r="X1356" s="60">
        <v>0</v>
      </c>
      <c r="Y1356" s="60">
        <v>0</v>
      </c>
      <c r="Z1356" s="60">
        <v>78.349999999999994</v>
      </c>
      <c r="AA1356" s="60">
        <v>56.25</v>
      </c>
      <c r="AB1356" s="60">
        <v>79.2</v>
      </c>
      <c r="AC1356" s="60">
        <v>0</v>
      </c>
      <c r="AD1356" s="60">
        <v>0</v>
      </c>
      <c r="AE1356" s="60">
        <v>0</v>
      </c>
      <c r="AF1356" s="60">
        <v>0</v>
      </c>
      <c r="AG1356" s="60">
        <v>0</v>
      </c>
      <c r="AH1356" s="60">
        <v>0</v>
      </c>
      <c r="AI1356" s="60">
        <v>78.349999999999994</v>
      </c>
      <c r="AJ1356" s="60">
        <v>56.25</v>
      </c>
      <c r="AK1356" s="60">
        <v>79.2</v>
      </c>
      <c r="AL1356" s="60">
        <v>0</v>
      </c>
      <c r="AM1356" s="60">
        <v>0</v>
      </c>
      <c r="AN1356" s="60">
        <v>0</v>
      </c>
      <c r="AO1356" s="60">
        <v>78.349999999999994</v>
      </c>
      <c r="AP1356" s="60">
        <v>56.25</v>
      </c>
      <c r="AQ1356" s="60">
        <v>79.2</v>
      </c>
      <c r="AR1356" s="61">
        <v>79.2</v>
      </c>
    </row>
    <row r="1357" spans="1:44" x14ac:dyDescent="0.35">
      <c r="A1357" s="49" t="str">
        <f t="shared" si="110"/>
        <v>29</v>
      </c>
      <c r="B1357" s="27">
        <v>10298</v>
      </c>
      <c r="C1357" s="25" t="str">
        <f>TEXT(114330,"0000000")</f>
        <v>0114330</v>
      </c>
      <c r="D1357" s="26" t="s">
        <v>1467</v>
      </c>
      <c r="E1357" s="25" t="s">
        <v>1465</v>
      </c>
      <c r="F1357" s="25" t="s">
        <v>1458</v>
      </c>
      <c r="G1357" s="59" t="s">
        <v>1466</v>
      </c>
      <c r="H1357" s="60">
        <v>0</v>
      </c>
      <c r="I1357" s="60">
        <v>0</v>
      </c>
      <c r="J1357" s="60">
        <v>0</v>
      </c>
      <c r="K1357" s="60">
        <v>0</v>
      </c>
      <c r="L1357" s="60">
        <v>0</v>
      </c>
      <c r="M1357" s="60">
        <v>0</v>
      </c>
      <c r="N1357" s="60">
        <v>0</v>
      </c>
      <c r="O1357" s="60">
        <v>0</v>
      </c>
      <c r="P1357" s="60">
        <v>0</v>
      </c>
      <c r="Q1357" s="60">
        <v>0</v>
      </c>
      <c r="R1357" s="60">
        <v>0</v>
      </c>
      <c r="S1357" s="60">
        <v>0</v>
      </c>
      <c r="T1357" s="60">
        <v>0</v>
      </c>
      <c r="U1357" s="60">
        <v>0</v>
      </c>
      <c r="V1357" s="60">
        <v>0</v>
      </c>
      <c r="W1357" s="60">
        <v>0</v>
      </c>
      <c r="X1357" s="60">
        <v>0</v>
      </c>
      <c r="Y1357" s="60">
        <v>0</v>
      </c>
      <c r="Z1357" s="60">
        <v>389.66</v>
      </c>
      <c r="AA1357" s="60">
        <v>386.32</v>
      </c>
      <c r="AB1357" s="60">
        <v>426.82</v>
      </c>
      <c r="AC1357" s="60">
        <v>0</v>
      </c>
      <c r="AD1357" s="60">
        <v>0</v>
      </c>
      <c r="AE1357" s="60">
        <v>0</v>
      </c>
      <c r="AF1357" s="60">
        <v>0</v>
      </c>
      <c r="AG1357" s="60">
        <v>0</v>
      </c>
      <c r="AH1357" s="60">
        <v>0</v>
      </c>
      <c r="AI1357" s="60">
        <v>389.66</v>
      </c>
      <c r="AJ1357" s="60">
        <v>386.32</v>
      </c>
      <c r="AK1357" s="60">
        <v>426.82</v>
      </c>
      <c r="AL1357" s="60">
        <v>0</v>
      </c>
      <c r="AM1357" s="60">
        <v>0</v>
      </c>
      <c r="AN1357" s="60">
        <v>0</v>
      </c>
      <c r="AO1357" s="60">
        <v>389.66</v>
      </c>
      <c r="AP1357" s="60">
        <v>386.32</v>
      </c>
      <c r="AQ1357" s="60">
        <v>426.82</v>
      </c>
      <c r="AR1357" s="61">
        <v>426.82</v>
      </c>
    </row>
    <row r="1358" spans="1:44" x14ac:dyDescent="0.35">
      <c r="A1358" s="49" t="str">
        <f t="shared" si="110"/>
        <v>29</v>
      </c>
      <c r="B1358" s="27">
        <v>10298</v>
      </c>
      <c r="C1358" s="25" t="str">
        <f>TEXT(114322,"0000000")</f>
        <v>0114322</v>
      </c>
      <c r="D1358" s="26" t="s">
        <v>1464</v>
      </c>
      <c r="E1358" s="25" t="s">
        <v>1462</v>
      </c>
      <c r="F1358" s="25" t="s">
        <v>1458</v>
      </c>
      <c r="G1358" s="59" t="s">
        <v>1463</v>
      </c>
      <c r="H1358" s="60">
        <v>0</v>
      </c>
      <c r="I1358" s="60">
        <v>0</v>
      </c>
      <c r="J1358" s="60">
        <v>0</v>
      </c>
      <c r="K1358" s="60">
        <v>0</v>
      </c>
      <c r="L1358" s="60">
        <v>0</v>
      </c>
      <c r="M1358" s="60">
        <v>0</v>
      </c>
      <c r="N1358" s="60">
        <v>0</v>
      </c>
      <c r="O1358" s="60">
        <v>0</v>
      </c>
      <c r="P1358" s="60">
        <v>0</v>
      </c>
      <c r="Q1358" s="60">
        <v>0</v>
      </c>
      <c r="R1358" s="60">
        <v>0</v>
      </c>
      <c r="S1358" s="60">
        <v>0</v>
      </c>
      <c r="T1358" s="60">
        <v>0</v>
      </c>
      <c r="U1358" s="60">
        <v>0</v>
      </c>
      <c r="V1358" s="60">
        <v>0</v>
      </c>
      <c r="W1358" s="60">
        <v>0</v>
      </c>
      <c r="X1358" s="60">
        <v>0</v>
      </c>
      <c r="Y1358" s="60">
        <v>0</v>
      </c>
      <c r="Z1358" s="60">
        <v>300.24</v>
      </c>
      <c r="AA1358" s="60">
        <v>277.25</v>
      </c>
      <c r="AB1358" s="60">
        <v>297.08</v>
      </c>
      <c r="AC1358" s="60">
        <v>0</v>
      </c>
      <c r="AD1358" s="60">
        <v>0</v>
      </c>
      <c r="AE1358" s="60">
        <v>0</v>
      </c>
      <c r="AF1358" s="60">
        <v>0</v>
      </c>
      <c r="AG1358" s="60">
        <v>0</v>
      </c>
      <c r="AH1358" s="60">
        <v>0</v>
      </c>
      <c r="AI1358" s="60">
        <v>300.24</v>
      </c>
      <c r="AJ1358" s="60">
        <v>277.25</v>
      </c>
      <c r="AK1358" s="60">
        <v>297.08</v>
      </c>
      <c r="AL1358" s="60">
        <v>0</v>
      </c>
      <c r="AM1358" s="60">
        <v>0</v>
      </c>
      <c r="AN1358" s="60">
        <v>0</v>
      </c>
      <c r="AO1358" s="60">
        <v>300.24</v>
      </c>
      <c r="AP1358" s="60">
        <v>277.25</v>
      </c>
      <c r="AQ1358" s="60">
        <v>297.08</v>
      </c>
      <c r="AR1358" s="61">
        <v>300.24</v>
      </c>
    </row>
    <row r="1359" spans="1:44" x14ac:dyDescent="0.35">
      <c r="A1359" s="49" t="str">
        <f t="shared" si="110"/>
        <v>29</v>
      </c>
      <c r="B1359" s="27">
        <v>76877</v>
      </c>
      <c r="C1359" s="25" t="str">
        <f>TEXT(,"0000000")</f>
        <v>0000000</v>
      </c>
      <c r="D1359" s="26" t="s">
        <v>3663</v>
      </c>
      <c r="E1359" s="25" t="s">
        <v>1490</v>
      </c>
      <c r="F1359" s="25" t="s">
        <v>1458</v>
      </c>
      <c r="G1359" s="59" t="s">
        <v>1491</v>
      </c>
      <c r="H1359" s="60">
        <v>497.92</v>
      </c>
      <c r="I1359" s="60">
        <v>482.92</v>
      </c>
      <c r="J1359" s="60">
        <v>513.28</v>
      </c>
      <c r="K1359" s="60">
        <v>0</v>
      </c>
      <c r="L1359" s="60">
        <v>0</v>
      </c>
      <c r="M1359" s="60">
        <v>0</v>
      </c>
      <c r="N1359" s="60">
        <v>0</v>
      </c>
      <c r="O1359" s="60">
        <v>0</v>
      </c>
      <c r="P1359" s="60">
        <v>0</v>
      </c>
      <c r="Q1359" s="60">
        <v>0</v>
      </c>
      <c r="R1359" s="60">
        <v>0</v>
      </c>
      <c r="S1359" s="60">
        <v>0</v>
      </c>
      <c r="T1359" s="60">
        <v>0</v>
      </c>
      <c r="U1359" s="60">
        <v>0</v>
      </c>
      <c r="V1359" s="60">
        <v>0</v>
      </c>
      <c r="W1359" s="60">
        <v>0</v>
      </c>
      <c r="X1359" s="60">
        <v>0</v>
      </c>
      <c r="Y1359" s="60">
        <v>0</v>
      </c>
      <c r="Z1359" s="60">
        <v>0</v>
      </c>
      <c r="AA1359" s="60">
        <v>0</v>
      </c>
      <c r="AB1359" s="60">
        <v>0</v>
      </c>
      <c r="AC1359" s="60">
        <v>40.17</v>
      </c>
      <c r="AD1359" s="60">
        <v>41.78</v>
      </c>
      <c r="AE1359" s="60">
        <v>40.729999999999997</v>
      </c>
      <c r="AF1359" s="60">
        <v>0</v>
      </c>
      <c r="AG1359" s="60">
        <v>0</v>
      </c>
      <c r="AH1359" s="60">
        <v>0</v>
      </c>
      <c r="AI1359" s="60">
        <v>538.09</v>
      </c>
      <c r="AJ1359" s="60">
        <v>524.70000000000005</v>
      </c>
      <c r="AK1359" s="60">
        <v>554.01</v>
      </c>
      <c r="AL1359" s="60">
        <v>0</v>
      </c>
      <c r="AM1359" s="60">
        <v>0</v>
      </c>
      <c r="AN1359" s="60">
        <v>0</v>
      </c>
      <c r="AO1359" s="60">
        <v>538.09</v>
      </c>
      <c r="AP1359" s="60">
        <v>524.70000000000005</v>
      </c>
      <c r="AQ1359" s="60">
        <v>554.01</v>
      </c>
      <c r="AR1359" s="61">
        <v>554.01</v>
      </c>
    </row>
    <row r="1360" spans="1:44" x14ac:dyDescent="0.35">
      <c r="A1360" s="49" t="str">
        <f t="shared" si="110"/>
        <v>29</v>
      </c>
      <c r="B1360" s="27">
        <v>10298</v>
      </c>
      <c r="C1360" s="25" t="str">
        <f>TEXT(126219,"0000000")</f>
        <v>0126219</v>
      </c>
      <c r="D1360" s="27">
        <v>1427</v>
      </c>
      <c r="E1360" s="25" t="s">
        <v>1468</v>
      </c>
      <c r="F1360" s="25" t="s">
        <v>1458</v>
      </c>
      <c r="G1360" s="59" t="s">
        <v>1469</v>
      </c>
      <c r="H1360" s="60">
        <v>0</v>
      </c>
      <c r="I1360" s="60">
        <v>0</v>
      </c>
      <c r="J1360" s="60">
        <v>0</v>
      </c>
      <c r="K1360" s="60">
        <v>0</v>
      </c>
      <c r="L1360" s="60">
        <v>0</v>
      </c>
      <c r="M1360" s="60">
        <v>0</v>
      </c>
      <c r="N1360" s="60">
        <v>0</v>
      </c>
      <c r="O1360" s="60">
        <v>0</v>
      </c>
      <c r="P1360" s="60">
        <v>0</v>
      </c>
      <c r="Q1360" s="60">
        <v>0</v>
      </c>
      <c r="R1360" s="60">
        <v>0</v>
      </c>
      <c r="S1360" s="60">
        <v>0</v>
      </c>
      <c r="T1360" s="60">
        <v>0</v>
      </c>
      <c r="U1360" s="60">
        <v>0</v>
      </c>
      <c r="V1360" s="60">
        <v>0</v>
      </c>
      <c r="W1360" s="60">
        <v>0</v>
      </c>
      <c r="X1360" s="60">
        <v>0</v>
      </c>
      <c r="Y1360" s="60">
        <v>0</v>
      </c>
      <c r="Z1360" s="60">
        <v>0</v>
      </c>
      <c r="AA1360" s="60">
        <v>0</v>
      </c>
      <c r="AB1360" s="60">
        <v>0</v>
      </c>
      <c r="AC1360" s="60">
        <v>753.81</v>
      </c>
      <c r="AD1360" s="60">
        <v>0</v>
      </c>
      <c r="AE1360" s="60">
        <v>0</v>
      </c>
      <c r="AF1360" s="60">
        <v>0</v>
      </c>
      <c r="AG1360" s="60">
        <v>0</v>
      </c>
      <c r="AH1360" s="60">
        <v>0</v>
      </c>
      <c r="AI1360" s="60">
        <v>753.81</v>
      </c>
      <c r="AJ1360" s="60">
        <v>0</v>
      </c>
      <c r="AK1360" s="60">
        <v>0</v>
      </c>
      <c r="AL1360" s="60">
        <v>0</v>
      </c>
      <c r="AM1360" s="60">
        <v>729.11</v>
      </c>
      <c r="AN1360" s="60">
        <v>773.31</v>
      </c>
      <c r="AO1360" s="60">
        <v>753.81</v>
      </c>
      <c r="AP1360" s="60">
        <v>729.11</v>
      </c>
      <c r="AQ1360" s="60">
        <v>773.31</v>
      </c>
      <c r="AR1360" s="61">
        <v>773.31</v>
      </c>
    </row>
    <row r="1361" spans="1:44" x14ac:dyDescent="0.35">
      <c r="A1361" s="49" t="str">
        <f t="shared" si="110"/>
        <v>29</v>
      </c>
      <c r="B1361" s="27">
        <v>10298</v>
      </c>
      <c r="C1361" s="25" t="str">
        <f>TEXT(126227,"0000000")</f>
        <v>0126227</v>
      </c>
      <c r="D1361" s="27">
        <v>1428</v>
      </c>
      <c r="E1361" s="25" t="s">
        <v>1470</v>
      </c>
      <c r="F1361" s="25" t="s">
        <v>1458</v>
      </c>
      <c r="G1361" s="59" t="s">
        <v>1471</v>
      </c>
      <c r="H1361" s="60">
        <v>0</v>
      </c>
      <c r="I1361" s="60">
        <v>0</v>
      </c>
      <c r="J1361" s="60">
        <v>0</v>
      </c>
      <c r="K1361" s="60">
        <v>0</v>
      </c>
      <c r="L1361" s="60">
        <v>0</v>
      </c>
      <c r="M1361" s="60">
        <v>0</v>
      </c>
      <c r="N1361" s="60">
        <v>0</v>
      </c>
      <c r="O1361" s="60">
        <v>0</v>
      </c>
      <c r="P1361" s="60">
        <v>0</v>
      </c>
      <c r="Q1361" s="60">
        <v>0</v>
      </c>
      <c r="R1361" s="60">
        <v>0</v>
      </c>
      <c r="S1361" s="60">
        <v>0</v>
      </c>
      <c r="T1361" s="60">
        <v>0</v>
      </c>
      <c r="U1361" s="60">
        <v>0</v>
      </c>
      <c r="V1361" s="60">
        <v>0</v>
      </c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0</v>
      </c>
      <c r="AC1361" s="60">
        <v>204.84</v>
      </c>
      <c r="AD1361" s="60">
        <v>0</v>
      </c>
      <c r="AE1361" s="60">
        <v>0</v>
      </c>
      <c r="AF1361" s="60">
        <v>0</v>
      </c>
      <c r="AG1361" s="60">
        <v>0</v>
      </c>
      <c r="AH1361" s="60">
        <v>0</v>
      </c>
      <c r="AI1361" s="60">
        <v>204.84</v>
      </c>
      <c r="AJ1361" s="60">
        <v>0</v>
      </c>
      <c r="AK1361" s="60">
        <v>0</v>
      </c>
      <c r="AL1361" s="60">
        <v>0</v>
      </c>
      <c r="AM1361" s="60">
        <v>191.1</v>
      </c>
      <c r="AN1361" s="60">
        <v>154.30000000000001</v>
      </c>
      <c r="AO1361" s="60">
        <v>204.84</v>
      </c>
      <c r="AP1361" s="60">
        <v>191.1</v>
      </c>
      <c r="AQ1361" s="60">
        <v>154.30000000000001</v>
      </c>
      <c r="AR1361" s="61">
        <v>204.84</v>
      </c>
    </row>
    <row r="1362" spans="1:44" x14ac:dyDescent="0.35">
      <c r="A1362" s="49" t="str">
        <f t="shared" ref="A1362:A1391" si="111">TEXT(37,"00")</f>
        <v>37</v>
      </c>
      <c r="B1362" s="27">
        <v>10371</v>
      </c>
      <c r="C1362" s="25" t="str">
        <f t="shared" ref="C1362:C1390" si="112">TEXT(,"0000000")</f>
        <v>0000000</v>
      </c>
      <c r="D1362" s="26" t="s">
        <v>3663</v>
      </c>
      <c r="E1362" s="25" t="s">
        <v>2046</v>
      </c>
      <c r="F1362" s="25" t="s">
        <v>2047</v>
      </c>
      <c r="G1362" s="59" t="s">
        <v>2047</v>
      </c>
      <c r="H1362" s="60">
        <v>0</v>
      </c>
      <c r="I1362" s="60">
        <v>0</v>
      </c>
      <c r="J1362" s="60">
        <v>0</v>
      </c>
      <c r="K1362" s="60">
        <v>0</v>
      </c>
      <c r="L1362" s="60">
        <v>0</v>
      </c>
      <c r="M1362" s="60">
        <v>0</v>
      </c>
      <c r="N1362" s="60">
        <v>0</v>
      </c>
      <c r="O1362" s="60">
        <v>0</v>
      </c>
      <c r="P1362" s="60">
        <v>0</v>
      </c>
      <c r="Q1362" s="60">
        <v>0</v>
      </c>
      <c r="R1362" s="60">
        <v>0</v>
      </c>
      <c r="S1362" s="60">
        <v>0</v>
      </c>
      <c r="T1362" s="60">
        <v>828.37</v>
      </c>
      <c r="U1362" s="60">
        <v>698.2</v>
      </c>
      <c r="V1362" s="60">
        <v>1265.26</v>
      </c>
      <c r="W1362" s="60">
        <v>292.42</v>
      </c>
      <c r="X1362" s="60">
        <v>311.98</v>
      </c>
      <c r="Y1362" s="60">
        <v>389.11</v>
      </c>
      <c r="Z1362" s="60">
        <v>0</v>
      </c>
      <c r="AA1362" s="60">
        <v>0</v>
      </c>
      <c r="AB1362" s="60">
        <v>0</v>
      </c>
      <c r="AC1362" s="60">
        <v>0</v>
      </c>
      <c r="AD1362" s="60">
        <v>0</v>
      </c>
      <c r="AE1362" s="60">
        <v>0</v>
      </c>
      <c r="AF1362" s="60">
        <v>0</v>
      </c>
      <c r="AG1362" s="60">
        <v>0</v>
      </c>
      <c r="AH1362" s="60">
        <v>0</v>
      </c>
      <c r="AI1362" s="60">
        <v>1120.79</v>
      </c>
      <c r="AJ1362" s="60">
        <v>1010.18</v>
      </c>
      <c r="AK1362" s="60">
        <v>1654.37</v>
      </c>
      <c r="AL1362" s="60">
        <v>0</v>
      </c>
      <c r="AM1362" s="60">
        <v>0</v>
      </c>
      <c r="AN1362" s="60">
        <v>0</v>
      </c>
      <c r="AO1362" s="60">
        <v>1120.79</v>
      </c>
      <c r="AP1362" s="60">
        <v>1010.18</v>
      </c>
      <c r="AQ1362" s="60">
        <v>1654.37</v>
      </c>
      <c r="AR1362" s="61">
        <v>1654.37</v>
      </c>
    </row>
    <row r="1363" spans="1:44" x14ac:dyDescent="0.35">
      <c r="A1363" s="49" t="str">
        <f t="shared" si="111"/>
        <v>37</v>
      </c>
      <c r="B1363" s="27">
        <v>68023</v>
      </c>
      <c r="C1363" s="25" t="str">
        <f t="shared" si="112"/>
        <v>0000000</v>
      </c>
      <c r="D1363" s="26" t="s">
        <v>3663</v>
      </c>
      <c r="E1363" s="25" t="s">
        <v>2088</v>
      </c>
      <c r="F1363" s="25" t="s">
        <v>2047</v>
      </c>
      <c r="G1363" s="59" t="s">
        <v>2089</v>
      </c>
      <c r="H1363" s="60">
        <v>20787.95</v>
      </c>
      <c r="I1363" s="60">
        <v>20303.150000000001</v>
      </c>
      <c r="J1363" s="60">
        <v>22421.27</v>
      </c>
      <c r="K1363" s="60">
        <v>0</v>
      </c>
      <c r="L1363" s="60">
        <v>0</v>
      </c>
      <c r="M1363" s="60">
        <v>0</v>
      </c>
      <c r="N1363" s="60">
        <v>0</v>
      </c>
      <c r="O1363" s="60">
        <v>0</v>
      </c>
      <c r="P1363" s="60">
        <v>0</v>
      </c>
      <c r="Q1363" s="60">
        <v>0</v>
      </c>
      <c r="R1363" s="60">
        <v>0</v>
      </c>
      <c r="S1363" s="60">
        <v>0</v>
      </c>
      <c r="T1363" s="60">
        <v>0</v>
      </c>
      <c r="U1363" s="60">
        <v>0</v>
      </c>
      <c r="V1363" s="60">
        <v>0</v>
      </c>
      <c r="W1363" s="60">
        <v>0</v>
      </c>
      <c r="X1363" s="60">
        <v>0</v>
      </c>
      <c r="Y1363" s="60">
        <v>0</v>
      </c>
      <c r="Z1363" s="60">
        <v>0</v>
      </c>
      <c r="AA1363" s="60">
        <v>0</v>
      </c>
      <c r="AB1363" s="60">
        <v>0</v>
      </c>
      <c r="AC1363" s="60">
        <v>5729.55</v>
      </c>
      <c r="AD1363" s="60">
        <v>5710.94</v>
      </c>
      <c r="AE1363" s="60">
        <v>5967.08</v>
      </c>
      <c r="AF1363" s="60">
        <v>0</v>
      </c>
      <c r="AG1363" s="60">
        <v>0</v>
      </c>
      <c r="AH1363" s="60">
        <v>0</v>
      </c>
      <c r="AI1363" s="60">
        <v>26517.5</v>
      </c>
      <c r="AJ1363" s="60">
        <v>26014.09</v>
      </c>
      <c r="AK1363" s="60">
        <v>28388.35</v>
      </c>
      <c r="AL1363" s="60">
        <v>0</v>
      </c>
      <c r="AM1363" s="60">
        <v>0</v>
      </c>
      <c r="AN1363" s="60">
        <v>0</v>
      </c>
      <c r="AO1363" s="60">
        <v>26517.5</v>
      </c>
      <c r="AP1363" s="60">
        <v>26014.09</v>
      </c>
      <c r="AQ1363" s="60">
        <v>28388.35</v>
      </c>
      <c r="AR1363" s="61">
        <v>28388.35</v>
      </c>
    </row>
    <row r="1364" spans="1:44" x14ac:dyDescent="0.35">
      <c r="A1364" s="49" t="str">
        <f t="shared" si="111"/>
        <v>37</v>
      </c>
      <c r="B1364" s="27">
        <v>68031</v>
      </c>
      <c r="C1364" s="25" t="str">
        <f t="shared" si="112"/>
        <v>0000000</v>
      </c>
      <c r="D1364" s="26" t="s">
        <v>3663</v>
      </c>
      <c r="E1364" s="25" t="s">
        <v>2094</v>
      </c>
      <c r="F1364" s="25" t="s">
        <v>2047</v>
      </c>
      <c r="G1364" s="59" t="s">
        <v>2095</v>
      </c>
      <c r="H1364" s="60">
        <v>2644.39</v>
      </c>
      <c r="I1364" s="60">
        <v>2603.16</v>
      </c>
      <c r="J1364" s="60">
        <v>2951.41</v>
      </c>
      <c r="K1364" s="60">
        <v>0</v>
      </c>
      <c r="L1364" s="60">
        <v>0</v>
      </c>
      <c r="M1364" s="60">
        <v>0</v>
      </c>
      <c r="N1364" s="60">
        <v>0</v>
      </c>
      <c r="O1364" s="60">
        <v>0</v>
      </c>
      <c r="P1364" s="60">
        <v>0</v>
      </c>
      <c r="Q1364" s="60">
        <v>0</v>
      </c>
      <c r="R1364" s="60">
        <v>0</v>
      </c>
      <c r="S1364" s="60">
        <v>0</v>
      </c>
      <c r="T1364" s="60">
        <v>0</v>
      </c>
      <c r="U1364" s="60">
        <v>0</v>
      </c>
      <c r="V1364" s="60">
        <v>0</v>
      </c>
      <c r="W1364" s="60">
        <v>0</v>
      </c>
      <c r="X1364" s="60">
        <v>0</v>
      </c>
      <c r="Y1364" s="60">
        <v>0</v>
      </c>
      <c r="Z1364" s="60">
        <v>0</v>
      </c>
      <c r="AA1364" s="60">
        <v>0</v>
      </c>
      <c r="AB1364" s="60">
        <v>0</v>
      </c>
      <c r="AC1364" s="60">
        <v>0</v>
      </c>
      <c r="AD1364" s="60">
        <v>0</v>
      </c>
      <c r="AE1364" s="60">
        <v>0</v>
      </c>
      <c r="AF1364" s="60">
        <v>0</v>
      </c>
      <c r="AG1364" s="60">
        <v>0</v>
      </c>
      <c r="AH1364" s="60">
        <v>0</v>
      </c>
      <c r="AI1364" s="60">
        <v>2644.39</v>
      </c>
      <c r="AJ1364" s="60">
        <v>2603.16</v>
      </c>
      <c r="AK1364" s="60">
        <v>2951.41</v>
      </c>
      <c r="AL1364" s="60">
        <v>0</v>
      </c>
      <c r="AM1364" s="60">
        <v>0</v>
      </c>
      <c r="AN1364" s="60">
        <v>0</v>
      </c>
      <c r="AO1364" s="60">
        <v>2644.39</v>
      </c>
      <c r="AP1364" s="60">
        <v>2603.16</v>
      </c>
      <c r="AQ1364" s="60">
        <v>2951.41</v>
      </c>
      <c r="AR1364" s="61">
        <v>2951.41</v>
      </c>
    </row>
    <row r="1365" spans="1:44" x14ac:dyDescent="0.35">
      <c r="A1365" s="49" t="str">
        <f t="shared" si="111"/>
        <v>37</v>
      </c>
      <c r="B1365" s="27">
        <v>68221</v>
      </c>
      <c r="C1365" s="25" t="str">
        <f t="shared" si="112"/>
        <v>0000000</v>
      </c>
      <c r="D1365" s="26" t="s">
        <v>3663</v>
      </c>
      <c r="E1365" s="25" t="s">
        <v>2167</v>
      </c>
      <c r="F1365" s="25" t="s">
        <v>2047</v>
      </c>
      <c r="G1365" s="59" t="s">
        <v>2168</v>
      </c>
      <c r="H1365" s="60">
        <v>3750.07</v>
      </c>
      <c r="I1365" s="60">
        <v>3879.1</v>
      </c>
      <c r="J1365" s="60">
        <v>4819.55</v>
      </c>
      <c r="K1365" s="60">
        <v>0</v>
      </c>
      <c r="L1365" s="60">
        <v>0</v>
      </c>
      <c r="M1365" s="60">
        <v>0</v>
      </c>
      <c r="N1365" s="60">
        <v>0</v>
      </c>
      <c r="O1365" s="60">
        <v>0</v>
      </c>
      <c r="P1365" s="60">
        <v>0</v>
      </c>
      <c r="Q1365" s="60">
        <v>0</v>
      </c>
      <c r="R1365" s="60">
        <v>0</v>
      </c>
      <c r="S1365" s="60">
        <v>0</v>
      </c>
      <c r="T1365" s="60">
        <v>0</v>
      </c>
      <c r="U1365" s="60">
        <v>0</v>
      </c>
      <c r="V1365" s="60">
        <v>0</v>
      </c>
      <c r="W1365" s="60">
        <v>0</v>
      </c>
      <c r="X1365" s="60">
        <v>0</v>
      </c>
      <c r="Y1365" s="60">
        <v>0</v>
      </c>
      <c r="Z1365" s="60">
        <v>0</v>
      </c>
      <c r="AA1365" s="60">
        <v>0</v>
      </c>
      <c r="AB1365" s="60">
        <v>0</v>
      </c>
      <c r="AC1365" s="60">
        <v>340.46</v>
      </c>
      <c r="AD1365" s="60">
        <v>332.51</v>
      </c>
      <c r="AE1365" s="60">
        <v>352.26</v>
      </c>
      <c r="AF1365" s="60">
        <v>0</v>
      </c>
      <c r="AG1365" s="60">
        <v>0</v>
      </c>
      <c r="AH1365" s="60">
        <v>0</v>
      </c>
      <c r="AI1365" s="60">
        <v>4090.53</v>
      </c>
      <c r="AJ1365" s="60">
        <v>4211.6099999999997</v>
      </c>
      <c r="AK1365" s="60">
        <v>5171.8100000000004</v>
      </c>
      <c r="AL1365" s="60">
        <v>0</v>
      </c>
      <c r="AM1365" s="60">
        <v>0</v>
      </c>
      <c r="AN1365" s="60">
        <v>0</v>
      </c>
      <c r="AO1365" s="60">
        <v>4090.53</v>
      </c>
      <c r="AP1365" s="60">
        <v>4211.6099999999997</v>
      </c>
      <c r="AQ1365" s="60">
        <v>5171.8100000000004</v>
      </c>
      <c r="AR1365" s="61">
        <v>5171.8100000000004</v>
      </c>
    </row>
    <row r="1366" spans="1:44" x14ac:dyDescent="0.35">
      <c r="A1366" s="49" t="str">
        <f t="shared" si="111"/>
        <v>37</v>
      </c>
      <c r="B1366" s="27">
        <v>68379</v>
      </c>
      <c r="C1366" s="25" t="str">
        <f t="shared" si="112"/>
        <v>0000000</v>
      </c>
      <c r="D1366" s="26" t="s">
        <v>3663</v>
      </c>
      <c r="E1366" s="25" t="s">
        <v>2291</v>
      </c>
      <c r="F1366" s="25" t="s">
        <v>2047</v>
      </c>
      <c r="G1366" s="59" t="s">
        <v>2292</v>
      </c>
      <c r="H1366" s="60">
        <v>3868.84</v>
      </c>
      <c r="I1366" s="60">
        <v>3844.24</v>
      </c>
      <c r="J1366" s="60">
        <v>4203.1000000000004</v>
      </c>
      <c r="K1366" s="60">
        <v>0</v>
      </c>
      <c r="L1366" s="60">
        <v>0</v>
      </c>
      <c r="M1366" s="60">
        <v>0</v>
      </c>
      <c r="N1366" s="60">
        <v>0</v>
      </c>
      <c r="O1366" s="60">
        <v>0</v>
      </c>
      <c r="P1366" s="60">
        <v>0</v>
      </c>
      <c r="Q1366" s="60">
        <v>0</v>
      </c>
      <c r="R1366" s="60">
        <v>0</v>
      </c>
      <c r="S1366" s="60">
        <v>0</v>
      </c>
      <c r="T1366" s="60">
        <v>0</v>
      </c>
      <c r="U1366" s="60">
        <v>0</v>
      </c>
      <c r="V1366" s="60">
        <v>0</v>
      </c>
      <c r="W1366" s="60">
        <v>0</v>
      </c>
      <c r="X1366" s="60">
        <v>0</v>
      </c>
      <c r="Y1366" s="60">
        <v>0</v>
      </c>
      <c r="Z1366" s="60">
        <v>0</v>
      </c>
      <c r="AA1366" s="60">
        <v>0</v>
      </c>
      <c r="AB1366" s="60">
        <v>0</v>
      </c>
      <c r="AC1366" s="60">
        <v>0</v>
      </c>
      <c r="AD1366" s="60">
        <v>0</v>
      </c>
      <c r="AE1366" s="60">
        <v>0</v>
      </c>
      <c r="AF1366" s="60">
        <v>0</v>
      </c>
      <c r="AG1366" s="60">
        <v>0</v>
      </c>
      <c r="AH1366" s="60">
        <v>0</v>
      </c>
      <c r="AI1366" s="60">
        <v>3868.84</v>
      </c>
      <c r="AJ1366" s="60">
        <v>3844.24</v>
      </c>
      <c r="AK1366" s="60">
        <v>4203.1000000000004</v>
      </c>
      <c r="AL1366" s="60">
        <v>0</v>
      </c>
      <c r="AM1366" s="60">
        <v>0</v>
      </c>
      <c r="AN1366" s="60">
        <v>0</v>
      </c>
      <c r="AO1366" s="60">
        <v>3868.84</v>
      </c>
      <c r="AP1366" s="60">
        <v>3844.24</v>
      </c>
      <c r="AQ1366" s="60">
        <v>4203.1000000000004</v>
      </c>
      <c r="AR1366" s="61">
        <v>4203.1000000000004</v>
      </c>
    </row>
    <row r="1367" spans="1:44" x14ac:dyDescent="0.35">
      <c r="A1367" s="49" t="str">
        <f t="shared" si="111"/>
        <v>37</v>
      </c>
      <c r="B1367" s="27">
        <v>68395</v>
      </c>
      <c r="C1367" s="25" t="str">
        <f t="shared" si="112"/>
        <v>0000000</v>
      </c>
      <c r="D1367" s="26" t="s">
        <v>3663</v>
      </c>
      <c r="E1367" s="25" t="s">
        <v>2295</v>
      </c>
      <c r="F1367" s="25" t="s">
        <v>2047</v>
      </c>
      <c r="G1367" s="59" t="s">
        <v>2296</v>
      </c>
      <c r="H1367" s="60">
        <v>3642.74</v>
      </c>
      <c r="I1367" s="60">
        <v>3808.76</v>
      </c>
      <c r="J1367" s="60">
        <v>4661.53</v>
      </c>
      <c r="K1367" s="60">
        <v>0</v>
      </c>
      <c r="L1367" s="60">
        <v>0</v>
      </c>
      <c r="M1367" s="60">
        <v>0</v>
      </c>
      <c r="N1367" s="60">
        <v>0</v>
      </c>
      <c r="O1367" s="60">
        <v>0</v>
      </c>
      <c r="P1367" s="60">
        <v>0</v>
      </c>
      <c r="Q1367" s="60">
        <v>0</v>
      </c>
      <c r="R1367" s="60">
        <v>0</v>
      </c>
      <c r="S1367" s="60">
        <v>0</v>
      </c>
      <c r="T1367" s="60">
        <v>0</v>
      </c>
      <c r="U1367" s="60">
        <v>0</v>
      </c>
      <c r="V1367" s="60">
        <v>0</v>
      </c>
      <c r="W1367" s="60">
        <v>0</v>
      </c>
      <c r="X1367" s="60">
        <v>0</v>
      </c>
      <c r="Y1367" s="60">
        <v>0</v>
      </c>
      <c r="Z1367" s="60">
        <v>0</v>
      </c>
      <c r="AA1367" s="60">
        <v>0</v>
      </c>
      <c r="AB1367" s="60">
        <v>0</v>
      </c>
      <c r="AC1367" s="60">
        <v>1683.07</v>
      </c>
      <c r="AD1367" s="60">
        <v>1670.5</v>
      </c>
      <c r="AE1367" s="60">
        <v>1919.85</v>
      </c>
      <c r="AF1367" s="60">
        <v>0</v>
      </c>
      <c r="AG1367" s="60">
        <v>0</v>
      </c>
      <c r="AH1367" s="60">
        <v>0</v>
      </c>
      <c r="AI1367" s="60">
        <v>5325.81</v>
      </c>
      <c r="AJ1367" s="60">
        <v>5479.26</v>
      </c>
      <c r="AK1367" s="60">
        <v>6581.38</v>
      </c>
      <c r="AL1367" s="60">
        <v>0</v>
      </c>
      <c r="AM1367" s="60">
        <v>0</v>
      </c>
      <c r="AN1367" s="60">
        <v>0</v>
      </c>
      <c r="AO1367" s="60">
        <v>5325.81</v>
      </c>
      <c r="AP1367" s="60">
        <v>5479.26</v>
      </c>
      <c r="AQ1367" s="60">
        <v>6581.38</v>
      </c>
      <c r="AR1367" s="61">
        <v>6581.38</v>
      </c>
    </row>
    <row r="1368" spans="1:44" x14ac:dyDescent="0.35">
      <c r="A1368" s="49" t="str">
        <f t="shared" si="111"/>
        <v>37</v>
      </c>
      <c r="B1368" s="27">
        <v>68411</v>
      </c>
      <c r="C1368" s="25" t="str">
        <f t="shared" si="112"/>
        <v>0000000</v>
      </c>
      <c r="D1368" s="26" t="s">
        <v>3663</v>
      </c>
      <c r="E1368" s="25" t="s">
        <v>2299</v>
      </c>
      <c r="F1368" s="25" t="s">
        <v>2047</v>
      </c>
      <c r="G1368" s="59" t="s">
        <v>2300</v>
      </c>
      <c r="H1368" s="60">
        <v>32664.76</v>
      </c>
      <c r="I1368" s="60">
        <v>32755.84</v>
      </c>
      <c r="J1368" s="60">
        <v>36360.370000000003</v>
      </c>
      <c r="K1368" s="60">
        <v>0</v>
      </c>
      <c r="L1368" s="60">
        <v>0</v>
      </c>
      <c r="M1368" s="60">
        <v>0</v>
      </c>
      <c r="N1368" s="60">
        <v>0</v>
      </c>
      <c r="O1368" s="60">
        <v>0</v>
      </c>
      <c r="P1368" s="60">
        <v>0</v>
      </c>
      <c r="Q1368" s="60">
        <v>0</v>
      </c>
      <c r="R1368" s="60">
        <v>0</v>
      </c>
      <c r="S1368" s="60">
        <v>0</v>
      </c>
      <c r="T1368" s="60">
        <v>0</v>
      </c>
      <c r="U1368" s="60">
        <v>0</v>
      </c>
      <c r="V1368" s="60">
        <v>0</v>
      </c>
      <c r="W1368" s="60">
        <v>0</v>
      </c>
      <c r="X1368" s="60">
        <v>0</v>
      </c>
      <c r="Y1368" s="60">
        <v>0</v>
      </c>
      <c r="Z1368" s="60">
        <v>0</v>
      </c>
      <c r="AA1368" s="60">
        <v>0</v>
      </c>
      <c r="AB1368" s="60">
        <v>0</v>
      </c>
      <c r="AC1368" s="60">
        <v>0</v>
      </c>
      <c r="AD1368" s="60">
        <v>0</v>
      </c>
      <c r="AE1368" s="60">
        <v>0</v>
      </c>
      <c r="AF1368" s="60">
        <v>0</v>
      </c>
      <c r="AG1368" s="60">
        <v>0</v>
      </c>
      <c r="AH1368" s="60">
        <v>0</v>
      </c>
      <c r="AI1368" s="60">
        <v>32664.76</v>
      </c>
      <c r="AJ1368" s="60">
        <v>32755.84</v>
      </c>
      <c r="AK1368" s="60">
        <v>36360.370000000003</v>
      </c>
      <c r="AL1368" s="60">
        <v>0</v>
      </c>
      <c r="AM1368" s="60">
        <v>0</v>
      </c>
      <c r="AN1368" s="60">
        <v>0</v>
      </c>
      <c r="AO1368" s="60">
        <v>32664.76</v>
      </c>
      <c r="AP1368" s="60">
        <v>32755.84</v>
      </c>
      <c r="AQ1368" s="60">
        <v>36360.370000000003</v>
      </c>
      <c r="AR1368" s="61">
        <v>36360.370000000003</v>
      </c>
    </row>
    <row r="1369" spans="1:44" x14ac:dyDescent="0.35">
      <c r="A1369" s="49" t="str">
        <f t="shared" si="111"/>
        <v>37</v>
      </c>
      <c r="B1369" s="27">
        <v>10371</v>
      </c>
      <c r="C1369" s="25" t="str">
        <f t="shared" si="112"/>
        <v>0000000</v>
      </c>
      <c r="D1369" s="26" t="s">
        <v>3663</v>
      </c>
      <c r="E1369" s="25" t="s">
        <v>2048</v>
      </c>
      <c r="F1369" s="25" t="s">
        <v>2049</v>
      </c>
      <c r="G1369" s="59" t="s">
        <v>2049</v>
      </c>
      <c r="H1369" s="60">
        <v>0</v>
      </c>
      <c r="I1369" s="60">
        <v>0</v>
      </c>
      <c r="J1369" s="60">
        <v>0</v>
      </c>
      <c r="K1369" s="60">
        <v>0</v>
      </c>
      <c r="L1369" s="60">
        <v>0</v>
      </c>
      <c r="M1369" s="60">
        <v>0</v>
      </c>
      <c r="N1369" s="60">
        <v>0</v>
      </c>
      <c r="O1369" s="60">
        <v>0</v>
      </c>
      <c r="P1369" s="60">
        <v>0</v>
      </c>
      <c r="Q1369" s="60">
        <v>0</v>
      </c>
      <c r="R1369" s="60">
        <v>0</v>
      </c>
      <c r="S1369" s="60">
        <v>0</v>
      </c>
      <c r="T1369" s="60">
        <v>0</v>
      </c>
      <c r="U1369" s="60">
        <v>0</v>
      </c>
      <c r="V1369" s="60">
        <v>0</v>
      </c>
      <c r="W1369" s="60">
        <v>0</v>
      </c>
      <c r="X1369" s="60">
        <v>0</v>
      </c>
      <c r="Y1369" s="60">
        <v>0</v>
      </c>
      <c r="Z1369" s="60">
        <v>0</v>
      </c>
      <c r="AA1369" s="60">
        <v>0</v>
      </c>
      <c r="AB1369" s="60">
        <v>0</v>
      </c>
      <c r="AC1369" s="60">
        <v>0</v>
      </c>
      <c r="AD1369" s="60">
        <v>0</v>
      </c>
      <c r="AE1369" s="60">
        <v>0</v>
      </c>
      <c r="AF1369" s="60">
        <v>0</v>
      </c>
      <c r="AG1369" s="60">
        <v>0</v>
      </c>
      <c r="AH1369" s="60">
        <v>0</v>
      </c>
      <c r="AI1369" s="60">
        <v>0</v>
      </c>
      <c r="AJ1369" s="60">
        <v>0</v>
      </c>
      <c r="AK1369" s="60">
        <v>0</v>
      </c>
      <c r="AL1369" s="60">
        <v>0</v>
      </c>
      <c r="AM1369" s="60">
        <v>0</v>
      </c>
      <c r="AN1369" s="60">
        <v>0</v>
      </c>
      <c r="AO1369" s="60">
        <v>0</v>
      </c>
      <c r="AP1369" s="60">
        <v>0</v>
      </c>
      <c r="AQ1369" s="60">
        <v>0</v>
      </c>
      <c r="AR1369" s="61">
        <v>0</v>
      </c>
    </row>
    <row r="1370" spans="1:44" x14ac:dyDescent="0.35">
      <c r="A1370" s="49" t="str">
        <f t="shared" si="111"/>
        <v>37</v>
      </c>
      <c r="B1370" s="27">
        <v>67983</v>
      </c>
      <c r="C1370" s="25" t="str">
        <f t="shared" si="112"/>
        <v>0000000</v>
      </c>
      <c r="D1370" s="26" t="s">
        <v>3663</v>
      </c>
      <c r="E1370" s="25" t="s">
        <v>2080</v>
      </c>
      <c r="F1370" s="25" t="s">
        <v>2049</v>
      </c>
      <c r="G1370" s="59" t="s">
        <v>2081</v>
      </c>
      <c r="H1370" s="60">
        <v>329.17</v>
      </c>
      <c r="I1370" s="60">
        <v>314.81</v>
      </c>
      <c r="J1370" s="60">
        <v>352.61</v>
      </c>
      <c r="K1370" s="60">
        <v>0</v>
      </c>
      <c r="L1370" s="60">
        <v>0</v>
      </c>
      <c r="M1370" s="60">
        <v>0</v>
      </c>
      <c r="N1370" s="60">
        <v>0</v>
      </c>
      <c r="O1370" s="60">
        <v>0</v>
      </c>
      <c r="P1370" s="60">
        <v>0</v>
      </c>
      <c r="Q1370" s="60">
        <v>0</v>
      </c>
      <c r="R1370" s="60">
        <v>0</v>
      </c>
      <c r="S1370" s="60">
        <v>0</v>
      </c>
      <c r="T1370" s="60">
        <v>0</v>
      </c>
      <c r="U1370" s="60">
        <v>0</v>
      </c>
      <c r="V1370" s="60">
        <v>0</v>
      </c>
      <c r="W1370" s="60">
        <v>0</v>
      </c>
      <c r="X1370" s="60">
        <v>0</v>
      </c>
      <c r="Y1370" s="60">
        <v>0</v>
      </c>
      <c r="Z1370" s="60">
        <v>0</v>
      </c>
      <c r="AA1370" s="60">
        <v>0</v>
      </c>
      <c r="AB1370" s="60">
        <v>0</v>
      </c>
      <c r="AC1370" s="60">
        <v>0</v>
      </c>
      <c r="AD1370" s="60">
        <v>0</v>
      </c>
      <c r="AE1370" s="60">
        <v>0</v>
      </c>
      <c r="AF1370" s="60">
        <v>0</v>
      </c>
      <c r="AG1370" s="60">
        <v>0</v>
      </c>
      <c r="AH1370" s="60">
        <v>0</v>
      </c>
      <c r="AI1370" s="60">
        <v>329.17</v>
      </c>
      <c r="AJ1370" s="60">
        <v>314.81</v>
      </c>
      <c r="AK1370" s="60">
        <v>352.61</v>
      </c>
      <c r="AL1370" s="60">
        <v>0</v>
      </c>
      <c r="AM1370" s="60">
        <v>0</v>
      </c>
      <c r="AN1370" s="60">
        <v>0</v>
      </c>
      <c r="AO1370" s="60">
        <v>329.17</v>
      </c>
      <c r="AP1370" s="60">
        <v>314.81</v>
      </c>
      <c r="AQ1370" s="60">
        <v>352.61</v>
      </c>
      <c r="AR1370" s="61">
        <v>352.61</v>
      </c>
    </row>
    <row r="1371" spans="1:44" x14ac:dyDescent="0.35">
      <c r="A1371" s="49" t="str">
        <f t="shared" si="111"/>
        <v>37</v>
      </c>
      <c r="B1371" s="27">
        <v>68098</v>
      </c>
      <c r="C1371" s="25" t="str">
        <f t="shared" si="112"/>
        <v>0000000</v>
      </c>
      <c r="D1371" s="26" t="s">
        <v>3663</v>
      </c>
      <c r="E1371" s="25" t="s">
        <v>2112</v>
      </c>
      <c r="F1371" s="25" t="s">
        <v>2049</v>
      </c>
      <c r="G1371" s="59" t="s">
        <v>2113</v>
      </c>
      <c r="H1371" s="60">
        <v>12813.04</v>
      </c>
      <c r="I1371" s="60">
        <v>12586.43</v>
      </c>
      <c r="J1371" s="60">
        <v>14235.68</v>
      </c>
      <c r="K1371" s="60">
        <v>0</v>
      </c>
      <c r="L1371" s="60">
        <v>0</v>
      </c>
      <c r="M1371" s="60">
        <v>0</v>
      </c>
      <c r="N1371" s="60">
        <v>0</v>
      </c>
      <c r="O1371" s="60">
        <v>0</v>
      </c>
      <c r="P1371" s="60">
        <v>0</v>
      </c>
      <c r="Q1371" s="60">
        <v>0</v>
      </c>
      <c r="R1371" s="60">
        <v>0</v>
      </c>
      <c r="S1371" s="60">
        <v>0</v>
      </c>
      <c r="T1371" s="60">
        <v>0</v>
      </c>
      <c r="U1371" s="60">
        <v>0</v>
      </c>
      <c r="V1371" s="60">
        <v>0</v>
      </c>
      <c r="W1371" s="60">
        <v>0</v>
      </c>
      <c r="X1371" s="60">
        <v>0</v>
      </c>
      <c r="Y1371" s="60">
        <v>0</v>
      </c>
      <c r="Z1371" s="60">
        <v>0</v>
      </c>
      <c r="AA1371" s="60">
        <v>0</v>
      </c>
      <c r="AB1371" s="60">
        <v>0</v>
      </c>
      <c r="AC1371" s="60">
        <v>1278.96</v>
      </c>
      <c r="AD1371" s="60">
        <v>1271.52</v>
      </c>
      <c r="AE1371" s="60">
        <v>1149.42</v>
      </c>
      <c r="AF1371" s="60">
        <v>0</v>
      </c>
      <c r="AG1371" s="60">
        <v>0</v>
      </c>
      <c r="AH1371" s="60">
        <v>0</v>
      </c>
      <c r="AI1371" s="60">
        <v>14092</v>
      </c>
      <c r="AJ1371" s="60">
        <v>13857.95</v>
      </c>
      <c r="AK1371" s="60">
        <v>15385.1</v>
      </c>
      <c r="AL1371" s="60">
        <v>0</v>
      </c>
      <c r="AM1371" s="60">
        <v>0</v>
      </c>
      <c r="AN1371" s="60">
        <v>0</v>
      </c>
      <c r="AO1371" s="60">
        <v>14092</v>
      </c>
      <c r="AP1371" s="60">
        <v>13857.95</v>
      </c>
      <c r="AQ1371" s="60">
        <v>15385.1</v>
      </c>
      <c r="AR1371" s="61">
        <v>15385.1</v>
      </c>
    </row>
    <row r="1372" spans="1:44" x14ac:dyDescent="0.35">
      <c r="A1372" s="49" t="str">
        <f t="shared" si="111"/>
        <v>37</v>
      </c>
      <c r="B1372" s="27">
        <v>68106</v>
      </c>
      <c r="C1372" s="25" t="str">
        <f t="shared" si="112"/>
        <v>0000000</v>
      </c>
      <c r="D1372" s="26" t="s">
        <v>3663</v>
      </c>
      <c r="E1372" s="25" t="s">
        <v>2117</v>
      </c>
      <c r="F1372" s="25" t="s">
        <v>2049</v>
      </c>
      <c r="G1372" s="59" t="s">
        <v>2118</v>
      </c>
      <c r="H1372" s="60">
        <v>6196.06</v>
      </c>
      <c r="I1372" s="60">
        <v>6350.24</v>
      </c>
      <c r="J1372" s="60">
        <v>6852.89</v>
      </c>
      <c r="K1372" s="60">
        <v>0</v>
      </c>
      <c r="L1372" s="60">
        <v>0</v>
      </c>
      <c r="M1372" s="60">
        <v>0</v>
      </c>
      <c r="N1372" s="60">
        <v>0</v>
      </c>
      <c r="O1372" s="60">
        <v>0</v>
      </c>
      <c r="P1372" s="60">
        <v>0</v>
      </c>
      <c r="Q1372" s="60">
        <v>0</v>
      </c>
      <c r="R1372" s="60">
        <v>0</v>
      </c>
      <c r="S1372" s="60">
        <v>0</v>
      </c>
      <c r="T1372" s="60">
        <v>0</v>
      </c>
      <c r="U1372" s="60">
        <v>0</v>
      </c>
      <c r="V1372" s="60">
        <v>0</v>
      </c>
      <c r="W1372" s="60">
        <v>0</v>
      </c>
      <c r="X1372" s="60">
        <v>0</v>
      </c>
      <c r="Y1372" s="60">
        <v>0</v>
      </c>
      <c r="Z1372" s="60">
        <v>0</v>
      </c>
      <c r="AA1372" s="60">
        <v>0</v>
      </c>
      <c r="AB1372" s="60">
        <v>0</v>
      </c>
      <c r="AC1372" s="60">
        <v>901.71</v>
      </c>
      <c r="AD1372" s="60">
        <v>904.74</v>
      </c>
      <c r="AE1372" s="60">
        <v>854.26</v>
      </c>
      <c r="AF1372" s="60">
        <v>0</v>
      </c>
      <c r="AG1372" s="60">
        <v>0</v>
      </c>
      <c r="AH1372" s="60">
        <v>0</v>
      </c>
      <c r="AI1372" s="60">
        <v>7097.77</v>
      </c>
      <c r="AJ1372" s="60">
        <v>7254.98</v>
      </c>
      <c r="AK1372" s="60">
        <v>7707.15</v>
      </c>
      <c r="AL1372" s="60">
        <v>0</v>
      </c>
      <c r="AM1372" s="60">
        <v>0</v>
      </c>
      <c r="AN1372" s="60">
        <v>0</v>
      </c>
      <c r="AO1372" s="60">
        <v>7097.77</v>
      </c>
      <c r="AP1372" s="60">
        <v>7254.98</v>
      </c>
      <c r="AQ1372" s="60">
        <v>7707.15</v>
      </c>
      <c r="AR1372" s="61">
        <v>7707.15</v>
      </c>
    </row>
    <row r="1373" spans="1:44" x14ac:dyDescent="0.35">
      <c r="A1373" s="49" t="str">
        <f t="shared" si="111"/>
        <v>37</v>
      </c>
      <c r="B1373" s="27">
        <v>68163</v>
      </c>
      <c r="C1373" s="25" t="str">
        <f t="shared" si="112"/>
        <v>0000000</v>
      </c>
      <c r="D1373" s="26" t="s">
        <v>3663</v>
      </c>
      <c r="E1373" s="25" t="s">
        <v>2134</v>
      </c>
      <c r="F1373" s="25" t="s">
        <v>2049</v>
      </c>
      <c r="G1373" s="59" t="s">
        <v>2135</v>
      </c>
      <c r="H1373" s="60">
        <v>254.48</v>
      </c>
      <c r="I1373" s="60">
        <v>238.66</v>
      </c>
      <c r="J1373" s="60">
        <v>257.95</v>
      </c>
      <c r="K1373" s="60">
        <v>0</v>
      </c>
      <c r="L1373" s="60">
        <v>0</v>
      </c>
      <c r="M1373" s="60">
        <v>0</v>
      </c>
      <c r="N1373" s="60">
        <v>0</v>
      </c>
      <c r="O1373" s="60">
        <v>0</v>
      </c>
      <c r="P1373" s="60">
        <v>0</v>
      </c>
      <c r="Q1373" s="60">
        <v>0</v>
      </c>
      <c r="R1373" s="60">
        <v>0</v>
      </c>
      <c r="S1373" s="60">
        <v>0</v>
      </c>
      <c r="T1373" s="60">
        <v>0</v>
      </c>
      <c r="U1373" s="60">
        <v>0</v>
      </c>
      <c r="V1373" s="60">
        <v>0</v>
      </c>
      <c r="W1373" s="60">
        <v>0</v>
      </c>
      <c r="X1373" s="60">
        <v>0</v>
      </c>
      <c r="Y1373" s="60">
        <v>0</v>
      </c>
      <c r="Z1373" s="60">
        <v>0</v>
      </c>
      <c r="AA1373" s="60">
        <v>0</v>
      </c>
      <c r="AB1373" s="60">
        <v>0</v>
      </c>
      <c r="AC1373" s="60">
        <v>380.73</v>
      </c>
      <c r="AD1373" s="60">
        <v>424.73</v>
      </c>
      <c r="AE1373" s="60">
        <v>211.51</v>
      </c>
      <c r="AF1373" s="60">
        <v>0</v>
      </c>
      <c r="AG1373" s="60">
        <v>0</v>
      </c>
      <c r="AH1373" s="60">
        <v>0</v>
      </c>
      <c r="AI1373" s="60">
        <v>635.21</v>
      </c>
      <c r="AJ1373" s="60">
        <v>663.39</v>
      </c>
      <c r="AK1373" s="60">
        <v>469.46</v>
      </c>
      <c r="AL1373" s="60">
        <v>0</v>
      </c>
      <c r="AM1373" s="60">
        <v>0</v>
      </c>
      <c r="AN1373" s="60">
        <v>0</v>
      </c>
      <c r="AO1373" s="60">
        <v>635.21</v>
      </c>
      <c r="AP1373" s="60">
        <v>663.39</v>
      </c>
      <c r="AQ1373" s="60">
        <v>469.46</v>
      </c>
      <c r="AR1373" s="61">
        <v>663.39</v>
      </c>
    </row>
    <row r="1374" spans="1:44" x14ac:dyDescent="0.35">
      <c r="A1374" s="49" t="str">
        <f t="shared" si="111"/>
        <v>37</v>
      </c>
      <c r="B1374" s="27">
        <v>68304</v>
      </c>
      <c r="C1374" s="25" t="str">
        <f t="shared" si="112"/>
        <v>0000000</v>
      </c>
      <c r="D1374" s="26" t="s">
        <v>3663</v>
      </c>
      <c r="E1374" s="25" t="s">
        <v>2171</v>
      </c>
      <c r="F1374" s="25" t="s">
        <v>2049</v>
      </c>
      <c r="G1374" s="59" t="s">
        <v>2172</v>
      </c>
      <c r="H1374" s="60">
        <v>4636.6099999999997</v>
      </c>
      <c r="I1374" s="60">
        <v>4629.93</v>
      </c>
      <c r="J1374" s="60">
        <v>5135.6499999999996</v>
      </c>
      <c r="K1374" s="60">
        <v>0</v>
      </c>
      <c r="L1374" s="60">
        <v>0</v>
      </c>
      <c r="M1374" s="60">
        <v>0</v>
      </c>
      <c r="N1374" s="60">
        <v>0</v>
      </c>
      <c r="O1374" s="60">
        <v>0</v>
      </c>
      <c r="P1374" s="60">
        <v>0</v>
      </c>
      <c r="Q1374" s="60">
        <v>0</v>
      </c>
      <c r="R1374" s="60">
        <v>0</v>
      </c>
      <c r="S1374" s="60">
        <v>0</v>
      </c>
      <c r="T1374" s="60">
        <v>0</v>
      </c>
      <c r="U1374" s="60">
        <v>0</v>
      </c>
      <c r="V1374" s="60">
        <v>0</v>
      </c>
      <c r="W1374" s="60">
        <v>0</v>
      </c>
      <c r="X1374" s="60">
        <v>0</v>
      </c>
      <c r="Y1374" s="60">
        <v>0</v>
      </c>
      <c r="Z1374" s="60">
        <v>0</v>
      </c>
      <c r="AA1374" s="60">
        <v>0</v>
      </c>
      <c r="AB1374" s="60">
        <v>0</v>
      </c>
      <c r="AC1374" s="60">
        <v>0</v>
      </c>
      <c r="AD1374" s="60">
        <v>0</v>
      </c>
      <c r="AE1374" s="60">
        <v>0</v>
      </c>
      <c r="AF1374" s="60">
        <v>0</v>
      </c>
      <c r="AG1374" s="60">
        <v>0</v>
      </c>
      <c r="AH1374" s="60">
        <v>0</v>
      </c>
      <c r="AI1374" s="60">
        <v>4636.6099999999997</v>
      </c>
      <c r="AJ1374" s="60">
        <v>4629.93</v>
      </c>
      <c r="AK1374" s="60">
        <v>5135.6499999999996</v>
      </c>
      <c r="AL1374" s="60">
        <v>0</v>
      </c>
      <c r="AM1374" s="60">
        <v>0</v>
      </c>
      <c r="AN1374" s="60">
        <v>0</v>
      </c>
      <c r="AO1374" s="60">
        <v>4636.6099999999997</v>
      </c>
      <c r="AP1374" s="60">
        <v>4629.93</v>
      </c>
      <c r="AQ1374" s="60">
        <v>5135.6499999999996</v>
      </c>
      <c r="AR1374" s="61">
        <v>5135.6499999999996</v>
      </c>
    </row>
    <row r="1375" spans="1:44" x14ac:dyDescent="0.35">
      <c r="A1375" s="49" t="str">
        <f t="shared" si="111"/>
        <v>37</v>
      </c>
      <c r="B1375" s="27">
        <v>75614</v>
      </c>
      <c r="C1375" s="25" t="str">
        <f t="shared" si="112"/>
        <v>0000000</v>
      </c>
      <c r="D1375" s="26" t="s">
        <v>3663</v>
      </c>
      <c r="E1375" s="25" t="s">
        <v>2346</v>
      </c>
      <c r="F1375" s="25" t="s">
        <v>2049</v>
      </c>
      <c r="G1375" s="59" t="s">
        <v>2347</v>
      </c>
      <c r="H1375" s="60">
        <v>3369.14</v>
      </c>
      <c r="I1375" s="60">
        <v>3380.71</v>
      </c>
      <c r="J1375" s="60">
        <v>3736.07</v>
      </c>
      <c r="K1375" s="60">
        <v>0</v>
      </c>
      <c r="L1375" s="60">
        <v>0</v>
      </c>
      <c r="M1375" s="60">
        <v>0</v>
      </c>
      <c r="N1375" s="60">
        <v>0</v>
      </c>
      <c r="O1375" s="60">
        <v>0</v>
      </c>
      <c r="P1375" s="60">
        <v>0</v>
      </c>
      <c r="Q1375" s="60">
        <v>0</v>
      </c>
      <c r="R1375" s="60">
        <v>0</v>
      </c>
      <c r="S1375" s="60">
        <v>0</v>
      </c>
      <c r="T1375" s="60">
        <v>0</v>
      </c>
      <c r="U1375" s="60">
        <v>0</v>
      </c>
      <c r="V1375" s="60">
        <v>0</v>
      </c>
      <c r="W1375" s="60">
        <v>0</v>
      </c>
      <c r="X1375" s="60">
        <v>0</v>
      </c>
      <c r="Y1375" s="60">
        <v>0</v>
      </c>
      <c r="Z1375" s="60">
        <v>0</v>
      </c>
      <c r="AA1375" s="60">
        <v>0</v>
      </c>
      <c r="AB1375" s="60">
        <v>0</v>
      </c>
      <c r="AC1375" s="60">
        <v>0</v>
      </c>
      <c r="AD1375" s="60">
        <v>0</v>
      </c>
      <c r="AE1375" s="60">
        <v>0</v>
      </c>
      <c r="AF1375" s="60">
        <v>0</v>
      </c>
      <c r="AG1375" s="60">
        <v>0</v>
      </c>
      <c r="AH1375" s="60">
        <v>0</v>
      </c>
      <c r="AI1375" s="60">
        <v>3369.14</v>
      </c>
      <c r="AJ1375" s="60">
        <v>3380.71</v>
      </c>
      <c r="AK1375" s="60">
        <v>3736.07</v>
      </c>
      <c r="AL1375" s="60">
        <v>0</v>
      </c>
      <c r="AM1375" s="60">
        <v>0</v>
      </c>
      <c r="AN1375" s="60">
        <v>0</v>
      </c>
      <c r="AO1375" s="60">
        <v>3369.14</v>
      </c>
      <c r="AP1375" s="60">
        <v>3380.71</v>
      </c>
      <c r="AQ1375" s="60">
        <v>3736.07</v>
      </c>
      <c r="AR1375" s="61">
        <v>3736.07</v>
      </c>
    </row>
    <row r="1376" spans="1:44" x14ac:dyDescent="0.35">
      <c r="A1376" s="49" t="str">
        <f t="shared" si="111"/>
        <v>37</v>
      </c>
      <c r="B1376" s="27">
        <v>68353</v>
      </c>
      <c r="C1376" s="25" t="str">
        <f t="shared" si="112"/>
        <v>0000000</v>
      </c>
      <c r="D1376" s="26" t="s">
        <v>3663</v>
      </c>
      <c r="E1376" s="25" t="s">
        <v>2287</v>
      </c>
      <c r="F1376" s="25" t="s">
        <v>2049</v>
      </c>
      <c r="G1376" s="59" t="s">
        <v>2288</v>
      </c>
      <c r="H1376" s="60">
        <v>462.8</v>
      </c>
      <c r="I1376" s="60">
        <v>467.07</v>
      </c>
      <c r="J1376" s="60">
        <v>540.01</v>
      </c>
      <c r="K1376" s="60">
        <v>0</v>
      </c>
      <c r="L1376" s="60">
        <v>0</v>
      </c>
      <c r="M1376" s="60">
        <v>0</v>
      </c>
      <c r="N1376" s="60">
        <v>0</v>
      </c>
      <c r="O1376" s="60">
        <v>0</v>
      </c>
      <c r="P1376" s="60">
        <v>0</v>
      </c>
      <c r="Q1376" s="60">
        <v>0</v>
      </c>
      <c r="R1376" s="60">
        <v>0</v>
      </c>
      <c r="S1376" s="60">
        <v>0</v>
      </c>
      <c r="T1376" s="60">
        <v>0</v>
      </c>
      <c r="U1376" s="60">
        <v>0</v>
      </c>
      <c r="V1376" s="60">
        <v>0</v>
      </c>
      <c r="W1376" s="60">
        <v>0</v>
      </c>
      <c r="X1376" s="60">
        <v>0</v>
      </c>
      <c r="Y1376" s="60">
        <v>0</v>
      </c>
      <c r="Z1376" s="60">
        <v>0</v>
      </c>
      <c r="AA1376" s="60">
        <v>0</v>
      </c>
      <c r="AB1376" s="60">
        <v>0</v>
      </c>
      <c r="AC1376" s="60">
        <v>0</v>
      </c>
      <c r="AD1376" s="60">
        <v>0</v>
      </c>
      <c r="AE1376" s="60">
        <v>0</v>
      </c>
      <c r="AF1376" s="60">
        <v>0</v>
      </c>
      <c r="AG1376" s="60">
        <v>0</v>
      </c>
      <c r="AH1376" s="60">
        <v>0</v>
      </c>
      <c r="AI1376" s="60">
        <v>462.8</v>
      </c>
      <c r="AJ1376" s="60">
        <v>467.07</v>
      </c>
      <c r="AK1376" s="60">
        <v>540.01</v>
      </c>
      <c r="AL1376" s="60">
        <v>0</v>
      </c>
      <c r="AM1376" s="60">
        <v>0</v>
      </c>
      <c r="AN1376" s="60">
        <v>0</v>
      </c>
      <c r="AO1376" s="60">
        <v>462.8</v>
      </c>
      <c r="AP1376" s="60">
        <v>467.07</v>
      </c>
      <c r="AQ1376" s="60">
        <v>540.01</v>
      </c>
      <c r="AR1376" s="61">
        <v>540.01</v>
      </c>
    </row>
    <row r="1377" spans="1:44" x14ac:dyDescent="0.35">
      <c r="A1377" s="49" t="str">
        <f t="shared" si="111"/>
        <v>37</v>
      </c>
      <c r="B1377" s="27">
        <v>75416</v>
      </c>
      <c r="C1377" s="25" t="str">
        <f t="shared" si="112"/>
        <v>0000000</v>
      </c>
      <c r="D1377" s="26" t="s">
        <v>3663</v>
      </c>
      <c r="E1377" s="25" t="s">
        <v>2331</v>
      </c>
      <c r="F1377" s="25" t="s">
        <v>2049</v>
      </c>
      <c r="G1377" s="59" t="s">
        <v>2332</v>
      </c>
      <c r="H1377" s="60">
        <v>173.83</v>
      </c>
      <c r="I1377" s="60">
        <v>174.36</v>
      </c>
      <c r="J1377" s="60">
        <v>189.44</v>
      </c>
      <c r="K1377" s="60">
        <v>0</v>
      </c>
      <c r="L1377" s="60">
        <v>0</v>
      </c>
      <c r="M1377" s="60">
        <v>0</v>
      </c>
      <c r="N1377" s="60">
        <v>0</v>
      </c>
      <c r="O1377" s="60">
        <v>0</v>
      </c>
      <c r="P1377" s="60">
        <v>0</v>
      </c>
      <c r="Q1377" s="60">
        <v>0</v>
      </c>
      <c r="R1377" s="60">
        <v>0</v>
      </c>
      <c r="S1377" s="60">
        <v>0</v>
      </c>
      <c r="T1377" s="60">
        <v>0</v>
      </c>
      <c r="U1377" s="60">
        <v>0</v>
      </c>
      <c r="V1377" s="60">
        <v>0</v>
      </c>
      <c r="W1377" s="60">
        <v>0</v>
      </c>
      <c r="X1377" s="60">
        <v>0</v>
      </c>
      <c r="Y1377" s="60">
        <v>0</v>
      </c>
      <c r="Z1377" s="60">
        <v>0</v>
      </c>
      <c r="AA1377" s="60">
        <v>0</v>
      </c>
      <c r="AB1377" s="60">
        <v>0</v>
      </c>
      <c r="AC1377" s="60">
        <v>0</v>
      </c>
      <c r="AD1377" s="60">
        <v>0</v>
      </c>
      <c r="AE1377" s="60">
        <v>112.2</v>
      </c>
      <c r="AF1377" s="60">
        <v>0</v>
      </c>
      <c r="AG1377" s="60">
        <v>0</v>
      </c>
      <c r="AH1377" s="60">
        <v>0</v>
      </c>
      <c r="AI1377" s="60">
        <v>173.83</v>
      </c>
      <c r="AJ1377" s="60">
        <v>174.36</v>
      </c>
      <c r="AK1377" s="60">
        <v>301.64</v>
      </c>
      <c r="AL1377" s="60">
        <v>0</v>
      </c>
      <c r="AM1377" s="60">
        <v>0</v>
      </c>
      <c r="AN1377" s="60">
        <v>0</v>
      </c>
      <c r="AO1377" s="60">
        <v>173.83</v>
      </c>
      <c r="AP1377" s="60">
        <v>174.36</v>
      </c>
      <c r="AQ1377" s="60">
        <v>301.64</v>
      </c>
      <c r="AR1377" s="61">
        <v>301.64</v>
      </c>
    </row>
    <row r="1378" spans="1:44" x14ac:dyDescent="0.35">
      <c r="A1378" s="49" t="str">
        <f t="shared" si="111"/>
        <v>37</v>
      </c>
      <c r="B1378" s="27">
        <v>68171</v>
      </c>
      <c r="C1378" s="25" t="str">
        <f t="shared" si="112"/>
        <v>0000000</v>
      </c>
      <c r="D1378" s="26" t="s">
        <v>3663</v>
      </c>
      <c r="E1378" s="25" t="s">
        <v>2147</v>
      </c>
      <c r="F1378" s="25" t="s">
        <v>2049</v>
      </c>
      <c r="G1378" s="59" t="s">
        <v>2148</v>
      </c>
      <c r="H1378" s="60">
        <v>92.54</v>
      </c>
      <c r="I1378" s="60">
        <v>87.11</v>
      </c>
      <c r="J1378" s="60">
        <v>100.78</v>
      </c>
      <c r="K1378" s="60">
        <v>0</v>
      </c>
      <c r="L1378" s="60">
        <v>0</v>
      </c>
      <c r="M1378" s="60">
        <v>0</v>
      </c>
      <c r="N1378" s="60">
        <v>0</v>
      </c>
      <c r="O1378" s="60">
        <v>0</v>
      </c>
      <c r="P1378" s="60">
        <v>0</v>
      </c>
      <c r="Q1378" s="60">
        <v>0</v>
      </c>
      <c r="R1378" s="60">
        <v>0</v>
      </c>
      <c r="S1378" s="60">
        <v>0</v>
      </c>
      <c r="T1378" s="60">
        <v>0</v>
      </c>
      <c r="U1378" s="60">
        <v>0</v>
      </c>
      <c r="V1378" s="60">
        <v>0</v>
      </c>
      <c r="W1378" s="60">
        <v>0</v>
      </c>
      <c r="X1378" s="60">
        <v>0</v>
      </c>
      <c r="Y1378" s="60">
        <v>0</v>
      </c>
      <c r="Z1378" s="60">
        <v>0</v>
      </c>
      <c r="AA1378" s="60">
        <v>0</v>
      </c>
      <c r="AB1378" s="60">
        <v>0</v>
      </c>
      <c r="AC1378" s="60">
        <v>0</v>
      </c>
      <c r="AD1378" s="60">
        <v>0</v>
      </c>
      <c r="AE1378" s="60">
        <v>0</v>
      </c>
      <c r="AF1378" s="60">
        <v>0</v>
      </c>
      <c r="AG1378" s="60">
        <v>0</v>
      </c>
      <c r="AH1378" s="60">
        <v>0</v>
      </c>
      <c r="AI1378" s="60">
        <v>92.54</v>
      </c>
      <c r="AJ1378" s="60">
        <v>87.11</v>
      </c>
      <c r="AK1378" s="60">
        <v>100.78</v>
      </c>
      <c r="AL1378" s="60">
        <v>0</v>
      </c>
      <c r="AM1378" s="60">
        <v>0</v>
      </c>
      <c r="AN1378" s="60">
        <v>0</v>
      </c>
      <c r="AO1378" s="60">
        <v>92.54</v>
      </c>
      <c r="AP1378" s="60">
        <v>87.11</v>
      </c>
      <c r="AQ1378" s="60">
        <v>100.78</v>
      </c>
      <c r="AR1378" s="61">
        <v>100.78</v>
      </c>
    </row>
    <row r="1379" spans="1:44" x14ac:dyDescent="0.35">
      <c r="A1379" s="49" t="str">
        <f t="shared" si="111"/>
        <v>37</v>
      </c>
      <c r="B1379" s="27">
        <v>68403</v>
      </c>
      <c r="C1379" s="25" t="str">
        <f t="shared" si="112"/>
        <v>0000000</v>
      </c>
      <c r="D1379" s="26" t="s">
        <v>3663</v>
      </c>
      <c r="E1379" s="25" t="s">
        <v>2297</v>
      </c>
      <c r="F1379" s="25" t="s">
        <v>2049</v>
      </c>
      <c r="G1379" s="59" t="s">
        <v>2298</v>
      </c>
      <c r="H1379" s="60">
        <v>40.36</v>
      </c>
      <c r="I1379" s="60">
        <v>28.15</v>
      </c>
      <c r="J1379" s="60">
        <v>43.52</v>
      </c>
      <c r="K1379" s="60">
        <v>0</v>
      </c>
      <c r="L1379" s="60">
        <v>0</v>
      </c>
      <c r="M1379" s="60">
        <v>0</v>
      </c>
      <c r="N1379" s="60">
        <v>0</v>
      </c>
      <c r="O1379" s="60">
        <v>0</v>
      </c>
      <c r="P1379" s="60">
        <v>0</v>
      </c>
      <c r="Q1379" s="60">
        <v>0</v>
      </c>
      <c r="R1379" s="60">
        <v>0</v>
      </c>
      <c r="S1379" s="60">
        <v>0</v>
      </c>
      <c r="T1379" s="60">
        <v>0</v>
      </c>
      <c r="U1379" s="60">
        <v>0</v>
      </c>
      <c r="V1379" s="60">
        <v>0</v>
      </c>
      <c r="W1379" s="60">
        <v>0</v>
      </c>
      <c r="X1379" s="60">
        <v>0</v>
      </c>
      <c r="Y1379" s="60">
        <v>0</v>
      </c>
      <c r="Z1379" s="60">
        <v>0</v>
      </c>
      <c r="AA1379" s="60">
        <v>0</v>
      </c>
      <c r="AB1379" s="60">
        <v>0</v>
      </c>
      <c r="AC1379" s="60">
        <v>3387.76</v>
      </c>
      <c r="AD1379" s="60">
        <v>3621.73</v>
      </c>
      <c r="AE1379" s="60">
        <v>2428.5100000000002</v>
      </c>
      <c r="AF1379" s="60">
        <v>0</v>
      </c>
      <c r="AG1379" s="60">
        <v>0</v>
      </c>
      <c r="AH1379" s="60">
        <v>0</v>
      </c>
      <c r="AI1379" s="60">
        <v>3428.12</v>
      </c>
      <c r="AJ1379" s="60">
        <v>3649.88</v>
      </c>
      <c r="AK1379" s="60">
        <v>2472.0300000000002</v>
      </c>
      <c r="AL1379" s="60">
        <v>0</v>
      </c>
      <c r="AM1379" s="60">
        <v>0</v>
      </c>
      <c r="AN1379" s="60">
        <v>0</v>
      </c>
      <c r="AO1379" s="60">
        <v>3428.12</v>
      </c>
      <c r="AP1379" s="60">
        <v>3649.88</v>
      </c>
      <c r="AQ1379" s="60">
        <v>2472.0300000000002</v>
      </c>
      <c r="AR1379" s="61">
        <v>3649.88</v>
      </c>
    </row>
    <row r="1380" spans="1:44" x14ac:dyDescent="0.35">
      <c r="A1380" s="49" t="str">
        <f t="shared" si="111"/>
        <v>37</v>
      </c>
      <c r="B1380" s="27">
        <v>10371</v>
      </c>
      <c r="C1380" s="25" t="str">
        <f t="shared" si="112"/>
        <v>0000000</v>
      </c>
      <c r="D1380" s="26" t="s">
        <v>3663</v>
      </c>
      <c r="E1380" s="25" t="s">
        <v>2050</v>
      </c>
      <c r="F1380" s="25" t="s">
        <v>2051</v>
      </c>
      <c r="G1380" s="59" t="s">
        <v>2051</v>
      </c>
      <c r="H1380" s="60">
        <v>0</v>
      </c>
      <c r="I1380" s="60">
        <v>0</v>
      </c>
      <c r="J1380" s="60">
        <v>0</v>
      </c>
      <c r="K1380" s="60">
        <v>0</v>
      </c>
      <c r="L1380" s="60">
        <v>0</v>
      </c>
      <c r="M1380" s="60">
        <v>0</v>
      </c>
      <c r="N1380" s="60">
        <v>0</v>
      </c>
      <c r="O1380" s="60">
        <v>0</v>
      </c>
      <c r="P1380" s="60">
        <v>0</v>
      </c>
      <c r="Q1380" s="60">
        <v>0</v>
      </c>
      <c r="R1380" s="60">
        <v>0</v>
      </c>
      <c r="S1380" s="60">
        <v>0</v>
      </c>
      <c r="T1380" s="60">
        <v>0</v>
      </c>
      <c r="U1380" s="60">
        <v>0</v>
      </c>
      <c r="V1380" s="60">
        <v>0</v>
      </c>
      <c r="W1380" s="60">
        <v>0</v>
      </c>
      <c r="X1380" s="60">
        <v>0</v>
      </c>
      <c r="Y1380" s="60">
        <v>0</v>
      </c>
      <c r="Z1380" s="60">
        <v>0</v>
      </c>
      <c r="AA1380" s="60">
        <v>0</v>
      </c>
      <c r="AB1380" s="60">
        <v>0</v>
      </c>
      <c r="AC1380" s="60">
        <v>0</v>
      </c>
      <c r="AD1380" s="60">
        <v>0</v>
      </c>
      <c r="AE1380" s="60">
        <v>0</v>
      </c>
      <c r="AF1380" s="60">
        <v>0</v>
      </c>
      <c r="AG1380" s="60">
        <v>0</v>
      </c>
      <c r="AH1380" s="60">
        <v>0</v>
      </c>
      <c r="AI1380" s="60">
        <v>0</v>
      </c>
      <c r="AJ1380" s="60">
        <v>0</v>
      </c>
      <c r="AK1380" s="60">
        <v>0</v>
      </c>
      <c r="AL1380" s="60">
        <v>0</v>
      </c>
      <c r="AM1380" s="60">
        <v>0</v>
      </c>
      <c r="AN1380" s="60">
        <v>0</v>
      </c>
      <c r="AO1380" s="60">
        <v>0</v>
      </c>
      <c r="AP1380" s="60">
        <v>0</v>
      </c>
      <c r="AQ1380" s="60">
        <v>0</v>
      </c>
      <c r="AR1380" s="61">
        <v>0</v>
      </c>
    </row>
    <row r="1381" spans="1:44" x14ac:dyDescent="0.35">
      <c r="A1381" s="49" t="str">
        <f t="shared" si="111"/>
        <v>37</v>
      </c>
      <c r="B1381" s="27">
        <v>67967</v>
      </c>
      <c r="C1381" s="25" t="str">
        <f t="shared" si="112"/>
        <v>0000000</v>
      </c>
      <c r="D1381" s="26" t="s">
        <v>3663</v>
      </c>
      <c r="E1381" s="25" t="s">
        <v>2078</v>
      </c>
      <c r="F1381" s="25" t="s">
        <v>2051</v>
      </c>
      <c r="G1381" s="59" t="s">
        <v>2079</v>
      </c>
      <c r="H1381" s="60">
        <v>1380.21</v>
      </c>
      <c r="I1381" s="60">
        <v>1402.46</v>
      </c>
      <c r="J1381" s="60">
        <v>1561.11</v>
      </c>
      <c r="K1381" s="60">
        <v>0</v>
      </c>
      <c r="L1381" s="60">
        <v>0</v>
      </c>
      <c r="M1381" s="60">
        <v>0</v>
      </c>
      <c r="N1381" s="60">
        <v>0</v>
      </c>
      <c r="O1381" s="60">
        <v>0</v>
      </c>
      <c r="P1381" s="60">
        <v>0</v>
      </c>
      <c r="Q1381" s="60">
        <v>0</v>
      </c>
      <c r="R1381" s="60">
        <v>0</v>
      </c>
      <c r="S1381" s="60">
        <v>0</v>
      </c>
      <c r="T1381" s="60">
        <v>0</v>
      </c>
      <c r="U1381" s="60">
        <v>0</v>
      </c>
      <c r="V1381" s="60">
        <v>0</v>
      </c>
      <c r="W1381" s="60">
        <v>0</v>
      </c>
      <c r="X1381" s="60">
        <v>0</v>
      </c>
      <c r="Y1381" s="60">
        <v>0</v>
      </c>
      <c r="Z1381" s="60">
        <v>0</v>
      </c>
      <c r="AA1381" s="60">
        <v>0</v>
      </c>
      <c r="AB1381" s="60">
        <v>0</v>
      </c>
      <c r="AC1381" s="60">
        <v>0</v>
      </c>
      <c r="AD1381" s="60">
        <v>0</v>
      </c>
      <c r="AE1381" s="60">
        <v>0</v>
      </c>
      <c r="AF1381" s="60">
        <v>0</v>
      </c>
      <c r="AG1381" s="60">
        <v>0</v>
      </c>
      <c r="AH1381" s="60">
        <v>0</v>
      </c>
      <c r="AI1381" s="60">
        <v>1380.21</v>
      </c>
      <c r="AJ1381" s="60">
        <v>1402.46</v>
      </c>
      <c r="AK1381" s="60">
        <v>1561.11</v>
      </c>
      <c r="AL1381" s="60">
        <v>0</v>
      </c>
      <c r="AM1381" s="60">
        <v>0</v>
      </c>
      <c r="AN1381" s="60">
        <v>0</v>
      </c>
      <c r="AO1381" s="60">
        <v>1380.21</v>
      </c>
      <c r="AP1381" s="60">
        <v>1402.46</v>
      </c>
      <c r="AQ1381" s="60">
        <v>1561.11</v>
      </c>
      <c r="AR1381" s="61">
        <v>1561.11</v>
      </c>
    </row>
    <row r="1382" spans="1:44" x14ac:dyDescent="0.35">
      <c r="A1382" s="49" t="str">
        <f t="shared" si="111"/>
        <v>37</v>
      </c>
      <c r="B1382" s="27">
        <v>67991</v>
      </c>
      <c r="C1382" s="25" t="str">
        <f t="shared" si="112"/>
        <v>0000000</v>
      </c>
      <c r="D1382" s="26" t="s">
        <v>3663</v>
      </c>
      <c r="E1382" s="25" t="s">
        <v>2084</v>
      </c>
      <c r="F1382" s="25" t="s">
        <v>2051</v>
      </c>
      <c r="G1382" s="59" t="s">
        <v>2085</v>
      </c>
      <c r="H1382" s="60">
        <v>14037.65</v>
      </c>
      <c r="I1382" s="60">
        <v>13441.24</v>
      </c>
      <c r="J1382" s="60">
        <v>15655.93</v>
      </c>
      <c r="K1382" s="60">
        <v>0</v>
      </c>
      <c r="L1382" s="60">
        <v>0</v>
      </c>
      <c r="M1382" s="60">
        <v>0</v>
      </c>
      <c r="N1382" s="60">
        <v>0</v>
      </c>
      <c r="O1382" s="60">
        <v>0</v>
      </c>
      <c r="P1382" s="60">
        <v>0</v>
      </c>
      <c r="Q1382" s="60">
        <v>0</v>
      </c>
      <c r="R1382" s="60">
        <v>0</v>
      </c>
      <c r="S1382" s="60">
        <v>0</v>
      </c>
      <c r="T1382" s="60">
        <v>0</v>
      </c>
      <c r="U1382" s="60">
        <v>0</v>
      </c>
      <c r="V1382" s="60">
        <v>0</v>
      </c>
      <c r="W1382" s="60">
        <v>0</v>
      </c>
      <c r="X1382" s="60">
        <v>0</v>
      </c>
      <c r="Y1382" s="60">
        <v>0</v>
      </c>
      <c r="Z1382" s="60">
        <v>0</v>
      </c>
      <c r="AA1382" s="60">
        <v>0</v>
      </c>
      <c r="AB1382" s="60">
        <v>0</v>
      </c>
      <c r="AC1382" s="60">
        <v>2034.69</v>
      </c>
      <c r="AD1382" s="60">
        <v>1841.62</v>
      </c>
      <c r="AE1382" s="60">
        <v>929.75</v>
      </c>
      <c r="AF1382" s="60">
        <v>0</v>
      </c>
      <c r="AG1382" s="60">
        <v>0</v>
      </c>
      <c r="AH1382" s="60">
        <v>0</v>
      </c>
      <c r="AI1382" s="60">
        <v>16072.34</v>
      </c>
      <c r="AJ1382" s="60">
        <v>15282.86</v>
      </c>
      <c r="AK1382" s="60">
        <v>16585.68</v>
      </c>
      <c r="AL1382" s="60">
        <v>0</v>
      </c>
      <c r="AM1382" s="60">
        <v>0</v>
      </c>
      <c r="AN1382" s="60">
        <v>0</v>
      </c>
      <c r="AO1382" s="60">
        <v>16072.34</v>
      </c>
      <c r="AP1382" s="60">
        <v>15282.86</v>
      </c>
      <c r="AQ1382" s="60">
        <v>16585.68</v>
      </c>
      <c r="AR1382" s="61">
        <v>16585.68</v>
      </c>
    </row>
    <row r="1383" spans="1:44" x14ac:dyDescent="0.35">
      <c r="A1383" s="49" t="str">
        <f t="shared" si="111"/>
        <v>37</v>
      </c>
      <c r="B1383" s="27">
        <v>68049</v>
      </c>
      <c r="C1383" s="25" t="str">
        <f t="shared" si="112"/>
        <v>0000000</v>
      </c>
      <c r="D1383" s="26" t="s">
        <v>3663</v>
      </c>
      <c r="E1383" s="25" t="s">
        <v>2096</v>
      </c>
      <c r="F1383" s="25" t="s">
        <v>2051</v>
      </c>
      <c r="G1383" s="59" t="s">
        <v>2097</v>
      </c>
      <c r="H1383" s="60">
        <v>80.72</v>
      </c>
      <c r="I1383" s="60">
        <v>95.27</v>
      </c>
      <c r="J1383" s="60">
        <v>133.37</v>
      </c>
      <c r="K1383" s="60">
        <v>0</v>
      </c>
      <c r="L1383" s="60">
        <v>0</v>
      </c>
      <c r="M1383" s="60">
        <v>0</v>
      </c>
      <c r="N1383" s="60">
        <v>0</v>
      </c>
      <c r="O1383" s="60">
        <v>0</v>
      </c>
      <c r="P1383" s="60">
        <v>0</v>
      </c>
      <c r="Q1383" s="60">
        <v>0</v>
      </c>
      <c r="R1383" s="60">
        <v>0</v>
      </c>
      <c r="S1383" s="60">
        <v>0</v>
      </c>
      <c r="T1383" s="60">
        <v>0</v>
      </c>
      <c r="U1383" s="60">
        <v>0</v>
      </c>
      <c r="V1383" s="60">
        <v>0</v>
      </c>
      <c r="W1383" s="60">
        <v>0</v>
      </c>
      <c r="X1383" s="60">
        <v>0</v>
      </c>
      <c r="Y1383" s="60">
        <v>0</v>
      </c>
      <c r="Z1383" s="60">
        <v>0</v>
      </c>
      <c r="AA1383" s="60">
        <v>0</v>
      </c>
      <c r="AB1383" s="60">
        <v>0</v>
      </c>
      <c r="AC1383" s="60">
        <v>0</v>
      </c>
      <c r="AD1383" s="60">
        <v>597.55999999999995</v>
      </c>
      <c r="AE1383" s="60">
        <v>843.59</v>
      </c>
      <c r="AF1383" s="60">
        <v>0</v>
      </c>
      <c r="AG1383" s="60">
        <v>0</v>
      </c>
      <c r="AH1383" s="60">
        <v>0</v>
      </c>
      <c r="AI1383" s="60">
        <v>80.72</v>
      </c>
      <c r="AJ1383" s="60">
        <v>692.83</v>
      </c>
      <c r="AK1383" s="60">
        <v>976.96</v>
      </c>
      <c r="AL1383" s="60">
        <v>0</v>
      </c>
      <c r="AM1383" s="60">
        <v>-597.55999999999995</v>
      </c>
      <c r="AN1383" s="60">
        <v>-843.59</v>
      </c>
      <c r="AO1383" s="60">
        <v>80.72</v>
      </c>
      <c r="AP1383" s="60">
        <v>95.27</v>
      </c>
      <c r="AQ1383" s="60">
        <v>133.37</v>
      </c>
      <c r="AR1383" s="61">
        <v>133.37</v>
      </c>
    </row>
    <row r="1384" spans="1:44" x14ac:dyDescent="0.35">
      <c r="A1384" s="49" t="str">
        <f t="shared" si="111"/>
        <v>37</v>
      </c>
      <c r="B1384" s="27">
        <v>68130</v>
      </c>
      <c r="C1384" s="25" t="str">
        <f t="shared" si="112"/>
        <v>0000000</v>
      </c>
      <c r="D1384" s="26" t="s">
        <v>3663</v>
      </c>
      <c r="E1384" s="25" t="s">
        <v>2128</v>
      </c>
      <c r="F1384" s="25" t="s">
        <v>2051</v>
      </c>
      <c r="G1384" s="59" t="s">
        <v>2129</v>
      </c>
      <c r="H1384" s="60">
        <v>15080.05</v>
      </c>
      <c r="I1384" s="60">
        <v>15292.75</v>
      </c>
      <c r="J1384" s="60">
        <v>15877.7</v>
      </c>
      <c r="K1384" s="60">
        <v>0</v>
      </c>
      <c r="L1384" s="60">
        <v>0</v>
      </c>
      <c r="M1384" s="60">
        <v>0</v>
      </c>
      <c r="N1384" s="60">
        <v>0</v>
      </c>
      <c r="O1384" s="60">
        <v>0</v>
      </c>
      <c r="P1384" s="60">
        <v>0</v>
      </c>
      <c r="Q1384" s="60">
        <v>0</v>
      </c>
      <c r="R1384" s="60">
        <v>0</v>
      </c>
      <c r="S1384" s="60">
        <v>0</v>
      </c>
      <c r="T1384" s="60">
        <v>0</v>
      </c>
      <c r="U1384" s="60">
        <v>0</v>
      </c>
      <c r="V1384" s="60">
        <v>0</v>
      </c>
      <c r="W1384" s="60">
        <v>0</v>
      </c>
      <c r="X1384" s="60">
        <v>0</v>
      </c>
      <c r="Y1384" s="60">
        <v>0</v>
      </c>
      <c r="Z1384" s="60">
        <v>0</v>
      </c>
      <c r="AA1384" s="60">
        <v>0</v>
      </c>
      <c r="AB1384" s="60">
        <v>0</v>
      </c>
      <c r="AC1384" s="60">
        <v>4378.71</v>
      </c>
      <c r="AD1384" s="60">
        <v>4295.6000000000004</v>
      </c>
      <c r="AE1384" s="60">
        <v>4421.49</v>
      </c>
      <c r="AF1384" s="60">
        <v>0</v>
      </c>
      <c r="AG1384" s="60">
        <v>0</v>
      </c>
      <c r="AH1384" s="60">
        <v>0</v>
      </c>
      <c r="AI1384" s="60">
        <v>19458.759999999998</v>
      </c>
      <c r="AJ1384" s="60">
        <v>19588.349999999999</v>
      </c>
      <c r="AK1384" s="60">
        <v>20299.189999999999</v>
      </c>
      <c r="AL1384" s="60">
        <v>0</v>
      </c>
      <c r="AM1384" s="60">
        <v>0</v>
      </c>
      <c r="AN1384" s="60">
        <v>0</v>
      </c>
      <c r="AO1384" s="60">
        <v>19458.759999999998</v>
      </c>
      <c r="AP1384" s="60">
        <v>19588.349999999999</v>
      </c>
      <c r="AQ1384" s="60">
        <v>20299.189999999999</v>
      </c>
      <c r="AR1384" s="61">
        <v>20299.189999999999</v>
      </c>
    </row>
    <row r="1385" spans="1:44" x14ac:dyDescent="0.35">
      <c r="A1385" s="49" t="str">
        <f t="shared" si="111"/>
        <v>37</v>
      </c>
      <c r="B1385" s="27">
        <v>68155</v>
      </c>
      <c r="C1385" s="25" t="str">
        <f t="shared" si="112"/>
        <v>0000000</v>
      </c>
      <c r="D1385" s="26" t="s">
        <v>3663</v>
      </c>
      <c r="E1385" s="25" t="s">
        <v>2132</v>
      </c>
      <c r="F1385" s="25" t="s">
        <v>2051</v>
      </c>
      <c r="G1385" s="59" t="s">
        <v>2133</v>
      </c>
      <c r="H1385" s="60">
        <v>462.91</v>
      </c>
      <c r="I1385" s="60">
        <v>450.03</v>
      </c>
      <c r="J1385" s="60">
        <v>545.76</v>
      </c>
      <c r="K1385" s="60">
        <v>0</v>
      </c>
      <c r="L1385" s="60">
        <v>0</v>
      </c>
      <c r="M1385" s="60">
        <v>0</v>
      </c>
      <c r="N1385" s="60">
        <v>0</v>
      </c>
      <c r="O1385" s="60">
        <v>0</v>
      </c>
      <c r="P1385" s="60">
        <v>0</v>
      </c>
      <c r="Q1385" s="60">
        <v>0</v>
      </c>
      <c r="R1385" s="60">
        <v>0</v>
      </c>
      <c r="S1385" s="60">
        <v>0</v>
      </c>
      <c r="T1385" s="60">
        <v>0</v>
      </c>
      <c r="U1385" s="60">
        <v>0</v>
      </c>
      <c r="V1385" s="60">
        <v>0</v>
      </c>
      <c r="W1385" s="60">
        <v>0</v>
      </c>
      <c r="X1385" s="60">
        <v>0</v>
      </c>
      <c r="Y1385" s="60">
        <v>0</v>
      </c>
      <c r="Z1385" s="60">
        <v>0</v>
      </c>
      <c r="AA1385" s="60">
        <v>0</v>
      </c>
      <c r="AB1385" s="60">
        <v>0</v>
      </c>
      <c r="AC1385" s="60">
        <v>172.61</v>
      </c>
      <c r="AD1385" s="60">
        <v>180.6</v>
      </c>
      <c r="AE1385" s="60">
        <v>168.62</v>
      </c>
      <c r="AF1385" s="60">
        <v>0</v>
      </c>
      <c r="AG1385" s="60">
        <v>0</v>
      </c>
      <c r="AH1385" s="60">
        <v>0</v>
      </c>
      <c r="AI1385" s="60">
        <v>635.52</v>
      </c>
      <c r="AJ1385" s="60">
        <v>630.63</v>
      </c>
      <c r="AK1385" s="60">
        <v>714.38</v>
      </c>
      <c r="AL1385" s="60">
        <v>0</v>
      </c>
      <c r="AM1385" s="60">
        <v>0</v>
      </c>
      <c r="AN1385" s="60">
        <v>0</v>
      </c>
      <c r="AO1385" s="60">
        <v>635.52</v>
      </c>
      <c r="AP1385" s="60">
        <v>630.63</v>
      </c>
      <c r="AQ1385" s="60">
        <v>714.38</v>
      </c>
      <c r="AR1385" s="61">
        <v>714.38</v>
      </c>
    </row>
    <row r="1386" spans="1:44" x14ac:dyDescent="0.35">
      <c r="A1386" s="49" t="str">
        <f t="shared" si="111"/>
        <v>37</v>
      </c>
      <c r="B1386" s="27">
        <v>68197</v>
      </c>
      <c r="C1386" s="25" t="str">
        <f t="shared" si="112"/>
        <v>0000000</v>
      </c>
      <c r="D1386" s="26" t="s">
        <v>3663</v>
      </c>
      <c r="E1386" s="25" t="s">
        <v>2153</v>
      </c>
      <c r="F1386" s="25" t="s">
        <v>2051</v>
      </c>
      <c r="G1386" s="59" t="s">
        <v>2154</v>
      </c>
      <c r="H1386" s="60">
        <v>9967.68</v>
      </c>
      <c r="I1386" s="60">
        <v>9787.3700000000008</v>
      </c>
      <c r="J1386" s="60">
        <v>11218.42</v>
      </c>
      <c r="K1386" s="60">
        <v>0</v>
      </c>
      <c r="L1386" s="60">
        <v>0</v>
      </c>
      <c r="M1386" s="60">
        <v>0</v>
      </c>
      <c r="N1386" s="60">
        <v>0</v>
      </c>
      <c r="O1386" s="60">
        <v>0</v>
      </c>
      <c r="P1386" s="60">
        <v>0</v>
      </c>
      <c r="Q1386" s="60">
        <v>0</v>
      </c>
      <c r="R1386" s="60">
        <v>0</v>
      </c>
      <c r="S1386" s="60">
        <v>0</v>
      </c>
      <c r="T1386" s="60">
        <v>0</v>
      </c>
      <c r="U1386" s="60">
        <v>0</v>
      </c>
      <c r="V1386" s="60">
        <v>0</v>
      </c>
      <c r="W1386" s="60">
        <v>0</v>
      </c>
      <c r="X1386" s="60">
        <v>0</v>
      </c>
      <c r="Y1386" s="60">
        <v>0</v>
      </c>
      <c r="Z1386" s="60">
        <v>0</v>
      </c>
      <c r="AA1386" s="60">
        <v>0</v>
      </c>
      <c r="AB1386" s="60">
        <v>0</v>
      </c>
      <c r="AC1386" s="60">
        <v>367.73</v>
      </c>
      <c r="AD1386" s="60">
        <v>349.13</v>
      </c>
      <c r="AE1386" s="60">
        <v>307.5</v>
      </c>
      <c r="AF1386" s="60">
        <v>0</v>
      </c>
      <c r="AG1386" s="60">
        <v>0</v>
      </c>
      <c r="AH1386" s="60">
        <v>0</v>
      </c>
      <c r="AI1386" s="60">
        <v>10335.41</v>
      </c>
      <c r="AJ1386" s="60">
        <v>10136.5</v>
      </c>
      <c r="AK1386" s="60">
        <v>11525.92</v>
      </c>
      <c r="AL1386" s="60">
        <v>0</v>
      </c>
      <c r="AM1386" s="60">
        <v>0</v>
      </c>
      <c r="AN1386" s="60">
        <v>0</v>
      </c>
      <c r="AO1386" s="60">
        <v>10335.41</v>
      </c>
      <c r="AP1386" s="60">
        <v>10136.5</v>
      </c>
      <c r="AQ1386" s="60">
        <v>11525.92</v>
      </c>
      <c r="AR1386" s="61">
        <v>11525.92</v>
      </c>
    </row>
    <row r="1387" spans="1:44" x14ac:dyDescent="0.35">
      <c r="A1387" s="49" t="str">
        <f t="shared" si="111"/>
        <v>37</v>
      </c>
      <c r="B1387" s="27">
        <v>68189</v>
      </c>
      <c r="C1387" s="25" t="str">
        <f t="shared" si="112"/>
        <v>0000000</v>
      </c>
      <c r="D1387" s="26" t="s">
        <v>3663</v>
      </c>
      <c r="E1387" s="25" t="s">
        <v>2149</v>
      </c>
      <c r="F1387" s="25" t="s">
        <v>2051</v>
      </c>
      <c r="G1387" s="59" t="s">
        <v>777</v>
      </c>
      <c r="H1387" s="60">
        <v>4189.68</v>
      </c>
      <c r="I1387" s="60">
        <v>4281.51</v>
      </c>
      <c r="J1387" s="60">
        <v>4806.12</v>
      </c>
      <c r="K1387" s="60">
        <v>0</v>
      </c>
      <c r="L1387" s="60">
        <v>0</v>
      </c>
      <c r="M1387" s="60">
        <v>0</v>
      </c>
      <c r="N1387" s="60">
        <v>0</v>
      </c>
      <c r="O1387" s="60">
        <v>0</v>
      </c>
      <c r="P1387" s="60">
        <v>0</v>
      </c>
      <c r="Q1387" s="60">
        <v>0</v>
      </c>
      <c r="R1387" s="60">
        <v>0</v>
      </c>
      <c r="S1387" s="60">
        <v>0</v>
      </c>
      <c r="T1387" s="60">
        <v>0</v>
      </c>
      <c r="U1387" s="60">
        <v>0</v>
      </c>
      <c r="V1387" s="60">
        <v>0</v>
      </c>
      <c r="W1387" s="60">
        <v>0</v>
      </c>
      <c r="X1387" s="60">
        <v>0</v>
      </c>
      <c r="Y1387" s="60">
        <v>0</v>
      </c>
      <c r="Z1387" s="60">
        <v>0</v>
      </c>
      <c r="AA1387" s="60">
        <v>0</v>
      </c>
      <c r="AB1387" s="60">
        <v>0</v>
      </c>
      <c r="AC1387" s="60">
        <v>225.28</v>
      </c>
      <c r="AD1387" s="60">
        <v>319.18</v>
      </c>
      <c r="AE1387" s="60">
        <v>404.83</v>
      </c>
      <c r="AF1387" s="60">
        <v>0</v>
      </c>
      <c r="AG1387" s="60">
        <v>0</v>
      </c>
      <c r="AH1387" s="60">
        <v>0</v>
      </c>
      <c r="AI1387" s="60">
        <v>4414.96</v>
      </c>
      <c r="AJ1387" s="60">
        <v>4600.6899999999996</v>
      </c>
      <c r="AK1387" s="60">
        <v>5210.95</v>
      </c>
      <c r="AL1387" s="60">
        <v>0</v>
      </c>
      <c r="AM1387" s="60">
        <v>-89.24</v>
      </c>
      <c r="AN1387" s="60">
        <v>-103.86</v>
      </c>
      <c r="AO1387" s="60">
        <v>4414.96</v>
      </c>
      <c r="AP1387" s="60">
        <v>4511.45</v>
      </c>
      <c r="AQ1387" s="60">
        <v>5107.09</v>
      </c>
      <c r="AR1387" s="61">
        <v>5107.09</v>
      </c>
    </row>
    <row r="1388" spans="1:44" x14ac:dyDescent="0.35">
      <c r="A1388" s="49" t="str">
        <f t="shared" si="111"/>
        <v>37</v>
      </c>
      <c r="B1388" s="27">
        <v>68205</v>
      </c>
      <c r="C1388" s="25" t="str">
        <f t="shared" si="112"/>
        <v>0000000</v>
      </c>
      <c r="D1388" s="26" t="s">
        <v>3663</v>
      </c>
      <c r="E1388" s="25" t="s">
        <v>2155</v>
      </c>
      <c r="F1388" s="25" t="s">
        <v>2051</v>
      </c>
      <c r="G1388" s="59" t="s">
        <v>2156</v>
      </c>
      <c r="H1388" s="60">
        <v>2905.88</v>
      </c>
      <c r="I1388" s="60">
        <v>2848.13</v>
      </c>
      <c r="J1388" s="60">
        <v>3242.97</v>
      </c>
      <c r="K1388" s="60">
        <v>0</v>
      </c>
      <c r="L1388" s="60">
        <v>0</v>
      </c>
      <c r="M1388" s="60">
        <v>0</v>
      </c>
      <c r="N1388" s="60">
        <v>0</v>
      </c>
      <c r="O1388" s="60">
        <v>0</v>
      </c>
      <c r="P1388" s="60">
        <v>0</v>
      </c>
      <c r="Q1388" s="60">
        <v>0</v>
      </c>
      <c r="R1388" s="60">
        <v>0</v>
      </c>
      <c r="S1388" s="60">
        <v>0</v>
      </c>
      <c r="T1388" s="60">
        <v>0</v>
      </c>
      <c r="U1388" s="60">
        <v>0</v>
      </c>
      <c r="V1388" s="60">
        <v>0</v>
      </c>
      <c r="W1388" s="60">
        <v>0</v>
      </c>
      <c r="X1388" s="60">
        <v>0</v>
      </c>
      <c r="Y1388" s="60">
        <v>0</v>
      </c>
      <c r="Z1388" s="60">
        <v>0</v>
      </c>
      <c r="AA1388" s="60">
        <v>0</v>
      </c>
      <c r="AB1388" s="60">
        <v>0</v>
      </c>
      <c r="AC1388" s="60">
        <v>0</v>
      </c>
      <c r="AD1388" s="60">
        <v>0</v>
      </c>
      <c r="AE1388" s="60">
        <v>0</v>
      </c>
      <c r="AF1388" s="60">
        <v>0</v>
      </c>
      <c r="AG1388" s="60">
        <v>0</v>
      </c>
      <c r="AH1388" s="60">
        <v>0</v>
      </c>
      <c r="AI1388" s="60">
        <v>2905.88</v>
      </c>
      <c r="AJ1388" s="60">
        <v>2848.13</v>
      </c>
      <c r="AK1388" s="60">
        <v>3242.97</v>
      </c>
      <c r="AL1388" s="60">
        <v>0</v>
      </c>
      <c r="AM1388" s="60">
        <v>0</v>
      </c>
      <c r="AN1388" s="60">
        <v>0</v>
      </c>
      <c r="AO1388" s="60">
        <v>2905.88</v>
      </c>
      <c r="AP1388" s="60">
        <v>2848.13</v>
      </c>
      <c r="AQ1388" s="60">
        <v>3242.97</v>
      </c>
      <c r="AR1388" s="61">
        <v>3242.97</v>
      </c>
    </row>
    <row r="1389" spans="1:44" x14ac:dyDescent="0.35">
      <c r="A1389" s="49" t="str">
        <f t="shared" si="111"/>
        <v>37</v>
      </c>
      <c r="B1389" s="27">
        <v>68213</v>
      </c>
      <c r="C1389" s="25" t="str">
        <f t="shared" si="112"/>
        <v>0000000</v>
      </c>
      <c r="D1389" s="26" t="s">
        <v>3663</v>
      </c>
      <c r="E1389" s="25" t="s">
        <v>2157</v>
      </c>
      <c r="F1389" s="25" t="s">
        <v>2051</v>
      </c>
      <c r="G1389" s="59" t="s">
        <v>2158</v>
      </c>
      <c r="H1389" s="60">
        <v>1633.57</v>
      </c>
      <c r="I1389" s="60">
        <v>1519.62</v>
      </c>
      <c r="J1389" s="60">
        <v>1611.98</v>
      </c>
      <c r="K1389" s="60">
        <v>0</v>
      </c>
      <c r="L1389" s="60">
        <v>0</v>
      </c>
      <c r="M1389" s="60">
        <v>0</v>
      </c>
      <c r="N1389" s="60">
        <v>0</v>
      </c>
      <c r="O1389" s="60">
        <v>0</v>
      </c>
      <c r="P1389" s="60">
        <v>0</v>
      </c>
      <c r="Q1389" s="60">
        <v>0</v>
      </c>
      <c r="R1389" s="60">
        <v>0</v>
      </c>
      <c r="S1389" s="60">
        <v>0</v>
      </c>
      <c r="T1389" s="60">
        <v>0</v>
      </c>
      <c r="U1389" s="60">
        <v>0</v>
      </c>
      <c r="V1389" s="60">
        <v>0</v>
      </c>
      <c r="W1389" s="60">
        <v>0</v>
      </c>
      <c r="X1389" s="60">
        <v>0</v>
      </c>
      <c r="Y1389" s="60">
        <v>0</v>
      </c>
      <c r="Z1389" s="60">
        <v>0</v>
      </c>
      <c r="AA1389" s="60">
        <v>0</v>
      </c>
      <c r="AB1389" s="60">
        <v>0</v>
      </c>
      <c r="AC1389" s="60">
        <v>398.33</v>
      </c>
      <c r="AD1389" s="60">
        <v>410.17</v>
      </c>
      <c r="AE1389" s="60">
        <v>1059.6500000000001</v>
      </c>
      <c r="AF1389" s="60">
        <v>0</v>
      </c>
      <c r="AG1389" s="60">
        <v>0</v>
      </c>
      <c r="AH1389" s="60">
        <v>0</v>
      </c>
      <c r="AI1389" s="60">
        <v>2031.9</v>
      </c>
      <c r="AJ1389" s="60">
        <v>1929.79</v>
      </c>
      <c r="AK1389" s="60">
        <v>2671.63</v>
      </c>
      <c r="AL1389" s="60">
        <v>0</v>
      </c>
      <c r="AM1389" s="60">
        <v>0</v>
      </c>
      <c r="AN1389" s="60">
        <v>0</v>
      </c>
      <c r="AO1389" s="60">
        <v>2031.9</v>
      </c>
      <c r="AP1389" s="60">
        <v>1929.79</v>
      </c>
      <c r="AQ1389" s="60">
        <v>2671.63</v>
      </c>
      <c r="AR1389" s="61">
        <v>2671.63</v>
      </c>
    </row>
    <row r="1390" spans="1:44" x14ac:dyDescent="0.35">
      <c r="A1390" s="49" t="str">
        <f t="shared" si="111"/>
        <v>37</v>
      </c>
      <c r="B1390" s="27">
        <v>68361</v>
      </c>
      <c r="C1390" s="25" t="str">
        <f t="shared" si="112"/>
        <v>0000000</v>
      </c>
      <c r="D1390" s="26" t="s">
        <v>3663</v>
      </c>
      <c r="E1390" s="25" t="s">
        <v>2289</v>
      </c>
      <c r="F1390" s="25" t="s">
        <v>2051</v>
      </c>
      <c r="G1390" s="59" t="s">
        <v>2290</v>
      </c>
      <c r="H1390" s="60">
        <v>5721.54</v>
      </c>
      <c r="I1390" s="60">
        <v>5839.47</v>
      </c>
      <c r="J1390" s="60">
        <v>6568.47</v>
      </c>
      <c r="K1390" s="60">
        <v>0</v>
      </c>
      <c r="L1390" s="60">
        <v>0</v>
      </c>
      <c r="M1390" s="60">
        <v>0</v>
      </c>
      <c r="N1390" s="60">
        <v>0</v>
      </c>
      <c r="O1390" s="60">
        <v>0</v>
      </c>
      <c r="P1390" s="60">
        <v>0</v>
      </c>
      <c r="Q1390" s="60">
        <v>0</v>
      </c>
      <c r="R1390" s="60">
        <v>0</v>
      </c>
      <c r="S1390" s="60">
        <v>0</v>
      </c>
      <c r="T1390" s="60">
        <v>0</v>
      </c>
      <c r="U1390" s="60">
        <v>0</v>
      </c>
      <c r="V1390" s="60">
        <v>0</v>
      </c>
      <c r="W1390" s="60">
        <v>0</v>
      </c>
      <c r="X1390" s="60">
        <v>0</v>
      </c>
      <c r="Y1390" s="60">
        <v>0</v>
      </c>
      <c r="Z1390" s="60">
        <v>0</v>
      </c>
      <c r="AA1390" s="60">
        <v>0</v>
      </c>
      <c r="AB1390" s="60">
        <v>0</v>
      </c>
      <c r="AC1390" s="60">
        <v>0</v>
      </c>
      <c r="AD1390" s="60">
        <v>0</v>
      </c>
      <c r="AE1390" s="60">
        <v>0</v>
      </c>
      <c r="AF1390" s="60">
        <v>0</v>
      </c>
      <c r="AG1390" s="60">
        <v>0</v>
      </c>
      <c r="AH1390" s="60">
        <v>0</v>
      </c>
      <c r="AI1390" s="60">
        <v>5721.54</v>
      </c>
      <c r="AJ1390" s="60">
        <v>5839.47</v>
      </c>
      <c r="AK1390" s="60">
        <v>6568.47</v>
      </c>
      <c r="AL1390" s="60">
        <v>0</v>
      </c>
      <c r="AM1390" s="60">
        <v>0</v>
      </c>
      <c r="AN1390" s="60">
        <v>0</v>
      </c>
      <c r="AO1390" s="60">
        <v>5721.54</v>
      </c>
      <c r="AP1390" s="60">
        <v>5839.47</v>
      </c>
      <c r="AQ1390" s="60">
        <v>6568.47</v>
      </c>
      <c r="AR1390" s="61">
        <v>6568.47</v>
      </c>
    </row>
    <row r="1391" spans="1:44" x14ac:dyDescent="0.35">
      <c r="A1391" s="49" t="str">
        <f t="shared" si="111"/>
        <v>37</v>
      </c>
      <c r="B1391" s="27">
        <v>68189</v>
      </c>
      <c r="C1391" s="25" t="str">
        <f>TEXT(6120901,"0000000")</f>
        <v>6120901</v>
      </c>
      <c r="D1391" s="26" t="s">
        <v>2152</v>
      </c>
      <c r="E1391" s="25" t="s">
        <v>2150</v>
      </c>
      <c r="F1391" s="25" t="s">
        <v>2051</v>
      </c>
      <c r="G1391" s="59" t="s">
        <v>2151</v>
      </c>
      <c r="H1391" s="60">
        <v>0</v>
      </c>
      <c r="I1391" s="60">
        <v>0</v>
      </c>
      <c r="J1391" s="60">
        <v>0</v>
      </c>
      <c r="K1391" s="60">
        <v>0</v>
      </c>
      <c r="L1391" s="60">
        <v>0</v>
      </c>
      <c r="M1391" s="60">
        <v>0</v>
      </c>
      <c r="N1391" s="60">
        <v>0</v>
      </c>
      <c r="O1391" s="60">
        <v>0</v>
      </c>
      <c r="P1391" s="60">
        <v>0</v>
      </c>
      <c r="Q1391" s="60">
        <v>0</v>
      </c>
      <c r="R1391" s="60">
        <v>0</v>
      </c>
      <c r="S1391" s="60">
        <v>0</v>
      </c>
      <c r="T1391" s="60">
        <v>0</v>
      </c>
      <c r="U1391" s="60">
        <v>0</v>
      </c>
      <c r="V1391" s="60">
        <v>0</v>
      </c>
      <c r="W1391" s="60">
        <v>0</v>
      </c>
      <c r="X1391" s="60">
        <v>0</v>
      </c>
      <c r="Y1391" s="60">
        <v>0</v>
      </c>
      <c r="Z1391" s="60">
        <v>0</v>
      </c>
      <c r="AA1391" s="60">
        <v>0</v>
      </c>
      <c r="AB1391" s="60">
        <v>0</v>
      </c>
      <c r="AC1391" s="60">
        <v>72.790000000000006</v>
      </c>
      <c r="AD1391" s="60">
        <v>0</v>
      </c>
      <c r="AE1391" s="60">
        <v>0</v>
      </c>
      <c r="AF1391" s="60">
        <v>0</v>
      </c>
      <c r="AG1391" s="60">
        <v>0</v>
      </c>
      <c r="AH1391" s="60">
        <v>0</v>
      </c>
      <c r="AI1391" s="60">
        <v>72.790000000000006</v>
      </c>
      <c r="AJ1391" s="60">
        <v>0</v>
      </c>
      <c r="AK1391" s="60">
        <v>0</v>
      </c>
      <c r="AL1391" s="60">
        <v>0</v>
      </c>
      <c r="AM1391" s="60">
        <v>89.24</v>
      </c>
      <c r="AN1391" s="60">
        <v>103.86</v>
      </c>
      <c r="AO1391" s="60">
        <v>72.790000000000006</v>
      </c>
      <c r="AP1391" s="60">
        <v>89.24</v>
      </c>
      <c r="AQ1391" s="60">
        <v>103.86</v>
      </c>
      <c r="AR1391" s="61">
        <v>103.86</v>
      </c>
    </row>
    <row r="1392" spans="1:44" x14ac:dyDescent="0.35">
      <c r="A1392" s="49" t="str">
        <f t="shared" ref="A1392:A1411" si="113">TEXT(31,"00")</f>
        <v>31</v>
      </c>
      <c r="B1392" s="27">
        <v>10314</v>
      </c>
      <c r="C1392" s="25" t="str">
        <f t="shared" ref="C1392:C1408" si="114">TEXT(,"0000000")</f>
        <v>0000000</v>
      </c>
      <c r="D1392" s="26" t="s">
        <v>3663</v>
      </c>
      <c r="E1392" s="25" t="s">
        <v>1625</v>
      </c>
      <c r="F1392" s="25" t="s">
        <v>1626</v>
      </c>
      <c r="G1392" s="59" t="s">
        <v>1626</v>
      </c>
      <c r="H1392" s="60">
        <v>0</v>
      </c>
      <c r="I1392" s="60">
        <v>0</v>
      </c>
      <c r="J1392" s="60">
        <v>0</v>
      </c>
      <c r="K1392" s="60">
        <v>0</v>
      </c>
      <c r="L1392" s="60">
        <v>0</v>
      </c>
      <c r="M1392" s="60">
        <v>0</v>
      </c>
      <c r="N1392" s="60">
        <v>0</v>
      </c>
      <c r="O1392" s="60">
        <v>0</v>
      </c>
      <c r="P1392" s="60">
        <v>0</v>
      </c>
      <c r="Q1392" s="60">
        <v>0</v>
      </c>
      <c r="R1392" s="60">
        <v>0</v>
      </c>
      <c r="S1392" s="60">
        <v>0</v>
      </c>
      <c r="T1392" s="60">
        <v>73.38</v>
      </c>
      <c r="U1392" s="60">
        <v>59.55</v>
      </c>
      <c r="V1392" s="60">
        <v>137.58000000000001</v>
      </c>
      <c r="W1392" s="60">
        <v>346.48</v>
      </c>
      <c r="X1392" s="60">
        <v>360.44</v>
      </c>
      <c r="Y1392" s="60">
        <v>396.36</v>
      </c>
      <c r="Z1392" s="60">
        <v>0</v>
      </c>
      <c r="AA1392" s="60">
        <v>0</v>
      </c>
      <c r="AB1392" s="60">
        <v>0</v>
      </c>
      <c r="AC1392" s="60">
        <v>0</v>
      </c>
      <c r="AD1392" s="60">
        <v>0</v>
      </c>
      <c r="AE1392" s="60">
        <v>0</v>
      </c>
      <c r="AF1392" s="60">
        <v>0</v>
      </c>
      <c r="AG1392" s="60">
        <v>0</v>
      </c>
      <c r="AH1392" s="60">
        <v>0</v>
      </c>
      <c r="AI1392" s="60">
        <v>419.86</v>
      </c>
      <c r="AJ1392" s="60">
        <v>419.99</v>
      </c>
      <c r="AK1392" s="60">
        <v>533.94000000000005</v>
      </c>
      <c r="AL1392" s="60">
        <v>0</v>
      </c>
      <c r="AM1392" s="60">
        <v>0</v>
      </c>
      <c r="AN1392" s="60">
        <v>0</v>
      </c>
      <c r="AO1392" s="60">
        <v>419.86</v>
      </c>
      <c r="AP1392" s="60">
        <v>419.99</v>
      </c>
      <c r="AQ1392" s="60">
        <v>533.94000000000005</v>
      </c>
      <c r="AR1392" s="61">
        <v>533.94000000000005</v>
      </c>
    </row>
    <row r="1393" spans="1:44" x14ac:dyDescent="0.35">
      <c r="A1393" s="49" t="str">
        <f t="shared" si="113"/>
        <v>31</v>
      </c>
      <c r="B1393" s="27">
        <v>66761</v>
      </c>
      <c r="C1393" s="25" t="str">
        <f t="shared" si="114"/>
        <v>0000000</v>
      </c>
      <c r="D1393" s="26" t="s">
        <v>3663</v>
      </c>
      <c r="E1393" s="25" t="s">
        <v>1627</v>
      </c>
      <c r="F1393" s="25" t="s">
        <v>1626</v>
      </c>
      <c r="G1393" s="59" t="s">
        <v>1628</v>
      </c>
      <c r="H1393" s="60">
        <v>0</v>
      </c>
      <c r="I1393" s="60">
        <v>0</v>
      </c>
      <c r="J1393" s="60">
        <v>0</v>
      </c>
      <c r="K1393" s="60">
        <v>0</v>
      </c>
      <c r="L1393" s="60">
        <v>0</v>
      </c>
      <c r="M1393" s="60">
        <v>0</v>
      </c>
      <c r="N1393" s="60">
        <v>0</v>
      </c>
      <c r="O1393" s="60">
        <v>0</v>
      </c>
      <c r="P1393" s="60">
        <v>0</v>
      </c>
      <c r="Q1393" s="60">
        <v>0</v>
      </c>
      <c r="R1393" s="60">
        <v>0</v>
      </c>
      <c r="S1393" s="60">
        <v>0</v>
      </c>
      <c r="T1393" s="60">
        <v>0</v>
      </c>
      <c r="U1393" s="60">
        <v>0</v>
      </c>
      <c r="V1393" s="60">
        <v>0</v>
      </c>
      <c r="W1393" s="60">
        <v>0</v>
      </c>
      <c r="X1393" s="60">
        <v>0</v>
      </c>
      <c r="Y1393" s="60">
        <v>0</v>
      </c>
      <c r="Z1393" s="60">
        <v>0</v>
      </c>
      <c r="AA1393" s="60">
        <v>0</v>
      </c>
      <c r="AB1393" s="60">
        <v>0</v>
      </c>
      <c r="AC1393" s="60">
        <v>559.59</v>
      </c>
      <c r="AD1393" s="60">
        <v>518.20000000000005</v>
      </c>
      <c r="AE1393" s="60">
        <v>573.05999999999995</v>
      </c>
      <c r="AF1393" s="60">
        <v>0</v>
      </c>
      <c r="AG1393" s="60">
        <v>0</v>
      </c>
      <c r="AH1393" s="60">
        <v>0</v>
      </c>
      <c r="AI1393" s="60">
        <v>559.59</v>
      </c>
      <c r="AJ1393" s="60">
        <v>518.20000000000005</v>
      </c>
      <c r="AK1393" s="60">
        <v>573.05999999999995</v>
      </c>
      <c r="AL1393" s="60">
        <v>0</v>
      </c>
      <c r="AM1393" s="60">
        <v>0</v>
      </c>
      <c r="AN1393" s="60">
        <v>0</v>
      </c>
      <c r="AO1393" s="60">
        <v>559.59</v>
      </c>
      <c r="AP1393" s="60">
        <v>518.20000000000005</v>
      </c>
      <c r="AQ1393" s="60">
        <v>573.05999999999995</v>
      </c>
      <c r="AR1393" s="61">
        <v>573.05999999999995</v>
      </c>
    </row>
    <row r="1394" spans="1:44" x14ac:dyDescent="0.35">
      <c r="A1394" s="49" t="str">
        <f t="shared" si="113"/>
        <v>31</v>
      </c>
      <c r="B1394" s="27">
        <v>66779</v>
      </c>
      <c r="C1394" s="25" t="str">
        <f t="shared" si="114"/>
        <v>0000000</v>
      </c>
      <c r="D1394" s="26" t="s">
        <v>3663</v>
      </c>
      <c r="E1394" s="25" t="s">
        <v>1629</v>
      </c>
      <c r="F1394" s="25" t="s">
        <v>1626</v>
      </c>
      <c r="G1394" s="59" t="s">
        <v>1630</v>
      </c>
      <c r="H1394" s="60">
        <v>82.63</v>
      </c>
      <c r="I1394" s="60">
        <v>75.180000000000007</v>
      </c>
      <c r="J1394" s="60">
        <v>93.85</v>
      </c>
      <c r="K1394" s="60">
        <v>0</v>
      </c>
      <c r="L1394" s="60">
        <v>0</v>
      </c>
      <c r="M1394" s="60">
        <v>0</v>
      </c>
      <c r="N1394" s="60">
        <v>0</v>
      </c>
      <c r="O1394" s="60">
        <v>0</v>
      </c>
      <c r="P1394" s="60">
        <v>0</v>
      </c>
      <c r="Q1394" s="60">
        <v>0</v>
      </c>
      <c r="R1394" s="60">
        <v>0</v>
      </c>
      <c r="S1394" s="60">
        <v>0</v>
      </c>
      <c r="T1394" s="60">
        <v>0</v>
      </c>
      <c r="U1394" s="60">
        <v>0</v>
      </c>
      <c r="V1394" s="60">
        <v>0</v>
      </c>
      <c r="W1394" s="60">
        <v>0</v>
      </c>
      <c r="X1394" s="60">
        <v>0</v>
      </c>
      <c r="Y1394" s="60">
        <v>0</v>
      </c>
      <c r="Z1394" s="60">
        <v>0</v>
      </c>
      <c r="AA1394" s="60">
        <v>0</v>
      </c>
      <c r="AB1394" s="60">
        <v>0</v>
      </c>
      <c r="AC1394" s="60">
        <v>0</v>
      </c>
      <c r="AD1394" s="60">
        <v>0</v>
      </c>
      <c r="AE1394" s="60">
        <v>0</v>
      </c>
      <c r="AF1394" s="60">
        <v>0</v>
      </c>
      <c r="AG1394" s="60">
        <v>0</v>
      </c>
      <c r="AH1394" s="60">
        <v>0</v>
      </c>
      <c r="AI1394" s="60">
        <v>82.63</v>
      </c>
      <c r="AJ1394" s="60">
        <v>75.180000000000007</v>
      </c>
      <c r="AK1394" s="60">
        <v>93.85</v>
      </c>
      <c r="AL1394" s="60">
        <v>0</v>
      </c>
      <c r="AM1394" s="60">
        <v>0</v>
      </c>
      <c r="AN1394" s="60">
        <v>0</v>
      </c>
      <c r="AO1394" s="60">
        <v>82.63</v>
      </c>
      <c r="AP1394" s="60">
        <v>75.180000000000007</v>
      </c>
      <c r="AQ1394" s="60">
        <v>93.85</v>
      </c>
      <c r="AR1394" s="61">
        <v>93.85</v>
      </c>
    </row>
    <row r="1395" spans="1:44" x14ac:dyDescent="0.35">
      <c r="A1395" s="49" t="str">
        <f t="shared" si="113"/>
        <v>31</v>
      </c>
      <c r="B1395" s="27">
        <v>66787</v>
      </c>
      <c r="C1395" s="25" t="str">
        <f t="shared" si="114"/>
        <v>0000000</v>
      </c>
      <c r="D1395" s="26" t="s">
        <v>3663</v>
      </c>
      <c r="E1395" s="25" t="s">
        <v>1631</v>
      </c>
      <c r="F1395" s="25" t="s">
        <v>1626</v>
      </c>
      <c r="G1395" s="59" t="s">
        <v>1632</v>
      </c>
      <c r="H1395" s="60">
        <v>1312.1</v>
      </c>
      <c r="I1395" s="60">
        <v>1377.22</v>
      </c>
      <c r="J1395" s="60">
        <v>1637.07</v>
      </c>
      <c r="K1395" s="60">
        <v>0</v>
      </c>
      <c r="L1395" s="60">
        <v>0</v>
      </c>
      <c r="M1395" s="60">
        <v>0</v>
      </c>
      <c r="N1395" s="60">
        <v>0</v>
      </c>
      <c r="O1395" s="60">
        <v>0</v>
      </c>
      <c r="P1395" s="60">
        <v>0</v>
      </c>
      <c r="Q1395" s="60">
        <v>0</v>
      </c>
      <c r="R1395" s="60">
        <v>0</v>
      </c>
      <c r="S1395" s="60">
        <v>0</v>
      </c>
      <c r="T1395" s="60">
        <v>0</v>
      </c>
      <c r="U1395" s="60">
        <v>0</v>
      </c>
      <c r="V1395" s="60">
        <v>0</v>
      </c>
      <c r="W1395" s="60">
        <v>0</v>
      </c>
      <c r="X1395" s="60">
        <v>0</v>
      </c>
      <c r="Y1395" s="60">
        <v>0</v>
      </c>
      <c r="Z1395" s="60">
        <v>0</v>
      </c>
      <c r="AA1395" s="60">
        <v>0</v>
      </c>
      <c r="AB1395" s="60">
        <v>0</v>
      </c>
      <c r="AC1395" s="60">
        <v>97.55</v>
      </c>
      <c r="AD1395" s="60">
        <v>116.8</v>
      </c>
      <c r="AE1395" s="60">
        <v>152.96</v>
      </c>
      <c r="AF1395" s="60">
        <v>0</v>
      </c>
      <c r="AG1395" s="60">
        <v>0</v>
      </c>
      <c r="AH1395" s="60">
        <v>0</v>
      </c>
      <c r="AI1395" s="60">
        <v>1409.65</v>
      </c>
      <c r="AJ1395" s="60">
        <v>1494.02</v>
      </c>
      <c r="AK1395" s="60">
        <v>1790.03</v>
      </c>
      <c r="AL1395" s="60">
        <v>0</v>
      </c>
      <c r="AM1395" s="60">
        <v>0</v>
      </c>
      <c r="AN1395" s="60">
        <v>0</v>
      </c>
      <c r="AO1395" s="60">
        <v>1409.65</v>
      </c>
      <c r="AP1395" s="60">
        <v>1494.02</v>
      </c>
      <c r="AQ1395" s="60">
        <v>1790.03</v>
      </c>
      <c r="AR1395" s="61">
        <v>1790.03</v>
      </c>
    </row>
    <row r="1396" spans="1:44" x14ac:dyDescent="0.35">
      <c r="A1396" s="49" t="str">
        <f t="shared" si="113"/>
        <v>31</v>
      </c>
      <c r="B1396" s="27">
        <v>66795</v>
      </c>
      <c r="C1396" s="25" t="str">
        <f t="shared" si="114"/>
        <v>0000000</v>
      </c>
      <c r="D1396" s="26" t="s">
        <v>3663</v>
      </c>
      <c r="E1396" s="25" t="s">
        <v>1633</v>
      </c>
      <c r="F1396" s="25" t="s">
        <v>1626</v>
      </c>
      <c r="G1396" s="59" t="s">
        <v>1634</v>
      </c>
      <c r="H1396" s="60">
        <v>311.27</v>
      </c>
      <c r="I1396" s="60">
        <v>317.05</v>
      </c>
      <c r="J1396" s="60">
        <v>361.64</v>
      </c>
      <c r="K1396" s="60">
        <v>0</v>
      </c>
      <c r="L1396" s="60">
        <v>0</v>
      </c>
      <c r="M1396" s="60">
        <v>0</v>
      </c>
      <c r="N1396" s="60">
        <v>0</v>
      </c>
      <c r="O1396" s="60">
        <v>0</v>
      </c>
      <c r="P1396" s="60">
        <v>0</v>
      </c>
      <c r="Q1396" s="60">
        <v>0</v>
      </c>
      <c r="R1396" s="60">
        <v>0</v>
      </c>
      <c r="S1396" s="60">
        <v>0</v>
      </c>
      <c r="T1396" s="60">
        <v>0</v>
      </c>
      <c r="U1396" s="60">
        <v>0</v>
      </c>
      <c r="V1396" s="60">
        <v>0</v>
      </c>
      <c r="W1396" s="60">
        <v>0</v>
      </c>
      <c r="X1396" s="60">
        <v>0</v>
      </c>
      <c r="Y1396" s="60">
        <v>0</v>
      </c>
      <c r="Z1396" s="60">
        <v>0</v>
      </c>
      <c r="AA1396" s="60">
        <v>0</v>
      </c>
      <c r="AB1396" s="60">
        <v>0</v>
      </c>
      <c r="AC1396" s="60">
        <v>0</v>
      </c>
      <c r="AD1396" s="60">
        <v>0</v>
      </c>
      <c r="AE1396" s="60">
        <v>0</v>
      </c>
      <c r="AF1396" s="60">
        <v>0</v>
      </c>
      <c r="AG1396" s="60">
        <v>0</v>
      </c>
      <c r="AH1396" s="60">
        <v>0</v>
      </c>
      <c r="AI1396" s="60">
        <v>311.27</v>
      </c>
      <c r="AJ1396" s="60">
        <v>317.05</v>
      </c>
      <c r="AK1396" s="60">
        <v>361.64</v>
      </c>
      <c r="AL1396" s="60">
        <v>0</v>
      </c>
      <c r="AM1396" s="60">
        <v>0</v>
      </c>
      <c r="AN1396" s="60">
        <v>0</v>
      </c>
      <c r="AO1396" s="60">
        <v>311.27</v>
      </c>
      <c r="AP1396" s="60">
        <v>317.05</v>
      </c>
      <c r="AQ1396" s="60">
        <v>361.64</v>
      </c>
      <c r="AR1396" s="61">
        <v>361.64</v>
      </c>
    </row>
    <row r="1397" spans="1:44" x14ac:dyDescent="0.35">
      <c r="A1397" s="49" t="str">
        <f t="shared" si="113"/>
        <v>31</v>
      </c>
      <c r="B1397" s="27">
        <v>66803</v>
      </c>
      <c r="C1397" s="25" t="str">
        <f t="shared" si="114"/>
        <v>0000000</v>
      </c>
      <c r="D1397" s="26" t="s">
        <v>3663</v>
      </c>
      <c r="E1397" s="25" t="s">
        <v>1635</v>
      </c>
      <c r="F1397" s="25" t="s">
        <v>1626</v>
      </c>
      <c r="G1397" s="59" t="s">
        <v>1636</v>
      </c>
      <c r="H1397" s="60">
        <v>6194.74</v>
      </c>
      <c r="I1397" s="60">
        <v>5920.42</v>
      </c>
      <c r="J1397" s="60">
        <v>6415.49</v>
      </c>
      <c r="K1397" s="60">
        <v>0</v>
      </c>
      <c r="L1397" s="60">
        <v>0</v>
      </c>
      <c r="M1397" s="60">
        <v>0</v>
      </c>
      <c r="N1397" s="60">
        <v>0</v>
      </c>
      <c r="O1397" s="60">
        <v>0</v>
      </c>
      <c r="P1397" s="60">
        <v>0</v>
      </c>
      <c r="Q1397" s="60">
        <v>0</v>
      </c>
      <c r="R1397" s="60">
        <v>0</v>
      </c>
      <c r="S1397" s="60">
        <v>0</v>
      </c>
      <c r="T1397" s="60">
        <v>0</v>
      </c>
      <c r="U1397" s="60">
        <v>0</v>
      </c>
      <c r="V1397" s="60">
        <v>0</v>
      </c>
      <c r="W1397" s="60">
        <v>0</v>
      </c>
      <c r="X1397" s="60">
        <v>0</v>
      </c>
      <c r="Y1397" s="60">
        <v>0</v>
      </c>
      <c r="Z1397" s="60">
        <v>0</v>
      </c>
      <c r="AA1397" s="60">
        <v>0</v>
      </c>
      <c r="AB1397" s="60">
        <v>0</v>
      </c>
      <c r="AC1397" s="60">
        <v>0</v>
      </c>
      <c r="AD1397" s="60">
        <v>0</v>
      </c>
      <c r="AE1397" s="60">
        <v>0</v>
      </c>
      <c r="AF1397" s="60">
        <v>0</v>
      </c>
      <c r="AG1397" s="60">
        <v>0</v>
      </c>
      <c r="AH1397" s="60">
        <v>0</v>
      </c>
      <c r="AI1397" s="60">
        <v>6194.74</v>
      </c>
      <c r="AJ1397" s="60">
        <v>5920.42</v>
      </c>
      <c r="AK1397" s="60">
        <v>6415.49</v>
      </c>
      <c r="AL1397" s="60">
        <v>0</v>
      </c>
      <c r="AM1397" s="60">
        <v>0</v>
      </c>
      <c r="AN1397" s="60">
        <v>0</v>
      </c>
      <c r="AO1397" s="60">
        <v>6194.74</v>
      </c>
      <c r="AP1397" s="60">
        <v>5920.42</v>
      </c>
      <c r="AQ1397" s="60">
        <v>6415.49</v>
      </c>
      <c r="AR1397" s="61">
        <v>6415.49</v>
      </c>
    </row>
    <row r="1398" spans="1:44" x14ac:dyDescent="0.35">
      <c r="A1398" s="49" t="str">
        <f t="shared" si="113"/>
        <v>31</v>
      </c>
      <c r="B1398" s="27">
        <v>66829</v>
      </c>
      <c r="C1398" s="25" t="str">
        <f t="shared" si="114"/>
        <v>0000000</v>
      </c>
      <c r="D1398" s="26" t="s">
        <v>3663</v>
      </c>
      <c r="E1398" s="25" t="s">
        <v>1637</v>
      </c>
      <c r="F1398" s="25" t="s">
        <v>1626</v>
      </c>
      <c r="G1398" s="59" t="s">
        <v>1638</v>
      </c>
      <c r="H1398" s="60">
        <v>3009.91</v>
      </c>
      <c r="I1398" s="60">
        <v>2928.11</v>
      </c>
      <c r="J1398" s="60">
        <v>3245.2</v>
      </c>
      <c r="K1398" s="60">
        <v>0</v>
      </c>
      <c r="L1398" s="60">
        <v>0</v>
      </c>
      <c r="M1398" s="60">
        <v>0</v>
      </c>
      <c r="N1398" s="60">
        <v>0</v>
      </c>
      <c r="O1398" s="60">
        <v>0</v>
      </c>
      <c r="P1398" s="60">
        <v>0</v>
      </c>
      <c r="Q1398" s="60">
        <v>0</v>
      </c>
      <c r="R1398" s="60">
        <v>0</v>
      </c>
      <c r="S1398" s="60">
        <v>0</v>
      </c>
      <c r="T1398" s="60">
        <v>0</v>
      </c>
      <c r="U1398" s="60">
        <v>0</v>
      </c>
      <c r="V1398" s="60">
        <v>0</v>
      </c>
      <c r="W1398" s="60">
        <v>0</v>
      </c>
      <c r="X1398" s="60">
        <v>0</v>
      </c>
      <c r="Y1398" s="60">
        <v>0</v>
      </c>
      <c r="Z1398" s="60">
        <v>0</v>
      </c>
      <c r="AA1398" s="60">
        <v>0</v>
      </c>
      <c r="AB1398" s="60">
        <v>0</v>
      </c>
      <c r="AC1398" s="60">
        <v>0</v>
      </c>
      <c r="AD1398" s="60">
        <v>0</v>
      </c>
      <c r="AE1398" s="60">
        <v>0</v>
      </c>
      <c r="AF1398" s="60">
        <v>0</v>
      </c>
      <c r="AG1398" s="60">
        <v>0</v>
      </c>
      <c r="AH1398" s="60">
        <v>0</v>
      </c>
      <c r="AI1398" s="60">
        <v>3009.91</v>
      </c>
      <c r="AJ1398" s="60">
        <v>2928.11</v>
      </c>
      <c r="AK1398" s="60">
        <v>3245.2</v>
      </c>
      <c r="AL1398" s="60">
        <v>0</v>
      </c>
      <c r="AM1398" s="60">
        <v>0</v>
      </c>
      <c r="AN1398" s="60">
        <v>0</v>
      </c>
      <c r="AO1398" s="60">
        <v>3009.91</v>
      </c>
      <c r="AP1398" s="60">
        <v>2928.11</v>
      </c>
      <c r="AQ1398" s="60">
        <v>3245.2</v>
      </c>
      <c r="AR1398" s="61">
        <v>3245.2</v>
      </c>
    </row>
    <row r="1399" spans="1:44" x14ac:dyDescent="0.35">
      <c r="A1399" s="49" t="str">
        <f t="shared" si="113"/>
        <v>31</v>
      </c>
      <c r="B1399" s="27">
        <v>66837</v>
      </c>
      <c r="C1399" s="25" t="str">
        <f t="shared" si="114"/>
        <v>0000000</v>
      </c>
      <c r="D1399" s="26" t="s">
        <v>3663</v>
      </c>
      <c r="E1399" s="25" t="s">
        <v>1639</v>
      </c>
      <c r="F1399" s="25" t="s">
        <v>1626</v>
      </c>
      <c r="G1399" s="59" t="s">
        <v>1640</v>
      </c>
      <c r="H1399" s="60">
        <v>406.01</v>
      </c>
      <c r="I1399" s="60">
        <v>418.04</v>
      </c>
      <c r="J1399" s="60">
        <v>392.25</v>
      </c>
      <c r="K1399" s="60">
        <v>0</v>
      </c>
      <c r="L1399" s="60">
        <v>0</v>
      </c>
      <c r="M1399" s="60">
        <v>0</v>
      </c>
      <c r="N1399" s="60">
        <v>0</v>
      </c>
      <c r="O1399" s="60">
        <v>0</v>
      </c>
      <c r="P1399" s="60">
        <v>0</v>
      </c>
      <c r="Q1399" s="60">
        <v>0</v>
      </c>
      <c r="R1399" s="60">
        <v>0</v>
      </c>
      <c r="S1399" s="60">
        <v>0</v>
      </c>
      <c r="T1399" s="60">
        <v>0</v>
      </c>
      <c r="U1399" s="60">
        <v>0</v>
      </c>
      <c r="V1399" s="60">
        <v>0</v>
      </c>
      <c r="W1399" s="60">
        <v>0</v>
      </c>
      <c r="X1399" s="60">
        <v>0</v>
      </c>
      <c r="Y1399" s="60">
        <v>0</v>
      </c>
      <c r="Z1399" s="60">
        <v>0</v>
      </c>
      <c r="AA1399" s="60">
        <v>0</v>
      </c>
      <c r="AB1399" s="60">
        <v>0</v>
      </c>
      <c r="AC1399" s="60">
        <v>0</v>
      </c>
      <c r="AD1399" s="60">
        <v>0</v>
      </c>
      <c r="AE1399" s="60">
        <v>0</v>
      </c>
      <c r="AF1399" s="60">
        <v>0</v>
      </c>
      <c r="AG1399" s="60">
        <v>0</v>
      </c>
      <c r="AH1399" s="60">
        <v>0</v>
      </c>
      <c r="AI1399" s="60">
        <v>406.01</v>
      </c>
      <c r="AJ1399" s="60">
        <v>418.04</v>
      </c>
      <c r="AK1399" s="60">
        <v>392.25</v>
      </c>
      <c r="AL1399" s="60">
        <v>0</v>
      </c>
      <c r="AM1399" s="60">
        <v>0</v>
      </c>
      <c r="AN1399" s="60">
        <v>0</v>
      </c>
      <c r="AO1399" s="60">
        <v>406.01</v>
      </c>
      <c r="AP1399" s="60">
        <v>418.04</v>
      </c>
      <c r="AQ1399" s="60">
        <v>392.25</v>
      </c>
      <c r="AR1399" s="61">
        <v>418.04</v>
      </c>
    </row>
    <row r="1400" spans="1:44" x14ac:dyDescent="0.35">
      <c r="A1400" s="49" t="str">
        <f t="shared" si="113"/>
        <v>31</v>
      </c>
      <c r="B1400" s="27">
        <v>66845</v>
      </c>
      <c r="C1400" s="25" t="str">
        <f t="shared" si="114"/>
        <v>0000000</v>
      </c>
      <c r="D1400" s="26" t="s">
        <v>3663</v>
      </c>
      <c r="E1400" s="25" t="s">
        <v>1641</v>
      </c>
      <c r="F1400" s="25" t="s">
        <v>1626</v>
      </c>
      <c r="G1400" s="59" t="s">
        <v>1642</v>
      </c>
      <c r="H1400" s="60">
        <v>2267.39</v>
      </c>
      <c r="I1400" s="60">
        <v>2209.2399999999998</v>
      </c>
      <c r="J1400" s="60">
        <v>2416.0100000000002</v>
      </c>
      <c r="K1400" s="60">
        <v>0</v>
      </c>
      <c r="L1400" s="60">
        <v>0</v>
      </c>
      <c r="M1400" s="60">
        <v>0</v>
      </c>
      <c r="N1400" s="60">
        <v>0</v>
      </c>
      <c r="O1400" s="60">
        <v>0</v>
      </c>
      <c r="P1400" s="60">
        <v>0</v>
      </c>
      <c r="Q1400" s="60">
        <v>0</v>
      </c>
      <c r="R1400" s="60">
        <v>0</v>
      </c>
      <c r="S1400" s="60">
        <v>0</v>
      </c>
      <c r="T1400" s="60">
        <v>0</v>
      </c>
      <c r="U1400" s="60">
        <v>0</v>
      </c>
      <c r="V1400" s="60">
        <v>0</v>
      </c>
      <c r="W1400" s="60">
        <v>0</v>
      </c>
      <c r="X1400" s="60">
        <v>0</v>
      </c>
      <c r="Y1400" s="60">
        <v>0</v>
      </c>
      <c r="Z1400" s="60">
        <v>0</v>
      </c>
      <c r="AA1400" s="60">
        <v>0</v>
      </c>
      <c r="AB1400" s="60">
        <v>0</v>
      </c>
      <c r="AC1400" s="60">
        <v>474.65</v>
      </c>
      <c r="AD1400" s="60">
        <v>478</v>
      </c>
      <c r="AE1400" s="60">
        <v>489.42</v>
      </c>
      <c r="AF1400" s="60">
        <v>0</v>
      </c>
      <c r="AG1400" s="60">
        <v>0</v>
      </c>
      <c r="AH1400" s="60">
        <v>0</v>
      </c>
      <c r="AI1400" s="60">
        <v>2742.04</v>
      </c>
      <c r="AJ1400" s="60">
        <v>2687.24</v>
      </c>
      <c r="AK1400" s="60">
        <v>2905.43</v>
      </c>
      <c r="AL1400" s="60">
        <v>0</v>
      </c>
      <c r="AM1400" s="60">
        <v>0</v>
      </c>
      <c r="AN1400" s="60">
        <v>0</v>
      </c>
      <c r="AO1400" s="60">
        <v>2742.04</v>
      </c>
      <c r="AP1400" s="60">
        <v>2687.24</v>
      </c>
      <c r="AQ1400" s="60">
        <v>2905.43</v>
      </c>
      <c r="AR1400" s="61">
        <v>2905.43</v>
      </c>
    </row>
    <row r="1401" spans="1:44" x14ac:dyDescent="0.35">
      <c r="A1401" s="49" t="str">
        <f t="shared" si="113"/>
        <v>31</v>
      </c>
      <c r="B1401" s="27">
        <v>66852</v>
      </c>
      <c r="C1401" s="25" t="str">
        <f t="shared" si="114"/>
        <v>0000000</v>
      </c>
      <c r="D1401" s="26" t="s">
        <v>3663</v>
      </c>
      <c r="E1401" s="25" t="s">
        <v>1643</v>
      </c>
      <c r="F1401" s="25" t="s">
        <v>1626</v>
      </c>
      <c r="G1401" s="59" t="s">
        <v>1644</v>
      </c>
      <c r="H1401" s="60">
        <v>141.34</v>
      </c>
      <c r="I1401" s="60">
        <v>150.13999999999999</v>
      </c>
      <c r="J1401" s="60">
        <v>177.66</v>
      </c>
      <c r="K1401" s="60">
        <v>0</v>
      </c>
      <c r="L1401" s="60">
        <v>0</v>
      </c>
      <c r="M1401" s="60">
        <v>0</v>
      </c>
      <c r="N1401" s="60">
        <v>0</v>
      </c>
      <c r="O1401" s="60">
        <v>0</v>
      </c>
      <c r="P1401" s="60">
        <v>0</v>
      </c>
      <c r="Q1401" s="60">
        <v>0</v>
      </c>
      <c r="R1401" s="60">
        <v>0</v>
      </c>
      <c r="S1401" s="60">
        <v>0</v>
      </c>
      <c r="T1401" s="60">
        <v>0</v>
      </c>
      <c r="U1401" s="60">
        <v>0</v>
      </c>
      <c r="V1401" s="60">
        <v>0</v>
      </c>
      <c r="W1401" s="60">
        <v>0</v>
      </c>
      <c r="X1401" s="60">
        <v>0</v>
      </c>
      <c r="Y1401" s="60">
        <v>0</v>
      </c>
      <c r="Z1401" s="60">
        <v>0</v>
      </c>
      <c r="AA1401" s="60">
        <v>0</v>
      </c>
      <c r="AB1401" s="60">
        <v>0</v>
      </c>
      <c r="AC1401" s="60">
        <v>821.1</v>
      </c>
      <c r="AD1401" s="60">
        <v>772.98</v>
      </c>
      <c r="AE1401" s="60">
        <v>732.36</v>
      </c>
      <c r="AF1401" s="60">
        <v>0</v>
      </c>
      <c r="AG1401" s="60">
        <v>0</v>
      </c>
      <c r="AH1401" s="60">
        <v>0</v>
      </c>
      <c r="AI1401" s="60">
        <v>962.44</v>
      </c>
      <c r="AJ1401" s="60">
        <v>923.12</v>
      </c>
      <c r="AK1401" s="60">
        <v>910.02</v>
      </c>
      <c r="AL1401" s="60">
        <v>0</v>
      </c>
      <c r="AM1401" s="60">
        <v>0</v>
      </c>
      <c r="AN1401" s="60">
        <v>0</v>
      </c>
      <c r="AO1401" s="60">
        <v>962.44</v>
      </c>
      <c r="AP1401" s="60">
        <v>923.12</v>
      </c>
      <c r="AQ1401" s="60">
        <v>910.02</v>
      </c>
      <c r="AR1401" s="61">
        <v>962.44</v>
      </c>
    </row>
    <row r="1402" spans="1:44" x14ac:dyDescent="0.35">
      <c r="A1402" s="49" t="str">
        <f t="shared" si="113"/>
        <v>31</v>
      </c>
      <c r="B1402" s="27">
        <v>66886</v>
      </c>
      <c r="C1402" s="25" t="str">
        <f t="shared" si="114"/>
        <v>0000000</v>
      </c>
      <c r="D1402" s="26" t="s">
        <v>3663</v>
      </c>
      <c r="E1402" s="25" t="s">
        <v>1647</v>
      </c>
      <c r="F1402" s="25" t="s">
        <v>1626</v>
      </c>
      <c r="G1402" s="59" t="s">
        <v>1648</v>
      </c>
      <c r="H1402" s="60">
        <v>699.67</v>
      </c>
      <c r="I1402" s="60">
        <v>665.54</v>
      </c>
      <c r="J1402" s="60">
        <v>719.65</v>
      </c>
      <c r="K1402" s="60">
        <v>0</v>
      </c>
      <c r="L1402" s="60">
        <v>0</v>
      </c>
      <c r="M1402" s="60">
        <v>0</v>
      </c>
      <c r="N1402" s="60">
        <v>0</v>
      </c>
      <c r="O1402" s="60">
        <v>0</v>
      </c>
      <c r="P1402" s="60">
        <v>0</v>
      </c>
      <c r="Q1402" s="60">
        <v>0</v>
      </c>
      <c r="R1402" s="60">
        <v>0</v>
      </c>
      <c r="S1402" s="60">
        <v>0</v>
      </c>
      <c r="T1402" s="60">
        <v>0</v>
      </c>
      <c r="U1402" s="60">
        <v>0</v>
      </c>
      <c r="V1402" s="60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60">
        <v>0</v>
      </c>
      <c r="AE1402" s="60">
        <v>0</v>
      </c>
      <c r="AF1402" s="60">
        <v>0</v>
      </c>
      <c r="AG1402" s="60">
        <v>0</v>
      </c>
      <c r="AH1402" s="60">
        <v>0</v>
      </c>
      <c r="AI1402" s="60">
        <v>699.67</v>
      </c>
      <c r="AJ1402" s="60">
        <v>665.54</v>
      </c>
      <c r="AK1402" s="60">
        <v>719.65</v>
      </c>
      <c r="AL1402" s="60">
        <v>0</v>
      </c>
      <c r="AM1402" s="60">
        <v>0</v>
      </c>
      <c r="AN1402" s="60">
        <v>0</v>
      </c>
      <c r="AO1402" s="60">
        <v>699.67</v>
      </c>
      <c r="AP1402" s="60">
        <v>665.54</v>
      </c>
      <c r="AQ1402" s="60">
        <v>719.65</v>
      </c>
      <c r="AR1402" s="61">
        <v>719.65</v>
      </c>
    </row>
    <row r="1403" spans="1:44" x14ac:dyDescent="0.35">
      <c r="A1403" s="49" t="str">
        <f t="shared" si="113"/>
        <v>31</v>
      </c>
      <c r="B1403" s="27">
        <v>75085</v>
      </c>
      <c r="C1403" s="25" t="str">
        <f t="shared" si="114"/>
        <v>0000000</v>
      </c>
      <c r="D1403" s="26" t="s">
        <v>3663</v>
      </c>
      <c r="E1403" s="25" t="s">
        <v>1668</v>
      </c>
      <c r="F1403" s="25" t="s">
        <v>1626</v>
      </c>
      <c r="G1403" s="59" t="s">
        <v>1669</v>
      </c>
      <c r="H1403" s="60">
        <v>11049.22</v>
      </c>
      <c r="I1403" s="60">
        <v>10734.79</v>
      </c>
      <c r="J1403" s="60">
        <v>11705.27</v>
      </c>
      <c r="K1403" s="60">
        <v>0</v>
      </c>
      <c r="L1403" s="60">
        <v>0</v>
      </c>
      <c r="M1403" s="60">
        <v>0</v>
      </c>
      <c r="N1403" s="60">
        <v>0</v>
      </c>
      <c r="O1403" s="60">
        <v>0</v>
      </c>
      <c r="P1403" s="60">
        <v>0</v>
      </c>
      <c r="Q1403" s="60">
        <v>0</v>
      </c>
      <c r="R1403" s="60">
        <v>0</v>
      </c>
      <c r="S1403" s="60">
        <v>0</v>
      </c>
      <c r="T1403" s="60">
        <v>0</v>
      </c>
      <c r="U1403" s="60">
        <v>0</v>
      </c>
      <c r="V1403" s="60">
        <v>0</v>
      </c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0">
        <v>0</v>
      </c>
      <c r="AE1403" s="60">
        <v>347.14</v>
      </c>
      <c r="AF1403" s="60">
        <v>0</v>
      </c>
      <c r="AG1403" s="60">
        <v>0</v>
      </c>
      <c r="AH1403" s="60">
        <v>0</v>
      </c>
      <c r="AI1403" s="60">
        <v>11049.22</v>
      </c>
      <c r="AJ1403" s="60">
        <v>10734.79</v>
      </c>
      <c r="AK1403" s="60">
        <v>12052.41</v>
      </c>
      <c r="AL1403" s="60">
        <v>0</v>
      </c>
      <c r="AM1403" s="60">
        <v>0</v>
      </c>
      <c r="AN1403" s="60">
        <v>0</v>
      </c>
      <c r="AO1403" s="60">
        <v>11049.22</v>
      </c>
      <c r="AP1403" s="60">
        <v>10734.79</v>
      </c>
      <c r="AQ1403" s="60">
        <v>12052.41</v>
      </c>
      <c r="AR1403" s="61">
        <v>12052.41</v>
      </c>
    </row>
    <row r="1404" spans="1:44" x14ac:dyDescent="0.35">
      <c r="A1404" s="49" t="str">
        <f t="shared" si="113"/>
        <v>31</v>
      </c>
      <c r="B1404" s="27">
        <v>66910</v>
      </c>
      <c r="C1404" s="25" t="str">
        <f t="shared" si="114"/>
        <v>0000000</v>
      </c>
      <c r="D1404" s="26" t="s">
        <v>3663</v>
      </c>
      <c r="E1404" s="25" t="s">
        <v>1651</v>
      </c>
      <c r="F1404" s="25" t="s">
        <v>1626</v>
      </c>
      <c r="G1404" s="59" t="s">
        <v>1652</v>
      </c>
      <c r="H1404" s="60">
        <v>10742.3</v>
      </c>
      <c r="I1404" s="60">
        <v>10516.59</v>
      </c>
      <c r="J1404" s="60">
        <v>10950.02</v>
      </c>
      <c r="K1404" s="60">
        <v>0</v>
      </c>
      <c r="L1404" s="60">
        <v>0</v>
      </c>
      <c r="M1404" s="60">
        <v>0</v>
      </c>
      <c r="N1404" s="60">
        <v>0</v>
      </c>
      <c r="O1404" s="60">
        <v>0</v>
      </c>
      <c r="P1404" s="60">
        <v>0</v>
      </c>
      <c r="Q1404" s="60">
        <v>0</v>
      </c>
      <c r="R1404" s="60">
        <v>0</v>
      </c>
      <c r="S1404" s="60">
        <v>0</v>
      </c>
      <c r="T1404" s="60">
        <v>0</v>
      </c>
      <c r="U1404" s="60">
        <v>0</v>
      </c>
      <c r="V1404" s="60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60">
        <v>0</v>
      </c>
      <c r="AE1404" s="60">
        <v>0</v>
      </c>
      <c r="AF1404" s="60">
        <v>0</v>
      </c>
      <c r="AG1404" s="60">
        <v>0</v>
      </c>
      <c r="AH1404" s="60">
        <v>0</v>
      </c>
      <c r="AI1404" s="60">
        <v>10742.3</v>
      </c>
      <c r="AJ1404" s="60">
        <v>10516.59</v>
      </c>
      <c r="AK1404" s="60">
        <v>10950.02</v>
      </c>
      <c r="AL1404" s="60">
        <v>0</v>
      </c>
      <c r="AM1404" s="60">
        <v>0</v>
      </c>
      <c r="AN1404" s="60">
        <v>0</v>
      </c>
      <c r="AO1404" s="60">
        <v>10742.3</v>
      </c>
      <c r="AP1404" s="60">
        <v>10516.59</v>
      </c>
      <c r="AQ1404" s="60">
        <v>10950.02</v>
      </c>
      <c r="AR1404" s="61">
        <v>10950.02</v>
      </c>
    </row>
    <row r="1405" spans="1:44" x14ac:dyDescent="0.35">
      <c r="A1405" s="49" t="str">
        <f t="shared" si="113"/>
        <v>31</v>
      </c>
      <c r="B1405" s="27">
        <v>66894</v>
      </c>
      <c r="C1405" s="25" t="str">
        <f t="shared" si="114"/>
        <v>0000000</v>
      </c>
      <c r="D1405" s="26" t="s">
        <v>3663</v>
      </c>
      <c r="E1405" s="25" t="s">
        <v>1649</v>
      </c>
      <c r="F1405" s="25" t="s">
        <v>1626</v>
      </c>
      <c r="G1405" s="59" t="s">
        <v>1650</v>
      </c>
      <c r="H1405" s="60">
        <v>3587.95</v>
      </c>
      <c r="I1405" s="60">
        <v>3623.63</v>
      </c>
      <c r="J1405" s="60">
        <v>3707.9</v>
      </c>
      <c r="K1405" s="60">
        <v>0</v>
      </c>
      <c r="L1405" s="60">
        <v>0</v>
      </c>
      <c r="M1405" s="60">
        <v>0</v>
      </c>
      <c r="N1405" s="60">
        <v>0</v>
      </c>
      <c r="O1405" s="60">
        <v>0</v>
      </c>
      <c r="P1405" s="60">
        <v>0</v>
      </c>
      <c r="Q1405" s="60">
        <v>0</v>
      </c>
      <c r="R1405" s="60">
        <v>0</v>
      </c>
      <c r="S1405" s="60">
        <v>0</v>
      </c>
      <c r="T1405" s="60">
        <v>0</v>
      </c>
      <c r="U1405" s="60">
        <v>0</v>
      </c>
      <c r="V1405" s="60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60">
        <v>94.65</v>
      </c>
      <c r="AD1405" s="60">
        <v>91.91</v>
      </c>
      <c r="AE1405" s="60">
        <v>67.72</v>
      </c>
      <c r="AF1405" s="60">
        <v>0</v>
      </c>
      <c r="AG1405" s="60">
        <v>0</v>
      </c>
      <c r="AH1405" s="60">
        <v>0</v>
      </c>
      <c r="AI1405" s="60">
        <v>3682.6</v>
      </c>
      <c r="AJ1405" s="60">
        <v>3715.54</v>
      </c>
      <c r="AK1405" s="60">
        <v>3775.62</v>
      </c>
      <c r="AL1405" s="60">
        <v>0</v>
      </c>
      <c r="AM1405" s="60">
        <v>0</v>
      </c>
      <c r="AN1405" s="60">
        <v>0</v>
      </c>
      <c r="AO1405" s="60">
        <v>3682.6</v>
      </c>
      <c r="AP1405" s="60">
        <v>3715.54</v>
      </c>
      <c r="AQ1405" s="60">
        <v>3775.62</v>
      </c>
      <c r="AR1405" s="61">
        <v>3775.62</v>
      </c>
    </row>
    <row r="1406" spans="1:44" x14ac:dyDescent="0.35">
      <c r="A1406" s="49" t="str">
        <f t="shared" si="113"/>
        <v>31</v>
      </c>
      <c r="B1406" s="27">
        <v>66928</v>
      </c>
      <c r="C1406" s="25" t="str">
        <f t="shared" si="114"/>
        <v>0000000</v>
      </c>
      <c r="D1406" s="26" t="s">
        <v>3663</v>
      </c>
      <c r="E1406" s="25" t="s">
        <v>1653</v>
      </c>
      <c r="F1406" s="25" t="s">
        <v>1626</v>
      </c>
      <c r="G1406" s="59" t="s">
        <v>1654</v>
      </c>
      <c r="H1406" s="60">
        <v>9856.58</v>
      </c>
      <c r="I1406" s="60">
        <v>9767.32</v>
      </c>
      <c r="J1406" s="60">
        <v>9988.2999999999993</v>
      </c>
      <c r="K1406" s="60">
        <v>0</v>
      </c>
      <c r="L1406" s="60">
        <v>0</v>
      </c>
      <c r="M1406" s="60">
        <v>0</v>
      </c>
      <c r="N1406" s="60">
        <v>0</v>
      </c>
      <c r="O1406" s="60">
        <v>0</v>
      </c>
      <c r="P1406" s="60">
        <v>0</v>
      </c>
      <c r="Q1406" s="60">
        <v>0</v>
      </c>
      <c r="R1406" s="60">
        <v>0</v>
      </c>
      <c r="S1406" s="60">
        <v>0</v>
      </c>
      <c r="T1406" s="60">
        <v>0</v>
      </c>
      <c r="U1406" s="60">
        <v>0</v>
      </c>
      <c r="V1406" s="60">
        <v>0</v>
      </c>
      <c r="W1406" s="60">
        <v>0</v>
      </c>
      <c r="X1406" s="60">
        <v>0</v>
      </c>
      <c r="Y1406" s="60">
        <v>0</v>
      </c>
      <c r="Z1406" s="60">
        <v>0</v>
      </c>
      <c r="AA1406" s="60">
        <v>0</v>
      </c>
      <c r="AB1406" s="60">
        <v>0</v>
      </c>
      <c r="AC1406" s="60">
        <v>0</v>
      </c>
      <c r="AD1406" s="60">
        <v>0</v>
      </c>
      <c r="AE1406" s="60">
        <v>0</v>
      </c>
      <c r="AF1406" s="60">
        <v>0</v>
      </c>
      <c r="AG1406" s="60">
        <v>0</v>
      </c>
      <c r="AH1406" s="60">
        <v>0</v>
      </c>
      <c r="AI1406" s="60">
        <v>9856.58</v>
      </c>
      <c r="AJ1406" s="60">
        <v>9767.32</v>
      </c>
      <c r="AK1406" s="60">
        <v>9988.2999999999993</v>
      </c>
      <c r="AL1406" s="60">
        <v>0</v>
      </c>
      <c r="AM1406" s="60">
        <v>0</v>
      </c>
      <c r="AN1406" s="60">
        <v>0</v>
      </c>
      <c r="AO1406" s="60">
        <v>9856.58</v>
      </c>
      <c r="AP1406" s="60">
        <v>9767.32</v>
      </c>
      <c r="AQ1406" s="60">
        <v>9988.2999999999993</v>
      </c>
      <c r="AR1406" s="61">
        <v>9988.2999999999993</v>
      </c>
    </row>
    <row r="1407" spans="1:44" x14ac:dyDescent="0.35">
      <c r="A1407" s="49" t="str">
        <f t="shared" si="113"/>
        <v>31</v>
      </c>
      <c r="B1407" s="27">
        <v>66944</v>
      </c>
      <c r="C1407" s="25" t="str">
        <f t="shared" si="114"/>
        <v>0000000</v>
      </c>
      <c r="D1407" s="26" t="s">
        <v>3663</v>
      </c>
      <c r="E1407" s="25" t="s">
        <v>1659</v>
      </c>
      <c r="F1407" s="25" t="s">
        <v>1626</v>
      </c>
      <c r="G1407" s="59" t="s">
        <v>1660</v>
      </c>
      <c r="H1407" s="60">
        <v>3555.67</v>
      </c>
      <c r="I1407" s="60">
        <v>3413.14</v>
      </c>
      <c r="J1407" s="60">
        <v>3670.84</v>
      </c>
      <c r="K1407" s="60">
        <v>0</v>
      </c>
      <c r="L1407" s="60">
        <v>0</v>
      </c>
      <c r="M1407" s="60">
        <v>0</v>
      </c>
      <c r="N1407" s="60">
        <v>0</v>
      </c>
      <c r="O1407" s="60">
        <v>0</v>
      </c>
      <c r="P1407" s="60">
        <v>0</v>
      </c>
      <c r="Q1407" s="60">
        <v>0</v>
      </c>
      <c r="R1407" s="60">
        <v>0</v>
      </c>
      <c r="S1407" s="60">
        <v>0</v>
      </c>
      <c r="T1407" s="60">
        <v>0</v>
      </c>
      <c r="U1407" s="60">
        <v>0</v>
      </c>
      <c r="V1407" s="60">
        <v>0</v>
      </c>
      <c r="W1407" s="60">
        <v>0</v>
      </c>
      <c r="X1407" s="60">
        <v>0</v>
      </c>
      <c r="Y1407" s="60">
        <v>0</v>
      </c>
      <c r="Z1407" s="60">
        <v>0</v>
      </c>
      <c r="AA1407" s="60">
        <v>0</v>
      </c>
      <c r="AB1407" s="60">
        <v>0</v>
      </c>
      <c r="AC1407" s="60">
        <v>207.37</v>
      </c>
      <c r="AD1407" s="60">
        <v>208.16</v>
      </c>
      <c r="AE1407" s="60">
        <v>208.51</v>
      </c>
      <c r="AF1407" s="60">
        <v>0</v>
      </c>
      <c r="AG1407" s="60">
        <v>0</v>
      </c>
      <c r="AH1407" s="60">
        <v>0</v>
      </c>
      <c r="AI1407" s="60">
        <v>3763.04</v>
      </c>
      <c r="AJ1407" s="60">
        <v>3621.3</v>
      </c>
      <c r="AK1407" s="60">
        <v>3879.35</v>
      </c>
      <c r="AL1407" s="60">
        <v>0</v>
      </c>
      <c r="AM1407" s="60">
        <v>0</v>
      </c>
      <c r="AN1407" s="60">
        <v>0</v>
      </c>
      <c r="AO1407" s="60">
        <v>3763.04</v>
      </c>
      <c r="AP1407" s="60">
        <v>3621.3</v>
      </c>
      <c r="AQ1407" s="60">
        <v>3879.35</v>
      </c>
      <c r="AR1407" s="61">
        <v>3879.35</v>
      </c>
    </row>
    <row r="1408" spans="1:44" x14ac:dyDescent="0.35">
      <c r="A1408" s="49" t="str">
        <f t="shared" si="113"/>
        <v>31</v>
      </c>
      <c r="B1408" s="27">
        <v>66951</v>
      </c>
      <c r="C1408" s="25" t="str">
        <f t="shared" si="114"/>
        <v>0000000</v>
      </c>
      <c r="D1408" s="26" t="s">
        <v>3663</v>
      </c>
      <c r="E1408" s="25" t="s">
        <v>1661</v>
      </c>
      <c r="F1408" s="25" t="s">
        <v>1626</v>
      </c>
      <c r="G1408" s="59" t="s">
        <v>1662</v>
      </c>
      <c r="H1408" s="60">
        <v>7076.33</v>
      </c>
      <c r="I1408" s="60">
        <v>6677.96</v>
      </c>
      <c r="J1408" s="60">
        <v>6946.71</v>
      </c>
      <c r="K1408" s="60">
        <v>0</v>
      </c>
      <c r="L1408" s="60">
        <v>0</v>
      </c>
      <c r="M1408" s="60">
        <v>0</v>
      </c>
      <c r="N1408" s="60">
        <v>0</v>
      </c>
      <c r="O1408" s="60">
        <v>0</v>
      </c>
      <c r="P1408" s="60">
        <v>0</v>
      </c>
      <c r="Q1408" s="60">
        <v>0</v>
      </c>
      <c r="R1408" s="60">
        <v>0</v>
      </c>
      <c r="S1408" s="60">
        <v>0</v>
      </c>
      <c r="T1408" s="60">
        <v>0</v>
      </c>
      <c r="U1408" s="60">
        <v>0</v>
      </c>
      <c r="V1408" s="60">
        <v>0</v>
      </c>
      <c r="W1408" s="60">
        <v>0</v>
      </c>
      <c r="X1408" s="60">
        <v>0</v>
      </c>
      <c r="Y1408" s="60">
        <v>0</v>
      </c>
      <c r="Z1408" s="60">
        <v>0</v>
      </c>
      <c r="AA1408" s="60">
        <v>0</v>
      </c>
      <c r="AB1408" s="60">
        <v>0</v>
      </c>
      <c r="AC1408" s="60">
        <v>0</v>
      </c>
      <c r="AD1408" s="60">
        <v>1769.05</v>
      </c>
      <c r="AE1408" s="60">
        <v>2240.13</v>
      </c>
      <c r="AF1408" s="60">
        <v>0</v>
      </c>
      <c r="AG1408" s="60">
        <v>0</v>
      </c>
      <c r="AH1408" s="60">
        <v>0</v>
      </c>
      <c r="AI1408" s="60">
        <v>7076.33</v>
      </c>
      <c r="AJ1408" s="60">
        <v>8447.01</v>
      </c>
      <c r="AK1408" s="60">
        <v>9186.84</v>
      </c>
      <c r="AL1408" s="60">
        <v>0</v>
      </c>
      <c r="AM1408" s="60">
        <v>-1769.05</v>
      </c>
      <c r="AN1408" s="60">
        <v>-2240.13</v>
      </c>
      <c r="AO1408" s="60">
        <v>7076.33</v>
      </c>
      <c r="AP1408" s="60">
        <v>6677.96</v>
      </c>
      <c r="AQ1408" s="60">
        <v>6946.71</v>
      </c>
      <c r="AR1408" s="61">
        <v>7076.33</v>
      </c>
    </row>
    <row r="1409" spans="1:44" x14ac:dyDescent="0.35">
      <c r="A1409" s="49" t="str">
        <f t="shared" si="113"/>
        <v>31</v>
      </c>
      <c r="B1409" s="27">
        <v>75085</v>
      </c>
      <c r="C1409" s="25" t="str">
        <f>TEXT(117879,"0000000")</f>
        <v>0117879</v>
      </c>
      <c r="D1409" s="27">
        <v>1042</v>
      </c>
      <c r="E1409" s="25" t="s">
        <v>1673</v>
      </c>
      <c r="F1409" s="25" t="s">
        <v>1626</v>
      </c>
      <c r="G1409" s="59" t="s">
        <v>1674</v>
      </c>
      <c r="H1409" s="60">
        <v>0</v>
      </c>
      <c r="I1409" s="60">
        <v>0</v>
      </c>
      <c r="J1409" s="60">
        <v>0</v>
      </c>
      <c r="K1409" s="60">
        <v>0</v>
      </c>
      <c r="L1409" s="60">
        <v>0</v>
      </c>
      <c r="M1409" s="60">
        <v>0</v>
      </c>
      <c r="N1409" s="60">
        <v>0</v>
      </c>
      <c r="O1409" s="60">
        <v>0</v>
      </c>
      <c r="P1409" s="60">
        <v>0</v>
      </c>
      <c r="Q1409" s="60">
        <v>0</v>
      </c>
      <c r="R1409" s="60">
        <v>0</v>
      </c>
      <c r="S1409" s="60">
        <v>0</v>
      </c>
      <c r="T1409" s="60">
        <v>0</v>
      </c>
      <c r="U1409" s="60">
        <v>0</v>
      </c>
      <c r="V1409" s="60">
        <v>0</v>
      </c>
      <c r="W1409" s="60">
        <v>0</v>
      </c>
      <c r="X1409" s="60">
        <v>0</v>
      </c>
      <c r="Y1409" s="60">
        <v>0</v>
      </c>
      <c r="Z1409" s="60">
        <v>0</v>
      </c>
      <c r="AA1409" s="60">
        <v>0</v>
      </c>
      <c r="AB1409" s="60">
        <v>0</v>
      </c>
      <c r="AC1409" s="60">
        <v>249.44</v>
      </c>
      <c r="AD1409" s="60">
        <v>239.83</v>
      </c>
      <c r="AE1409" s="60">
        <v>262.98</v>
      </c>
      <c r="AF1409" s="60">
        <v>0</v>
      </c>
      <c r="AG1409" s="60">
        <v>0</v>
      </c>
      <c r="AH1409" s="60">
        <v>0</v>
      </c>
      <c r="AI1409" s="60">
        <v>249.44</v>
      </c>
      <c r="AJ1409" s="60">
        <v>239.83</v>
      </c>
      <c r="AK1409" s="60">
        <v>262.98</v>
      </c>
      <c r="AL1409" s="60">
        <v>0</v>
      </c>
      <c r="AM1409" s="60">
        <v>0</v>
      </c>
      <c r="AN1409" s="60">
        <v>0</v>
      </c>
      <c r="AO1409" s="60">
        <v>249.44</v>
      </c>
      <c r="AP1409" s="60">
        <v>239.83</v>
      </c>
      <c r="AQ1409" s="60">
        <v>262.98</v>
      </c>
      <c r="AR1409" s="61">
        <v>262.98</v>
      </c>
    </row>
    <row r="1410" spans="1:44" x14ac:dyDescent="0.35">
      <c r="A1410" s="49" t="str">
        <f t="shared" si="113"/>
        <v>31</v>
      </c>
      <c r="B1410" s="27">
        <v>75085</v>
      </c>
      <c r="C1410" s="25" t="str">
        <f>TEXT(137927,"0000000")</f>
        <v>0137927</v>
      </c>
      <c r="D1410" s="27">
        <v>1979</v>
      </c>
      <c r="E1410" s="25" t="s">
        <v>1677</v>
      </c>
      <c r="F1410" s="25" t="s">
        <v>1626</v>
      </c>
      <c r="G1410" s="59" t="s">
        <v>1678</v>
      </c>
      <c r="H1410" s="60">
        <v>0</v>
      </c>
      <c r="I1410" s="60">
        <v>0</v>
      </c>
      <c r="J1410" s="60">
        <v>0</v>
      </c>
      <c r="K1410" s="60">
        <v>0</v>
      </c>
      <c r="L1410" s="60">
        <v>0</v>
      </c>
      <c r="M1410" s="60">
        <v>0</v>
      </c>
      <c r="N1410" s="60">
        <v>0</v>
      </c>
      <c r="O1410" s="60">
        <v>0</v>
      </c>
      <c r="P1410" s="60">
        <v>0</v>
      </c>
      <c r="Q1410" s="60">
        <v>0</v>
      </c>
      <c r="R1410" s="60">
        <v>0</v>
      </c>
      <c r="S1410" s="60">
        <v>0</v>
      </c>
      <c r="T1410" s="60">
        <v>0</v>
      </c>
      <c r="U1410" s="60">
        <v>0</v>
      </c>
      <c r="V1410" s="60">
        <v>0</v>
      </c>
      <c r="W1410" s="60">
        <v>0</v>
      </c>
      <c r="X1410" s="60">
        <v>0</v>
      </c>
      <c r="Y1410" s="60">
        <v>0</v>
      </c>
      <c r="Z1410" s="60">
        <v>0</v>
      </c>
      <c r="AA1410" s="60">
        <v>0</v>
      </c>
      <c r="AB1410" s="60">
        <v>0</v>
      </c>
      <c r="AC1410" s="60">
        <v>83.81</v>
      </c>
      <c r="AD1410" s="60">
        <v>286.94</v>
      </c>
      <c r="AE1410" s="60">
        <v>0</v>
      </c>
      <c r="AF1410" s="60">
        <v>0</v>
      </c>
      <c r="AG1410" s="60">
        <v>0</v>
      </c>
      <c r="AH1410" s="60">
        <v>0</v>
      </c>
      <c r="AI1410" s="60">
        <v>83.81</v>
      </c>
      <c r="AJ1410" s="60">
        <v>286.94</v>
      </c>
      <c r="AK1410" s="60">
        <v>0</v>
      </c>
      <c r="AL1410" s="60">
        <v>0</v>
      </c>
      <c r="AM1410" s="60">
        <v>0</v>
      </c>
      <c r="AN1410" s="60">
        <v>0</v>
      </c>
      <c r="AO1410" s="60">
        <v>83.81</v>
      </c>
      <c r="AP1410" s="60">
        <v>286.94</v>
      </c>
      <c r="AQ1410" s="60">
        <v>0</v>
      </c>
      <c r="AR1410" s="61">
        <v>286.94</v>
      </c>
    </row>
    <row r="1411" spans="1:44" x14ac:dyDescent="0.35">
      <c r="A1411" s="49" t="str">
        <f t="shared" si="113"/>
        <v>31</v>
      </c>
      <c r="B1411" s="27">
        <v>66951</v>
      </c>
      <c r="C1411" s="25" t="str">
        <f>TEXT(3130168,"0000000")</f>
        <v>3130168</v>
      </c>
      <c r="D1411" s="26" t="s">
        <v>1667</v>
      </c>
      <c r="E1411" s="25" t="s">
        <v>1665</v>
      </c>
      <c r="F1411" s="25" t="s">
        <v>1626</v>
      </c>
      <c r="G1411" s="59" t="s">
        <v>1666</v>
      </c>
      <c r="H1411" s="60">
        <v>0</v>
      </c>
      <c r="I1411" s="60">
        <v>0</v>
      </c>
      <c r="J1411" s="60">
        <v>0</v>
      </c>
      <c r="K1411" s="60">
        <v>0</v>
      </c>
      <c r="L1411" s="60">
        <v>0</v>
      </c>
      <c r="M1411" s="60">
        <v>0</v>
      </c>
      <c r="N1411" s="60">
        <v>0</v>
      </c>
      <c r="O1411" s="60">
        <v>0</v>
      </c>
      <c r="P1411" s="60">
        <v>0</v>
      </c>
      <c r="Q1411" s="60">
        <v>0</v>
      </c>
      <c r="R1411" s="60">
        <v>0</v>
      </c>
      <c r="S1411" s="60">
        <v>0</v>
      </c>
      <c r="T1411" s="60">
        <v>0</v>
      </c>
      <c r="U1411" s="60">
        <v>0</v>
      </c>
      <c r="V1411" s="60">
        <v>0</v>
      </c>
      <c r="W1411" s="60">
        <v>0</v>
      </c>
      <c r="X1411" s="60">
        <v>0</v>
      </c>
      <c r="Y1411" s="60">
        <v>0</v>
      </c>
      <c r="Z1411" s="60">
        <v>0</v>
      </c>
      <c r="AA1411" s="60">
        <v>0</v>
      </c>
      <c r="AB1411" s="60">
        <v>0</v>
      </c>
      <c r="AC1411" s="60">
        <v>1523.86</v>
      </c>
      <c r="AD1411" s="60">
        <v>0</v>
      </c>
      <c r="AE1411" s="60">
        <v>0</v>
      </c>
      <c r="AF1411" s="60">
        <v>0</v>
      </c>
      <c r="AG1411" s="60">
        <v>0</v>
      </c>
      <c r="AH1411" s="60">
        <v>0</v>
      </c>
      <c r="AI1411" s="60">
        <v>1523.86</v>
      </c>
      <c r="AJ1411" s="60">
        <v>0</v>
      </c>
      <c r="AK1411" s="60">
        <v>0</v>
      </c>
      <c r="AL1411" s="60">
        <v>0</v>
      </c>
      <c r="AM1411" s="60">
        <v>1769.05</v>
      </c>
      <c r="AN1411" s="60">
        <v>2240.13</v>
      </c>
      <c r="AO1411" s="60">
        <v>1523.86</v>
      </c>
      <c r="AP1411" s="60">
        <v>1769.05</v>
      </c>
      <c r="AQ1411" s="60">
        <v>2240.13</v>
      </c>
      <c r="AR1411" s="61">
        <v>2240.13</v>
      </c>
    </row>
    <row r="1412" spans="1:44" x14ac:dyDescent="0.35">
      <c r="A1412" s="49" t="str">
        <f t="shared" ref="A1412:A1426" si="115">TEXT(37,"00")</f>
        <v>37</v>
      </c>
      <c r="B1412" s="27">
        <v>10371</v>
      </c>
      <c r="C1412" s="25" t="str">
        <f t="shared" ref="C1412:C1449" si="116">TEXT(,"0000000")</f>
        <v>0000000</v>
      </c>
      <c r="D1412" s="26" t="s">
        <v>3663</v>
      </c>
      <c r="E1412" s="25" t="s">
        <v>2052</v>
      </c>
      <c r="F1412" s="25" t="s">
        <v>2053</v>
      </c>
      <c r="G1412" s="59" t="s">
        <v>2053</v>
      </c>
      <c r="H1412" s="60">
        <v>0</v>
      </c>
      <c r="I1412" s="60">
        <v>0</v>
      </c>
      <c r="J1412" s="60">
        <v>0</v>
      </c>
      <c r="K1412" s="60">
        <v>0</v>
      </c>
      <c r="L1412" s="60">
        <v>0</v>
      </c>
      <c r="M1412" s="60">
        <v>0</v>
      </c>
      <c r="N1412" s="60">
        <v>0</v>
      </c>
      <c r="O1412" s="60">
        <v>0</v>
      </c>
      <c r="P1412" s="60">
        <v>0</v>
      </c>
      <c r="Q1412" s="60">
        <v>0</v>
      </c>
      <c r="R1412" s="60">
        <v>0</v>
      </c>
      <c r="S1412" s="60">
        <v>0</v>
      </c>
      <c r="T1412" s="60">
        <v>0</v>
      </c>
      <c r="U1412" s="60">
        <v>0</v>
      </c>
      <c r="V1412" s="60">
        <v>0</v>
      </c>
      <c r="W1412" s="60">
        <v>48.54</v>
      </c>
      <c r="X1412" s="60">
        <v>47.03</v>
      </c>
      <c r="Y1412" s="60">
        <v>67.709999999999994</v>
      </c>
      <c r="Z1412" s="60">
        <v>0</v>
      </c>
      <c r="AA1412" s="60">
        <v>0</v>
      </c>
      <c r="AB1412" s="60">
        <v>0</v>
      </c>
      <c r="AC1412" s="60">
        <v>0</v>
      </c>
      <c r="AD1412" s="60">
        <v>0</v>
      </c>
      <c r="AE1412" s="60">
        <v>0</v>
      </c>
      <c r="AF1412" s="60">
        <v>0</v>
      </c>
      <c r="AG1412" s="60">
        <v>0</v>
      </c>
      <c r="AH1412" s="60">
        <v>0</v>
      </c>
      <c r="AI1412" s="60">
        <v>48.54</v>
      </c>
      <c r="AJ1412" s="60">
        <v>47.03</v>
      </c>
      <c r="AK1412" s="60">
        <v>67.709999999999994</v>
      </c>
      <c r="AL1412" s="60">
        <v>0</v>
      </c>
      <c r="AM1412" s="60">
        <v>0</v>
      </c>
      <c r="AN1412" s="60">
        <v>0</v>
      </c>
      <c r="AO1412" s="60">
        <v>48.54</v>
      </c>
      <c r="AP1412" s="60">
        <v>47.03</v>
      </c>
      <c r="AQ1412" s="60">
        <v>67.709999999999994</v>
      </c>
      <c r="AR1412" s="61">
        <v>67.709999999999994</v>
      </c>
    </row>
    <row r="1413" spans="1:44" x14ac:dyDescent="0.35">
      <c r="A1413" s="49" t="str">
        <f t="shared" si="115"/>
        <v>37</v>
      </c>
      <c r="B1413" s="27">
        <v>68007</v>
      </c>
      <c r="C1413" s="25" t="str">
        <f t="shared" si="116"/>
        <v>0000000</v>
      </c>
      <c r="D1413" s="26" t="s">
        <v>3663</v>
      </c>
      <c r="E1413" s="25" t="s">
        <v>2086</v>
      </c>
      <c r="F1413" s="25" t="s">
        <v>2053</v>
      </c>
      <c r="G1413" s="59" t="s">
        <v>2087</v>
      </c>
      <c r="H1413" s="60">
        <v>600.16</v>
      </c>
      <c r="I1413" s="60">
        <v>583.07000000000005</v>
      </c>
      <c r="J1413" s="60">
        <v>615.75</v>
      </c>
      <c r="K1413" s="60">
        <v>0</v>
      </c>
      <c r="L1413" s="60">
        <v>0</v>
      </c>
      <c r="M1413" s="60">
        <v>0</v>
      </c>
      <c r="N1413" s="60">
        <v>0</v>
      </c>
      <c r="O1413" s="60">
        <v>0</v>
      </c>
      <c r="P1413" s="60">
        <v>0</v>
      </c>
      <c r="Q1413" s="60">
        <v>0</v>
      </c>
      <c r="R1413" s="60">
        <v>0</v>
      </c>
      <c r="S1413" s="60">
        <v>0</v>
      </c>
      <c r="T1413" s="60">
        <v>0</v>
      </c>
      <c r="U1413" s="60">
        <v>0</v>
      </c>
      <c r="V1413" s="60">
        <v>0</v>
      </c>
      <c r="W1413" s="60">
        <v>0</v>
      </c>
      <c r="X1413" s="60">
        <v>0</v>
      </c>
      <c r="Y1413" s="60">
        <v>0</v>
      </c>
      <c r="Z1413" s="60">
        <v>0</v>
      </c>
      <c r="AA1413" s="60">
        <v>0</v>
      </c>
      <c r="AB1413" s="60">
        <v>0</v>
      </c>
      <c r="AC1413" s="60">
        <v>0</v>
      </c>
      <c r="AD1413" s="60">
        <v>0</v>
      </c>
      <c r="AE1413" s="60">
        <v>0</v>
      </c>
      <c r="AF1413" s="60">
        <v>0</v>
      </c>
      <c r="AG1413" s="60">
        <v>0</v>
      </c>
      <c r="AH1413" s="60">
        <v>0</v>
      </c>
      <c r="AI1413" s="60">
        <v>600.16</v>
      </c>
      <c r="AJ1413" s="60">
        <v>583.07000000000005</v>
      </c>
      <c r="AK1413" s="60">
        <v>615.75</v>
      </c>
      <c r="AL1413" s="60">
        <v>0</v>
      </c>
      <c r="AM1413" s="60">
        <v>0</v>
      </c>
      <c r="AN1413" s="60">
        <v>0</v>
      </c>
      <c r="AO1413" s="60">
        <v>600.16</v>
      </c>
      <c r="AP1413" s="60">
        <v>583.07000000000005</v>
      </c>
      <c r="AQ1413" s="60">
        <v>615.75</v>
      </c>
      <c r="AR1413" s="61">
        <v>615.75</v>
      </c>
    </row>
    <row r="1414" spans="1:44" x14ac:dyDescent="0.35">
      <c r="A1414" s="49" t="str">
        <f t="shared" si="115"/>
        <v>37</v>
      </c>
      <c r="B1414" s="27">
        <v>73551</v>
      </c>
      <c r="C1414" s="25" t="str">
        <f t="shared" si="116"/>
        <v>0000000</v>
      </c>
      <c r="D1414" s="26" t="s">
        <v>3663</v>
      </c>
      <c r="E1414" s="25" t="s">
        <v>2317</v>
      </c>
      <c r="F1414" s="25" t="s">
        <v>2053</v>
      </c>
      <c r="G1414" s="59" t="s">
        <v>2318</v>
      </c>
      <c r="H1414" s="60">
        <v>10290.81</v>
      </c>
      <c r="I1414" s="60">
        <v>10271.99</v>
      </c>
      <c r="J1414" s="60">
        <v>11012.47</v>
      </c>
      <c r="K1414" s="60">
        <v>0</v>
      </c>
      <c r="L1414" s="60">
        <v>0</v>
      </c>
      <c r="M1414" s="60">
        <v>0</v>
      </c>
      <c r="N1414" s="60">
        <v>0</v>
      </c>
      <c r="O1414" s="60">
        <v>0</v>
      </c>
      <c r="P1414" s="60">
        <v>0</v>
      </c>
      <c r="Q1414" s="60">
        <v>0</v>
      </c>
      <c r="R1414" s="60">
        <v>0</v>
      </c>
      <c r="S1414" s="60">
        <v>0</v>
      </c>
      <c r="T1414" s="60">
        <v>0</v>
      </c>
      <c r="U1414" s="60">
        <v>0</v>
      </c>
      <c r="V1414" s="60">
        <v>0</v>
      </c>
      <c r="W1414" s="60">
        <v>0</v>
      </c>
      <c r="X1414" s="60">
        <v>0</v>
      </c>
      <c r="Y1414" s="60">
        <v>0</v>
      </c>
      <c r="Z1414" s="60">
        <v>0</v>
      </c>
      <c r="AA1414" s="60">
        <v>0</v>
      </c>
      <c r="AB1414" s="60">
        <v>0</v>
      </c>
      <c r="AC1414" s="60">
        <v>0</v>
      </c>
      <c r="AD1414" s="60">
        <v>0</v>
      </c>
      <c r="AE1414" s="60">
        <v>0</v>
      </c>
      <c r="AF1414" s="60">
        <v>0</v>
      </c>
      <c r="AG1414" s="60">
        <v>0</v>
      </c>
      <c r="AH1414" s="60">
        <v>0</v>
      </c>
      <c r="AI1414" s="60">
        <v>10290.81</v>
      </c>
      <c r="AJ1414" s="60">
        <v>10271.99</v>
      </c>
      <c r="AK1414" s="60">
        <v>11012.47</v>
      </c>
      <c r="AL1414" s="60">
        <v>0</v>
      </c>
      <c r="AM1414" s="60">
        <v>0</v>
      </c>
      <c r="AN1414" s="60">
        <v>0</v>
      </c>
      <c r="AO1414" s="60">
        <v>10290.81</v>
      </c>
      <c r="AP1414" s="60">
        <v>10271.99</v>
      </c>
      <c r="AQ1414" s="60">
        <v>11012.47</v>
      </c>
      <c r="AR1414" s="61">
        <v>11012.47</v>
      </c>
    </row>
    <row r="1415" spans="1:44" x14ac:dyDescent="0.35">
      <c r="A1415" s="49" t="str">
        <f t="shared" si="115"/>
        <v>37</v>
      </c>
      <c r="B1415" s="27">
        <v>68056</v>
      </c>
      <c r="C1415" s="25" t="str">
        <f t="shared" si="116"/>
        <v>0000000</v>
      </c>
      <c r="D1415" s="26" t="s">
        <v>3663</v>
      </c>
      <c r="E1415" s="25" t="s">
        <v>2108</v>
      </c>
      <c r="F1415" s="25" t="s">
        <v>2053</v>
      </c>
      <c r="G1415" s="59" t="s">
        <v>2109</v>
      </c>
      <c r="H1415" s="60">
        <v>3580.57</v>
      </c>
      <c r="I1415" s="60">
        <v>3648.73</v>
      </c>
      <c r="J1415" s="60">
        <v>4012.71</v>
      </c>
      <c r="K1415" s="60">
        <v>0</v>
      </c>
      <c r="L1415" s="60">
        <v>0</v>
      </c>
      <c r="M1415" s="60">
        <v>0</v>
      </c>
      <c r="N1415" s="60">
        <v>0</v>
      </c>
      <c r="O1415" s="60">
        <v>0</v>
      </c>
      <c r="P1415" s="60">
        <v>0</v>
      </c>
      <c r="Q1415" s="60">
        <v>0</v>
      </c>
      <c r="R1415" s="60">
        <v>0</v>
      </c>
      <c r="S1415" s="60">
        <v>0</v>
      </c>
      <c r="T1415" s="60">
        <v>0</v>
      </c>
      <c r="U1415" s="60">
        <v>0</v>
      </c>
      <c r="V1415" s="60">
        <v>0</v>
      </c>
      <c r="W1415" s="60">
        <v>0</v>
      </c>
      <c r="X1415" s="60">
        <v>0</v>
      </c>
      <c r="Y1415" s="60">
        <v>0</v>
      </c>
      <c r="Z1415" s="60">
        <v>0</v>
      </c>
      <c r="AA1415" s="60">
        <v>0</v>
      </c>
      <c r="AB1415" s="60">
        <v>0</v>
      </c>
      <c r="AC1415" s="60">
        <v>0</v>
      </c>
      <c r="AD1415" s="60">
        <v>0</v>
      </c>
      <c r="AE1415" s="60">
        <v>0</v>
      </c>
      <c r="AF1415" s="60">
        <v>0</v>
      </c>
      <c r="AG1415" s="60">
        <v>0</v>
      </c>
      <c r="AH1415" s="60">
        <v>0</v>
      </c>
      <c r="AI1415" s="60">
        <v>3580.57</v>
      </c>
      <c r="AJ1415" s="60">
        <v>3648.73</v>
      </c>
      <c r="AK1415" s="60">
        <v>4012.71</v>
      </c>
      <c r="AL1415" s="60">
        <v>0</v>
      </c>
      <c r="AM1415" s="60">
        <v>0</v>
      </c>
      <c r="AN1415" s="60">
        <v>0</v>
      </c>
      <c r="AO1415" s="60">
        <v>3580.57</v>
      </c>
      <c r="AP1415" s="60">
        <v>3648.73</v>
      </c>
      <c r="AQ1415" s="60">
        <v>4012.71</v>
      </c>
      <c r="AR1415" s="61">
        <v>4012.71</v>
      </c>
    </row>
    <row r="1416" spans="1:44" x14ac:dyDescent="0.35">
      <c r="A1416" s="49" t="str">
        <f t="shared" si="115"/>
        <v>37</v>
      </c>
      <c r="B1416" s="27">
        <v>68080</v>
      </c>
      <c r="C1416" s="25" t="str">
        <f t="shared" si="116"/>
        <v>0000000</v>
      </c>
      <c r="D1416" s="26" t="s">
        <v>3663</v>
      </c>
      <c r="E1416" s="25" t="s">
        <v>2110</v>
      </c>
      <c r="F1416" s="25" t="s">
        <v>2053</v>
      </c>
      <c r="G1416" s="59" t="s">
        <v>2111</v>
      </c>
      <c r="H1416" s="60">
        <v>4349.3999999999996</v>
      </c>
      <c r="I1416" s="60">
        <v>4510.24</v>
      </c>
      <c r="J1416" s="60">
        <v>5073.3900000000003</v>
      </c>
      <c r="K1416" s="60">
        <v>0</v>
      </c>
      <c r="L1416" s="60">
        <v>0</v>
      </c>
      <c r="M1416" s="60">
        <v>0</v>
      </c>
      <c r="N1416" s="60">
        <v>51.73</v>
      </c>
      <c r="O1416" s="60">
        <v>50.12</v>
      </c>
      <c r="P1416" s="60">
        <v>57.79</v>
      </c>
      <c r="Q1416" s="60">
        <v>0</v>
      </c>
      <c r="R1416" s="60">
        <v>0</v>
      </c>
      <c r="S1416" s="60">
        <v>0</v>
      </c>
      <c r="T1416" s="60">
        <v>0</v>
      </c>
      <c r="U1416" s="60">
        <v>0</v>
      </c>
      <c r="V1416" s="60">
        <v>0</v>
      </c>
      <c r="W1416" s="60">
        <v>0</v>
      </c>
      <c r="X1416" s="60">
        <v>0</v>
      </c>
      <c r="Y1416" s="60">
        <v>0</v>
      </c>
      <c r="Z1416" s="60">
        <v>0</v>
      </c>
      <c r="AA1416" s="60">
        <v>0</v>
      </c>
      <c r="AB1416" s="60">
        <v>0</v>
      </c>
      <c r="AC1416" s="60">
        <v>0</v>
      </c>
      <c r="AD1416" s="60">
        <v>0</v>
      </c>
      <c r="AE1416" s="60">
        <v>0</v>
      </c>
      <c r="AF1416" s="60">
        <v>0</v>
      </c>
      <c r="AG1416" s="60">
        <v>0</v>
      </c>
      <c r="AH1416" s="60">
        <v>0</v>
      </c>
      <c r="AI1416" s="60">
        <v>4401.13</v>
      </c>
      <c r="AJ1416" s="60">
        <v>4560.3599999999997</v>
      </c>
      <c r="AK1416" s="60">
        <v>5131.18</v>
      </c>
      <c r="AL1416" s="60">
        <v>0</v>
      </c>
      <c r="AM1416" s="60">
        <v>0</v>
      </c>
      <c r="AN1416" s="60">
        <v>0</v>
      </c>
      <c r="AO1416" s="60">
        <v>4401.13</v>
      </c>
      <c r="AP1416" s="60">
        <v>4560.3599999999997</v>
      </c>
      <c r="AQ1416" s="60">
        <v>5131.18</v>
      </c>
      <c r="AR1416" s="61">
        <v>5131.18</v>
      </c>
    </row>
    <row r="1417" spans="1:44" x14ac:dyDescent="0.35">
      <c r="A1417" s="49" t="str">
        <f t="shared" si="115"/>
        <v>37</v>
      </c>
      <c r="B1417" s="27">
        <v>68114</v>
      </c>
      <c r="C1417" s="25" t="str">
        <f t="shared" si="116"/>
        <v>0000000</v>
      </c>
      <c r="D1417" s="26" t="s">
        <v>3663</v>
      </c>
      <c r="E1417" s="25" t="s">
        <v>2124</v>
      </c>
      <c r="F1417" s="25" t="s">
        <v>2053</v>
      </c>
      <c r="G1417" s="59" t="s">
        <v>2125</v>
      </c>
      <c r="H1417" s="60">
        <v>4595.6400000000003</v>
      </c>
      <c r="I1417" s="60">
        <v>4415.7</v>
      </c>
      <c r="J1417" s="60">
        <v>5064.16</v>
      </c>
      <c r="K1417" s="60">
        <v>0</v>
      </c>
      <c r="L1417" s="60">
        <v>0</v>
      </c>
      <c r="M1417" s="60">
        <v>0</v>
      </c>
      <c r="N1417" s="60">
        <v>0</v>
      </c>
      <c r="O1417" s="60">
        <v>0</v>
      </c>
      <c r="P1417" s="60">
        <v>0</v>
      </c>
      <c r="Q1417" s="60">
        <v>0</v>
      </c>
      <c r="R1417" s="60">
        <v>0</v>
      </c>
      <c r="S1417" s="60">
        <v>0</v>
      </c>
      <c r="T1417" s="60">
        <v>0</v>
      </c>
      <c r="U1417" s="60">
        <v>0</v>
      </c>
      <c r="V1417" s="60">
        <v>0</v>
      </c>
      <c r="W1417" s="60">
        <v>0</v>
      </c>
      <c r="X1417" s="60">
        <v>0</v>
      </c>
      <c r="Y1417" s="60">
        <v>0</v>
      </c>
      <c r="Z1417" s="60">
        <v>0</v>
      </c>
      <c r="AA1417" s="60">
        <v>0</v>
      </c>
      <c r="AB1417" s="60">
        <v>0</v>
      </c>
      <c r="AC1417" s="60">
        <v>0</v>
      </c>
      <c r="AD1417" s="60">
        <v>0</v>
      </c>
      <c r="AE1417" s="60">
        <v>0</v>
      </c>
      <c r="AF1417" s="60">
        <v>0</v>
      </c>
      <c r="AG1417" s="60">
        <v>0</v>
      </c>
      <c r="AH1417" s="60">
        <v>0</v>
      </c>
      <c r="AI1417" s="60">
        <v>4595.6400000000003</v>
      </c>
      <c r="AJ1417" s="60">
        <v>4415.7</v>
      </c>
      <c r="AK1417" s="60">
        <v>5064.16</v>
      </c>
      <c r="AL1417" s="60">
        <v>0</v>
      </c>
      <c r="AM1417" s="60">
        <v>0</v>
      </c>
      <c r="AN1417" s="60">
        <v>0</v>
      </c>
      <c r="AO1417" s="60">
        <v>4595.6400000000003</v>
      </c>
      <c r="AP1417" s="60">
        <v>4415.7</v>
      </c>
      <c r="AQ1417" s="60">
        <v>5064.16</v>
      </c>
      <c r="AR1417" s="61">
        <v>5064.16</v>
      </c>
    </row>
    <row r="1418" spans="1:44" x14ac:dyDescent="0.35">
      <c r="A1418" s="49" t="str">
        <f t="shared" si="115"/>
        <v>37</v>
      </c>
      <c r="B1418" s="27">
        <v>68122</v>
      </c>
      <c r="C1418" s="25" t="str">
        <f t="shared" si="116"/>
        <v>0000000</v>
      </c>
      <c r="D1418" s="26" t="s">
        <v>3663</v>
      </c>
      <c r="E1418" s="25" t="s">
        <v>2126</v>
      </c>
      <c r="F1418" s="25" t="s">
        <v>2053</v>
      </c>
      <c r="G1418" s="59" t="s">
        <v>2127</v>
      </c>
      <c r="H1418" s="60">
        <v>1902.4</v>
      </c>
      <c r="I1418" s="60">
        <v>1888.91</v>
      </c>
      <c r="J1418" s="60">
        <v>2026.42</v>
      </c>
      <c r="K1418" s="60">
        <v>0</v>
      </c>
      <c r="L1418" s="60">
        <v>0</v>
      </c>
      <c r="M1418" s="60">
        <v>0</v>
      </c>
      <c r="N1418" s="60">
        <v>0</v>
      </c>
      <c r="O1418" s="60">
        <v>0</v>
      </c>
      <c r="P1418" s="60">
        <v>0</v>
      </c>
      <c r="Q1418" s="60">
        <v>0</v>
      </c>
      <c r="R1418" s="60">
        <v>0</v>
      </c>
      <c r="S1418" s="60">
        <v>0</v>
      </c>
      <c r="T1418" s="60">
        <v>0</v>
      </c>
      <c r="U1418" s="60">
        <v>0</v>
      </c>
      <c r="V1418" s="60">
        <v>0</v>
      </c>
      <c r="W1418" s="60">
        <v>0</v>
      </c>
      <c r="X1418" s="60">
        <v>0</v>
      </c>
      <c r="Y1418" s="60">
        <v>0</v>
      </c>
      <c r="Z1418" s="60">
        <v>0</v>
      </c>
      <c r="AA1418" s="60">
        <v>0</v>
      </c>
      <c r="AB1418" s="60">
        <v>0</v>
      </c>
      <c r="AC1418" s="60">
        <v>0</v>
      </c>
      <c r="AD1418" s="60">
        <v>0</v>
      </c>
      <c r="AE1418" s="60">
        <v>0</v>
      </c>
      <c r="AF1418" s="60">
        <v>0</v>
      </c>
      <c r="AG1418" s="60">
        <v>0</v>
      </c>
      <c r="AH1418" s="60">
        <v>0</v>
      </c>
      <c r="AI1418" s="60">
        <v>1902.4</v>
      </c>
      <c r="AJ1418" s="60">
        <v>1888.91</v>
      </c>
      <c r="AK1418" s="60">
        <v>2026.42</v>
      </c>
      <c r="AL1418" s="60">
        <v>0</v>
      </c>
      <c r="AM1418" s="60">
        <v>0</v>
      </c>
      <c r="AN1418" s="60">
        <v>0</v>
      </c>
      <c r="AO1418" s="60">
        <v>1902.4</v>
      </c>
      <c r="AP1418" s="60">
        <v>1888.91</v>
      </c>
      <c r="AQ1418" s="60">
        <v>2026.42</v>
      </c>
      <c r="AR1418" s="61">
        <v>2026.42</v>
      </c>
    </row>
    <row r="1419" spans="1:44" x14ac:dyDescent="0.35">
      <c r="A1419" s="49" t="str">
        <f t="shared" si="115"/>
        <v>37</v>
      </c>
      <c r="B1419" s="27">
        <v>73569</v>
      </c>
      <c r="C1419" s="25" t="str">
        <f t="shared" si="116"/>
        <v>0000000</v>
      </c>
      <c r="D1419" s="26" t="s">
        <v>3663</v>
      </c>
      <c r="E1419" s="25" t="s">
        <v>2319</v>
      </c>
      <c r="F1419" s="25" t="s">
        <v>2053</v>
      </c>
      <c r="G1419" s="59" t="s">
        <v>2320</v>
      </c>
      <c r="H1419" s="60">
        <v>13918.09</v>
      </c>
      <c r="I1419" s="60">
        <v>14660.6</v>
      </c>
      <c r="J1419" s="60">
        <v>16289.85</v>
      </c>
      <c r="K1419" s="60">
        <v>0</v>
      </c>
      <c r="L1419" s="60">
        <v>0</v>
      </c>
      <c r="M1419" s="60">
        <v>0</v>
      </c>
      <c r="N1419" s="60">
        <v>0</v>
      </c>
      <c r="O1419" s="60">
        <v>0</v>
      </c>
      <c r="P1419" s="60">
        <v>0</v>
      </c>
      <c r="Q1419" s="60">
        <v>0</v>
      </c>
      <c r="R1419" s="60">
        <v>0</v>
      </c>
      <c r="S1419" s="60">
        <v>0</v>
      </c>
      <c r="T1419" s="60">
        <v>0</v>
      </c>
      <c r="U1419" s="60">
        <v>0</v>
      </c>
      <c r="V1419" s="60">
        <v>0</v>
      </c>
      <c r="W1419" s="60">
        <v>0</v>
      </c>
      <c r="X1419" s="60">
        <v>0</v>
      </c>
      <c r="Y1419" s="60">
        <v>0</v>
      </c>
      <c r="Z1419" s="60">
        <v>0</v>
      </c>
      <c r="AA1419" s="60">
        <v>0</v>
      </c>
      <c r="AB1419" s="60">
        <v>0</v>
      </c>
      <c r="AC1419" s="60">
        <v>0</v>
      </c>
      <c r="AD1419" s="60">
        <v>0</v>
      </c>
      <c r="AE1419" s="60">
        <v>0</v>
      </c>
      <c r="AF1419" s="60">
        <v>0</v>
      </c>
      <c r="AG1419" s="60">
        <v>0</v>
      </c>
      <c r="AH1419" s="60">
        <v>0</v>
      </c>
      <c r="AI1419" s="60">
        <v>13918.09</v>
      </c>
      <c r="AJ1419" s="60">
        <v>14660.6</v>
      </c>
      <c r="AK1419" s="60">
        <v>16289.85</v>
      </c>
      <c r="AL1419" s="60">
        <v>0</v>
      </c>
      <c r="AM1419" s="60">
        <v>0</v>
      </c>
      <c r="AN1419" s="60">
        <v>0</v>
      </c>
      <c r="AO1419" s="60">
        <v>13918.09</v>
      </c>
      <c r="AP1419" s="60">
        <v>14660.6</v>
      </c>
      <c r="AQ1419" s="60">
        <v>16289.85</v>
      </c>
      <c r="AR1419" s="61">
        <v>16289.85</v>
      </c>
    </row>
    <row r="1420" spans="1:44" x14ac:dyDescent="0.35">
      <c r="A1420" s="49" t="str">
        <f t="shared" si="115"/>
        <v>37</v>
      </c>
      <c r="B1420" s="27">
        <v>68312</v>
      </c>
      <c r="C1420" s="25" t="str">
        <f t="shared" si="116"/>
        <v>0000000</v>
      </c>
      <c r="D1420" s="26" t="s">
        <v>3663</v>
      </c>
      <c r="E1420" s="25" t="s">
        <v>2173</v>
      </c>
      <c r="F1420" s="25" t="s">
        <v>2053</v>
      </c>
      <c r="G1420" s="59" t="s">
        <v>2174</v>
      </c>
      <c r="H1420" s="60">
        <v>539</v>
      </c>
      <c r="I1420" s="60">
        <v>560</v>
      </c>
      <c r="J1420" s="60">
        <v>539.48</v>
      </c>
      <c r="K1420" s="60">
        <v>0</v>
      </c>
      <c r="L1420" s="60">
        <v>0</v>
      </c>
      <c r="M1420" s="60">
        <v>0</v>
      </c>
      <c r="N1420" s="60">
        <v>0</v>
      </c>
      <c r="O1420" s="60">
        <v>0</v>
      </c>
      <c r="P1420" s="60">
        <v>0</v>
      </c>
      <c r="Q1420" s="60">
        <v>0</v>
      </c>
      <c r="R1420" s="60">
        <v>0</v>
      </c>
      <c r="S1420" s="60">
        <v>0</v>
      </c>
      <c r="T1420" s="60">
        <v>0</v>
      </c>
      <c r="U1420" s="60">
        <v>0</v>
      </c>
      <c r="V1420" s="60">
        <v>0</v>
      </c>
      <c r="W1420" s="60">
        <v>0</v>
      </c>
      <c r="X1420" s="60">
        <v>0</v>
      </c>
      <c r="Y1420" s="60">
        <v>0</v>
      </c>
      <c r="Z1420" s="60">
        <v>0</v>
      </c>
      <c r="AA1420" s="60">
        <v>0</v>
      </c>
      <c r="AB1420" s="60">
        <v>0</v>
      </c>
      <c r="AC1420" s="60">
        <v>0</v>
      </c>
      <c r="AD1420" s="60">
        <v>0</v>
      </c>
      <c r="AE1420" s="60">
        <v>0</v>
      </c>
      <c r="AF1420" s="60">
        <v>0</v>
      </c>
      <c r="AG1420" s="60">
        <v>0</v>
      </c>
      <c r="AH1420" s="60">
        <v>0</v>
      </c>
      <c r="AI1420" s="60">
        <v>539</v>
      </c>
      <c r="AJ1420" s="60">
        <v>560</v>
      </c>
      <c r="AK1420" s="60">
        <v>539.48</v>
      </c>
      <c r="AL1420" s="60">
        <v>0</v>
      </c>
      <c r="AM1420" s="60">
        <v>0</v>
      </c>
      <c r="AN1420" s="60">
        <v>0</v>
      </c>
      <c r="AO1420" s="60">
        <v>539</v>
      </c>
      <c r="AP1420" s="60">
        <v>560</v>
      </c>
      <c r="AQ1420" s="60">
        <v>539.48</v>
      </c>
      <c r="AR1420" s="61">
        <v>560</v>
      </c>
    </row>
    <row r="1421" spans="1:44" x14ac:dyDescent="0.35">
      <c r="A1421" s="49" t="str">
        <f t="shared" si="115"/>
        <v>37</v>
      </c>
      <c r="B1421" s="27">
        <v>68346</v>
      </c>
      <c r="C1421" s="25" t="str">
        <f t="shared" si="116"/>
        <v>0000000</v>
      </c>
      <c r="D1421" s="26" t="s">
        <v>3663</v>
      </c>
      <c r="E1421" s="25" t="s">
        <v>2285</v>
      </c>
      <c r="F1421" s="25" t="s">
        <v>2053</v>
      </c>
      <c r="G1421" s="59" t="s">
        <v>2286</v>
      </c>
      <c r="H1421" s="60">
        <v>11949.6</v>
      </c>
      <c r="I1421" s="60">
        <v>12019.12</v>
      </c>
      <c r="J1421" s="60">
        <v>12749.97</v>
      </c>
      <c r="K1421" s="60">
        <v>0</v>
      </c>
      <c r="L1421" s="60">
        <v>0</v>
      </c>
      <c r="M1421" s="60">
        <v>0</v>
      </c>
      <c r="N1421" s="60">
        <v>0</v>
      </c>
      <c r="O1421" s="60">
        <v>0</v>
      </c>
      <c r="P1421" s="60">
        <v>0</v>
      </c>
      <c r="Q1421" s="60">
        <v>0</v>
      </c>
      <c r="R1421" s="60">
        <v>0</v>
      </c>
      <c r="S1421" s="60">
        <v>0</v>
      </c>
      <c r="T1421" s="60">
        <v>0</v>
      </c>
      <c r="U1421" s="60">
        <v>0</v>
      </c>
      <c r="V1421" s="60">
        <v>0</v>
      </c>
      <c r="W1421" s="60">
        <v>0</v>
      </c>
      <c r="X1421" s="60">
        <v>0</v>
      </c>
      <c r="Y1421" s="60">
        <v>0</v>
      </c>
      <c r="Z1421" s="60">
        <v>0</v>
      </c>
      <c r="AA1421" s="60">
        <v>0</v>
      </c>
      <c r="AB1421" s="60">
        <v>0</v>
      </c>
      <c r="AC1421" s="60">
        <v>0</v>
      </c>
      <c r="AD1421" s="60">
        <v>0</v>
      </c>
      <c r="AE1421" s="60">
        <v>0</v>
      </c>
      <c r="AF1421" s="60">
        <v>0</v>
      </c>
      <c r="AG1421" s="60">
        <v>0</v>
      </c>
      <c r="AH1421" s="60">
        <v>0</v>
      </c>
      <c r="AI1421" s="60">
        <v>11949.6</v>
      </c>
      <c r="AJ1421" s="60">
        <v>12019.12</v>
      </c>
      <c r="AK1421" s="60">
        <v>12749.97</v>
      </c>
      <c r="AL1421" s="60">
        <v>0</v>
      </c>
      <c r="AM1421" s="60">
        <v>0</v>
      </c>
      <c r="AN1421" s="60">
        <v>0</v>
      </c>
      <c r="AO1421" s="60">
        <v>11949.6</v>
      </c>
      <c r="AP1421" s="60">
        <v>12019.12</v>
      </c>
      <c r="AQ1421" s="60">
        <v>12749.97</v>
      </c>
      <c r="AR1421" s="61">
        <v>12749.97</v>
      </c>
    </row>
    <row r="1422" spans="1:44" x14ac:dyDescent="0.35">
      <c r="A1422" s="49" t="str">
        <f t="shared" si="115"/>
        <v>37</v>
      </c>
      <c r="B1422" s="27">
        <v>73791</v>
      </c>
      <c r="C1422" s="25" t="str">
        <f t="shared" si="116"/>
        <v>0000000</v>
      </c>
      <c r="D1422" s="26" t="s">
        <v>3663</v>
      </c>
      <c r="E1422" s="25" t="s">
        <v>2327</v>
      </c>
      <c r="F1422" s="25" t="s">
        <v>2053</v>
      </c>
      <c r="G1422" s="59" t="s">
        <v>2328</v>
      </c>
      <c r="H1422" s="60">
        <v>18127.97</v>
      </c>
      <c r="I1422" s="60">
        <v>18117.79</v>
      </c>
      <c r="J1422" s="60">
        <v>20062.93</v>
      </c>
      <c r="K1422" s="60">
        <v>0</v>
      </c>
      <c r="L1422" s="60">
        <v>0</v>
      </c>
      <c r="M1422" s="60">
        <v>0</v>
      </c>
      <c r="N1422" s="60">
        <v>0</v>
      </c>
      <c r="O1422" s="60">
        <v>0</v>
      </c>
      <c r="P1422" s="60">
        <v>0</v>
      </c>
      <c r="Q1422" s="60">
        <v>0</v>
      </c>
      <c r="R1422" s="60">
        <v>0</v>
      </c>
      <c r="S1422" s="60">
        <v>0</v>
      </c>
      <c r="T1422" s="60">
        <v>0</v>
      </c>
      <c r="U1422" s="60">
        <v>0</v>
      </c>
      <c r="V1422" s="60">
        <v>0</v>
      </c>
      <c r="W1422" s="60">
        <v>0</v>
      </c>
      <c r="X1422" s="60">
        <v>0</v>
      </c>
      <c r="Y1422" s="60">
        <v>0</v>
      </c>
      <c r="Z1422" s="60">
        <v>0</v>
      </c>
      <c r="AA1422" s="60">
        <v>0</v>
      </c>
      <c r="AB1422" s="60">
        <v>0</v>
      </c>
      <c r="AC1422" s="60">
        <v>0</v>
      </c>
      <c r="AD1422" s="60">
        <v>0</v>
      </c>
      <c r="AE1422" s="60">
        <v>0</v>
      </c>
      <c r="AF1422" s="60">
        <v>0</v>
      </c>
      <c r="AG1422" s="60">
        <v>0</v>
      </c>
      <c r="AH1422" s="60">
        <v>0</v>
      </c>
      <c r="AI1422" s="60">
        <v>18127.97</v>
      </c>
      <c r="AJ1422" s="60">
        <v>18117.79</v>
      </c>
      <c r="AK1422" s="60">
        <v>20062.93</v>
      </c>
      <c r="AL1422" s="60">
        <v>0</v>
      </c>
      <c r="AM1422" s="60">
        <v>0</v>
      </c>
      <c r="AN1422" s="60">
        <v>0</v>
      </c>
      <c r="AO1422" s="60">
        <v>18127.97</v>
      </c>
      <c r="AP1422" s="60">
        <v>18117.79</v>
      </c>
      <c r="AQ1422" s="60">
        <v>20062.93</v>
      </c>
      <c r="AR1422" s="61">
        <v>20062.93</v>
      </c>
    </row>
    <row r="1423" spans="1:44" x14ac:dyDescent="0.35">
      <c r="A1423" s="49" t="str">
        <f t="shared" si="115"/>
        <v>37</v>
      </c>
      <c r="B1423" s="27">
        <v>68387</v>
      </c>
      <c r="C1423" s="25" t="str">
        <f t="shared" si="116"/>
        <v>0000000</v>
      </c>
      <c r="D1423" s="26" t="s">
        <v>3663</v>
      </c>
      <c r="E1423" s="25" t="s">
        <v>2293</v>
      </c>
      <c r="F1423" s="25" t="s">
        <v>2053</v>
      </c>
      <c r="G1423" s="59" t="s">
        <v>2294</v>
      </c>
      <c r="H1423" s="60">
        <v>2592.5</v>
      </c>
      <c r="I1423" s="60">
        <v>2699.62</v>
      </c>
      <c r="J1423" s="60">
        <v>2870.29</v>
      </c>
      <c r="K1423" s="60">
        <v>0</v>
      </c>
      <c r="L1423" s="60">
        <v>0</v>
      </c>
      <c r="M1423" s="60">
        <v>0</v>
      </c>
      <c r="N1423" s="60">
        <v>0</v>
      </c>
      <c r="O1423" s="60">
        <v>0</v>
      </c>
      <c r="P1423" s="60">
        <v>0</v>
      </c>
      <c r="Q1423" s="60">
        <v>0</v>
      </c>
      <c r="R1423" s="60">
        <v>0</v>
      </c>
      <c r="S1423" s="60">
        <v>0</v>
      </c>
      <c r="T1423" s="60">
        <v>0</v>
      </c>
      <c r="U1423" s="60">
        <v>0</v>
      </c>
      <c r="V1423" s="60">
        <v>0</v>
      </c>
      <c r="W1423" s="60">
        <v>0</v>
      </c>
      <c r="X1423" s="60">
        <v>0</v>
      </c>
      <c r="Y1423" s="60">
        <v>0</v>
      </c>
      <c r="Z1423" s="60">
        <v>0</v>
      </c>
      <c r="AA1423" s="60">
        <v>0</v>
      </c>
      <c r="AB1423" s="60">
        <v>0</v>
      </c>
      <c r="AC1423" s="60">
        <v>0</v>
      </c>
      <c r="AD1423" s="60">
        <v>0</v>
      </c>
      <c r="AE1423" s="60">
        <v>0</v>
      </c>
      <c r="AF1423" s="60">
        <v>0</v>
      </c>
      <c r="AG1423" s="60">
        <v>0</v>
      </c>
      <c r="AH1423" s="60">
        <v>0</v>
      </c>
      <c r="AI1423" s="60">
        <v>2592.5</v>
      </c>
      <c r="AJ1423" s="60">
        <v>2699.62</v>
      </c>
      <c r="AK1423" s="60">
        <v>2870.29</v>
      </c>
      <c r="AL1423" s="60">
        <v>0</v>
      </c>
      <c r="AM1423" s="60">
        <v>0</v>
      </c>
      <c r="AN1423" s="60">
        <v>0</v>
      </c>
      <c r="AO1423" s="60">
        <v>2592.5</v>
      </c>
      <c r="AP1423" s="60">
        <v>2699.62</v>
      </c>
      <c r="AQ1423" s="60">
        <v>2870.29</v>
      </c>
      <c r="AR1423" s="61">
        <v>2870.29</v>
      </c>
    </row>
    <row r="1424" spans="1:44" x14ac:dyDescent="0.35">
      <c r="A1424" s="49" t="str">
        <f t="shared" si="115"/>
        <v>37</v>
      </c>
      <c r="B1424" s="27">
        <v>68452</v>
      </c>
      <c r="C1424" s="25" t="str">
        <f t="shared" si="116"/>
        <v>0000000</v>
      </c>
      <c r="D1424" s="26" t="s">
        <v>3663</v>
      </c>
      <c r="E1424" s="25" t="s">
        <v>2308</v>
      </c>
      <c r="F1424" s="25" t="s">
        <v>2053</v>
      </c>
      <c r="G1424" s="59" t="s">
        <v>2309</v>
      </c>
      <c r="H1424" s="60">
        <v>17283.72</v>
      </c>
      <c r="I1424" s="60">
        <v>17298.060000000001</v>
      </c>
      <c r="J1424" s="60">
        <v>19436.86</v>
      </c>
      <c r="K1424" s="60">
        <v>0</v>
      </c>
      <c r="L1424" s="60">
        <v>0</v>
      </c>
      <c r="M1424" s="60">
        <v>0</v>
      </c>
      <c r="N1424" s="60">
        <v>0</v>
      </c>
      <c r="O1424" s="60">
        <v>0</v>
      </c>
      <c r="P1424" s="60">
        <v>0</v>
      </c>
      <c r="Q1424" s="60">
        <v>0</v>
      </c>
      <c r="R1424" s="60">
        <v>0</v>
      </c>
      <c r="S1424" s="60">
        <v>0</v>
      </c>
      <c r="T1424" s="60">
        <v>0</v>
      </c>
      <c r="U1424" s="60">
        <v>0</v>
      </c>
      <c r="V1424" s="60">
        <v>0</v>
      </c>
      <c r="W1424" s="60">
        <v>0</v>
      </c>
      <c r="X1424" s="60">
        <v>0</v>
      </c>
      <c r="Y1424" s="60">
        <v>0</v>
      </c>
      <c r="Z1424" s="60">
        <v>0</v>
      </c>
      <c r="AA1424" s="60">
        <v>0</v>
      </c>
      <c r="AB1424" s="60">
        <v>0</v>
      </c>
      <c r="AC1424" s="60">
        <v>870.44</v>
      </c>
      <c r="AD1424" s="60">
        <v>620.42999999999995</v>
      </c>
      <c r="AE1424" s="60">
        <v>1302.1500000000001</v>
      </c>
      <c r="AF1424" s="60">
        <v>0</v>
      </c>
      <c r="AG1424" s="60">
        <v>0</v>
      </c>
      <c r="AH1424" s="60">
        <v>0</v>
      </c>
      <c r="AI1424" s="60">
        <v>18154.16</v>
      </c>
      <c r="AJ1424" s="60">
        <v>17918.490000000002</v>
      </c>
      <c r="AK1424" s="60">
        <v>20739.009999999998</v>
      </c>
      <c r="AL1424" s="60">
        <v>0</v>
      </c>
      <c r="AM1424" s="60">
        <v>0</v>
      </c>
      <c r="AN1424" s="60">
        <v>0</v>
      </c>
      <c r="AO1424" s="60">
        <v>18154.16</v>
      </c>
      <c r="AP1424" s="60">
        <v>17918.490000000002</v>
      </c>
      <c r="AQ1424" s="60">
        <v>20739.009999999998</v>
      </c>
      <c r="AR1424" s="61">
        <v>20739.009999999998</v>
      </c>
    </row>
    <row r="1425" spans="1:44" x14ac:dyDescent="0.35">
      <c r="A1425" s="49" t="str">
        <f t="shared" si="115"/>
        <v>37</v>
      </c>
      <c r="B1425" s="27">
        <v>68437</v>
      </c>
      <c r="C1425" s="25" t="str">
        <f t="shared" si="116"/>
        <v>0000000</v>
      </c>
      <c r="D1425" s="26" t="s">
        <v>3663</v>
      </c>
      <c r="E1425" s="25" t="s">
        <v>2306</v>
      </c>
      <c r="F1425" s="25" t="s">
        <v>2053</v>
      </c>
      <c r="G1425" s="59" t="s">
        <v>2307</v>
      </c>
      <c r="H1425" s="60">
        <v>174.61</v>
      </c>
      <c r="I1425" s="60">
        <v>156.66999999999999</v>
      </c>
      <c r="J1425" s="60">
        <v>186.15</v>
      </c>
      <c r="K1425" s="60">
        <v>0</v>
      </c>
      <c r="L1425" s="60">
        <v>0</v>
      </c>
      <c r="M1425" s="60">
        <v>0</v>
      </c>
      <c r="N1425" s="60">
        <v>0</v>
      </c>
      <c r="O1425" s="60">
        <v>0</v>
      </c>
      <c r="P1425" s="60">
        <v>0</v>
      </c>
      <c r="Q1425" s="60">
        <v>0</v>
      </c>
      <c r="R1425" s="60">
        <v>0</v>
      </c>
      <c r="S1425" s="60">
        <v>0</v>
      </c>
      <c r="T1425" s="60">
        <v>0</v>
      </c>
      <c r="U1425" s="60">
        <v>0</v>
      </c>
      <c r="V1425" s="60">
        <v>0</v>
      </c>
      <c r="W1425" s="60">
        <v>0</v>
      </c>
      <c r="X1425" s="60">
        <v>0</v>
      </c>
      <c r="Y1425" s="60">
        <v>0</v>
      </c>
      <c r="Z1425" s="60">
        <v>0</v>
      </c>
      <c r="AA1425" s="60">
        <v>0</v>
      </c>
      <c r="AB1425" s="60">
        <v>0</v>
      </c>
      <c r="AC1425" s="60">
        <v>0</v>
      </c>
      <c r="AD1425" s="60">
        <v>0</v>
      </c>
      <c r="AE1425" s="60">
        <v>0</v>
      </c>
      <c r="AF1425" s="60">
        <v>0</v>
      </c>
      <c r="AG1425" s="60">
        <v>0</v>
      </c>
      <c r="AH1425" s="60">
        <v>0</v>
      </c>
      <c r="AI1425" s="60">
        <v>174.61</v>
      </c>
      <c r="AJ1425" s="60">
        <v>156.66999999999999</v>
      </c>
      <c r="AK1425" s="60">
        <v>186.15</v>
      </c>
      <c r="AL1425" s="60">
        <v>0</v>
      </c>
      <c r="AM1425" s="60">
        <v>0</v>
      </c>
      <c r="AN1425" s="60">
        <v>0</v>
      </c>
      <c r="AO1425" s="60">
        <v>174.61</v>
      </c>
      <c r="AP1425" s="60">
        <v>156.66999999999999</v>
      </c>
      <c r="AQ1425" s="60">
        <v>186.15</v>
      </c>
      <c r="AR1425" s="61">
        <v>186.15</v>
      </c>
    </row>
    <row r="1426" spans="1:44" x14ac:dyDescent="0.35">
      <c r="A1426" s="49" t="str">
        <f t="shared" si="115"/>
        <v>37</v>
      </c>
      <c r="B1426" s="27">
        <v>76851</v>
      </c>
      <c r="C1426" s="25" t="str">
        <f t="shared" si="116"/>
        <v>0000000</v>
      </c>
      <c r="D1426" s="26" t="s">
        <v>3663</v>
      </c>
      <c r="E1426" s="25" t="s">
        <v>2367</v>
      </c>
      <c r="F1426" s="25" t="s">
        <v>2053</v>
      </c>
      <c r="G1426" s="59" t="s">
        <v>2368</v>
      </c>
      <c r="H1426" s="60">
        <v>1937.16</v>
      </c>
      <c r="I1426" s="60">
        <v>1967.53</v>
      </c>
      <c r="J1426" s="60">
        <v>2283.5300000000002</v>
      </c>
      <c r="K1426" s="60">
        <v>0</v>
      </c>
      <c r="L1426" s="60">
        <v>0</v>
      </c>
      <c r="M1426" s="60">
        <v>0</v>
      </c>
      <c r="N1426" s="60">
        <v>0</v>
      </c>
      <c r="O1426" s="60">
        <v>0</v>
      </c>
      <c r="P1426" s="60">
        <v>0</v>
      </c>
      <c r="Q1426" s="60">
        <v>0</v>
      </c>
      <c r="R1426" s="60">
        <v>0</v>
      </c>
      <c r="S1426" s="60">
        <v>0</v>
      </c>
      <c r="T1426" s="60">
        <v>0</v>
      </c>
      <c r="U1426" s="60">
        <v>0</v>
      </c>
      <c r="V1426" s="60">
        <v>0</v>
      </c>
      <c r="W1426" s="60">
        <v>0</v>
      </c>
      <c r="X1426" s="60">
        <v>0</v>
      </c>
      <c r="Y1426" s="60">
        <v>0</v>
      </c>
      <c r="Z1426" s="60">
        <v>0</v>
      </c>
      <c r="AA1426" s="60">
        <v>0</v>
      </c>
      <c r="AB1426" s="60">
        <v>0</v>
      </c>
      <c r="AC1426" s="60">
        <v>77.91</v>
      </c>
      <c r="AD1426" s="60">
        <v>80.959999999999994</v>
      </c>
      <c r="AE1426" s="60">
        <v>90.41</v>
      </c>
      <c r="AF1426" s="60">
        <v>0</v>
      </c>
      <c r="AG1426" s="60">
        <v>0</v>
      </c>
      <c r="AH1426" s="60">
        <v>0</v>
      </c>
      <c r="AI1426" s="60">
        <v>2015.07</v>
      </c>
      <c r="AJ1426" s="60">
        <v>2048.4899999999998</v>
      </c>
      <c r="AK1426" s="60">
        <v>2373.94</v>
      </c>
      <c r="AL1426" s="60">
        <v>0</v>
      </c>
      <c r="AM1426" s="60">
        <v>0</v>
      </c>
      <c r="AN1426" s="60">
        <v>0</v>
      </c>
      <c r="AO1426" s="60">
        <v>2015.07</v>
      </c>
      <c r="AP1426" s="60">
        <v>2048.4899999999998</v>
      </c>
      <c r="AQ1426" s="60">
        <v>2373.94</v>
      </c>
      <c r="AR1426" s="61">
        <v>2373.94</v>
      </c>
    </row>
    <row r="1427" spans="1:44" x14ac:dyDescent="0.35">
      <c r="A1427" s="49" t="str">
        <f>TEXT(44,"00")</f>
        <v>44</v>
      </c>
      <c r="B1427" s="27">
        <v>69799</v>
      </c>
      <c r="C1427" s="25" t="str">
        <f t="shared" si="116"/>
        <v>0000000</v>
      </c>
      <c r="D1427" s="26" t="s">
        <v>3663</v>
      </c>
      <c r="E1427" s="25" t="s">
        <v>2865</v>
      </c>
      <c r="F1427" s="25" t="s">
        <v>2866</v>
      </c>
      <c r="G1427" s="59" t="s">
        <v>2866</v>
      </c>
      <c r="H1427" s="60">
        <v>14159.39</v>
      </c>
      <c r="I1427" s="60">
        <v>14652.47</v>
      </c>
      <c r="J1427" s="60">
        <v>16656.990000000002</v>
      </c>
      <c r="K1427" s="60">
        <v>0</v>
      </c>
      <c r="L1427" s="60">
        <v>0</v>
      </c>
      <c r="M1427" s="60">
        <v>0</v>
      </c>
      <c r="N1427" s="60">
        <v>0</v>
      </c>
      <c r="O1427" s="60">
        <v>0</v>
      </c>
      <c r="P1427" s="60">
        <v>0</v>
      </c>
      <c r="Q1427" s="60">
        <v>0</v>
      </c>
      <c r="R1427" s="60">
        <v>0</v>
      </c>
      <c r="S1427" s="60">
        <v>0</v>
      </c>
      <c r="T1427" s="60">
        <v>0</v>
      </c>
      <c r="U1427" s="60">
        <v>0</v>
      </c>
      <c r="V1427" s="60">
        <v>0</v>
      </c>
      <c r="W1427" s="60">
        <v>0</v>
      </c>
      <c r="X1427" s="60">
        <v>0</v>
      </c>
      <c r="Y1427" s="60">
        <v>0</v>
      </c>
      <c r="Z1427" s="60">
        <v>0</v>
      </c>
      <c r="AA1427" s="60">
        <v>0</v>
      </c>
      <c r="AB1427" s="60">
        <v>0</v>
      </c>
      <c r="AC1427" s="60">
        <v>1419.71</v>
      </c>
      <c r="AD1427" s="60">
        <v>1437.32</v>
      </c>
      <c r="AE1427" s="60">
        <v>1554.01</v>
      </c>
      <c r="AF1427" s="60">
        <v>0</v>
      </c>
      <c r="AG1427" s="60">
        <v>0</v>
      </c>
      <c r="AH1427" s="60">
        <v>0</v>
      </c>
      <c r="AI1427" s="60">
        <v>15579.1</v>
      </c>
      <c r="AJ1427" s="60">
        <v>16089.79</v>
      </c>
      <c r="AK1427" s="60">
        <v>18211</v>
      </c>
      <c r="AL1427" s="60">
        <v>0</v>
      </c>
      <c r="AM1427" s="60">
        <v>0</v>
      </c>
      <c r="AN1427" s="60">
        <v>0</v>
      </c>
      <c r="AO1427" s="60">
        <v>15579.1</v>
      </c>
      <c r="AP1427" s="60">
        <v>16089.79</v>
      </c>
      <c r="AQ1427" s="60">
        <v>18211</v>
      </c>
      <c r="AR1427" s="61">
        <v>18211</v>
      </c>
    </row>
    <row r="1428" spans="1:44" x14ac:dyDescent="0.35">
      <c r="A1428" s="49" t="str">
        <f>TEXT(37,"00")</f>
        <v>37</v>
      </c>
      <c r="B1428" s="27">
        <v>68296</v>
      </c>
      <c r="C1428" s="25" t="str">
        <f t="shared" si="116"/>
        <v>0000000</v>
      </c>
      <c r="D1428" s="26" t="s">
        <v>3663</v>
      </c>
      <c r="E1428" s="25" t="s">
        <v>2169</v>
      </c>
      <c r="F1428" s="25" t="s">
        <v>2170</v>
      </c>
      <c r="G1428" s="59" t="s">
        <v>2170</v>
      </c>
      <c r="H1428" s="60">
        <v>32978.050000000003</v>
      </c>
      <c r="I1428" s="60">
        <v>33258.720000000001</v>
      </c>
      <c r="J1428" s="60">
        <v>35358.75</v>
      </c>
      <c r="K1428" s="60">
        <v>0</v>
      </c>
      <c r="L1428" s="60">
        <v>0</v>
      </c>
      <c r="M1428" s="60">
        <v>0</v>
      </c>
      <c r="N1428" s="60">
        <v>0</v>
      </c>
      <c r="O1428" s="60">
        <v>0</v>
      </c>
      <c r="P1428" s="60">
        <v>0</v>
      </c>
      <c r="Q1428" s="60">
        <v>0</v>
      </c>
      <c r="R1428" s="60">
        <v>0</v>
      </c>
      <c r="S1428" s="60">
        <v>0</v>
      </c>
      <c r="T1428" s="60">
        <v>0</v>
      </c>
      <c r="U1428" s="60">
        <v>0</v>
      </c>
      <c r="V1428" s="60">
        <v>0</v>
      </c>
      <c r="W1428" s="60">
        <v>0</v>
      </c>
      <c r="X1428" s="60">
        <v>0</v>
      </c>
      <c r="Y1428" s="60">
        <v>0</v>
      </c>
      <c r="Z1428" s="60">
        <v>0</v>
      </c>
      <c r="AA1428" s="60">
        <v>0</v>
      </c>
      <c r="AB1428" s="60">
        <v>0</v>
      </c>
      <c r="AC1428" s="60">
        <v>0</v>
      </c>
      <c r="AD1428" s="60">
        <v>0</v>
      </c>
      <c r="AE1428" s="60">
        <v>0</v>
      </c>
      <c r="AF1428" s="60">
        <v>0</v>
      </c>
      <c r="AG1428" s="60">
        <v>0</v>
      </c>
      <c r="AH1428" s="60">
        <v>0</v>
      </c>
      <c r="AI1428" s="60">
        <v>32978.050000000003</v>
      </c>
      <c r="AJ1428" s="60">
        <v>33258.720000000001</v>
      </c>
      <c r="AK1428" s="60">
        <v>35358.75</v>
      </c>
      <c r="AL1428" s="60">
        <v>0</v>
      </c>
      <c r="AM1428" s="60">
        <v>0</v>
      </c>
      <c r="AN1428" s="60">
        <v>0</v>
      </c>
      <c r="AO1428" s="60">
        <v>32978.050000000003</v>
      </c>
      <c r="AP1428" s="60">
        <v>33258.720000000001</v>
      </c>
      <c r="AQ1428" s="60">
        <v>35358.75</v>
      </c>
      <c r="AR1428" s="61">
        <v>35358.75</v>
      </c>
    </row>
    <row r="1429" spans="1:44" x14ac:dyDescent="0.35">
      <c r="A1429" s="49" t="str">
        <f>TEXT(43,"00")</f>
        <v>43</v>
      </c>
      <c r="B1429" s="27">
        <v>10439</v>
      </c>
      <c r="C1429" s="25" t="str">
        <f t="shared" si="116"/>
        <v>0000000</v>
      </c>
      <c r="D1429" s="26" t="s">
        <v>3663</v>
      </c>
      <c r="E1429" s="25" t="s">
        <v>2697</v>
      </c>
      <c r="F1429" s="25" t="s">
        <v>2698</v>
      </c>
      <c r="G1429" s="59" t="s">
        <v>2698</v>
      </c>
      <c r="H1429" s="60">
        <v>0</v>
      </c>
      <c r="I1429" s="60">
        <v>0</v>
      </c>
      <c r="J1429" s="60">
        <v>0</v>
      </c>
      <c r="K1429" s="60">
        <v>0</v>
      </c>
      <c r="L1429" s="60">
        <v>0</v>
      </c>
      <c r="M1429" s="60">
        <v>0</v>
      </c>
      <c r="N1429" s="60">
        <v>0</v>
      </c>
      <c r="O1429" s="60">
        <v>0</v>
      </c>
      <c r="P1429" s="60">
        <v>0</v>
      </c>
      <c r="Q1429" s="60">
        <v>0</v>
      </c>
      <c r="R1429" s="60">
        <v>0</v>
      </c>
      <c r="S1429" s="60">
        <v>0</v>
      </c>
      <c r="T1429" s="60">
        <v>11.15</v>
      </c>
      <c r="U1429" s="60">
        <v>8.24</v>
      </c>
      <c r="V1429" s="60">
        <v>24.16</v>
      </c>
      <c r="W1429" s="60">
        <v>45.85</v>
      </c>
      <c r="X1429" s="60">
        <v>43.01</v>
      </c>
      <c r="Y1429" s="60">
        <v>49.28</v>
      </c>
      <c r="Z1429" s="60">
        <v>0</v>
      </c>
      <c r="AA1429" s="60">
        <v>0</v>
      </c>
      <c r="AB1429" s="60">
        <v>0</v>
      </c>
      <c r="AC1429" s="60">
        <v>0</v>
      </c>
      <c r="AD1429" s="60">
        <v>0</v>
      </c>
      <c r="AE1429" s="60">
        <v>0</v>
      </c>
      <c r="AF1429" s="60">
        <v>0</v>
      </c>
      <c r="AG1429" s="60">
        <v>0</v>
      </c>
      <c r="AH1429" s="60">
        <v>0</v>
      </c>
      <c r="AI1429" s="60">
        <v>57</v>
      </c>
      <c r="AJ1429" s="60">
        <v>51.25</v>
      </c>
      <c r="AK1429" s="60">
        <v>73.44</v>
      </c>
      <c r="AL1429" s="60">
        <v>0</v>
      </c>
      <c r="AM1429" s="60">
        <v>0</v>
      </c>
      <c r="AN1429" s="60">
        <v>0</v>
      </c>
      <c r="AO1429" s="60">
        <v>57</v>
      </c>
      <c r="AP1429" s="60">
        <v>51.25</v>
      </c>
      <c r="AQ1429" s="60">
        <v>73.44</v>
      </c>
      <c r="AR1429" s="61">
        <v>73.44</v>
      </c>
    </row>
    <row r="1430" spans="1:44" x14ac:dyDescent="0.35">
      <c r="A1430" s="49" t="str">
        <f>TEXT(43,"00")</f>
        <v>43</v>
      </c>
      <c r="B1430" s="27">
        <v>69468</v>
      </c>
      <c r="C1430" s="25" t="str">
        <f t="shared" si="116"/>
        <v>0000000</v>
      </c>
      <c r="D1430" s="26" t="s">
        <v>3663</v>
      </c>
      <c r="E1430" s="25" t="s">
        <v>2792</v>
      </c>
      <c r="F1430" s="25" t="s">
        <v>2698</v>
      </c>
      <c r="G1430" s="59" t="s">
        <v>2793</v>
      </c>
      <c r="H1430" s="60">
        <v>9539.5</v>
      </c>
      <c r="I1430" s="60">
        <v>9749.15</v>
      </c>
      <c r="J1430" s="60">
        <v>10678.33</v>
      </c>
      <c r="K1430" s="60">
        <v>0</v>
      </c>
      <c r="L1430" s="60">
        <v>0</v>
      </c>
      <c r="M1430" s="60">
        <v>0</v>
      </c>
      <c r="N1430" s="60">
        <v>0</v>
      </c>
      <c r="O1430" s="60">
        <v>0</v>
      </c>
      <c r="P1430" s="60">
        <v>0</v>
      </c>
      <c r="Q1430" s="60">
        <v>0</v>
      </c>
      <c r="R1430" s="60">
        <v>0</v>
      </c>
      <c r="S1430" s="60">
        <v>0</v>
      </c>
      <c r="T1430" s="60">
        <v>0</v>
      </c>
      <c r="U1430" s="60">
        <v>0</v>
      </c>
      <c r="V1430" s="60">
        <v>0</v>
      </c>
      <c r="W1430" s="60">
        <v>0</v>
      </c>
      <c r="X1430" s="60">
        <v>0</v>
      </c>
      <c r="Y1430" s="60">
        <v>0</v>
      </c>
      <c r="Z1430" s="60">
        <v>0</v>
      </c>
      <c r="AA1430" s="60">
        <v>0</v>
      </c>
      <c r="AB1430" s="60">
        <v>0</v>
      </c>
      <c r="AC1430" s="60">
        <v>0</v>
      </c>
      <c r="AD1430" s="60">
        <v>0</v>
      </c>
      <c r="AE1430" s="60">
        <v>0</v>
      </c>
      <c r="AF1430" s="60">
        <v>0</v>
      </c>
      <c r="AG1430" s="60">
        <v>0</v>
      </c>
      <c r="AH1430" s="60">
        <v>0</v>
      </c>
      <c r="AI1430" s="60">
        <v>9539.5</v>
      </c>
      <c r="AJ1430" s="60">
        <v>9749.15</v>
      </c>
      <c r="AK1430" s="60">
        <v>10678.33</v>
      </c>
      <c r="AL1430" s="60">
        <v>0</v>
      </c>
      <c r="AM1430" s="60">
        <v>0</v>
      </c>
      <c r="AN1430" s="60">
        <v>0</v>
      </c>
      <c r="AO1430" s="60">
        <v>9539.5</v>
      </c>
      <c r="AP1430" s="60">
        <v>9749.15</v>
      </c>
      <c r="AQ1430" s="60">
        <v>10678.33</v>
      </c>
      <c r="AR1430" s="61">
        <v>10678.33</v>
      </c>
    </row>
    <row r="1431" spans="1:44" x14ac:dyDescent="0.35">
      <c r="A1431" s="49" t="str">
        <f>TEXT(43,"00")</f>
        <v>43</v>
      </c>
      <c r="B1431" s="27">
        <v>69690</v>
      </c>
      <c r="C1431" s="25" t="str">
        <f t="shared" si="116"/>
        <v>0000000</v>
      </c>
      <c r="D1431" s="26" t="s">
        <v>3663</v>
      </c>
      <c r="E1431" s="25" t="s">
        <v>2840</v>
      </c>
      <c r="F1431" s="25" t="s">
        <v>2698</v>
      </c>
      <c r="G1431" s="59" t="s">
        <v>2841</v>
      </c>
      <c r="H1431" s="60">
        <v>5158.74</v>
      </c>
      <c r="I1431" s="60">
        <v>5154.6899999999996</v>
      </c>
      <c r="J1431" s="60">
        <v>6184.84</v>
      </c>
      <c r="K1431" s="60">
        <v>0</v>
      </c>
      <c r="L1431" s="60">
        <v>0</v>
      </c>
      <c r="M1431" s="60">
        <v>0</v>
      </c>
      <c r="N1431" s="60">
        <v>0</v>
      </c>
      <c r="O1431" s="60">
        <v>0</v>
      </c>
      <c r="P1431" s="60">
        <v>0</v>
      </c>
      <c r="Q1431" s="60">
        <v>0</v>
      </c>
      <c r="R1431" s="60">
        <v>0</v>
      </c>
      <c r="S1431" s="60">
        <v>0</v>
      </c>
      <c r="T1431" s="60">
        <v>0</v>
      </c>
      <c r="U1431" s="60">
        <v>0</v>
      </c>
      <c r="V1431" s="60">
        <v>0</v>
      </c>
      <c r="W1431" s="60">
        <v>0</v>
      </c>
      <c r="X1431" s="60">
        <v>0</v>
      </c>
      <c r="Y1431" s="60">
        <v>0</v>
      </c>
      <c r="Z1431" s="60">
        <v>0</v>
      </c>
      <c r="AA1431" s="60">
        <v>0</v>
      </c>
      <c r="AB1431" s="60">
        <v>0</v>
      </c>
      <c r="AC1431" s="60">
        <v>0</v>
      </c>
      <c r="AD1431" s="60">
        <v>0</v>
      </c>
      <c r="AE1431" s="60">
        <v>0</v>
      </c>
      <c r="AF1431" s="60">
        <v>0</v>
      </c>
      <c r="AG1431" s="60">
        <v>0</v>
      </c>
      <c r="AH1431" s="60">
        <v>0</v>
      </c>
      <c r="AI1431" s="60">
        <v>5158.74</v>
      </c>
      <c r="AJ1431" s="60">
        <v>5154.6899999999996</v>
      </c>
      <c r="AK1431" s="60">
        <v>6184.84</v>
      </c>
      <c r="AL1431" s="60">
        <v>0</v>
      </c>
      <c r="AM1431" s="60">
        <v>0</v>
      </c>
      <c r="AN1431" s="60">
        <v>0</v>
      </c>
      <c r="AO1431" s="60">
        <v>5158.74</v>
      </c>
      <c r="AP1431" s="60">
        <v>5154.6899999999996</v>
      </c>
      <c r="AQ1431" s="60">
        <v>6184.84</v>
      </c>
      <c r="AR1431" s="61">
        <v>6184.84</v>
      </c>
    </row>
    <row r="1432" spans="1:44" x14ac:dyDescent="0.35">
      <c r="A1432" s="49" t="str">
        <f>TEXT(43,"00")</f>
        <v>43</v>
      </c>
      <c r="B1432" s="27">
        <v>69419</v>
      </c>
      <c r="C1432" s="25" t="str">
        <f t="shared" si="116"/>
        <v>0000000</v>
      </c>
      <c r="D1432" s="26" t="s">
        <v>3663</v>
      </c>
      <c r="E1432" s="25" t="s">
        <v>2750</v>
      </c>
      <c r="F1432" s="25" t="s">
        <v>2698</v>
      </c>
      <c r="G1432" s="59" t="s">
        <v>2751</v>
      </c>
      <c r="H1432" s="60">
        <v>12952.34</v>
      </c>
      <c r="I1432" s="60">
        <v>13557.34</v>
      </c>
      <c r="J1432" s="60">
        <v>16320.32</v>
      </c>
      <c r="K1432" s="60">
        <v>0</v>
      </c>
      <c r="L1432" s="60">
        <v>0</v>
      </c>
      <c r="M1432" s="60">
        <v>0</v>
      </c>
      <c r="N1432" s="60">
        <v>0</v>
      </c>
      <c r="O1432" s="60">
        <v>0</v>
      </c>
      <c r="P1432" s="60">
        <v>0</v>
      </c>
      <c r="Q1432" s="60">
        <v>0</v>
      </c>
      <c r="R1432" s="60">
        <v>0</v>
      </c>
      <c r="S1432" s="60">
        <v>0</v>
      </c>
      <c r="T1432" s="60">
        <v>0</v>
      </c>
      <c r="U1432" s="60">
        <v>0</v>
      </c>
      <c r="V1432" s="60">
        <v>0</v>
      </c>
      <c r="W1432" s="60">
        <v>0</v>
      </c>
      <c r="X1432" s="60">
        <v>0</v>
      </c>
      <c r="Y1432" s="60">
        <v>0</v>
      </c>
      <c r="Z1432" s="60">
        <v>0</v>
      </c>
      <c r="AA1432" s="60">
        <v>0</v>
      </c>
      <c r="AB1432" s="60">
        <v>0</v>
      </c>
      <c r="AC1432" s="60">
        <v>0</v>
      </c>
      <c r="AD1432" s="60">
        <v>0</v>
      </c>
      <c r="AE1432" s="60">
        <v>0</v>
      </c>
      <c r="AF1432" s="60">
        <v>0</v>
      </c>
      <c r="AG1432" s="60">
        <v>0</v>
      </c>
      <c r="AH1432" s="60">
        <v>0</v>
      </c>
      <c r="AI1432" s="60">
        <v>12952.34</v>
      </c>
      <c r="AJ1432" s="60">
        <v>13557.34</v>
      </c>
      <c r="AK1432" s="60">
        <v>16320.32</v>
      </c>
      <c r="AL1432" s="60">
        <v>0</v>
      </c>
      <c r="AM1432" s="60">
        <v>0</v>
      </c>
      <c r="AN1432" s="60">
        <v>0</v>
      </c>
      <c r="AO1432" s="60">
        <v>12952.34</v>
      </c>
      <c r="AP1432" s="60">
        <v>13557.34</v>
      </c>
      <c r="AQ1432" s="60">
        <v>16320.32</v>
      </c>
      <c r="AR1432" s="61">
        <v>16320.32</v>
      </c>
    </row>
    <row r="1433" spans="1:44" x14ac:dyDescent="0.35">
      <c r="A1433" s="49" t="str">
        <f t="shared" ref="A1433:A1449" si="117">TEXT(36,"00")</f>
        <v>36</v>
      </c>
      <c r="B1433" s="27">
        <v>67777</v>
      </c>
      <c r="C1433" s="25" t="str">
        <f t="shared" si="116"/>
        <v>0000000</v>
      </c>
      <c r="D1433" s="26" t="s">
        <v>3663</v>
      </c>
      <c r="E1433" s="25" t="s">
        <v>1959</v>
      </c>
      <c r="F1433" s="25" t="s">
        <v>1960</v>
      </c>
      <c r="G1433" s="59" t="s">
        <v>1960</v>
      </c>
      <c r="H1433" s="60">
        <v>6702.42</v>
      </c>
      <c r="I1433" s="60">
        <v>6594.14</v>
      </c>
      <c r="J1433" s="60">
        <v>7923.54</v>
      </c>
      <c r="K1433" s="60">
        <v>0</v>
      </c>
      <c r="L1433" s="60">
        <v>0</v>
      </c>
      <c r="M1433" s="60">
        <v>0</v>
      </c>
      <c r="N1433" s="60">
        <v>0</v>
      </c>
      <c r="O1433" s="60">
        <v>0</v>
      </c>
      <c r="P1433" s="60">
        <v>0</v>
      </c>
      <c r="Q1433" s="60">
        <v>0</v>
      </c>
      <c r="R1433" s="60">
        <v>0</v>
      </c>
      <c r="S1433" s="60">
        <v>0</v>
      </c>
      <c r="T1433" s="60">
        <v>0</v>
      </c>
      <c r="U1433" s="60">
        <v>0</v>
      </c>
      <c r="V1433" s="60">
        <v>0</v>
      </c>
      <c r="W1433" s="60">
        <v>0</v>
      </c>
      <c r="X1433" s="60">
        <v>0</v>
      </c>
      <c r="Y1433" s="60">
        <v>0</v>
      </c>
      <c r="Z1433" s="60">
        <v>0</v>
      </c>
      <c r="AA1433" s="60">
        <v>0</v>
      </c>
      <c r="AB1433" s="60">
        <v>0</v>
      </c>
      <c r="AC1433" s="60">
        <v>0</v>
      </c>
      <c r="AD1433" s="60">
        <v>0</v>
      </c>
      <c r="AE1433" s="60">
        <v>0</v>
      </c>
      <c r="AF1433" s="60">
        <v>0</v>
      </c>
      <c r="AG1433" s="60">
        <v>0</v>
      </c>
      <c r="AH1433" s="60">
        <v>0</v>
      </c>
      <c r="AI1433" s="60">
        <v>6702.42</v>
      </c>
      <c r="AJ1433" s="60">
        <v>6594.14</v>
      </c>
      <c r="AK1433" s="60">
        <v>7923.54</v>
      </c>
      <c r="AL1433" s="60">
        <v>0</v>
      </c>
      <c r="AM1433" s="60">
        <v>0</v>
      </c>
      <c r="AN1433" s="60">
        <v>0</v>
      </c>
      <c r="AO1433" s="60">
        <v>6702.42</v>
      </c>
      <c r="AP1433" s="60">
        <v>6594.14</v>
      </c>
      <c r="AQ1433" s="60">
        <v>7923.54</v>
      </c>
      <c r="AR1433" s="61">
        <v>7923.54</v>
      </c>
    </row>
    <row r="1434" spans="1:44" x14ac:dyDescent="0.35">
      <c r="A1434" s="49" t="str">
        <f t="shared" si="117"/>
        <v>36</v>
      </c>
      <c r="B1434" s="27">
        <v>10363</v>
      </c>
      <c r="C1434" s="25" t="str">
        <f t="shared" si="116"/>
        <v>0000000</v>
      </c>
      <c r="D1434" s="26" t="s">
        <v>3663</v>
      </c>
      <c r="E1434" s="25" t="s">
        <v>1708</v>
      </c>
      <c r="F1434" s="25" t="s">
        <v>1709</v>
      </c>
      <c r="G1434" s="59" t="s">
        <v>1709</v>
      </c>
      <c r="H1434" s="60">
        <v>0</v>
      </c>
      <c r="I1434" s="60">
        <v>0</v>
      </c>
      <c r="J1434" s="60">
        <v>0</v>
      </c>
      <c r="K1434" s="60">
        <v>0</v>
      </c>
      <c r="L1434" s="60">
        <v>0</v>
      </c>
      <c r="M1434" s="60">
        <v>0</v>
      </c>
      <c r="N1434" s="60">
        <v>0</v>
      </c>
      <c r="O1434" s="60">
        <v>0</v>
      </c>
      <c r="P1434" s="60">
        <v>0</v>
      </c>
      <c r="Q1434" s="60">
        <v>0</v>
      </c>
      <c r="R1434" s="60">
        <v>0</v>
      </c>
      <c r="S1434" s="60">
        <v>0</v>
      </c>
      <c r="T1434" s="60">
        <v>111.23</v>
      </c>
      <c r="U1434" s="60">
        <v>76.47</v>
      </c>
      <c r="V1434" s="60">
        <v>83.89</v>
      </c>
      <c r="W1434" s="60">
        <v>858.19</v>
      </c>
      <c r="X1434" s="60">
        <v>833.56</v>
      </c>
      <c r="Y1434" s="60">
        <v>835.93</v>
      </c>
      <c r="Z1434" s="60">
        <v>0</v>
      </c>
      <c r="AA1434" s="60">
        <v>0</v>
      </c>
      <c r="AB1434" s="60">
        <v>0</v>
      </c>
      <c r="AC1434" s="60">
        <v>0</v>
      </c>
      <c r="AD1434" s="60">
        <v>0</v>
      </c>
      <c r="AE1434" s="60">
        <v>0</v>
      </c>
      <c r="AF1434" s="60">
        <v>0</v>
      </c>
      <c r="AG1434" s="60">
        <v>0</v>
      </c>
      <c r="AH1434" s="60">
        <v>0</v>
      </c>
      <c r="AI1434" s="60">
        <v>969.42</v>
      </c>
      <c r="AJ1434" s="60">
        <v>910.03</v>
      </c>
      <c r="AK1434" s="60">
        <v>919.82</v>
      </c>
      <c r="AL1434" s="60">
        <v>0</v>
      </c>
      <c r="AM1434" s="60">
        <v>0</v>
      </c>
      <c r="AN1434" s="60">
        <v>0</v>
      </c>
      <c r="AO1434" s="60">
        <v>969.42</v>
      </c>
      <c r="AP1434" s="60">
        <v>910.03</v>
      </c>
      <c r="AQ1434" s="60">
        <v>919.82</v>
      </c>
      <c r="AR1434" s="61">
        <v>969.42</v>
      </c>
    </row>
    <row r="1435" spans="1:44" x14ac:dyDescent="0.35">
      <c r="A1435" s="49" t="str">
        <f t="shared" si="117"/>
        <v>36</v>
      </c>
      <c r="B1435" s="27">
        <v>67587</v>
      </c>
      <c r="C1435" s="25" t="str">
        <f t="shared" si="116"/>
        <v>0000000</v>
      </c>
      <c r="D1435" s="26" t="s">
        <v>3663</v>
      </c>
      <c r="E1435" s="25" t="s">
        <v>1923</v>
      </c>
      <c r="F1435" s="25" t="s">
        <v>1709</v>
      </c>
      <c r="G1435" s="59" t="s">
        <v>1924</v>
      </c>
      <c r="H1435" s="60">
        <v>6897.27</v>
      </c>
      <c r="I1435" s="60">
        <v>6419.24</v>
      </c>
      <c r="J1435" s="60">
        <v>7670.58</v>
      </c>
      <c r="K1435" s="60">
        <v>0</v>
      </c>
      <c r="L1435" s="60">
        <v>0</v>
      </c>
      <c r="M1435" s="60">
        <v>0</v>
      </c>
      <c r="N1435" s="60">
        <v>0</v>
      </c>
      <c r="O1435" s="60">
        <v>0</v>
      </c>
      <c r="P1435" s="60">
        <v>0</v>
      </c>
      <c r="Q1435" s="60">
        <v>0</v>
      </c>
      <c r="R1435" s="60">
        <v>0</v>
      </c>
      <c r="S1435" s="60">
        <v>0</v>
      </c>
      <c r="T1435" s="60">
        <v>0</v>
      </c>
      <c r="U1435" s="60">
        <v>0</v>
      </c>
      <c r="V1435" s="60">
        <v>0</v>
      </c>
      <c r="W1435" s="60">
        <v>0</v>
      </c>
      <c r="X1435" s="60">
        <v>0</v>
      </c>
      <c r="Y1435" s="60">
        <v>0</v>
      </c>
      <c r="Z1435" s="60">
        <v>0</v>
      </c>
      <c r="AA1435" s="60">
        <v>0</v>
      </c>
      <c r="AB1435" s="60">
        <v>0</v>
      </c>
      <c r="AC1435" s="60">
        <v>0</v>
      </c>
      <c r="AD1435" s="60">
        <v>0</v>
      </c>
      <c r="AE1435" s="60">
        <v>0</v>
      </c>
      <c r="AF1435" s="60">
        <v>0</v>
      </c>
      <c r="AG1435" s="60">
        <v>0</v>
      </c>
      <c r="AH1435" s="60">
        <v>0</v>
      </c>
      <c r="AI1435" s="60">
        <v>6897.27</v>
      </c>
      <c r="AJ1435" s="60">
        <v>6419.24</v>
      </c>
      <c r="AK1435" s="60">
        <v>7670.58</v>
      </c>
      <c r="AL1435" s="60">
        <v>0</v>
      </c>
      <c r="AM1435" s="60">
        <v>0</v>
      </c>
      <c r="AN1435" s="60">
        <v>0</v>
      </c>
      <c r="AO1435" s="60">
        <v>6897.27</v>
      </c>
      <c r="AP1435" s="60">
        <v>6419.24</v>
      </c>
      <c r="AQ1435" s="60">
        <v>7670.58</v>
      </c>
      <c r="AR1435" s="61">
        <v>7670.58</v>
      </c>
    </row>
    <row r="1436" spans="1:44" x14ac:dyDescent="0.35">
      <c r="A1436" s="49" t="str">
        <f t="shared" si="117"/>
        <v>36</v>
      </c>
      <c r="B1436" s="27">
        <v>75077</v>
      </c>
      <c r="C1436" s="25" t="str">
        <f t="shared" si="116"/>
        <v>0000000</v>
      </c>
      <c r="D1436" s="26" t="s">
        <v>3663</v>
      </c>
      <c r="E1436" s="25" t="s">
        <v>2041</v>
      </c>
      <c r="F1436" s="25" t="s">
        <v>1709</v>
      </c>
      <c r="G1436" s="59" t="s">
        <v>2042</v>
      </c>
      <c r="H1436" s="60">
        <v>12173.78</v>
      </c>
      <c r="I1436" s="60">
        <v>11329.95</v>
      </c>
      <c r="J1436" s="60">
        <v>12510.06</v>
      </c>
      <c r="K1436" s="60">
        <v>0</v>
      </c>
      <c r="L1436" s="60">
        <v>0</v>
      </c>
      <c r="M1436" s="60">
        <v>0</v>
      </c>
      <c r="N1436" s="60">
        <v>0</v>
      </c>
      <c r="O1436" s="60">
        <v>0</v>
      </c>
      <c r="P1436" s="60">
        <v>0</v>
      </c>
      <c r="Q1436" s="60">
        <v>0</v>
      </c>
      <c r="R1436" s="60">
        <v>0</v>
      </c>
      <c r="S1436" s="60">
        <v>0</v>
      </c>
      <c r="T1436" s="60">
        <v>0</v>
      </c>
      <c r="U1436" s="60">
        <v>0</v>
      </c>
      <c r="V1436" s="60">
        <v>0</v>
      </c>
      <c r="W1436" s="60">
        <v>0</v>
      </c>
      <c r="X1436" s="60">
        <v>0</v>
      </c>
      <c r="Y1436" s="60">
        <v>0</v>
      </c>
      <c r="Z1436" s="60">
        <v>0</v>
      </c>
      <c r="AA1436" s="60">
        <v>0</v>
      </c>
      <c r="AB1436" s="60">
        <v>0</v>
      </c>
      <c r="AC1436" s="60">
        <v>0</v>
      </c>
      <c r="AD1436" s="60">
        <v>1320</v>
      </c>
      <c r="AE1436" s="60">
        <v>1393.6</v>
      </c>
      <c r="AF1436" s="60">
        <v>0</v>
      </c>
      <c r="AG1436" s="60">
        <v>0</v>
      </c>
      <c r="AH1436" s="60">
        <v>0</v>
      </c>
      <c r="AI1436" s="60">
        <v>12173.78</v>
      </c>
      <c r="AJ1436" s="60">
        <v>12649.95</v>
      </c>
      <c r="AK1436" s="60">
        <v>13903.66</v>
      </c>
      <c r="AL1436" s="60">
        <v>0</v>
      </c>
      <c r="AM1436" s="60">
        <v>-1320</v>
      </c>
      <c r="AN1436" s="60">
        <v>-1393.6</v>
      </c>
      <c r="AO1436" s="60">
        <v>12173.78</v>
      </c>
      <c r="AP1436" s="60">
        <v>11329.95</v>
      </c>
      <c r="AQ1436" s="60">
        <v>12510.06</v>
      </c>
      <c r="AR1436" s="61">
        <v>12510.06</v>
      </c>
    </row>
    <row r="1437" spans="1:44" x14ac:dyDescent="0.35">
      <c r="A1437" s="49" t="str">
        <f t="shared" si="117"/>
        <v>36</v>
      </c>
      <c r="B1437" s="27">
        <v>73858</v>
      </c>
      <c r="C1437" s="25" t="str">
        <f t="shared" si="116"/>
        <v>0000000</v>
      </c>
      <c r="D1437" s="26" t="s">
        <v>3663</v>
      </c>
      <c r="E1437" s="25" t="s">
        <v>2002</v>
      </c>
      <c r="F1437" s="25" t="s">
        <v>1709</v>
      </c>
      <c r="G1437" s="59" t="s">
        <v>2003</v>
      </c>
      <c r="H1437" s="60">
        <v>116.46</v>
      </c>
      <c r="I1437" s="60">
        <v>119.45</v>
      </c>
      <c r="J1437" s="60">
        <v>116.16</v>
      </c>
      <c r="K1437" s="60">
        <v>0</v>
      </c>
      <c r="L1437" s="60">
        <v>0</v>
      </c>
      <c r="M1437" s="60">
        <v>0</v>
      </c>
      <c r="N1437" s="60">
        <v>0</v>
      </c>
      <c r="O1437" s="60">
        <v>0</v>
      </c>
      <c r="P1437" s="60">
        <v>0</v>
      </c>
      <c r="Q1437" s="60">
        <v>0</v>
      </c>
      <c r="R1437" s="60">
        <v>0</v>
      </c>
      <c r="S1437" s="60">
        <v>0</v>
      </c>
      <c r="T1437" s="60">
        <v>0</v>
      </c>
      <c r="U1437" s="60">
        <v>0</v>
      </c>
      <c r="V1437" s="60">
        <v>0</v>
      </c>
      <c r="W1437" s="60">
        <v>0</v>
      </c>
      <c r="X1437" s="60">
        <v>0</v>
      </c>
      <c r="Y1437" s="60">
        <v>0</v>
      </c>
      <c r="Z1437" s="60">
        <v>0</v>
      </c>
      <c r="AA1437" s="60">
        <v>0</v>
      </c>
      <c r="AB1437" s="60">
        <v>0</v>
      </c>
      <c r="AC1437" s="60">
        <v>0</v>
      </c>
      <c r="AD1437" s="60">
        <v>0</v>
      </c>
      <c r="AE1437" s="60">
        <v>0</v>
      </c>
      <c r="AF1437" s="60">
        <v>0</v>
      </c>
      <c r="AG1437" s="60">
        <v>0</v>
      </c>
      <c r="AH1437" s="60">
        <v>0</v>
      </c>
      <c r="AI1437" s="60">
        <v>116.46</v>
      </c>
      <c r="AJ1437" s="60">
        <v>119.45</v>
      </c>
      <c r="AK1437" s="60">
        <v>116.16</v>
      </c>
      <c r="AL1437" s="60">
        <v>0</v>
      </c>
      <c r="AM1437" s="60">
        <v>0</v>
      </c>
      <c r="AN1437" s="60">
        <v>0</v>
      </c>
      <c r="AO1437" s="60">
        <v>116.46</v>
      </c>
      <c r="AP1437" s="60">
        <v>119.45</v>
      </c>
      <c r="AQ1437" s="60">
        <v>116.16</v>
      </c>
      <c r="AR1437" s="61">
        <v>119.45</v>
      </c>
    </row>
    <row r="1438" spans="1:44" x14ac:dyDescent="0.35">
      <c r="A1438" s="49" t="str">
        <f t="shared" si="117"/>
        <v>36</v>
      </c>
      <c r="B1438" s="27">
        <v>67611</v>
      </c>
      <c r="C1438" s="25" t="str">
        <f t="shared" si="116"/>
        <v>0000000</v>
      </c>
      <c r="D1438" s="26" t="s">
        <v>3663</v>
      </c>
      <c r="E1438" s="25" t="s">
        <v>1929</v>
      </c>
      <c r="F1438" s="25" t="s">
        <v>1709</v>
      </c>
      <c r="G1438" s="59" t="s">
        <v>1930</v>
      </c>
      <c r="H1438" s="60">
        <v>5617.54</v>
      </c>
      <c r="I1438" s="60">
        <v>5133.34</v>
      </c>
      <c r="J1438" s="60">
        <v>5989.71</v>
      </c>
      <c r="K1438" s="60">
        <v>0</v>
      </c>
      <c r="L1438" s="60">
        <v>0</v>
      </c>
      <c r="M1438" s="60">
        <v>0</v>
      </c>
      <c r="N1438" s="60">
        <v>0</v>
      </c>
      <c r="O1438" s="60">
        <v>0</v>
      </c>
      <c r="P1438" s="60">
        <v>0</v>
      </c>
      <c r="Q1438" s="60">
        <v>0</v>
      </c>
      <c r="R1438" s="60">
        <v>0</v>
      </c>
      <c r="S1438" s="60">
        <v>0</v>
      </c>
      <c r="T1438" s="60">
        <v>0</v>
      </c>
      <c r="U1438" s="60">
        <v>0</v>
      </c>
      <c r="V1438" s="60">
        <v>0</v>
      </c>
      <c r="W1438" s="60">
        <v>0</v>
      </c>
      <c r="X1438" s="60">
        <v>0</v>
      </c>
      <c r="Y1438" s="60">
        <v>0</v>
      </c>
      <c r="Z1438" s="60">
        <v>0</v>
      </c>
      <c r="AA1438" s="60">
        <v>0</v>
      </c>
      <c r="AB1438" s="60">
        <v>0</v>
      </c>
      <c r="AC1438" s="60">
        <v>0</v>
      </c>
      <c r="AD1438" s="60">
        <v>0</v>
      </c>
      <c r="AE1438" s="60">
        <v>0</v>
      </c>
      <c r="AF1438" s="60">
        <v>0</v>
      </c>
      <c r="AG1438" s="60">
        <v>0</v>
      </c>
      <c r="AH1438" s="60">
        <v>0</v>
      </c>
      <c r="AI1438" s="60">
        <v>5617.54</v>
      </c>
      <c r="AJ1438" s="60">
        <v>5133.34</v>
      </c>
      <c r="AK1438" s="60">
        <v>5989.71</v>
      </c>
      <c r="AL1438" s="60">
        <v>0</v>
      </c>
      <c r="AM1438" s="60">
        <v>0</v>
      </c>
      <c r="AN1438" s="60">
        <v>0</v>
      </c>
      <c r="AO1438" s="60">
        <v>5617.54</v>
      </c>
      <c r="AP1438" s="60">
        <v>5133.34</v>
      </c>
      <c r="AQ1438" s="60">
        <v>5989.71</v>
      </c>
      <c r="AR1438" s="61">
        <v>5989.71</v>
      </c>
    </row>
    <row r="1439" spans="1:44" x14ac:dyDescent="0.35">
      <c r="A1439" s="49" t="str">
        <f t="shared" si="117"/>
        <v>36</v>
      </c>
      <c r="B1439" s="27">
        <v>67637</v>
      </c>
      <c r="C1439" s="25" t="str">
        <f t="shared" si="116"/>
        <v>0000000</v>
      </c>
      <c r="D1439" s="26" t="s">
        <v>3663</v>
      </c>
      <c r="E1439" s="25" t="s">
        <v>1931</v>
      </c>
      <c r="F1439" s="25" t="s">
        <v>1709</v>
      </c>
      <c r="G1439" s="59" t="s">
        <v>1932</v>
      </c>
      <c r="H1439" s="60">
        <v>1921.9</v>
      </c>
      <c r="I1439" s="60">
        <v>1917.39</v>
      </c>
      <c r="J1439" s="60">
        <v>2212.21</v>
      </c>
      <c r="K1439" s="60">
        <v>0</v>
      </c>
      <c r="L1439" s="60">
        <v>0</v>
      </c>
      <c r="M1439" s="60">
        <v>0</v>
      </c>
      <c r="N1439" s="60">
        <v>0</v>
      </c>
      <c r="O1439" s="60">
        <v>0</v>
      </c>
      <c r="P1439" s="60">
        <v>0</v>
      </c>
      <c r="Q1439" s="60">
        <v>0</v>
      </c>
      <c r="R1439" s="60">
        <v>0</v>
      </c>
      <c r="S1439" s="60">
        <v>0</v>
      </c>
      <c r="T1439" s="60">
        <v>0</v>
      </c>
      <c r="U1439" s="60">
        <v>0</v>
      </c>
      <c r="V1439" s="60">
        <v>0</v>
      </c>
      <c r="W1439" s="60">
        <v>0</v>
      </c>
      <c r="X1439" s="60">
        <v>0</v>
      </c>
      <c r="Y1439" s="60">
        <v>0</v>
      </c>
      <c r="Z1439" s="60">
        <v>0</v>
      </c>
      <c r="AA1439" s="60">
        <v>0</v>
      </c>
      <c r="AB1439" s="60">
        <v>0</v>
      </c>
      <c r="AC1439" s="60">
        <v>0</v>
      </c>
      <c r="AD1439" s="60">
        <v>0</v>
      </c>
      <c r="AE1439" s="60">
        <v>0</v>
      </c>
      <c r="AF1439" s="60">
        <v>0</v>
      </c>
      <c r="AG1439" s="60">
        <v>0</v>
      </c>
      <c r="AH1439" s="60">
        <v>0</v>
      </c>
      <c r="AI1439" s="60">
        <v>1921.9</v>
      </c>
      <c r="AJ1439" s="60">
        <v>1917.39</v>
      </c>
      <c r="AK1439" s="60">
        <v>2212.21</v>
      </c>
      <c r="AL1439" s="60">
        <v>0</v>
      </c>
      <c r="AM1439" s="60">
        <v>0</v>
      </c>
      <c r="AN1439" s="60">
        <v>0</v>
      </c>
      <c r="AO1439" s="60">
        <v>1921.9</v>
      </c>
      <c r="AP1439" s="60">
        <v>1917.39</v>
      </c>
      <c r="AQ1439" s="60">
        <v>2212.21</v>
      </c>
      <c r="AR1439" s="61">
        <v>2212.21</v>
      </c>
    </row>
    <row r="1440" spans="1:44" x14ac:dyDescent="0.35">
      <c r="A1440" s="49" t="str">
        <f t="shared" si="117"/>
        <v>36</v>
      </c>
      <c r="B1440" s="27">
        <v>75044</v>
      </c>
      <c r="C1440" s="25" t="str">
        <f t="shared" si="116"/>
        <v>0000000</v>
      </c>
      <c r="D1440" s="26" t="s">
        <v>3663</v>
      </c>
      <c r="E1440" s="25" t="s">
        <v>2008</v>
      </c>
      <c r="F1440" s="25" t="s">
        <v>1709</v>
      </c>
      <c r="G1440" s="59" t="s">
        <v>2009</v>
      </c>
      <c r="H1440" s="60">
        <v>20698.12</v>
      </c>
      <c r="I1440" s="60">
        <v>19733.990000000002</v>
      </c>
      <c r="J1440" s="60">
        <v>20924.95</v>
      </c>
      <c r="K1440" s="60">
        <v>0</v>
      </c>
      <c r="L1440" s="60">
        <v>0</v>
      </c>
      <c r="M1440" s="60">
        <v>0</v>
      </c>
      <c r="N1440" s="60">
        <v>0</v>
      </c>
      <c r="O1440" s="60">
        <v>0</v>
      </c>
      <c r="P1440" s="60">
        <v>0</v>
      </c>
      <c r="Q1440" s="60">
        <v>0</v>
      </c>
      <c r="R1440" s="60">
        <v>0</v>
      </c>
      <c r="S1440" s="60">
        <v>0</v>
      </c>
      <c r="T1440" s="60">
        <v>0</v>
      </c>
      <c r="U1440" s="60">
        <v>0</v>
      </c>
      <c r="V1440" s="60">
        <v>0</v>
      </c>
      <c r="W1440" s="60">
        <v>0</v>
      </c>
      <c r="X1440" s="60">
        <v>0</v>
      </c>
      <c r="Y1440" s="60">
        <v>0</v>
      </c>
      <c r="Z1440" s="60">
        <v>0</v>
      </c>
      <c r="AA1440" s="60">
        <v>0</v>
      </c>
      <c r="AB1440" s="60">
        <v>0</v>
      </c>
      <c r="AC1440" s="60">
        <v>0</v>
      </c>
      <c r="AD1440" s="60">
        <v>0</v>
      </c>
      <c r="AE1440" s="60">
        <v>0</v>
      </c>
      <c r="AF1440" s="60">
        <v>0</v>
      </c>
      <c r="AG1440" s="60">
        <v>0</v>
      </c>
      <c r="AH1440" s="60">
        <v>0</v>
      </c>
      <c r="AI1440" s="60">
        <v>20698.12</v>
      </c>
      <c r="AJ1440" s="60">
        <v>19733.990000000002</v>
      </c>
      <c r="AK1440" s="60">
        <v>20924.95</v>
      </c>
      <c r="AL1440" s="60">
        <v>0</v>
      </c>
      <c r="AM1440" s="60">
        <v>0</v>
      </c>
      <c r="AN1440" s="60">
        <v>0</v>
      </c>
      <c r="AO1440" s="60">
        <v>20698.12</v>
      </c>
      <c r="AP1440" s="60">
        <v>19733.990000000002</v>
      </c>
      <c r="AQ1440" s="60">
        <v>20924.95</v>
      </c>
      <c r="AR1440" s="61">
        <v>20924.95</v>
      </c>
    </row>
    <row r="1441" spans="1:44" x14ac:dyDescent="0.35">
      <c r="A1441" s="49" t="str">
        <f t="shared" si="117"/>
        <v>36</v>
      </c>
      <c r="B1441" s="27">
        <v>75051</v>
      </c>
      <c r="C1441" s="25" t="str">
        <f t="shared" si="116"/>
        <v>0000000</v>
      </c>
      <c r="D1441" s="26" t="s">
        <v>3663</v>
      </c>
      <c r="E1441" s="25" t="s">
        <v>2024</v>
      </c>
      <c r="F1441" s="25" t="s">
        <v>1709</v>
      </c>
      <c r="G1441" s="59" t="s">
        <v>2025</v>
      </c>
      <c r="H1441" s="60">
        <v>927.95</v>
      </c>
      <c r="I1441" s="60">
        <v>857.39</v>
      </c>
      <c r="J1441" s="60">
        <v>858.53</v>
      </c>
      <c r="K1441" s="60">
        <v>0</v>
      </c>
      <c r="L1441" s="60">
        <v>0</v>
      </c>
      <c r="M1441" s="60">
        <v>0</v>
      </c>
      <c r="N1441" s="60">
        <v>0</v>
      </c>
      <c r="O1441" s="60">
        <v>0</v>
      </c>
      <c r="P1441" s="60">
        <v>0</v>
      </c>
      <c r="Q1441" s="60">
        <v>0</v>
      </c>
      <c r="R1441" s="60">
        <v>0</v>
      </c>
      <c r="S1441" s="60">
        <v>0</v>
      </c>
      <c r="T1441" s="60">
        <v>0</v>
      </c>
      <c r="U1441" s="60">
        <v>0</v>
      </c>
      <c r="V1441" s="60">
        <v>0</v>
      </c>
      <c r="W1441" s="60">
        <v>0</v>
      </c>
      <c r="X1441" s="60">
        <v>0</v>
      </c>
      <c r="Y1441" s="60">
        <v>0</v>
      </c>
      <c r="Z1441" s="60">
        <v>0</v>
      </c>
      <c r="AA1441" s="60">
        <v>0</v>
      </c>
      <c r="AB1441" s="60">
        <v>0</v>
      </c>
      <c r="AC1441" s="60">
        <v>0</v>
      </c>
      <c r="AD1441" s="60">
        <v>0</v>
      </c>
      <c r="AE1441" s="60">
        <v>0</v>
      </c>
      <c r="AF1441" s="60">
        <v>0</v>
      </c>
      <c r="AG1441" s="60">
        <v>0</v>
      </c>
      <c r="AH1441" s="60">
        <v>0</v>
      </c>
      <c r="AI1441" s="60">
        <v>927.95</v>
      </c>
      <c r="AJ1441" s="60">
        <v>857.39</v>
      </c>
      <c r="AK1441" s="60">
        <v>858.53</v>
      </c>
      <c r="AL1441" s="60">
        <v>0</v>
      </c>
      <c r="AM1441" s="60">
        <v>0</v>
      </c>
      <c r="AN1441" s="60">
        <v>0</v>
      </c>
      <c r="AO1441" s="60">
        <v>927.95</v>
      </c>
      <c r="AP1441" s="60">
        <v>857.39</v>
      </c>
      <c r="AQ1441" s="60">
        <v>858.53</v>
      </c>
      <c r="AR1441" s="61">
        <v>927.95</v>
      </c>
    </row>
    <row r="1442" spans="1:44" x14ac:dyDescent="0.35">
      <c r="A1442" s="49" t="str">
        <f t="shared" si="117"/>
        <v>36</v>
      </c>
      <c r="B1442" s="27">
        <v>67801</v>
      </c>
      <c r="C1442" s="25" t="str">
        <f t="shared" si="116"/>
        <v>0000000</v>
      </c>
      <c r="D1442" s="26" t="s">
        <v>3663</v>
      </c>
      <c r="E1442" s="25" t="s">
        <v>1964</v>
      </c>
      <c r="F1442" s="25" t="s">
        <v>1709</v>
      </c>
      <c r="G1442" s="59" t="s">
        <v>1965</v>
      </c>
      <c r="H1442" s="60">
        <v>825.29</v>
      </c>
      <c r="I1442" s="60">
        <v>773.87</v>
      </c>
      <c r="J1442" s="60">
        <v>938.86</v>
      </c>
      <c r="K1442" s="60">
        <v>0</v>
      </c>
      <c r="L1442" s="60">
        <v>0</v>
      </c>
      <c r="M1442" s="60">
        <v>0</v>
      </c>
      <c r="N1442" s="60">
        <v>0</v>
      </c>
      <c r="O1442" s="60">
        <v>0</v>
      </c>
      <c r="P1442" s="60">
        <v>0</v>
      </c>
      <c r="Q1442" s="60">
        <v>0</v>
      </c>
      <c r="R1442" s="60">
        <v>0</v>
      </c>
      <c r="S1442" s="60">
        <v>0</v>
      </c>
      <c r="T1442" s="60">
        <v>0</v>
      </c>
      <c r="U1442" s="60">
        <v>0</v>
      </c>
      <c r="V1442" s="60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60">
        <v>0</v>
      </c>
      <c r="AD1442" s="60">
        <v>0</v>
      </c>
      <c r="AE1442" s="60">
        <v>0</v>
      </c>
      <c r="AF1442" s="60">
        <v>0</v>
      </c>
      <c r="AG1442" s="60">
        <v>0</v>
      </c>
      <c r="AH1442" s="60">
        <v>0</v>
      </c>
      <c r="AI1442" s="60">
        <v>825.29</v>
      </c>
      <c r="AJ1442" s="60">
        <v>773.87</v>
      </c>
      <c r="AK1442" s="60">
        <v>938.86</v>
      </c>
      <c r="AL1442" s="60">
        <v>0</v>
      </c>
      <c r="AM1442" s="60">
        <v>0</v>
      </c>
      <c r="AN1442" s="60">
        <v>0</v>
      </c>
      <c r="AO1442" s="60">
        <v>825.29</v>
      </c>
      <c r="AP1442" s="60">
        <v>773.87</v>
      </c>
      <c r="AQ1442" s="60">
        <v>938.86</v>
      </c>
      <c r="AR1442" s="61">
        <v>938.86</v>
      </c>
    </row>
    <row r="1443" spans="1:44" x14ac:dyDescent="0.35">
      <c r="A1443" s="49" t="str">
        <f t="shared" si="117"/>
        <v>36</v>
      </c>
      <c r="B1443" s="27">
        <v>67827</v>
      </c>
      <c r="C1443" s="25" t="str">
        <f t="shared" si="116"/>
        <v>0000000</v>
      </c>
      <c r="D1443" s="26" t="s">
        <v>3663</v>
      </c>
      <c r="E1443" s="25" t="s">
        <v>1968</v>
      </c>
      <c r="F1443" s="25" t="s">
        <v>1709</v>
      </c>
      <c r="G1443" s="59" t="s">
        <v>1969</v>
      </c>
      <c r="H1443" s="60">
        <v>81.33</v>
      </c>
      <c r="I1443" s="60">
        <v>86.04</v>
      </c>
      <c r="J1443" s="60">
        <v>88.05</v>
      </c>
      <c r="K1443" s="60">
        <v>0</v>
      </c>
      <c r="L1443" s="60">
        <v>0</v>
      </c>
      <c r="M1443" s="60">
        <v>0</v>
      </c>
      <c r="N1443" s="60">
        <v>0</v>
      </c>
      <c r="O1443" s="60">
        <v>0</v>
      </c>
      <c r="P1443" s="60">
        <v>0</v>
      </c>
      <c r="Q1443" s="60">
        <v>0</v>
      </c>
      <c r="R1443" s="60">
        <v>0</v>
      </c>
      <c r="S1443" s="60">
        <v>0</v>
      </c>
      <c r="T1443" s="60">
        <v>0</v>
      </c>
      <c r="U1443" s="60">
        <v>0</v>
      </c>
      <c r="V1443" s="60">
        <v>0</v>
      </c>
      <c r="W1443" s="60">
        <v>0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60">
        <v>5355.22</v>
      </c>
      <c r="AD1443" s="60">
        <v>5032.51</v>
      </c>
      <c r="AE1443" s="60">
        <v>4631.3100000000004</v>
      </c>
      <c r="AF1443" s="60">
        <v>0</v>
      </c>
      <c r="AG1443" s="60">
        <v>0</v>
      </c>
      <c r="AH1443" s="60">
        <v>0</v>
      </c>
      <c r="AI1443" s="60">
        <v>5436.55</v>
      </c>
      <c r="AJ1443" s="60">
        <v>5118.55</v>
      </c>
      <c r="AK1443" s="60">
        <v>4719.3599999999997</v>
      </c>
      <c r="AL1443" s="60">
        <v>0</v>
      </c>
      <c r="AM1443" s="60">
        <v>0</v>
      </c>
      <c r="AN1443" s="60">
        <v>0</v>
      </c>
      <c r="AO1443" s="60">
        <v>5436.55</v>
      </c>
      <c r="AP1443" s="60">
        <v>5118.55</v>
      </c>
      <c r="AQ1443" s="60">
        <v>4719.3599999999997</v>
      </c>
      <c r="AR1443" s="61">
        <v>5436.55</v>
      </c>
    </row>
    <row r="1444" spans="1:44" x14ac:dyDescent="0.35">
      <c r="A1444" s="49" t="str">
        <f t="shared" si="117"/>
        <v>36</v>
      </c>
      <c r="B1444" s="27">
        <v>73890</v>
      </c>
      <c r="C1444" s="25" t="str">
        <f t="shared" si="116"/>
        <v>0000000</v>
      </c>
      <c r="D1444" s="26" t="s">
        <v>3663</v>
      </c>
      <c r="E1444" s="25" t="s">
        <v>2004</v>
      </c>
      <c r="F1444" s="25" t="s">
        <v>1709</v>
      </c>
      <c r="G1444" s="59" t="s">
        <v>2005</v>
      </c>
      <c r="H1444" s="60">
        <v>1806.48</v>
      </c>
      <c r="I1444" s="60">
        <v>1785.42</v>
      </c>
      <c r="J1444" s="60">
        <v>2036.64</v>
      </c>
      <c r="K1444" s="60">
        <v>0</v>
      </c>
      <c r="L1444" s="60">
        <v>0</v>
      </c>
      <c r="M1444" s="60">
        <v>0</v>
      </c>
      <c r="N1444" s="60">
        <v>0</v>
      </c>
      <c r="O1444" s="60">
        <v>0</v>
      </c>
      <c r="P1444" s="60">
        <v>0</v>
      </c>
      <c r="Q1444" s="60">
        <v>0</v>
      </c>
      <c r="R1444" s="60">
        <v>0</v>
      </c>
      <c r="S1444" s="60">
        <v>0</v>
      </c>
      <c r="T1444" s="60">
        <v>0</v>
      </c>
      <c r="U1444" s="60">
        <v>0</v>
      </c>
      <c r="V1444" s="60">
        <v>0</v>
      </c>
      <c r="W1444" s="60">
        <v>0</v>
      </c>
      <c r="X1444" s="60">
        <v>0</v>
      </c>
      <c r="Y1444" s="60">
        <v>0</v>
      </c>
      <c r="Z1444" s="60">
        <v>0</v>
      </c>
      <c r="AA1444" s="60">
        <v>0</v>
      </c>
      <c r="AB1444" s="60">
        <v>0</v>
      </c>
      <c r="AC1444" s="60">
        <v>0</v>
      </c>
      <c r="AD1444" s="60">
        <v>0</v>
      </c>
      <c r="AE1444" s="60">
        <v>0</v>
      </c>
      <c r="AF1444" s="60">
        <v>0</v>
      </c>
      <c r="AG1444" s="60">
        <v>0</v>
      </c>
      <c r="AH1444" s="60">
        <v>0</v>
      </c>
      <c r="AI1444" s="60">
        <v>1806.48</v>
      </c>
      <c r="AJ1444" s="60">
        <v>1785.42</v>
      </c>
      <c r="AK1444" s="60">
        <v>2036.64</v>
      </c>
      <c r="AL1444" s="60">
        <v>0</v>
      </c>
      <c r="AM1444" s="60">
        <v>0</v>
      </c>
      <c r="AN1444" s="60">
        <v>0</v>
      </c>
      <c r="AO1444" s="60">
        <v>1806.48</v>
      </c>
      <c r="AP1444" s="60">
        <v>1785.42</v>
      </c>
      <c r="AQ1444" s="60">
        <v>2036.64</v>
      </c>
      <c r="AR1444" s="61">
        <v>2036.64</v>
      </c>
    </row>
    <row r="1445" spans="1:44" x14ac:dyDescent="0.35">
      <c r="A1445" s="49" t="str">
        <f t="shared" si="117"/>
        <v>36</v>
      </c>
      <c r="B1445" s="27">
        <v>67892</v>
      </c>
      <c r="C1445" s="25" t="str">
        <f t="shared" si="116"/>
        <v>0000000</v>
      </c>
      <c r="D1445" s="26" t="s">
        <v>3663</v>
      </c>
      <c r="E1445" s="25" t="s">
        <v>1991</v>
      </c>
      <c r="F1445" s="25" t="s">
        <v>1709</v>
      </c>
      <c r="G1445" s="59" t="s">
        <v>1992</v>
      </c>
      <c r="H1445" s="60">
        <v>213.81</v>
      </c>
      <c r="I1445" s="60">
        <v>208.54</v>
      </c>
      <c r="J1445" s="60">
        <v>262.74</v>
      </c>
      <c r="K1445" s="60">
        <v>0</v>
      </c>
      <c r="L1445" s="60">
        <v>0</v>
      </c>
      <c r="M1445" s="60">
        <v>0</v>
      </c>
      <c r="N1445" s="60">
        <v>0</v>
      </c>
      <c r="O1445" s="60">
        <v>0</v>
      </c>
      <c r="P1445" s="60">
        <v>0</v>
      </c>
      <c r="Q1445" s="60">
        <v>0</v>
      </c>
      <c r="R1445" s="60">
        <v>0</v>
      </c>
      <c r="S1445" s="60">
        <v>0</v>
      </c>
      <c r="T1445" s="60">
        <v>0</v>
      </c>
      <c r="U1445" s="60">
        <v>0</v>
      </c>
      <c r="V1445" s="60">
        <v>0</v>
      </c>
      <c r="W1445" s="60">
        <v>0</v>
      </c>
      <c r="X1445" s="60">
        <v>0</v>
      </c>
      <c r="Y1445" s="60">
        <v>0</v>
      </c>
      <c r="Z1445" s="60">
        <v>0</v>
      </c>
      <c r="AA1445" s="60">
        <v>0</v>
      </c>
      <c r="AB1445" s="60">
        <v>0</v>
      </c>
      <c r="AC1445" s="60">
        <v>0</v>
      </c>
      <c r="AD1445" s="60">
        <v>0</v>
      </c>
      <c r="AE1445" s="60">
        <v>0</v>
      </c>
      <c r="AF1445" s="60">
        <v>0</v>
      </c>
      <c r="AG1445" s="60">
        <v>0</v>
      </c>
      <c r="AH1445" s="60">
        <v>0</v>
      </c>
      <c r="AI1445" s="60">
        <v>213.81</v>
      </c>
      <c r="AJ1445" s="60">
        <v>208.54</v>
      </c>
      <c r="AK1445" s="60">
        <v>262.74</v>
      </c>
      <c r="AL1445" s="60">
        <v>0</v>
      </c>
      <c r="AM1445" s="60">
        <v>0</v>
      </c>
      <c r="AN1445" s="60">
        <v>0</v>
      </c>
      <c r="AO1445" s="60">
        <v>213.81</v>
      </c>
      <c r="AP1445" s="60">
        <v>208.54</v>
      </c>
      <c r="AQ1445" s="60">
        <v>262.74</v>
      </c>
      <c r="AR1445" s="61">
        <v>262.74</v>
      </c>
    </row>
    <row r="1446" spans="1:44" x14ac:dyDescent="0.35">
      <c r="A1446" s="49" t="str">
        <f t="shared" si="117"/>
        <v>36</v>
      </c>
      <c r="B1446" s="27">
        <v>67918</v>
      </c>
      <c r="C1446" s="25" t="str">
        <f t="shared" si="116"/>
        <v>0000000</v>
      </c>
      <c r="D1446" s="26" t="s">
        <v>3663</v>
      </c>
      <c r="E1446" s="25" t="s">
        <v>1993</v>
      </c>
      <c r="F1446" s="25" t="s">
        <v>1709</v>
      </c>
      <c r="G1446" s="59" t="s">
        <v>1994</v>
      </c>
      <c r="H1446" s="60">
        <v>10856.81</v>
      </c>
      <c r="I1446" s="60">
        <v>10597.54</v>
      </c>
      <c r="J1446" s="60">
        <v>11708.44</v>
      </c>
      <c r="K1446" s="60">
        <v>0</v>
      </c>
      <c r="L1446" s="60">
        <v>0</v>
      </c>
      <c r="M1446" s="60">
        <v>0</v>
      </c>
      <c r="N1446" s="60">
        <v>0</v>
      </c>
      <c r="O1446" s="60">
        <v>0</v>
      </c>
      <c r="P1446" s="60">
        <v>0</v>
      </c>
      <c r="Q1446" s="60">
        <v>0</v>
      </c>
      <c r="R1446" s="60">
        <v>0</v>
      </c>
      <c r="S1446" s="60">
        <v>0</v>
      </c>
      <c r="T1446" s="60">
        <v>0</v>
      </c>
      <c r="U1446" s="60">
        <v>0</v>
      </c>
      <c r="V1446" s="60">
        <v>0</v>
      </c>
      <c r="W1446" s="60">
        <v>0</v>
      </c>
      <c r="X1446" s="60">
        <v>0</v>
      </c>
      <c r="Y1446" s="60">
        <v>0</v>
      </c>
      <c r="Z1446" s="60">
        <v>0</v>
      </c>
      <c r="AA1446" s="60">
        <v>0</v>
      </c>
      <c r="AB1446" s="60">
        <v>0</v>
      </c>
      <c r="AC1446" s="60">
        <v>434.39</v>
      </c>
      <c r="AD1446" s="60">
        <v>421.94</v>
      </c>
      <c r="AE1446" s="60">
        <v>461.4</v>
      </c>
      <c r="AF1446" s="60">
        <v>0</v>
      </c>
      <c r="AG1446" s="60">
        <v>0</v>
      </c>
      <c r="AH1446" s="60">
        <v>0</v>
      </c>
      <c r="AI1446" s="60">
        <v>11291.2</v>
      </c>
      <c r="AJ1446" s="60">
        <v>11019.48</v>
      </c>
      <c r="AK1446" s="60">
        <v>12169.84</v>
      </c>
      <c r="AL1446" s="60">
        <v>0</v>
      </c>
      <c r="AM1446" s="60">
        <v>0</v>
      </c>
      <c r="AN1446" s="60">
        <v>0</v>
      </c>
      <c r="AO1446" s="60">
        <v>11291.2</v>
      </c>
      <c r="AP1446" s="60">
        <v>11019.48</v>
      </c>
      <c r="AQ1446" s="60">
        <v>12169.84</v>
      </c>
      <c r="AR1446" s="61">
        <v>12169.84</v>
      </c>
    </row>
    <row r="1447" spans="1:44" x14ac:dyDescent="0.35">
      <c r="A1447" s="49" t="str">
        <f t="shared" si="117"/>
        <v>36</v>
      </c>
      <c r="B1447" s="27">
        <v>67934</v>
      </c>
      <c r="C1447" s="25" t="str">
        <f t="shared" si="116"/>
        <v>0000000</v>
      </c>
      <c r="D1447" s="26" t="s">
        <v>3663</v>
      </c>
      <c r="E1447" s="25" t="s">
        <v>1995</v>
      </c>
      <c r="F1447" s="25" t="s">
        <v>1709</v>
      </c>
      <c r="G1447" s="59" t="s">
        <v>1996</v>
      </c>
      <c r="H1447" s="60">
        <v>10239.66</v>
      </c>
      <c r="I1447" s="60">
        <v>10130.549999999999</v>
      </c>
      <c r="J1447" s="60">
        <v>10240.77</v>
      </c>
      <c r="K1447" s="60">
        <v>0</v>
      </c>
      <c r="L1447" s="60">
        <v>0</v>
      </c>
      <c r="M1447" s="60">
        <v>0</v>
      </c>
      <c r="N1447" s="60">
        <v>0</v>
      </c>
      <c r="O1447" s="60">
        <v>0</v>
      </c>
      <c r="P1447" s="60">
        <v>0</v>
      </c>
      <c r="Q1447" s="60">
        <v>0</v>
      </c>
      <c r="R1447" s="60">
        <v>0</v>
      </c>
      <c r="S1447" s="60">
        <v>0</v>
      </c>
      <c r="T1447" s="60">
        <v>0</v>
      </c>
      <c r="U1447" s="60">
        <v>0</v>
      </c>
      <c r="V1447" s="60">
        <v>0</v>
      </c>
      <c r="W1447" s="60">
        <v>0</v>
      </c>
      <c r="X1447" s="60">
        <v>0</v>
      </c>
      <c r="Y1447" s="60">
        <v>0</v>
      </c>
      <c r="Z1447" s="60">
        <v>0</v>
      </c>
      <c r="AA1447" s="60">
        <v>0</v>
      </c>
      <c r="AB1447" s="60">
        <v>0</v>
      </c>
      <c r="AC1447" s="60">
        <v>822.65</v>
      </c>
      <c r="AD1447" s="60">
        <v>739.03</v>
      </c>
      <c r="AE1447" s="60">
        <v>995.58</v>
      </c>
      <c r="AF1447" s="60">
        <v>0</v>
      </c>
      <c r="AG1447" s="60">
        <v>0</v>
      </c>
      <c r="AH1447" s="60">
        <v>0</v>
      </c>
      <c r="AI1447" s="60">
        <v>11062.31</v>
      </c>
      <c r="AJ1447" s="60">
        <v>10869.58</v>
      </c>
      <c r="AK1447" s="60">
        <v>11236.35</v>
      </c>
      <c r="AL1447" s="60">
        <v>0</v>
      </c>
      <c r="AM1447" s="60">
        <v>0</v>
      </c>
      <c r="AN1447" s="60">
        <v>0</v>
      </c>
      <c r="AO1447" s="60">
        <v>11062.31</v>
      </c>
      <c r="AP1447" s="60">
        <v>10869.58</v>
      </c>
      <c r="AQ1447" s="60">
        <v>11236.35</v>
      </c>
      <c r="AR1447" s="61">
        <v>11236.35</v>
      </c>
    </row>
    <row r="1448" spans="1:44" x14ac:dyDescent="0.35">
      <c r="A1448" s="49" t="str">
        <f t="shared" si="117"/>
        <v>36</v>
      </c>
      <c r="B1448" s="27">
        <v>73957</v>
      </c>
      <c r="C1448" s="25" t="str">
        <f t="shared" si="116"/>
        <v>0000000</v>
      </c>
      <c r="D1448" s="26" t="s">
        <v>3663</v>
      </c>
      <c r="E1448" s="25" t="s">
        <v>2006</v>
      </c>
      <c r="F1448" s="25" t="s">
        <v>1709</v>
      </c>
      <c r="G1448" s="59" t="s">
        <v>2007</v>
      </c>
      <c r="H1448" s="60">
        <v>7277.49</v>
      </c>
      <c r="I1448" s="60">
        <v>6970.95</v>
      </c>
      <c r="J1448" s="60">
        <v>7099.79</v>
      </c>
      <c r="K1448" s="60">
        <v>0</v>
      </c>
      <c r="L1448" s="60">
        <v>0</v>
      </c>
      <c r="M1448" s="60">
        <v>0</v>
      </c>
      <c r="N1448" s="60">
        <v>0</v>
      </c>
      <c r="O1448" s="60">
        <v>0</v>
      </c>
      <c r="P1448" s="60">
        <v>0</v>
      </c>
      <c r="Q1448" s="60">
        <v>0</v>
      </c>
      <c r="R1448" s="60">
        <v>0</v>
      </c>
      <c r="S1448" s="60">
        <v>0</v>
      </c>
      <c r="T1448" s="60">
        <v>0</v>
      </c>
      <c r="U1448" s="60">
        <v>0</v>
      </c>
      <c r="V1448" s="60">
        <v>0</v>
      </c>
      <c r="W1448" s="60">
        <v>0</v>
      </c>
      <c r="X1448" s="60">
        <v>0</v>
      </c>
      <c r="Y1448" s="60">
        <v>0</v>
      </c>
      <c r="Z1448" s="60">
        <v>0</v>
      </c>
      <c r="AA1448" s="60">
        <v>0</v>
      </c>
      <c r="AB1448" s="60">
        <v>0</v>
      </c>
      <c r="AC1448" s="60">
        <v>0</v>
      </c>
      <c r="AD1448" s="60">
        <v>0</v>
      </c>
      <c r="AE1448" s="60">
        <v>0</v>
      </c>
      <c r="AF1448" s="60">
        <v>0</v>
      </c>
      <c r="AG1448" s="60">
        <v>0</v>
      </c>
      <c r="AH1448" s="60">
        <v>0</v>
      </c>
      <c r="AI1448" s="60">
        <v>7277.49</v>
      </c>
      <c r="AJ1448" s="60">
        <v>6970.95</v>
      </c>
      <c r="AK1448" s="60">
        <v>7099.79</v>
      </c>
      <c r="AL1448" s="60">
        <v>0</v>
      </c>
      <c r="AM1448" s="60">
        <v>0</v>
      </c>
      <c r="AN1448" s="60">
        <v>0</v>
      </c>
      <c r="AO1448" s="60">
        <v>7277.49</v>
      </c>
      <c r="AP1448" s="60">
        <v>6970.95</v>
      </c>
      <c r="AQ1448" s="60">
        <v>7099.79</v>
      </c>
      <c r="AR1448" s="61">
        <v>7277.49</v>
      </c>
    </row>
    <row r="1449" spans="1:44" x14ac:dyDescent="0.35">
      <c r="A1449" s="49" t="str">
        <f t="shared" si="117"/>
        <v>36</v>
      </c>
      <c r="B1449" s="27">
        <v>67736</v>
      </c>
      <c r="C1449" s="25" t="str">
        <f t="shared" si="116"/>
        <v>0000000</v>
      </c>
      <c r="D1449" s="26" t="s">
        <v>3663</v>
      </c>
      <c r="E1449" s="25" t="s">
        <v>1949</v>
      </c>
      <c r="F1449" s="25" t="s">
        <v>1709</v>
      </c>
      <c r="G1449" s="59" t="s">
        <v>1950</v>
      </c>
      <c r="H1449" s="60">
        <v>630.08000000000004</v>
      </c>
      <c r="I1449" s="60">
        <v>583.12</v>
      </c>
      <c r="J1449" s="60">
        <v>633.29</v>
      </c>
      <c r="K1449" s="60">
        <v>0</v>
      </c>
      <c r="L1449" s="60">
        <v>0</v>
      </c>
      <c r="M1449" s="60">
        <v>0</v>
      </c>
      <c r="N1449" s="60">
        <v>0</v>
      </c>
      <c r="O1449" s="60">
        <v>0</v>
      </c>
      <c r="P1449" s="60">
        <v>0</v>
      </c>
      <c r="Q1449" s="60">
        <v>0</v>
      </c>
      <c r="R1449" s="60">
        <v>0</v>
      </c>
      <c r="S1449" s="60">
        <v>0</v>
      </c>
      <c r="T1449" s="60">
        <v>0</v>
      </c>
      <c r="U1449" s="60">
        <v>0</v>
      </c>
      <c r="V1449" s="60">
        <v>0</v>
      </c>
      <c r="W1449" s="60">
        <v>0</v>
      </c>
      <c r="X1449" s="60">
        <v>0</v>
      </c>
      <c r="Y1449" s="60">
        <v>0</v>
      </c>
      <c r="Z1449" s="60">
        <v>0</v>
      </c>
      <c r="AA1449" s="60">
        <v>0</v>
      </c>
      <c r="AB1449" s="60">
        <v>0</v>
      </c>
      <c r="AC1449" s="60">
        <v>412.67</v>
      </c>
      <c r="AD1449" s="60">
        <v>466.09</v>
      </c>
      <c r="AE1449" s="60">
        <v>441.66</v>
      </c>
      <c r="AF1449" s="60">
        <v>0</v>
      </c>
      <c r="AG1449" s="60">
        <v>0</v>
      </c>
      <c r="AH1449" s="60">
        <v>0</v>
      </c>
      <c r="AI1449" s="60">
        <v>1042.75</v>
      </c>
      <c r="AJ1449" s="60">
        <v>1049.21</v>
      </c>
      <c r="AK1449" s="60">
        <v>1074.95</v>
      </c>
      <c r="AL1449" s="60">
        <v>0</v>
      </c>
      <c r="AM1449" s="60">
        <v>0</v>
      </c>
      <c r="AN1449" s="60">
        <v>0</v>
      </c>
      <c r="AO1449" s="60">
        <v>1042.75</v>
      </c>
      <c r="AP1449" s="60">
        <v>1049.21</v>
      </c>
      <c r="AQ1449" s="60">
        <v>1074.95</v>
      </c>
      <c r="AR1449" s="61">
        <v>1074.95</v>
      </c>
    </row>
    <row r="1450" spans="1:44" x14ac:dyDescent="0.35">
      <c r="A1450" s="49" t="str">
        <f>TEXT(37,"00")</f>
        <v>37</v>
      </c>
      <c r="B1450" s="27">
        <v>68338</v>
      </c>
      <c r="C1450" s="25" t="str">
        <f>TEXT(114462,"0000000")</f>
        <v>0114462</v>
      </c>
      <c r="D1450" s="26" t="s">
        <v>2209</v>
      </c>
      <c r="E1450" s="25" t="s">
        <v>2207</v>
      </c>
      <c r="F1450" s="25" t="s">
        <v>1709</v>
      </c>
      <c r="G1450" s="59" t="s">
        <v>2208</v>
      </c>
      <c r="H1450" s="60">
        <v>0</v>
      </c>
      <c r="I1450" s="60">
        <v>0</v>
      </c>
      <c r="J1450" s="60">
        <v>0</v>
      </c>
      <c r="K1450" s="60">
        <v>0</v>
      </c>
      <c r="L1450" s="60">
        <v>0</v>
      </c>
      <c r="M1450" s="60">
        <v>0</v>
      </c>
      <c r="N1450" s="60">
        <v>0</v>
      </c>
      <c r="O1450" s="60">
        <v>0</v>
      </c>
      <c r="P1450" s="60">
        <v>0</v>
      </c>
      <c r="Q1450" s="60">
        <v>0</v>
      </c>
      <c r="R1450" s="60">
        <v>0</v>
      </c>
      <c r="S1450" s="60">
        <v>0</v>
      </c>
      <c r="T1450" s="60">
        <v>0</v>
      </c>
      <c r="U1450" s="60">
        <v>0</v>
      </c>
      <c r="V1450" s="60">
        <v>0</v>
      </c>
      <c r="W1450" s="60">
        <v>0</v>
      </c>
      <c r="X1450" s="60">
        <v>0</v>
      </c>
      <c r="Y1450" s="60">
        <v>0</v>
      </c>
      <c r="Z1450" s="60">
        <v>0</v>
      </c>
      <c r="AA1450" s="60">
        <v>0</v>
      </c>
      <c r="AB1450" s="60">
        <v>0</v>
      </c>
      <c r="AC1450" s="60">
        <v>474.38</v>
      </c>
      <c r="AD1450" s="60">
        <v>537.91</v>
      </c>
      <c r="AE1450" s="60">
        <v>578</v>
      </c>
      <c r="AF1450" s="60">
        <v>0</v>
      </c>
      <c r="AG1450" s="60">
        <v>0</v>
      </c>
      <c r="AH1450" s="60">
        <v>0</v>
      </c>
      <c r="AI1450" s="60">
        <v>474.38</v>
      </c>
      <c r="AJ1450" s="60">
        <v>537.91</v>
      </c>
      <c r="AK1450" s="60">
        <v>578</v>
      </c>
      <c r="AL1450" s="60">
        <v>0</v>
      </c>
      <c r="AM1450" s="60">
        <v>0</v>
      </c>
      <c r="AN1450" s="60">
        <v>0</v>
      </c>
      <c r="AO1450" s="60">
        <v>474.38</v>
      </c>
      <c r="AP1450" s="60">
        <v>537.91</v>
      </c>
      <c r="AQ1450" s="60">
        <v>578</v>
      </c>
      <c r="AR1450" s="61">
        <v>578</v>
      </c>
    </row>
    <row r="1451" spans="1:44" x14ac:dyDescent="0.35">
      <c r="A1451" s="49" t="str">
        <f>TEXT(36,"00")</f>
        <v>36</v>
      </c>
      <c r="B1451" s="27">
        <v>10363</v>
      </c>
      <c r="C1451" s="25" t="str">
        <f>TEXT(115808,"0000000")</f>
        <v>0115808</v>
      </c>
      <c r="D1451" s="26" t="s">
        <v>1914</v>
      </c>
      <c r="E1451" s="25" t="s">
        <v>1912</v>
      </c>
      <c r="F1451" s="25" t="s">
        <v>1709</v>
      </c>
      <c r="G1451" s="59" t="s">
        <v>1913</v>
      </c>
      <c r="H1451" s="60">
        <v>0</v>
      </c>
      <c r="I1451" s="60">
        <v>0</v>
      </c>
      <c r="J1451" s="60">
        <v>0</v>
      </c>
      <c r="K1451" s="60">
        <v>0</v>
      </c>
      <c r="L1451" s="60">
        <v>0</v>
      </c>
      <c r="M1451" s="60">
        <v>0</v>
      </c>
      <c r="N1451" s="60">
        <v>0</v>
      </c>
      <c r="O1451" s="60">
        <v>0</v>
      </c>
      <c r="P1451" s="60">
        <v>0</v>
      </c>
      <c r="Q1451" s="60">
        <v>0</v>
      </c>
      <c r="R1451" s="60">
        <v>0</v>
      </c>
      <c r="S1451" s="60">
        <v>0</v>
      </c>
      <c r="T1451" s="60">
        <v>0</v>
      </c>
      <c r="U1451" s="60">
        <v>0</v>
      </c>
      <c r="V1451" s="60">
        <v>0</v>
      </c>
      <c r="W1451" s="60">
        <v>0</v>
      </c>
      <c r="X1451" s="60">
        <v>0</v>
      </c>
      <c r="Y1451" s="60">
        <v>0</v>
      </c>
      <c r="Z1451" s="60">
        <v>1042.8800000000001</v>
      </c>
      <c r="AA1451" s="60">
        <v>966.1</v>
      </c>
      <c r="AB1451" s="60">
        <v>789.2</v>
      </c>
      <c r="AC1451" s="60">
        <v>0</v>
      </c>
      <c r="AD1451" s="60">
        <v>0</v>
      </c>
      <c r="AE1451" s="60">
        <v>0</v>
      </c>
      <c r="AF1451" s="60">
        <v>0</v>
      </c>
      <c r="AG1451" s="60">
        <v>0</v>
      </c>
      <c r="AH1451" s="60">
        <v>0</v>
      </c>
      <c r="AI1451" s="60">
        <v>1042.8800000000001</v>
      </c>
      <c r="AJ1451" s="60">
        <v>966.1</v>
      </c>
      <c r="AK1451" s="60">
        <v>789.2</v>
      </c>
      <c r="AL1451" s="60">
        <v>0</v>
      </c>
      <c r="AM1451" s="60">
        <v>0</v>
      </c>
      <c r="AN1451" s="60">
        <v>0</v>
      </c>
      <c r="AO1451" s="60">
        <v>1042.8800000000001</v>
      </c>
      <c r="AP1451" s="60">
        <v>966.1</v>
      </c>
      <c r="AQ1451" s="60">
        <v>789.2</v>
      </c>
      <c r="AR1451" s="61">
        <v>1042.8800000000001</v>
      </c>
    </row>
    <row r="1452" spans="1:44" x14ac:dyDescent="0.35">
      <c r="A1452" s="49" t="str">
        <f>TEXT(33,"00")</f>
        <v>33</v>
      </c>
      <c r="B1452" s="27">
        <v>10330</v>
      </c>
      <c r="C1452" s="25" t="str">
        <f>TEXT(137869,"0000000")</f>
        <v>0137869</v>
      </c>
      <c r="D1452" s="27">
        <v>1993</v>
      </c>
      <c r="E1452" s="25" t="s">
        <v>1710</v>
      </c>
      <c r="F1452" s="25" t="s">
        <v>1709</v>
      </c>
      <c r="G1452" s="59" t="s">
        <v>1711</v>
      </c>
      <c r="H1452" s="60">
        <v>0</v>
      </c>
      <c r="I1452" s="60">
        <v>0</v>
      </c>
      <c r="J1452" s="60">
        <v>0</v>
      </c>
      <c r="K1452" s="60">
        <v>0</v>
      </c>
      <c r="L1452" s="60">
        <v>0</v>
      </c>
      <c r="M1452" s="60">
        <v>0</v>
      </c>
      <c r="N1452" s="60">
        <v>0</v>
      </c>
      <c r="O1452" s="60">
        <v>0</v>
      </c>
      <c r="P1452" s="60">
        <v>0</v>
      </c>
      <c r="Q1452" s="60">
        <v>0</v>
      </c>
      <c r="R1452" s="60">
        <v>0</v>
      </c>
      <c r="S1452" s="60">
        <v>0</v>
      </c>
      <c r="T1452" s="60">
        <v>0</v>
      </c>
      <c r="U1452" s="60">
        <v>0</v>
      </c>
      <c r="V1452" s="60">
        <v>0</v>
      </c>
      <c r="W1452" s="60">
        <v>0</v>
      </c>
      <c r="X1452" s="60">
        <v>0</v>
      </c>
      <c r="Y1452" s="60">
        <v>0</v>
      </c>
      <c r="Z1452" s="60">
        <v>0</v>
      </c>
      <c r="AA1452" s="60">
        <v>0</v>
      </c>
      <c r="AB1452" s="60">
        <v>0</v>
      </c>
      <c r="AC1452" s="60">
        <v>132.15</v>
      </c>
      <c r="AD1452" s="60">
        <v>115.38</v>
      </c>
      <c r="AE1452" s="60">
        <v>94.67</v>
      </c>
      <c r="AF1452" s="60">
        <v>0</v>
      </c>
      <c r="AG1452" s="60">
        <v>0</v>
      </c>
      <c r="AH1452" s="60">
        <v>0</v>
      </c>
      <c r="AI1452" s="60">
        <v>132.15</v>
      </c>
      <c r="AJ1452" s="60">
        <v>115.38</v>
      </c>
      <c r="AK1452" s="60">
        <v>94.67</v>
      </c>
      <c r="AL1452" s="60">
        <v>0</v>
      </c>
      <c r="AM1452" s="60">
        <v>0</v>
      </c>
      <c r="AN1452" s="60">
        <v>0</v>
      </c>
      <c r="AO1452" s="60">
        <v>132.15</v>
      </c>
      <c r="AP1452" s="60">
        <v>115.38</v>
      </c>
      <c r="AQ1452" s="60">
        <v>94.67</v>
      </c>
      <c r="AR1452" s="61">
        <v>132.15</v>
      </c>
    </row>
    <row r="1453" spans="1:44" x14ac:dyDescent="0.35">
      <c r="A1453" s="49" t="str">
        <f>TEXT(36,"00")</f>
        <v>36</v>
      </c>
      <c r="B1453" s="27">
        <v>10363</v>
      </c>
      <c r="C1453" s="25" t="str">
        <f>TEXT(3630761,"0000000")</f>
        <v>3630761</v>
      </c>
      <c r="D1453" s="27">
        <v>1910</v>
      </c>
      <c r="E1453" s="25" t="s">
        <v>1919</v>
      </c>
      <c r="F1453" s="25" t="s">
        <v>1709</v>
      </c>
      <c r="G1453" s="59" t="s">
        <v>1920</v>
      </c>
      <c r="H1453" s="60">
        <v>0</v>
      </c>
      <c r="I1453" s="60">
        <v>0</v>
      </c>
      <c r="J1453" s="60">
        <v>0</v>
      </c>
      <c r="K1453" s="60">
        <v>0</v>
      </c>
      <c r="L1453" s="60">
        <v>0</v>
      </c>
      <c r="M1453" s="60">
        <v>0</v>
      </c>
      <c r="N1453" s="60">
        <v>0</v>
      </c>
      <c r="O1453" s="60">
        <v>0</v>
      </c>
      <c r="P1453" s="60">
        <v>0</v>
      </c>
      <c r="Q1453" s="60">
        <v>0</v>
      </c>
      <c r="R1453" s="60">
        <v>0</v>
      </c>
      <c r="S1453" s="60">
        <v>0</v>
      </c>
      <c r="T1453" s="60">
        <v>0</v>
      </c>
      <c r="U1453" s="60">
        <v>0</v>
      </c>
      <c r="V1453" s="60">
        <v>0</v>
      </c>
      <c r="W1453" s="60">
        <v>0</v>
      </c>
      <c r="X1453" s="60">
        <v>0</v>
      </c>
      <c r="Y1453" s="60">
        <v>0</v>
      </c>
      <c r="Z1453" s="60">
        <v>2256.2199999999998</v>
      </c>
      <c r="AA1453" s="60">
        <v>2012.49</v>
      </c>
      <c r="AB1453" s="60">
        <v>1892.32</v>
      </c>
      <c r="AC1453" s="60">
        <v>0</v>
      </c>
      <c r="AD1453" s="60">
        <v>0</v>
      </c>
      <c r="AE1453" s="60">
        <v>0</v>
      </c>
      <c r="AF1453" s="60">
        <v>0</v>
      </c>
      <c r="AG1453" s="60">
        <v>0</v>
      </c>
      <c r="AH1453" s="60">
        <v>0</v>
      </c>
      <c r="AI1453" s="60">
        <v>2256.2199999999998</v>
      </c>
      <c r="AJ1453" s="60">
        <v>2012.49</v>
      </c>
      <c r="AK1453" s="60">
        <v>1892.32</v>
      </c>
      <c r="AL1453" s="60">
        <v>0</v>
      </c>
      <c r="AM1453" s="60">
        <v>0</v>
      </c>
      <c r="AN1453" s="60">
        <v>0</v>
      </c>
      <c r="AO1453" s="60">
        <v>2256.2199999999998</v>
      </c>
      <c r="AP1453" s="60">
        <v>2012.49</v>
      </c>
      <c r="AQ1453" s="60">
        <v>1892.32</v>
      </c>
      <c r="AR1453" s="61">
        <v>2256.2199999999998</v>
      </c>
    </row>
    <row r="1454" spans="1:44" x14ac:dyDescent="0.35">
      <c r="A1454" s="49" t="str">
        <f>TEXT(36,"00")</f>
        <v>36</v>
      </c>
      <c r="B1454" s="27">
        <v>75077</v>
      </c>
      <c r="C1454" s="25" t="str">
        <f>TEXT(3631207,"0000000")</f>
        <v>3631207</v>
      </c>
      <c r="D1454" s="26" t="s">
        <v>2045</v>
      </c>
      <c r="E1454" s="25" t="s">
        <v>2043</v>
      </c>
      <c r="F1454" s="25" t="s">
        <v>1709</v>
      </c>
      <c r="G1454" s="59" t="s">
        <v>2044</v>
      </c>
      <c r="H1454" s="60">
        <v>0</v>
      </c>
      <c r="I1454" s="60">
        <v>0</v>
      </c>
      <c r="J1454" s="60">
        <v>0</v>
      </c>
      <c r="K1454" s="60">
        <v>0</v>
      </c>
      <c r="L1454" s="60">
        <v>0</v>
      </c>
      <c r="M1454" s="60">
        <v>0</v>
      </c>
      <c r="N1454" s="60">
        <v>0</v>
      </c>
      <c r="O1454" s="60">
        <v>0</v>
      </c>
      <c r="P1454" s="60">
        <v>0</v>
      </c>
      <c r="Q1454" s="60">
        <v>0</v>
      </c>
      <c r="R1454" s="60">
        <v>0</v>
      </c>
      <c r="S1454" s="60">
        <v>0</v>
      </c>
      <c r="T1454" s="60">
        <v>0</v>
      </c>
      <c r="U1454" s="60">
        <v>0</v>
      </c>
      <c r="V1454" s="60">
        <v>0</v>
      </c>
      <c r="W1454" s="60">
        <v>0</v>
      </c>
      <c r="X1454" s="60">
        <v>0</v>
      </c>
      <c r="Y1454" s="60">
        <v>0</v>
      </c>
      <c r="Z1454" s="60">
        <v>0</v>
      </c>
      <c r="AA1454" s="60">
        <v>0</v>
      </c>
      <c r="AB1454" s="60">
        <v>0</v>
      </c>
      <c r="AC1454" s="60">
        <v>1378.08</v>
      </c>
      <c r="AD1454" s="60">
        <v>0</v>
      </c>
      <c r="AE1454" s="60">
        <v>0</v>
      </c>
      <c r="AF1454" s="60">
        <v>0</v>
      </c>
      <c r="AG1454" s="60">
        <v>0</v>
      </c>
      <c r="AH1454" s="60">
        <v>0</v>
      </c>
      <c r="AI1454" s="60">
        <v>1378.08</v>
      </c>
      <c r="AJ1454" s="60">
        <v>0</v>
      </c>
      <c r="AK1454" s="60">
        <v>0</v>
      </c>
      <c r="AL1454" s="60">
        <v>0</v>
      </c>
      <c r="AM1454" s="60">
        <v>1320</v>
      </c>
      <c r="AN1454" s="60">
        <v>1393.6</v>
      </c>
      <c r="AO1454" s="60">
        <v>1378.08</v>
      </c>
      <c r="AP1454" s="60">
        <v>1320</v>
      </c>
      <c r="AQ1454" s="60">
        <v>1393.6</v>
      </c>
      <c r="AR1454" s="61">
        <v>1393.6</v>
      </c>
    </row>
    <row r="1455" spans="1:44" x14ac:dyDescent="0.35">
      <c r="A1455" s="49" t="str">
        <f>TEXT(36,"00")</f>
        <v>36</v>
      </c>
      <c r="B1455" s="27">
        <v>10363</v>
      </c>
      <c r="C1455" s="25" t="str">
        <f>TEXT(,"0000000")</f>
        <v>0000000</v>
      </c>
      <c r="D1455" s="26" t="s">
        <v>3663</v>
      </c>
      <c r="E1455" s="25" t="s">
        <v>601</v>
      </c>
      <c r="F1455" s="25" t="s">
        <v>602</v>
      </c>
      <c r="G1455" s="59" t="s">
        <v>602</v>
      </c>
      <c r="H1455" s="60">
        <v>0</v>
      </c>
      <c r="I1455" s="60">
        <v>0</v>
      </c>
      <c r="J1455" s="60">
        <v>0</v>
      </c>
      <c r="K1455" s="60">
        <v>0</v>
      </c>
      <c r="L1455" s="60">
        <v>0</v>
      </c>
      <c r="M1455" s="60">
        <v>0</v>
      </c>
      <c r="N1455" s="60">
        <v>0</v>
      </c>
      <c r="O1455" s="60">
        <v>0</v>
      </c>
      <c r="P1455" s="60">
        <v>0</v>
      </c>
      <c r="Q1455" s="60">
        <v>0</v>
      </c>
      <c r="R1455" s="60">
        <v>0</v>
      </c>
      <c r="S1455" s="60">
        <v>0</v>
      </c>
      <c r="T1455" s="60">
        <v>0</v>
      </c>
      <c r="U1455" s="60">
        <v>0</v>
      </c>
      <c r="V1455" s="60">
        <v>0</v>
      </c>
      <c r="W1455" s="60">
        <v>0</v>
      </c>
      <c r="X1455" s="60">
        <v>0</v>
      </c>
      <c r="Y1455" s="60">
        <v>0</v>
      </c>
      <c r="Z1455" s="60">
        <v>0</v>
      </c>
      <c r="AA1455" s="60">
        <v>0</v>
      </c>
      <c r="AB1455" s="60">
        <v>0</v>
      </c>
      <c r="AC1455" s="60">
        <v>0</v>
      </c>
      <c r="AD1455" s="60">
        <v>0</v>
      </c>
      <c r="AE1455" s="60">
        <v>0</v>
      </c>
      <c r="AF1455" s="60">
        <v>0</v>
      </c>
      <c r="AG1455" s="60">
        <v>0</v>
      </c>
      <c r="AH1455" s="60">
        <v>0</v>
      </c>
      <c r="AI1455" s="60">
        <v>0</v>
      </c>
      <c r="AJ1455" s="60">
        <v>0</v>
      </c>
      <c r="AK1455" s="60">
        <v>0</v>
      </c>
      <c r="AL1455" s="60">
        <v>0</v>
      </c>
      <c r="AM1455" s="60">
        <v>0</v>
      </c>
      <c r="AN1455" s="60">
        <v>0</v>
      </c>
      <c r="AO1455" s="60">
        <v>0</v>
      </c>
      <c r="AP1455" s="60">
        <v>0</v>
      </c>
      <c r="AQ1455" s="60">
        <v>0</v>
      </c>
      <c r="AR1455" s="61">
        <v>0</v>
      </c>
    </row>
    <row r="1456" spans="1:44" x14ac:dyDescent="0.35">
      <c r="A1456" s="49" t="str">
        <f>TEXT(13,"00")</f>
        <v>13</v>
      </c>
      <c r="B1456" s="27">
        <v>63123</v>
      </c>
      <c r="C1456" s="25" t="str">
        <f>TEXT(118455,"0000000")</f>
        <v>0118455</v>
      </c>
      <c r="D1456" s="27">
        <v>1030</v>
      </c>
      <c r="E1456" s="25" t="s">
        <v>603</v>
      </c>
      <c r="F1456" s="25" t="s">
        <v>602</v>
      </c>
      <c r="G1456" s="59" t="s">
        <v>604</v>
      </c>
      <c r="H1456" s="60">
        <v>0</v>
      </c>
      <c r="I1456" s="60">
        <v>0</v>
      </c>
      <c r="J1456" s="60">
        <v>0</v>
      </c>
      <c r="K1456" s="60">
        <v>0</v>
      </c>
      <c r="L1456" s="60">
        <v>0</v>
      </c>
      <c r="M1456" s="60">
        <v>0</v>
      </c>
      <c r="N1456" s="60">
        <v>0</v>
      </c>
      <c r="O1456" s="60">
        <v>0</v>
      </c>
      <c r="P1456" s="60">
        <v>0</v>
      </c>
      <c r="Q1456" s="60">
        <v>0</v>
      </c>
      <c r="R1456" s="60">
        <v>0</v>
      </c>
      <c r="S1456" s="60">
        <v>0</v>
      </c>
      <c r="T1456" s="60">
        <v>0</v>
      </c>
      <c r="U1456" s="60">
        <v>0</v>
      </c>
      <c r="V1456" s="60">
        <v>0</v>
      </c>
      <c r="W1456" s="60">
        <v>0</v>
      </c>
      <c r="X1456" s="60">
        <v>0</v>
      </c>
      <c r="Y1456" s="60">
        <v>0</v>
      </c>
      <c r="Z1456" s="60">
        <v>0</v>
      </c>
      <c r="AA1456" s="60">
        <v>0</v>
      </c>
      <c r="AB1456" s="60">
        <v>0</v>
      </c>
      <c r="AC1456" s="60">
        <v>215.26</v>
      </c>
      <c r="AD1456" s="60">
        <v>185.33</v>
      </c>
      <c r="AE1456" s="60">
        <v>259.41000000000003</v>
      </c>
      <c r="AF1456" s="60">
        <v>0</v>
      </c>
      <c r="AG1456" s="60">
        <v>0</v>
      </c>
      <c r="AH1456" s="60">
        <v>0</v>
      </c>
      <c r="AI1456" s="60">
        <v>215.26</v>
      </c>
      <c r="AJ1456" s="60">
        <v>185.33</v>
      </c>
      <c r="AK1456" s="60">
        <v>259.41000000000003</v>
      </c>
      <c r="AL1456" s="60">
        <v>0</v>
      </c>
      <c r="AM1456" s="60">
        <v>0</v>
      </c>
      <c r="AN1456" s="60">
        <v>0</v>
      </c>
      <c r="AO1456" s="60">
        <v>215.26</v>
      </c>
      <c r="AP1456" s="60">
        <v>185.33</v>
      </c>
      <c r="AQ1456" s="60">
        <v>259.41000000000003</v>
      </c>
      <c r="AR1456" s="61">
        <v>259.41000000000003</v>
      </c>
    </row>
    <row r="1457" spans="1:44" x14ac:dyDescent="0.35">
      <c r="A1457" s="49" t="str">
        <f>TEXT(19,"00")</f>
        <v>19</v>
      </c>
      <c r="B1457" s="27">
        <v>10199</v>
      </c>
      <c r="C1457" s="25" t="str">
        <f>TEXT(6116883,"0000000")</f>
        <v>6116883</v>
      </c>
      <c r="D1457" s="26" t="s">
        <v>888</v>
      </c>
      <c r="E1457" s="25" t="s">
        <v>886</v>
      </c>
      <c r="F1457" s="25" t="s">
        <v>602</v>
      </c>
      <c r="G1457" s="59" t="s">
        <v>887</v>
      </c>
      <c r="H1457" s="60">
        <v>0</v>
      </c>
      <c r="I1457" s="60">
        <v>0</v>
      </c>
      <c r="J1457" s="60">
        <v>0</v>
      </c>
      <c r="K1457" s="60">
        <v>0</v>
      </c>
      <c r="L1457" s="60">
        <v>0</v>
      </c>
      <c r="M1457" s="60">
        <v>0</v>
      </c>
      <c r="N1457" s="60">
        <v>0</v>
      </c>
      <c r="O1457" s="60">
        <v>0</v>
      </c>
      <c r="P1457" s="60">
        <v>0</v>
      </c>
      <c r="Q1457" s="60">
        <v>0</v>
      </c>
      <c r="R1457" s="60">
        <v>0</v>
      </c>
      <c r="S1457" s="60">
        <v>0</v>
      </c>
      <c r="T1457" s="60">
        <v>0</v>
      </c>
      <c r="U1457" s="60">
        <v>0</v>
      </c>
      <c r="V1457" s="60">
        <v>0</v>
      </c>
      <c r="W1457" s="60">
        <v>0</v>
      </c>
      <c r="X1457" s="60">
        <v>0</v>
      </c>
      <c r="Y1457" s="60">
        <v>0</v>
      </c>
      <c r="Z1457" s="60">
        <v>0</v>
      </c>
      <c r="AA1457" s="60">
        <v>0</v>
      </c>
      <c r="AB1457" s="60">
        <v>0</v>
      </c>
      <c r="AC1457" s="60">
        <v>430</v>
      </c>
      <c r="AD1457" s="60">
        <v>432.17</v>
      </c>
      <c r="AE1457" s="60">
        <v>463.54</v>
      </c>
      <c r="AF1457" s="60">
        <v>0</v>
      </c>
      <c r="AG1457" s="60">
        <v>0</v>
      </c>
      <c r="AH1457" s="60">
        <v>0</v>
      </c>
      <c r="AI1457" s="60">
        <v>430</v>
      </c>
      <c r="AJ1457" s="60">
        <v>432.17</v>
      </c>
      <c r="AK1457" s="60">
        <v>463.54</v>
      </c>
      <c r="AL1457" s="60">
        <v>0</v>
      </c>
      <c r="AM1457" s="60">
        <v>0</v>
      </c>
      <c r="AN1457" s="60">
        <v>0</v>
      </c>
      <c r="AO1457" s="60">
        <v>430</v>
      </c>
      <c r="AP1457" s="60">
        <v>432.17</v>
      </c>
      <c r="AQ1457" s="60">
        <v>463.54</v>
      </c>
      <c r="AR1457" s="61">
        <v>463.54</v>
      </c>
    </row>
    <row r="1458" spans="1:44" x14ac:dyDescent="0.35">
      <c r="A1458" s="49" t="str">
        <f>TEXT(19,"00")</f>
        <v>19</v>
      </c>
      <c r="B1458" s="27">
        <v>64881</v>
      </c>
      <c r="C1458" s="25" t="str">
        <f>TEXT(113464,"0000000")</f>
        <v>0113464</v>
      </c>
      <c r="D1458" s="26" t="s">
        <v>1084</v>
      </c>
      <c r="E1458" s="25" t="s">
        <v>1082</v>
      </c>
      <c r="F1458" s="25" t="s">
        <v>602</v>
      </c>
      <c r="G1458" s="59" t="s">
        <v>1083</v>
      </c>
      <c r="H1458" s="60">
        <v>0</v>
      </c>
      <c r="I1458" s="60">
        <v>0</v>
      </c>
      <c r="J1458" s="60">
        <v>0</v>
      </c>
      <c r="K1458" s="60">
        <v>0</v>
      </c>
      <c r="L1458" s="60">
        <v>0</v>
      </c>
      <c r="M1458" s="60">
        <v>0</v>
      </c>
      <c r="N1458" s="60">
        <v>0</v>
      </c>
      <c r="O1458" s="60">
        <v>0</v>
      </c>
      <c r="P1458" s="60">
        <v>0</v>
      </c>
      <c r="Q1458" s="60">
        <v>0</v>
      </c>
      <c r="R1458" s="60">
        <v>0</v>
      </c>
      <c r="S1458" s="60">
        <v>0</v>
      </c>
      <c r="T1458" s="60">
        <v>0</v>
      </c>
      <c r="U1458" s="60">
        <v>0</v>
      </c>
      <c r="V1458" s="60">
        <v>0</v>
      </c>
      <c r="W1458" s="60">
        <v>0</v>
      </c>
      <c r="X1458" s="60">
        <v>0</v>
      </c>
      <c r="Y1458" s="60">
        <v>0</v>
      </c>
      <c r="Z1458" s="60">
        <v>0</v>
      </c>
      <c r="AA1458" s="60">
        <v>0</v>
      </c>
      <c r="AB1458" s="60">
        <v>0</v>
      </c>
      <c r="AC1458" s="60">
        <v>196.27</v>
      </c>
      <c r="AD1458" s="60">
        <v>235.43</v>
      </c>
      <c r="AE1458" s="60">
        <v>367.88</v>
      </c>
      <c r="AF1458" s="60">
        <v>0</v>
      </c>
      <c r="AG1458" s="60">
        <v>0</v>
      </c>
      <c r="AH1458" s="60">
        <v>0</v>
      </c>
      <c r="AI1458" s="60">
        <v>196.27</v>
      </c>
      <c r="AJ1458" s="60">
        <v>235.43</v>
      </c>
      <c r="AK1458" s="60">
        <v>367.88</v>
      </c>
      <c r="AL1458" s="60">
        <v>0</v>
      </c>
      <c r="AM1458" s="60">
        <v>0</v>
      </c>
      <c r="AN1458" s="60">
        <v>0</v>
      </c>
      <c r="AO1458" s="60">
        <v>196.27</v>
      </c>
      <c r="AP1458" s="60">
        <v>235.43</v>
      </c>
      <c r="AQ1458" s="60">
        <v>367.88</v>
      </c>
      <c r="AR1458" s="61">
        <v>367.88</v>
      </c>
    </row>
    <row r="1459" spans="1:44" x14ac:dyDescent="0.35">
      <c r="A1459" s="49" t="str">
        <f>TEXT(19,"00")</f>
        <v>19</v>
      </c>
      <c r="B1459" s="27">
        <v>64881</v>
      </c>
      <c r="C1459" s="25" t="str">
        <f>TEXT(113472,"0000000")</f>
        <v>0113472</v>
      </c>
      <c r="D1459" s="26" t="s">
        <v>1087</v>
      </c>
      <c r="E1459" s="25" t="s">
        <v>1085</v>
      </c>
      <c r="F1459" s="25" t="s">
        <v>602</v>
      </c>
      <c r="G1459" s="59" t="s">
        <v>1086</v>
      </c>
      <c r="H1459" s="60">
        <v>0</v>
      </c>
      <c r="I1459" s="60">
        <v>0</v>
      </c>
      <c r="J1459" s="60">
        <v>0</v>
      </c>
      <c r="K1459" s="60">
        <v>0</v>
      </c>
      <c r="L1459" s="60">
        <v>0</v>
      </c>
      <c r="M1459" s="60">
        <v>0</v>
      </c>
      <c r="N1459" s="60">
        <v>0</v>
      </c>
      <c r="O1459" s="60">
        <v>0</v>
      </c>
      <c r="P1459" s="60">
        <v>0</v>
      </c>
      <c r="Q1459" s="60">
        <v>0</v>
      </c>
      <c r="R1459" s="60">
        <v>0</v>
      </c>
      <c r="S1459" s="60">
        <v>0</v>
      </c>
      <c r="T1459" s="60">
        <v>0</v>
      </c>
      <c r="U1459" s="60">
        <v>0</v>
      </c>
      <c r="V1459" s="60">
        <v>0</v>
      </c>
      <c r="W1459" s="60">
        <v>0</v>
      </c>
      <c r="X1459" s="60">
        <v>0</v>
      </c>
      <c r="Y1459" s="60">
        <v>0</v>
      </c>
      <c r="Z1459" s="60">
        <v>0</v>
      </c>
      <c r="AA1459" s="60">
        <v>0</v>
      </c>
      <c r="AB1459" s="60">
        <v>0</v>
      </c>
      <c r="AC1459" s="60">
        <v>315.10000000000002</v>
      </c>
      <c r="AD1459" s="60">
        <v>332.27</v>
      </c>
      <c r="AE1459" s="60">
        <v>413.31</v>
      </c>
      <c r="AF1459" s="60">
        <v>0</v>
      </c>
      <c r="AG1459" s="60">
        <v>0</v>
      </c>
      <c r="AH1459" s="60">
        <v>0</v>
      </c>
      <c r="AI1459" s="60">
        <v>315.10000000000002</v>
      </c>
      <c r="AJ1459" s="60">
        <v>332.27</v>
      </c>
      <c r="AK1459" s="60">
        <v>413.31</v>
      </c>
      <c r="AL1459" s="60">
        <v>0</v>
      </c>
      <c r="AM1459" s="60">
        <v>0</v>
      </c>
      <c r="AN1459" s="60">
        <v>0</v>
      </c>
      <c r="AO1459" s="60">
        <v>315.10000000000002</v>
      </c>
      <c r="AP1459" s="60">
        <v>332.27</v>
      </c>
      <c r="AQ1459" s="60">
        <v>413.31</v>
      </c>
      <c r="AR1459" s="61">
        <v>413.31</v>
      </c>
    </row>
    <row r="1460" spans="1:44" x14ac:dyDescent="0.35">
      <c r="A1460" s="49" t="str">
        <f>TEXT(19,"00")</f>
        <v>19</v>
      </c>
      <c r="B1460" s="27">
        <v>64881</v>
      </c>
      <c r="C1460" s="25" t="str">
        <f>TEXT(113894,"0000000")</f>
        <v>0113894</v>
      </c>
      <c r="D1460" s="26" t="s">
        <v>1090</v>
      </c>
      <c r="E1460" s="25" t="s">
        <v>1088</v>
      </c>
      <c r="F1460" s="25" t="s">
        <v>602</v>
      </c>
      <c r="G1460" s="59" t="s">
        <v>1089</v>
      </c>
      <c r="H1460" s="60">
        <v>0</v>
      </c>
      <c r="I1460" s="60">
        <v>0</v>
      </c>
      <c r="J1460" s="60">
        <v>0</v>
      </c>
      <c r="K1460" s="60">
        <v>0</v>
      </c>
      <c r="L1460" s="60">
        <v>0</v>
      </c>
      <c r="M1460" s="60">
        <v>0</v>
      </c>
      <c r="N1460" s="60">
        <v>0</v>
      </c>
      <c r="O1460" s="60">
        <v>0</v>
      </c>
      <c r="P1460" s="60">
        <v>0</v>
      </c>
      <c r="Q1460" s="60">
        <v>0</v>
      </c>
      <c r="R1460" s="60">
        <v>0</v>
      </c>
      <c r="S1460" s="60">
        <v>0</v>
      </c>
      <c r="T1460" s="60">
        <v>0</v>
      </c>
      <c r="U1460" s="60">
        <v>0</v>
      </c>
      <c r="V1460" s="60">
        <v>0</v>
      </c>
      <c r="W1460" s="60">
        <v>0</v>
      </c>
      <c r="X1460" s="60">
        <v>0</v>
      </c>
      <c r="Y1460" s="60">
        <v>0</v>
      </c>
      <c r="Z1460" s="60">
        <v>0</v>
      </c>
      <c r="AA1460" s="60">
        <v>0</v>
      </c>
      <c r="AB1460" s="60">
        <v>0</v>
      </c>
      <c r="AC1460" s="60">
        <v>137.5</v>
      </c>
      <c r="AD1460" s="60">
        <v>149.69999999999999</v>
      </c>
      <c r="AE1460" s="60">
        <v>182.7</v>
      </c>
      <c r="AF1460" s="60">
        <v>0</v>
      </c>
      <c r="AG1460" s="60">
        <v>0</v>
      </c>
      <c r="AH1460" s="60">
        <v>0</v>
      </c>
      <c r="AI1460" s="60">
        <v>137.5</v>
      </c>
      <c r="AJ1460" s="60">
        <v>149.69999999999999</v>
      </c>
      <c r="AK1460" s="60">
        <v>182.7</v>
      </c>
      <c r="AL1460" s="60">
        <v>0</v>
      </c>
      <c r="AM1460" s="60">
        <v>0</v>
      </c>
      <c r="AN1460" s="60">
        <v>0</v>
      </c>
      <c r="AO1460" s="60">
        <v>137.5</v>
      </c>
      <c r="AP1460" s="60">
        <v>149.69999999999999</v>
      </c>
      <c r="AQ1460" s="60">
        <v>182.7</v>
      </c>
      <c r="AR1460" s="61">
        <v>182.7</v>
      </c>
    </row>
    <row r="1461" spans="1:44" x14ac:dyDescent="0.35">
      <c r="A1461" s="49" t="str">
        <f>TEXT(19,"00")</f>
        <v>19</v>
      </c>
      <c r="B1461" s="27">
        <v>64881</v>
      </c>
      <c r="C1461" s="25" t="str">
        <f>TEXT(136945,"0000000")</f>
        <v>0136945</v>
      </c>
      <c r="D1461" s="27">
        <v>1921</v>
      </c>
      <c r="E1461" s="25" t="s">
        <v>1091</v>
      </c>
      <c r="F1461" s="25" t="s">
        <v>602</v>
      </c>
      <c r="G1461" s="59" t="s">
        <v>1092</v>
      </c>
      <c r="H1461" s="60">
        <v>0</v>
      </c>
      <c r="I1461" s="60">
        <v>0</v>
      </c>
      <c r="J1461" s="60">
        <v>0</v>
      </c>
      <c r="K1461" s="60">
        <v>0</v>
      </c>
      <c r="L1461" s="60">
        <v>0</v>
      </c>
      <c r="M1461" s="60">
        <v>0</v>
      </c>
      <c r="N1461" s="60">
        <v>0</v>
      </c>
      <c r="O1461" s="60">
        <v>0</v>
      </c>
      <c r="P1461" s="60">
        <v>0</v>
      </c>
      <c r="Q1461" s="60">
        <v>0</v>
      </c>
      <c r="R1461" s="60">
        <v>0</v>
      </c>
      <c r="S1461" s="60">
        <v>0</v>
      </c>
      <c r="T1461" s="60">
        <v>0</v>
      </c>
      <c r="U1461" s="60">
        <v>0</v>
      </c>
      <c r="V1461" s="60">
        <v>0</v>
      </c>
      <c r="W1461" s="60">
        <v>0</v>
      </c>
      <c r="X1461" s="60">
        <v>0</v>
      </c>
      <c r="Y1461" s="60">
        <v>0</v>
      </c>
      <c r="Z1461" s="60">
        <v>0</v>
      </c>
      <c r="AA1461" s="60">
        <v>0</v>
      </c>
      <c r="AB1461" s="60">
        <v>0</v>
      </c>
      <c r="AC1461" s="60">
        <v>308.60000000000002</v>
      </c>
      <c r="AD1461" s="60">
        <v>298.67</v>
      </c>
      <c r="AE1461" s="60">
        <v>254.1</v>
      </c>
      <c r="AF1461" s="60">
        <v>0</v>
      </c>
      <c r="AG1461" s="60">
        <v>0</v>
      </c>
      <c r="AH1461" s="60">
        <v>0</v>
      </c>
      <c r="AI1461" s="60">
        <v>308.60000000000002</v>
      </c>
      <c r="AJ1461" s="60">
        <v>298.67</v>
      </c>
      <c r="AK1461" s="60">
        <v>254.1</v>
      </c>
      <c r="AL1461" s="60">
        <v>0</v>
      </c>
      <c r="AM1461" s="60">
        <v>0</v>
      </c>
      <c r="AN1461" s="60">
        <v>0</v>
      </c>
      <c r="AO1461" s="60">
        <v>308.60000000000002</v>
      </c>
      <c r="AP1461" s="60">
        <v>298.67</v>
      </c>
      <c r="AQ1461" s="60">
        <v>254.1</v>
      </c>
      <c r="AR1461" s="61">
        <v>308.60000000000002</v>
      </c>
    </row>
    <row r="1462" spans="1:44" x14ac:dyDescent="0.35">
      <c r="A1462" s="49" t="str">
        <f>TEXT(33,"00")</f>
        <v>33</v>
      </c>
      <c r="B1462" s="27">
        <v>10330</v>
      </c>
      <c r="C1462" s="25" t="str">
        <f>TEXT(137851,"0000000")</f>
        <v>0137851</v>
      </c>
      <c r="D1462" s="27">
        <v>1988</v>
      </c>
      <c r="E1462" s="25" t="s">
        <v>1706</v>
      </c>
      <c r="F1462" s="25" t="s">
        <v>602</v>
      </c>
      <c r="G1462" s="59" t="s">
        <v>1707</v>
      </c>
      <c r="H1462" s="60">
        <v>0</v>
      </c>
      <c r="I1462" s="60">
        <v>0</v>
      </c>
      <c r="J1462" s="60">
        <v>0</v>
      </c>
      <c r="K1462" s="60">
        <v>0</v>
      </c>
      <c r="L1462" s="60">
        <v>0</v>
      </c>
      <c r="M1462" s="60">
        <v>0</v>
      </c>
      <c r="N1462" s="60">
        <v>0</v>
      </c>
      <c r="O1462" s="60">
        <v>0</v>
      </c>
      <c r="P1462" s="60">
        <v>0</v>
      </c>
      <c r="Q1462" s="60">
        <v>0</v>
      </c>
      <c r="R1462" s="60">
        <v>0</v>
      </c>
      <c r="S1462" s="60">
        <v>0</v>
      </c>
      <c r="T1462" s="60">
        <v>0</v>
      </c>
      <c r="U1462" s="60">
        <v>0</v>
      </c>
      <c r="V1462" s="60">
        <v>0</v>
      </c>
      <c r="W1462" s="60">
        <v>0</v>
      </c>
      <c r="X1462" s="60">
        <v>0</v>
      </c>
      <c r="Y1462" s="60">
        <v>0</v>
      </c>
      <c r="Z1462" s="60">
        <v>0</v>
      </c>
      <c r="AA1462" s="60">
        <v>0</v>
      </c>
      <c r="AB1462" s="60">
        <v>0</v>
      </c>
      <c r="AC1462" s="60">
        <v>399.36</v>
      </c>
      <c r="AD1462" s="60">
        <v>334.74</v>
      </c>
      <c r="AE1462" s="60">
        <v>299.89999999999998</v>
      </c>
      <c r="AF1462" s="60">
        <v>0</v>
      </c>
      <c r="AG1462" s="60">
        <v>0</v>
      </c>
      <c r="AH1462" s="60">
        <v>0</v>
      </c>
      <c r="AI1462" s="60">
        <v>399.36</v>
      </c>
      <c r="AJ1462" s="60">
        <v>334.74</v>
      </c>
      <c r="AK1462" s="60">
        <v>299.89999999999998</v>
      </c>
      <c r="AL1462" s="60">
        <v>0</v>
      </c>
      <c r="AM1462" s="60">
        <v>0</v>
      </c>
      <c r="AN1462" s="60">
        <v>0</v>
      </c>
      <c r="AO1462" s="60">
        <v>399.36</v>
      </c>
      <c r="AP1462" s="60">
        <v>334.74</v>
      </c>
      <c r="AQ1462" s="60">
        <v>299.89999999999998</v>
      </c>
      <c r="AR1462" s="61">
        <v>399.36</v>
      </c>
    </row>
    <row r="1463" spans="1:44" x14ac:dyDescent="0.35">
      <c r="A1463" s="49" t="str">
        <f t="shared" ref="A1463:A1471" si="118">TEXT(36,"00")</f>
        <v>36</v>
      </c>
      <c r="B1463" s="27">
        <v>10363</v>
      </c>
      <c r="C1463" s="25" t="str">
        <f>TEXT(6111918,"0000000")</f>
        <v>6111918</v>
      </c>
      <c r="D1463" s="27">
        <v>1522</v>
      </c>
      <c r="E1463" s="25" t="s">
        <v>1921</v>
      </c>
      <c r="F1463" s="25" t="s">
        <v>602</v>
      </c>
      <c r="G1463" s="59" t="s">
        <v>1922</v>
      </c>
      <c r="H1463" s="60">
        <v>0</v>
      </c>
      <c r="I1463" s="60">
        <v>0</v>
      </c>
      <c r="J1463" s="60">
        <v>0</v>
      </c>
      <c r="K1463" s="60">
        <v>0</v>
      </c>
      <c r="L1463" s="60">
        <v>0</v>
      </c>
      <c r="M1463" s="60">
        <v>0</v>
      </c>
      <c r="N1463" s="60">
        <v>0</v>
      </c>
      <c r="O1463" s="60">
        <v>0</v>
      </c>
      <c r="P1463" s="60">
        <v>0</v>
      </c>
      <c r="Q1463" s="60">
        <v>0</v>
      </c>
      <c r="R1463" s="60">
        <v>0</v>
      </c>
      <c r="S1463" s="60">
        <v>0</v>
      </c>
      <c r="T1463" s="60">
        <v>0</v>
      </c>
      <c r="U1463" s="60">
        <v>0</v>
      </c>
      <c r="V1463" s="60">
        <v>0</v>
      </c>
      <c r="W1463" s="60">
        <v>0</v>
      </c>
      <c r="X1463" s="60">
        <v>0</v>
      </c>
      <c r="Y1463" s="60">
        <v>0</v>
      </c>
      <c r="Z1463" s="60">
        <v>0</v>
      </c>
      <c r="AA1463" s="60">
        <v>0</v>
      </c>
      <c r="AB1463" s="60">
        <v>0</v>
      </c>
      <c r="AC1463" s="60">
        <v>485.54</v>
      </c>
      <c r="AD1463" s="60">
        <v>472.1</v>
      </c>
      <c r="AE1463" s="60">
        <v>518.28</v>
      </c>
      <c r="AF1463" s="60">
        <v>0</v>
      </c>
      <c r="AG1463" s="60">
        <v>0</v>
      </c>
      <c r="AH1463" s="60">
        <v>0</v>
      </c>
      <c r="AI1463" s="60">
        <v>485.54</v>
      </c>
      <c r="AJ1463" s="60">
        <v>472.1</v>
      </c>
      <c r="AK1463" s="60">
        <v>518.28</v>
      </c>
      <c r="AL1463" s="60">
        <v>0</v>
      </c>
      <c r="AM1463" s="60">
        <v>0</v>
      </c>
      <c r="AN1463" s="60">
        <v>0</v>
      </c>
      <c r="AO1463" s="60">
        <v>485.54</v>
      </c>
      <c r="AP1463" s="60">
        <v>472.1</v>
      </c>
      <c r="AQ1463" s="60">
        <v>518.28</v>
      </c>
      <c r="AR1463" s="61">
        <v>518.28</v>
      </c>
    </row>
    <row r="1464" spans="1:44" x14ac:dyDescent="0.35">
      <c r="A1464" s="49" t="str">
        <f t="shared" si="118"/>
        <v>36</v>
      </c>
      <c r="B1464" s="27">
        <v>67587</v>
      </c>
      <c r="C1464" s="25" t="str">
        <f>TEXT(128462,"0000000")</f>
        <v>0128462</v>
      </c>
      <c r="D1464" s="27">
        <v>1520</v>
      </c>
      <c r="E1464" s="25" t="s">
        <v>1925</v>
      </c>
      <c r="F1464" s="25" t="s">
        <v>602</v>
      </c>
      <c r="G1464" s="59" t="s">
        <v>1926</v>
      </c>
      <c r="H1464" s="60">
        <v>0</v>
      </c>
      <c r="I1464" s="60">
        <v>0</v>
      </c>
      <c r="J1464" s="60">
        <v>0</v>
      </c>
      <c r="K1464" s="60">
        <v>0</v>
      </c>
      <c r="L1464" s="60">
        <v>0</v>
      </c>
      <c r="M1464" s="60">
        <v>0</v>
      </c>
      <c r="N1464" s="60">
        <v>0</v>
      </c>
      <c r="O1464" s="60">
        <v>0</v>
      </c>
      <c r="P1464" s="60">
        <v>0</v>
      </c>
      <c r="Q1464" s="60">
        <v>0</v>
      </c>
      <c r="R1464" s="60">
        <v>0</v>
      </c>
      <c r="S1464" s="60">
        <v>0</v>
      </c>
      <c r="T1464" s="60">
        <v>0</v>
      </c>
      <c r="U1464" s="60">
        <v>0</v>
      </c>
      <c r="V1464" s="60">
        <v>0</v>
      </c>
      <c r="W1464" s="60">
        <v>0</v>
      </c>
      <c r="X1464" s="60">
        <v>0</v>
      </c>
      <c r="Y1464" s="60">
        <v>0</v>
      </c>
      <c r="Z1464" s="60">
        <v>0</v>
      </c>
      <c r="AA1464" s="60">
        <v>0</v>
      </c>
      <c r="AB1464" s="60">
        <v>0</v>
      </c>
      <c r="AC1464" s="60">
        <v>479.43</v>
      </c>
      <c r="AD1464" s="60">
        <v>273.69</v>
      </c>
      <c r="AE1464" s="60">
        <v>177.3</v>
      </c>
      <c r="AF1464" s="60">
        <v>0</v>
      </c>
      <c r="AG1464" s="60">
        <v>0</v>
      </c>
      <c r="AH1464" s="60">
        <v>0</v>
      </c>
      <c r="AI1464" s="60">
        <v>479.43</v>
      </c>
      <c r="AJ1464" s="60">
        <v>273.69</v>
      </c>
      <c r="AK1464" s="60">
        <v>177.3</v>
      </c>
      <c r="AL1464" s="60">
        <v>0</v>
      </c>
      <c r="AM1464" s="60">
        <v>0</v>
      </c>
      <c r="AN1464" s="60">
        <v>0</v>
      </c>
      <c r="AO1464" s="60">
        <v>479.43</v>
      </c>
      <c r="AP1464" s="60">
        <v>273.69</v>
      </c>
      <c r="AQ1464" s="60">
        <v>177.3</v>
      </c>
      <c r="AR1464" s="61">
        <v>479.43</v>
      </c>
    </row>
    <row r="1465" spans="1:44" x14ac:dyDescent="0.35">
      <c r="A1465" s="49" t="str">
        <f t="shared" si="118"/>
        <v>36</v>
      </c>
      <c r="B1465" s="27">
        <v>67678</v>
      </c>
      <c r="C1465" s="25" t="str">
        <f>TEXT(137547,"0000000")</f>
        <v>0137547</v>
      </c>
      <c r="D1465" s="27">
        <v>1945</v>
      </c>
      <c r="E1465" s="25" t="s">
        <v>1939</v>
      </c>
      <c r="F1465" s="25" t="s">
        <v>602</v>
      </c>
      <c r="G1465" s="59" t="s">
        <v>1940</v>
      </c>
      <c r="H1465" s="60">
        <v>0</v>
      </c>
      <c r="I1465" s="60">
        <v>0</v>
      </c>
      <c r="J1465" s="60">
        <v>0</v>
      </c>
      <c r="K1465" s="60">
        <v>0</v>
      </c>
      <c r="L1465" s="60">
        <v>0</v>
      </c>
      <c r="M1465" s="60">
        <v>0</v>
      </c>
      <c r="N1465" s="60">
        <v>0</v>
      </c>
      <c r="O1465" s="60">
        <v>0</v>
      </c>
      <c r="P1465" s="60">
        <v>0</v>
      </c>
      <c r="Q1465" s="60">
        <v>0</v>
      </c>
      <c r="R1465" s="60">
        <v>0</v>
      </c>
      <c r="S1465" s="60">
        <v>0</v>
      </c>
      <c r="T1465" s="60">
        <v>0</v>
      </c>
      <c r="U1465" s="60">
        <v>0</v>
      </c>
      <c r="V1465" s="60">
        <v>0</v>
      </c>
      <c r="W1465" s="60">
        <v>0</v>
      </c>
      <c r="X1465" s="60">
        <v>0</v>
      </c>
      <c r="Y1465" s="60">
        <v>0</v>
      </c>
      <c r="Z1465" s="60">
        <v>0</v>
      </c>
      <c r="AA1465" s="60">
        <v>0</v>
      </c>
      <c r="AB1465" s="60">
        <v>0</v>
      </c>
      <c r="AC1465" s="60">
        <v>898.44</v>
      </c>
      <c r="AD1465" s="60">
        <v>843.61</v>
      </c>
      <c r="AE1465" s="60">
        <v>773.6</v>
      </c>
      <c r="AF1465" s="60">
        <v>0</v>
      </c>
      <c r="AG1465" s="60">
        <v>0</v>
      </c>
      <c r="AH1465" s="60">
        <v>0</v>
      </c>
      <c r="AI1465" s="60">
        <v>898.44</v>
      </c>
      <c r="AJ1465" s="60">
        <v>843.61</v>
      </c>
      <c r="AK1465" s="60">
        <v>773.6</v>
      </c>
      <c r="AL1465" s="60">
        <v>0</v>
      </c>
      <c r="AM1465" s="60">
        <v>0</v>
      </c>
      <c r="AN1465" s="60">
        <v>0</v>
      </c>
      <c r="AO1465" s="60">
        <v>898.44</v>
      </c>
      <c r="AP1465" s="60">
        <v>843.61</v>
      </c>
      <c r="AQ1465" s="60">
        <v>773.6</v>
      </c>
      <c r="AR1465" s="61">
        <v>898.44</v>
      </c>
    </row>
    <row r="1466" spans="1:44" x14ac:dyDescent="0.35">
      <c r="A1466" s="49" t="str">
        <f t="shared" si="118"/>
        <v>36</v>
      </c>
      <c r="B1466" s="27">
        <v>67876</v>
      </c>
      <c r="C1466" s="25" t="str">
        <f>TEXT(107730,"0000000")</f>
        <v>0107730</v>
      </c>
      <c r="D1466" s="26" t="s">
        <v>1980</v>
      </c>
      <c r="E1466" s="25" t="s">
        <v>1978</v>
      </c>
      <c r="F1466" s="25" t="s">
        <v>602</v>
      </c>
      <c r="G1466" s="59" t="s">
        <v>1979</v>
      </c>
      <c r="H1466" s="60">
        <v>0</v>
      </c>
      <c r="I1466" s="60">
        <v>0</v>
      </c>
      <c r="J1466" s="60">
        <v>0</v>
      </c>
      <c r="K1466" s="60">
        <v>0</v>
      </c>
      <c r="L1466" s="60">
        <v>0</v>
      </c>
      <c r="M1466" s="60">
        <v>0</v>
      </c>
      <c r="N1466" s="60">
        <v>0</v>
      </c>
      <c r="O1466" s="60">
        <v>0</v>
      </c>
      <c r="P1466" s="60">
        <v>0</v>
      </c>
      <c r="Q1466" s="60">
        <v>0</v>
      </c>
      <c r="R1466" s="60">
        <v>0</v>
      </c>
      <c r="S1466" s="60">
        <v>0</v>
      </c>
      <c r="T1466" s="60">
        <v>0</v>
      </c>
      <c r="U1466" s="60">
        <v>0</v>
      </c>
      <c r="V1466" s="60">
        <v>0</v>
      </c>
      <c r="W1466" s="60">
        <v>0</v>
      </c>
      <c r="X1466" s="60">
        <v>0</v>
      </c>
      <c r="Y1466" s="60">
        <v>0</v>
      </c>
      <c r="Z1466" s="60">
        <v>0</v>
      </c>
      <c r="AA1466" s="60">
        <v>0</v>
      </c>
      <c r="AB1466" s="60">
        <v>0</v>
      </c>
      <c r="AC1466" s="60">
        <v>247.24</v>
      </c>
      <c r="AD1466" s="60">
        <v>188.16</v>
      </c>
      <c r="AE1466" s="60">
        <v>0</v>
      </c>
      <c r="AF1466" s="60">
        <v>0</v>
      </c>
      <c r="AG1466" s="60">
        <v>0</v>
      </c>
      <c r="AH1466" s="60">
        <v>0</v>
      </c>
      <c r="AI1466" s="60">
        <v>247.24</v>
      </c>
      <c r="AJ1466" s="60">
        <v>188.16</v>
      </c>
      <c r="AK1466" s="60">
        <v>0</v>
      </c>
      <c r="AL1466" s="60">
        <v>0</v>
      </c>
      <c r="AM1466" s="60">
        <v>0</v>
      </c>
      <c r="AN1466" s="60">
        <v>0</v>
      </c>
      <c r="AO1466" s="60">
        <v>247.24</v>
      </c>
      <c r="AP1466" s="60">
        <v>188.16</v>
      </c>
      <c r="AQ1466" s="60">
        <v>0</v>
      </c>
      <c r="AR1466" s="61">
        <v>247.24</v>
      </c>
    </row>
    <row r="1467" spans="1:44" x14ac:dyDescent="0.35">
      <c r="A1467" s="49" t="str">
        <f t="shared" si="118"/>
        <v>36</v>
      </c>
      <c r="B1467" s="27">
        <v>75044</v>
      </c>
      <c r="C1467" s="25" t="str">
        <f>TEXT(112441,"0000000")</f>
        <v>0112441</v>
      </c>
      <c r="D1467" s="26" t="s">
        <v>2015</v>
      </c>
      <c r="E1467" s="25" t="s">
        <v>2013</v>
      </c>
      <c r="F1467" s="25" t="s">
        <v>602</v>
      </c>
      <c r="G1467" s="59" t="s">
        <v>2014</v>
      </c>
      <c r="H1467" s="60">
        <v>0</v>
      </c>
      <c r="I1467" s="60">
        <v>0</v>
      </c>
      <c r="J1467" s="60">
        <v>0</v>
      </c>
      <c r="K1467" s="60">
        <v>0</v>
      </c>
      <c r="L1467" s="60">
        <v>0</v>
      </c>
      <c r="M1467" s="60">
        <v>0</v>
      </c>
      <c r="N1467" s="60">
        <v>0</v>
      </c>
      <c r="O1467" s="60">
        <v>0</v>
      </c>
      <c r="P1467" s="60">
        <v>0</v>
      </c>
      <c r="Q1467" s="60">
        <v>0</v>
      </c>
      <c r="R1467" s="60">
        <v>0</v>
      </c>
      <c r="S1467" s="60">
        <v>0</v>
      </c>
      <c r="T1467" s="60">
        <v>0</v>
      </c>
      <c r="U1467" s="60">
        <v>0</v>
      </c>
      <c r="V1467" s="60">
        <v>0</v>
      </c>
      <c r="W1467" s="60">
        <v>0</v>
      </c>
      <c r="X1467" s="60">
        <v>0</v>
      </c>
      <c r="Y1467" s="60">
        <v>0</v>
      </c>
      <c r="Z1467" s="60">
        <v>0</v>
      </c>
      <c r="AA1467" s="60">
        <v>0</v>
      </c>
      <c r="AB1467" s="60">
        <v>0</v>
      </c>
      <c r="AC1467" s="60">
        <v>333.98</v>
      </c>
      <c r="AD1467" s="60">
        <v>311.36</v>
      </c>
      <c r="AE1467" s="60">
        <v>342.8</v>
      </c>
      <c r="AF1467" s="60">
        <v>0</v>
      </c>
      <c r="AG1467" s="60">
        <v>0</v>
      </c>
      <c r="AH1467" s="60">
        <v>0</v>
      </c>
      <c r="AI1467" s="60">
        <v>333.98</v>
      </c>
      <c r="AJ1467" s="60">
        <v>311.36</v>
      </c>
      <c r="AK1467" s="60">
        <v>342.8</v>
      </c>
      <c r="AL1467" s="60">
        <v>0</v>
      </c>
      <c r="AM1467" s="60">
        <v>0</v>
      </c>
      <c r="AN1467" s="60">
        <v>0</v>
      </c>
      <c r="AO1467" s="60">
        <v>333.98</v>
      </c>
      <c r="AP1467" s="60">
        <v>311.36</v>
      </c>
      <c r="AQ1467" s="60">
        <v>342.8</v>
      </c>
      <c r="AR1467" s="61">
        <v>342.8</v>
      </c>
    </row>
    <row r="1468" spans="1:44" ht="31" x14ac:dyDescent="0.35">
      <c r="A1468" s="49" t="str">
        <f t="shared" si="118"/>
        <v>36</v>
      </c>
      <c r="B1468" s="27">
        <v>75044</v>
      </c>
      <c r="C1468" s="25" t="str">
        <f>TEXT(116707,"0000000")</f>
        <v>0116707</v>
      </c>
      <c r="D1468" s="26" t="s">
        <v>2021</v>
      </c>
      <c r="E1468" s="25" t="s">
        <v>2019</v>
      </c>
      <c r="F1468" s="25" t="s">
        <v>602</v>
      </c>
      <c r="G1468" s="59" t="s">
        <v>2020</v>
      </c>
      <c r="H1468" s="60">
        <v>0</v>
      </c>
      <c r="I1468" s="60">
        <v>0</v>
      </c>
      <c r="J1468" s="60">
        <v>0</v>
      </c>
      <c r="K1468" s="60">
        <v>0</v>
      </c>
      <c r="L1468" s="60">
        <v>0</v>
      </c>
      <c r="M1468" s="60">
        <v>0</v>
      </c>
      <c r="N1468" s="60">
        <v>0</v>
      </c>
      <c r="O1468" s="60">
        <v>0</v>
      </c>
      <c r="P1468" s="60">
        <v>0</v>
      </c>
      <c r="Q1468" s="60">
        <v>0</v>
      </c>
      <c r="R1468" s="60">
        <v>0</v>
      </c>
      <c r="S1468" s="60">
        <v>0</v>
      </c>
      <c r="T1468" s="60">
        <v>0</v>
      </c>
      <c r="U1468" s="60">
        <v>0</v>
      </c>
      <c r="V1468" s="60">
        <v>0</v>
      </c>
      <c r="W1468" s="60">
        <v>0</v>
      </c>
      <c r="X1468" s="60">
        <v>0</v>
      </c>
      <c r="Y1468" s="60">
        <v>0</v>
      </c>
      <c r="Z1468" s="60">
        <v>0</v>
      </c>
      <c r="AA1468" s="60">
        <v>0</v>
      </c>
      <c r="AB1468" s="60">
        <v>0</v>
      </c>
      <c r="AC1468" s="60">
        <v>581.89</v>
      </c>
      <c r="AD1468" s="60">
        <v>603.35</v>
      </c>
      <c r="AE1468" s="60">
        <v>899.27</v>
      </c>
      <c r="AF1468" s="60">
        <v>0</v>
      </c>
      <c r="AG1468" s="60">
        <v>0</v>
      </c>
      <c r="AH1468" s="60">
        <v>0</v>
      </c>
      <c r="AI1468" s="60">
        <v>581.89</v>
      </c>
      <c r="AJ1468" s="60">
        <v>603.35</v>
      </c>
      <c r="AK1468" s="60">
        <v>899.27</v>
      </c>
      <c r="AL1468" s="60">
        <v>0</v>
      </c>
      <c r="AM1468" s="60">
        <v>0</v>
      </c>
      <c r="AN1468" s="60">
        <v>0</v>
      </c>
      <c r="AO1468" s="60">
        <v>581.89</v>
      </c>
      <c r="AP1468" s="60">
        <v>603.35</v>
      </c>
      <c r="AQ1468" s="60">
        <v>899.27</v>
      </c>
      <c r="AR1468" s="61">
        <v>899.27</v>
      </c>
    </row>
    <row r="1469" spans="1:44" x14ac:dyDescent="0.35">
      <c r="A1469" s="49" t="str">
        <f t="shared" si="118"/>
        <v>36</v>
      </c>
      <c r="B1469" s="27">
        <v>75044</v>
      </c>
      <c r="C1469" s="25" t="str">
        <f>TEXT(118059,"0000000")</f>
        <v>0118059</v>
      </c>
      <c r="D1469" s="27">
        <v>1034</v>
      </c>
      <c r="E1469" s="25" t="s">
        <v>2022</v>
      </c>
      <c r="F1469" s="25" t="s">
        <v>602</v>
      </c>
      <c r="G1469" s="59" t="s">
        <v>2023</v>
      </c>
      <c r="H1469" s="60">
        <v>0</v>
      </c>
      <c r="I1469" s="60">
        <v>0</v>
      </c>
      <c r="J1469" s="60">
        <v>0</v>
      </c>
      <c r="K1469" s="60">
        <v>0</v>
      </c>
      <c r="L1469" s="60">
        <v>0</v>
      </c>
      <c r="M1469" s="60">
        <v>0</v>
      </c>
      <c r="N1469" s="60">
        <v>0</v>
      </c>
      <c r="O1469" s="60">
        <v>0</v>
      </c>
      <c r="P1469" s="60">
        <v>0</v>
      </c>
      <c r="Q1469" s="60">
        <v>0</v>
      </c>
      <c r="R1469" s="60">
        <v>0</v>
      </c>
      <c r="S1469" s="60">
        <v>0</v>
      </c>
      <c r="T1469" s="60">
        <v>0</v>
      </c>
      <c r="U1469" s="60">
        <v>0</v>
      </c>
      <c r="V1469" s="60">
        <v>0</v>
      </c>
      <c r="W1469" s="60">
        <v>0</v>
      </c>
      <c r="X1469" s="60">
        <v>0</v>
      </c>
      <c r="Y1469" s="60">
        <v>0</v>
      </c>
      <c r="Z1469" s="60">
        <v>0</v>
      </c>
      <c r="AA1469" s="60">
        <v>0</v>
      </c>
      <c r="AB1469" s="60">
        <v>0</v>
      </c>
      <c r="AC1469" s="60">
        <v>507.28</v>
      </c>
      <c r="AD1469" s="60">
        <v>471.51</v>
      </c>
      <c r="AE1469" s="60">
        <v>444.22</v>
      </c>
      <c r="AF1469" s="60">
        <v>0</v>
      </c>
      <c r="AG1469" s="60">
        <v>0</v>
      </c>
      <c r="AH1469" s="60">
        <v>0</v>
      </c>
      <c r="AI1469" s="60">
        <v>507.28</v>
      </c>
      <c r="AJ1469" s="60">
        <v>471.51</v>
      </c>
      <c r="AK1469" s="60">
        <v>444.22</v>
      </c>
      <c r="AL1469" s="60">
        <v>0</v>
      </c>
      <c r="AM1469" s="60">
        <v>0</v>
      </c>
      <c r="AN1469" s="60">
        <v>0</v>
      </c>
      <c r="AO1469" s="60">
        <v>507.28</v>
      </c>
      <c r="AP1469" s="60">
        <v>471.51</v>
      </c>
      <c r="AQ1469" s="60">
        <v>444.22</v>
      </c>
      <c r="AR1469" s="61">
        <v>507.28</v>
      </c>
    </row>
    <row r="1470" spans="1:44" x14ac:dyDescent="0.35">
      <c r="A1470" s="49" t="str">
        <f t="shared" si="118"/>
        <v>36</v>
      </c>
      <c r="B1470" s="27">
        <v>75051</v>
      </c>
      <c r="C1470" s="25" t="str">
        <f>TEXT(136960,"0000000")</f>
        <v>0136960</v>
      </c>
      <c r="D1470" s="27">
        <v>1923</v>
      </c>
      <c r="E1470" s="25" t="s">
        <v>2031</v>
      </c>
      <c r="F1470" s="25" t="s">
        <v>602</v>
      </c>
      <c r="G1470" s="59" t="s">
        <v>2032</v>
      </c>
      <c r="H1470" s="60">
        <v>0</v>
      </c>
      <c r="I1470" s="60">
        <v>0</v>
      </c>
      <c r="J1470" s="60">
        <v>0</v>
      </c>
      <c r="K1470" s="60">
        <v>0</v>
      </c>
      <c r="L1470" s="60">
        <v>0</v>
      </c>
      <c r="M1470" s="60">
        <v>0</v>
      </c>
      <c r="N1470" s="60">
        <v>0</v>
      </c>
      <c r="O1470" s="60">
        <v>0</v>
      </c>
      <c r="P1470" s="60">
        <v>0</v>
      </c>
      <c r="Q1470" s="60">
        <v>0</v>
      </c>
      <c r="R1470" s="60">
        <v>0</v>
      </c>
      <c r="S1470" s="60">
        <v>0</v>
      </c>
      <c r="T1470" s="60">
        <v>0</v>
      </c>
      <c r="U1470" s="60">
        <v>0</v>
      </c>
      <c r="V1470" s="60">
        <v>0</v>
      </c>
      <c r="W1470" s="60">
        <v>0</v>
      </c>
      <c r="X1470" s="60">
        <v>0</v>
      </c>
      <c r="Y1470" s="60">
        <v>0</v>
      </c>
      <c r="Z1470" s="60">
        <v>0</v>
      </c>
      <c r="AA1470" s="60">
        <v>0</v>
      </c>
      <c r="AB1470" s="60">
        <v>0</v>
      </c>
      <c r="AC1470" s="60">
        <v>828.69</v>
      </c>
      <c r="AD1470" s="60">
        <v>675.55</v>
      </c>
      <c r="AE1470" s="60">
        <v>546.58000000000004</v>
      </c>
      <c r="AF1470" s="60">
        <v>0</v>
      </c>
      <c r="AG1470" s="60">
        <v>0</v>
      </c>
      <c r="AH1470" s="60">
        <v>0</v>
      </c>
      <c r="AI1470" s="60">
        <v>828.69</v>
      </c>
      <c r="AJ1470" s="60">
        <v>675.55</v>
      </c>
      <c r="AK1470" s="60">
        <v>546.58000000000004</v>
      </c>
      <c r="AL1470" s="60">
        <v>0</v>
      </c>
      <c r="AM1470" s="60">
        <v>0</v>
      </c>
      <c r="AN1470" s="60">
        <v>0</v>
      </c>
      <c r="AO1470" s="60">
        <v>828.69</v>
      </c>
      <c r="AP1470" s="60">
        <v>675.55</v>
      </c>
      <c r="AQ1470" s="60">
        <v>546.58000000000004</v>
      </c>
      <c r="AR1470" s="61">
        <v>828.69</v>
      </c>
    </row>
    <row r="1471" spans="1:44" x14ac:dyDescent="0.35">
      <c r="A1471" s="49" t="str">
        <f t="shared" si="118"/>
        <v>36</v>
      </c>
      <c r="B1471" s="27">
        <v>75051</v>
      </c>
      <c r="C1471" s="25" t="str">
        <f>TEXT(138107,"0000000")</f>
        <v>0138107</v>
      </c>
      <c r="D1471" s="27">
        <v>1975</v>
      </c>
      <c r="E1471" s="25" t="s">
        <v>2035</v>
      </c>
      <c r="F1471" s="25" t="s">
        <v>602</v>
      </c>
      <c r="G1471" s="59" t="s">
        <v>2036</v>
      </c>
      <c r="H1471" s="60">
        <v>0</v>
      </c>
      <c r="I1471" s="60">
        <v>0</v>
      </c>
      <c r="J1471" s="60">
        <v>0</v>
      </c>
      <c r="K1471" s="60">
        <v>0</v>
      </c>
      <c r="L1471" s="60">
        <v>0</v>
      </c>
      <c r="M1471" s="60">
        <v>0</v>
      </c>
      <c r="N1471" s="60">
        <v>0</v>
      </c>
      <c r="O1471" s="60">
        <v>0</v>
      </c>
      <c r="P1471" s="60">
        <v>0</v>
      </c>
      <c r="Q1471" s="60">
        <v>0</v>
      </c>
      <c r="R1471" s="60">
        <v>0</v>
      </c>
      <c r="S1471" s="60">
        <v>0</v>
      </c>
      <c r="T1471" s="60">
        <v>0</v>
      </c>
      <c r="U1471" s="60">
        <v>0</v>
      </c>
      <c r="V1471" s="60">
        <v>0</v>
      </c>
      <c r="W1471" s="60">
        <v>0</v>
      </c>
      <c r="X1471" s="60">
        <v>0</v>
      </c>
      <c r="Y1471" s="60">
        <v>0</v>
      </c>
      <c r="Z1471" s="60">
        <v>0</v>
      </c>
      <c r="AA1471" s="60">
        <v>0</v>
      </c>
      <c r="AB1471" s="60">
        <v>0</v>
      </c>
      <c r="AC1471" s="60">
        <v>586.92999999999995</v>
      </c>
      <c r="AD1471" s="60">
        <v>446.23</v>
      </c>
      <c r="AE1471" s="60">
        <v>62.28</v>
      </c>
      <c r="AF1471" s="60">
        <v>0</v>
      </c>
      <c r="AG1471" s="60">
        <v>0</v>
      </c>
      <c r="AH1471" s="60">
        <v>0</v>
      </c>
      <c r="AI1471" s="60">
        <v>586.92999999999995</v>
      </c>
      <c r="AJ1471" s="60">
        <v>446.23</v>
      </c>
      <c r="AK1471" s="60">
        <v>62.28</v>
      </c>
      <c r="AL1471" s="60">
        <v>0</v>
      </c>
      <c r="AM1471" s="60">
        <v>0</v>
      </c>
      <c r="AN1471" s="60">
        <v>0</v>
      </c>
      <c r="AO1471" s="60">
        <v>586.92999999999995</v>
      </c>
      <c r="AP1471" s="60">
        <v>446.23</v>
      </c>
      <c r="AQ1471" s="60">
        <v>62.28</v>
      </c>
      <c r="AR1471" s="61">
        <v>586.92999999999995</v>
      </c>
    </row>
    <row r="1472" spans="1:44" x14ac:dyDescent="0.35">
      <c r="A1472" s="49" t="str">
        <f>TEXT(37,"00")</f>
        <v>37</v>
      </c>
      <c r="B1472" s="27">
        <v>68023</v>
      </c>
      <c r="C1472" s="25" t="str">
        <f>TEXT(119594,"0000000")</f>
        <v>0119594</v>
      </c>
      <c r="D1472" s="27">
        <v>1082</v>
      </c>
      <c r="E1472" s="25" t="s">
        <v>2090</v>
      </c>
      <c r="F1472" s="25" t="s">
        <v>602</v>
      </c>
      <c r="G1472" s="59" t="s">
        <v>2091</v>
      </c>
      <c r="H1472" s="60">
        <v>0</v>
      </c>
      <c r="I1472" s="60">
        <v>0</v>
      </c>
      <c r="J1472" s="60">
        <v>0</v>
      </c>
      <c r="K1472" s="60">
        <v>0</v>
      </c>
      <c r="L1472" s="60">
        <v>0</v>
      </c>
      <c r="M1472" s="60">
        <v>0</v>
      </c>
      <c r="N1472" s="60">
        <v>0</v>
      </c>
      <c r="O1472" s="60">
        <v>0</v>
      </c>
      <c r="P1472" s="60">
        <v>0</v>
      </c>
      <c r="Q1472" s="60">
        <v>0</v>
      </c>
      <c r="R1472" s="60">
        <v>0</v>
      </c>
      <c r="S1472" s="60">
        <v>0</v>
      </c>
      <c r="T1472" s="60">
        <v>0</v>
      </c>
      <c r="U1472" s="60">
        <v>0</v>
      </c>
      <c r="V1472" s="60">
        <v>0</v>
      </c>
      <c r="W1472" s="60">
        <v>0</v>
      </c>
      <c r="X1472" s="60">
        <v>0</v>
      </c>
      <c r="Y1472" s="60">
        <v>0</v>
      </c>
      <c r="Z1472" s="60">
        <v>0</v>
      </c>
      <c r="AA1472" s="60">
        <v>0</v>
      </c>
      <c r="AB1472" s="60">
        <v>0</v>
      </c>
      <c r="AC1472" s="60">
        <v>234.62</v>
      </c>
      <c r="AD1472" s="60">
        <v>219.38</v>
      </c>
      <c r="AE1472" s="60">
        <v>236.68</v>
      </c>
      <c r="AF1472" s="60">
        <v>0</v>
      </c>
      <c r="AG1472" s="60">
        <v>0</v>
      </c>
      <c r="AH1472" s="60">
        <v>0</v>
      </c>
      <c r="AI1472" s="60">
        <v>234.62</v>
      </c>
      <c r="AJ1472" s="60">
        <v>219.38</v>
      </c>
      <c r="AK1472" s="60">
        <v>236.68</v>
      </c>
      <c r="AL1472" s="60">
        <v>0</v>
      </c>
      <c r="AM1472" s="60">
        <v>0</v>
      </c>
      <c r="AN1472" s="60">
        <v>0</v>
      </c>
      <c r="AO1472" s="60">
        <v>234.62</v>
      </c>
      <c r="AP1472" s="60">
        <v>219.38</v>
      </c>
      <c r="AQ1472" s="60">
        <v>236.68</v>
      </c>
      <c r="AR1472" s="61">
        <v>236.68</v>
      </c>
    </row>
    <row r="1473" spans="1:44" x14ac:dyDescent="0.35">
      <c r="A1473" s="49" t="str">
        <f t="shared" ref="A1473:A1484" si="119">TEXT(35,"00")</f>
        <v>35</v>
      </c>
      <c r="B1473" s="27">
        <v>10355</v>
      </c>
      <c r="C1473" s="25" t="str">
        <f t="shared" ref="C1473:C1495" si="120">TEXT(,"0000000")</f>
        <v>0000000</v>
      </c>
      <c r="D1473" s="26" t="s">
        <v>3663</v>
      </c>
      <c r="E1473" s="25" t="s">
        <v>1882</v>
      </c>
      <c r="F1473" s="25" t="s">
        <v>1883</v>
      </c>
      <c r="G1473" s="59" t="s">
        <v>1883</v>
      </c>
      <c r="H1473" s="60">
        <v>0</v>
      </c>
      <c r="I1473" s="60">
        <v>0</v>
      </c>
      <c r="J1473" s="60">
        <v>0</v>
      </c>
      <c r="K1473" s="60">
        <v>0</v>
      </c>
      <c r="L1473" s="60">
        <v>0</v>
      </c>
      <c r="M1473" s="60">
        <v>0</v>
      </c>
      <c r="N1473" s="60">
        <v>0</v>
      </c>
      <c r="O1473" s="60">
        <v>0</v>
      </c>
      <c r="P1473" s="60">
        <v>0</v>
      </c>
      <c r="Q1473" s="60">
        <v>0</v>
      </c>
      <c r="R1473" s="60">
        <v>0</v>
      </c>
      <c r="S1473" s="60">
        <v>0</v>
      </c>
      <c r="T1473" s="60">
        <v>14.6</v>
      </c>
      <c r="U1473" s="60">
        <v>6.15</v>
      </c>
      <c r="V1473" s="60">
        <v>12.92</v>
      </c>
      <c r="W1473" s="60">
        <v>18.309999999999999</v>
      </c>
      <c r="X1473" s="60">
        <v>15.76</v>
      </c>
      <c r="Y1473" s="60">
        <v>18.329999999999998</v>
      </c>
      <c r="Z1473" s="60">
        <v>0</v>
      </c>
      <c r="AA1473" s="60">
        <v>0</v>
      </c>
      <c r="AB1473" s="60">
        <v>0</v>
      </c>
      <c r="AC1473" s="60">
        <v>0</v>
      </c>
      <c r="AD1473" s="60">
        <v>0</v>
      </c>
      <c r="AE1473" s="60">
        <v>0</v>
      </c>
      <c r="AF1473" s="60">
        <v>0</v>
      </c>
      <c r="AG1473" s="60">
        <v>0</v>
      </c>
      <c r="AH1473" s="60">
        <v>0</v>
      </c>
      <c r="AI1473" s="60">
        <v>32.909999999999997</v>
      </c>
      <c r="AJ1473" s="60">
        <v>21.91</v>
      </c>
      <c r="AK1473" s="60">
        <v>31.25</v>
      </c>
      <c r="AL1473" s="60">
        <v>0</v>
      </c>
      <c r="AM1473" s="60">
        <v>0</v>
      </c>
      <c r="AN1473" s="60">
        <v>0</v>
      </c>
      <c r="AO1473" s="60">
        <v>32.909999999999997</v>
      </c>
      <c r="AP1473" s="60">
        <v>21.91</v>
      </c>
      <c r="AQ1473" s="60">
        <v>31.25</v>
      </c>
      <c r="AR1473" s="61">
        <v>32.909999999999997</v>
      </c>
    </row>
    <row r="1474" spans="1:44" x14ac:dyDescent="0.35">
      <c r="A1474" s="49" t="str">
        <f t="shared" si="119"/>
        <v>35</v>
      </c>
      <c r="B1474" s="27">
        <v>75259</v>
      </c>
      <c r="C1474" s="25" t="str">
        <f t="shared" si="120"/>
        <v>0000000</v>
      </c>
      <c r="D1474" s="26" t="s">
        <v>3663</v>
      </c>
      <c r="E1474" s="25" t="s">
        <v>1906</v>
      </c>
      <c r="F1474" s="25" t="s">
        <v>1883</v>
      </c>
      <c r="G1474" s="59" t="s">
        <v>1907</v>
      </c>
      <c r="H1474" s="60">
        <v>889.38</v>
      </c>
      <c r="I1474" s="60">
        <v>882.51</v>
      </c>
      <c r="J1474" s="60">
        <v>958.41</v>
      </c>
      <c r="K1474" s="60">
        <v>0</v>
      </c>
      <c r="L1474" s="60">
        <v>0</v>
      </c>
      <c r="M1474" s="60">
        <v>0</v>
      </c>
      <c r="N1474" s="60">
        <v>0</v>
      </c>
      <c r="O1474" s="60">
        <v>0</v>
      </c>
      <c r="P1474" s="60">
        <v>0</v>
      </c>
      <c r="Q1474" s="60">
        <v>0</v>
      </c>
      <c r="R1474" s="60">
        <v>0</v>
      </c>
      <c r="S1474" s="60">
        <v>0</v>
      </c>
      <c r="T1474" s="60">
        <v>0</v>
      </c>
      <c r="U1474" s="60">
        <v>0</v>
      </c>
      <c r="V1474" s="60">
        <v>0</v>
      </c>
      <c r="W1474" s="60">
        <v>0</v>
      </c>
      <c r="X1474" s="60">
        <v>0</v>
      </c>
      <c r="Y1474" s="60">
        <v>0</v>
      </c>
      <c r="Z1474" s="60">
        <v>0</v>
      </c>
      <c r="AA1474" s="60">
        <v>0</v>
      </c>
      <c r="AB1474" s="60">
        <v>0</v>
      </c>
      <c r="AC1474" s="60">
        <v>0</v>
      </c>
      <c r="AD1474" s="60">
        <v>0</v>
      </c>
      <c r="AE1474" s="60">
        <v>0</v>
      </c>
      <c r="AF1474" s="60">
        <v>0</v>
      </c>
      <c r="AG1474" s="60">
        <v>0</v>
      </c>
      <c r="AH1474" s="60">
        <v>0</v>
      </c>
      <c r="AI1474" s="60">
        <v>889.38</v>
      </c>
      <c r="AJ1474" s="60">
        <v>882.51</v>
      </c>
      <c r="AK1474" s="60">
        <v>958.41</v>
      </c>
      <c r="AL1474" s="60">
        <v>0</v>
      </c>
      <c r="AM1474" s="60">
        <v>0</v>
      </c>
      <c r="AN1474" s="60">
        <v>0</v>
      </c>
      <c r="AO1474" s="60">
        <v>889.38</v>
      </c>
      <c r="AP1474" s="60">
        <v>882.51</v>
      </c>
      <c r="AQ1474" s="60">
        <v>958.41</v>
      </c>
      <c r="AR1474" s="61">
        <v>958.41</v>
      </c>
    </row>
    <row r="1475" spans="1:44" x14ac:dyDescent="0.35">
      <c r="A1475" s="49" t="str">
        <f t="shared" si="119"/>
        <v>35</v>
      </c>
      <c r="B1475" s="27">
        <v>67470</v>
      </c>
      <c r="C1475" s="25" t="str">
        <f t="shared" si="120"/>
        <v>0000000</v>
      </c>
      <c r="D1475" s="26" t="s">
        <v>3663</v>
      </c>
      <c r="E1475" s="25" t="s">
        <v>1888</v>
      </c>
      <c r="F1475" s="25" t="s">
        <v>1883</v>
      </c>
      <c r="G1475" s="59" t="s">
        <v>1889</v>
      </c>
      <c r="H1475" s="60">
        <v>5200.9399999999996</v>
      </c>
      <c r="I1475" s="60">
        <v>5024.07</v>
      </c>
      <c r="J1475" s="60">
        <v>5305</v>
      </c>
      <c r="K1475" s="60">
        <v>0</v>
      </c>
      <c r="L1475" s="60">
        <v>0</v>
      </c>
      <c r="M1475" s="60">
        <v>0</v>
      </c>
      <c r="N1475" s="60">
        <v>0</v>
      </c>
      <c r="O1475" s="60">
        <v>0</v>
      </c>
      <c r="P1475" s="60">
        <v>0</v>
      </c>
      <c r="Q1475" s="60">
        <v>0</v>
      </c>
      <c r="R1475" s="60">
        <v>0</v>
      </c>
      <c r="S1475" s="60">
        <v>0</v>
      </c>
      <c r="T1475" s="60">
        <v>0</v>
      </c>
      <c r="U1475" s="60">
        <v>0</v>
      </c>
      <c r="V1475" s="60">
        <v>0</v>
      </c>
      <c r="W1475" s="60">
        <v>0</v>
      </c>
      <c r="X1475" s="60">
        <v>0</v>
      </c>
      <c r="Y1475" s="60">
        <v>0</v>
      </c>
      <c r="Z1475" s="60">
        <v>0</v>
      </c>
      <c r="AA1475" s="60">
        <v>0</v>
      </c>
      <c r="AB1475" s="60">
        <v>0</v>
      </c>
      <c r="AC1475" s="60">
        <v>0</v>
      </c>
      <c r="AD1475" s="60">
        <v>0</v>
      </c>
      <c r="AE1475" s="60">
        <v>0</v>
      </c>
      <c r="AF1475" s="60">
        <v>0</v>
      </c>
      <c r="AG1475" s="60">
        <v>0</v>
      </c>
      <c r="AH1475" s="60">
        <v>0</v>
      </c>
      <c r="AI1475" s="60">
        <v>5200.9399999999996</v>
      </c>
      <c r="AJ1475" s="60">
        <v>5024.07</v>
      </c>
      <c r="AK1475" s="60">
        <v>5305</v>
      </c>
      <c r="AL1475" s="60">
        <v>0</v>
      </c>
      <c r="AM1475" s="60">
        <v>0</v>
      </c>
      <c r="AN1475" s="60">
        <v>0</v>
      </c>
      <c r="AO1475" s="60">
        <v>5200.9399999999996</v>
      </c>
      <c r="AP1475" s="60">
        <v>5024.07</v>
      </c>
      <c r="AQ1475" s="60">
        <v>5305</v>
      </c>
      <c r="AR1475" s="61">
        <v>5305</v>
      </c>
    </row>
    <row r="1476" spans="1:44" x14ac:dyDescent="0.35">
      <c r="A1476" s="49" t="str">
        <f t="shared" si="119"/>
        <v>35</v>
      </c>
      <c r="B1476" s="27">
        <v>67504</v>
      </c>
      <c r="C1476" s="25" t="str">
        <f t="shared" si="120"/>
        <v>0000000</v>
      </c>
      <c r="D1476" s="26" t="s">
        <v>3663</v>
      </c>
      <c r="E1476" s="25" t="s">
        <v>1894</v>
      </c>
      <c r="F1476" s="25" t="s">
        <v>1883</v>
      </c>
      <c r="G1476" s="59" t="s">
        <v>1895</v>
      </c>
      <c r="H1476" s="60">
        <v>698.15</v>
      </c>
      <c r="I1476" s="60">
        <v>673.32</v>
      </c>
      <c r="J1476" s="60">
        <v>723.83</v>
      </c>
      <c r="K1476" s="60">
        <v>0</v>
      </c>
      <c r="L1476" s="60">
        <v>0</v>
      </c>
      <c r="M1476" s="60">
        <v>0</v>
      </c>
      <c r="N1476" s="60">
        <v>0</v>
      </c>
      <c r="O1476" s="60">
        <v>0</v>
      </c>
      <c r="P1476" s="60">
        <v>0</v>
      </c>
      <c r="Q1476" s="60">
        <v>0</v>
      </c>
      <c r="R1476" s="60">
        <v>0</v>
      </c>
      <c r="S1476" s="60">
        <v>0</v>
      </c>
      <c r="T1476" s="60">
        <v>0</v>
      </c>
      <c r="U1476" s="60">
        <v>0</v>
      </c>
      <c r="V1476" s="60">
        <v>0</v>
      </c>
      <c r="W1476" s="60">
        <v>0</v>
      </c>
      <c r="X1476" s="60">
        <v>0</v>
      </c>
      <c r="Y1476" s="60">
        <v>0</v>
      </c>
      <c r="Z1476" s="60">
        <v>0</v>
      </c>
      <c r="AA1476" s="60">
        <v>0</v>
      </c>
      <c r="AB1476" s="60">
        <v>0</v>
      </c>
      <c r="AC1476" s="60">
        <v>0</v>
      </c>
      <c r="AD1476" s="60">
        <v>0</v>
      </c>
      <c r="AE1476" s="60">
        <v>0</v>
      </c>
      <c r="AF1476" s="60">
        <v>0</v>
      </c>
      <c r="AG1476" s="60">
        <v>0</v>
      </c>
      <c r="AH1476" s="60">
        <v>0</v>
      </c>
      <c r="AI1476" s="60">
        <v>698.15</v>
      </c>
      <c r="AJ1476" s="60">
        <v>673.32</v>
      </c>
      <c r="AK1476" s="60">
        <v>723.83</v>
      </c>
      <c r="AL1476" s="60">
        <v>0</v>
      </c>
      <c r="AM1476" s="60">
        <v>0</v>
      </c>
      <c r="AN1476" s="60">
        <v>0</v>
      </c>
      <c r="AO1476" s="60">
        <v>698.15</v>
      </c>
      <c r="AP1476" s="60">
        <v>673.32</v>
      </c>
      <c r="AQ1476" s="60">
        <v>723.83</v>
      </c>
      <c r="AR1476" s="61">
        <v>723.83</v>
      </c>
    </row>
    <row r="1477" spans="1:44" x14ac:dyDescent="0.35">
      <c r="A1477" s="49" t="str">
        <f t="shared" si="119"/>
        <v>35</v>
      </c>
      <c r="B1477" s="27">
        <v>67538</v>
      </c>
      <c r="C1477" s="25" t="str">
        <f t="shared" si="120"/>
        <v>0000000</v>
      </c>
      <c r="D1477" s="26" t="s">
        <v>3663</v>
      </c>
      <c r="E1477" s="25" t="s">
        <v>1898</v>
      </c>
      <c r="F1477" s="25" t="s">
        <v>1883</v>
      </c>
      <c r="G1477" s="59" t="s">
        <v>1899</v>
      </c>
      <c r="H1477" s="60">
        <v>3214.27</v>
      </c>
      <c r="I1477" s="60">
        <v>3160.95</v>
      </c>
      <c r="J1477" s="60">
        <v>3035.35</v>
      </c>
      <c r="K1477" s="60">
        <v>0</v>
      </c>
      <c r="L1477" s="60">
        <v>0</v>
      </c>
      <c r="M1477" s="60">
        <v>0</v>
      </c>
      <c r="N1477" s="60">
        <v>0</v>
      </c>
      <c r="O1477" s="60">
        <v>0</v>
      </c>
      <c r="P1477" s="60">
        <v>0</v>
      </c>
      <c r="Q1477" s="60">
        <v>0</v>
      </c>
      <c r="R1477" s="60">
        <v>0</v>
      </c>
      <c r="S1477" s="60">
        <v>0</v>
      </c>
      <c r="T1477" s="60">
        <v>0</v>
      </c>
      <c r="U1477" s="60">
        <v>0</v>
      </c>
      <c r="V1477" s="60">
        <v>0</v>
      </c>
      <c r="W1477" s="60">
        <v>0</v>
      </c>
      <c r="X1477" s="60">
        <v>0</v>
      </c>
      <c r="Y1477" s="60">
        <v>0</v>
      </c>
      <c r="Z1477" s="60">
        <v>0</v>
      </c>
      <c r="AA1477" s="60">
        <v>0</v>
      </c>
      <c r="AB1477" s="60">
        <v>0</v>
      </c>
      <c r="AC1477" s="60">
        <v>0</v>
      </c>
      <c r="AD1477" s="60">
        <v>0</v>
      </c>
      <c r="AE1477" s="60">
        <v>0</v>
      </c>
      <c r="AF1477" s="60">
        <v>0</v>
      </c>
      <c r="AG1477" s="60">
        <v>0</v>
      </c>
      <c r="AH1477" s="60">
        <v>0</v>
      </c>
      <c r="AI1477" s="60">
        <v>3214.27</v>
      </c>
      <c r="AJ1477" s="60">
        <v>3160.95</v>
      </c>
      <c r="AK1477" s="60">
        <v>3035.35</v>
      </c>
      <c r="AL1477" s="60">
        <v>0</v>
      </c>
      <c r="AM1477" s="60">
        <v>0</v>
      </c>
      <c r="AN1477" s="60">
        <v>0</v>
      </c>
      <c r="AO1477" s="60">
        <v>3214.27</v>
      </c>
      <c r="AP1477" s="60">
        <v>3160.95</v>
      </c>
      <c r="AQ1477" s="60">
        <v>3035.35</v>
      </c>
      <c r="AR1477" s="61">
        <v>3214.27</v>
      </c>
    </row>
    <row r="1478" spans="1:44" x14ac:dyDescent="0.35">
      <c r="A1478" s="49" t="str">
        <f t="shared" si="119"/>
        <v>35</v>
      </c>
      <c r="B1478" s="27">
        <v>67454</v>
      </c>
      <c r="C1478" s="25" t="str">
        <f t="shared" si="120"/>
        <v>0000000</v>
      </c>
      <c r="D1478" s="26" t="s">
        <v>3663</v>
      </c>
      <c r="E1478" s="25" t="s">
        <v>1884</v>
      </c>
      <c r="F1478" s="25" t="s">
        <v>1883</v>
      </c>
      <c r="G1478" s="59" t="s">
        <v>1885</v>
      </c>
      <c r="H1478" s="60">
        <v>26.39</v>
      </c>
      <c r="I1478" s="60">
        <v>32.17</v>
      </c>
      <c r="J1478" s="60">
        <v>38.270000000000003</v>
      </c>
      <c r="K1478" s="60">
        <v>0</v>
      </c>
      <c r="L1478" s="60">
        <v>0</v>
      </c>
      <c r="M1478" s="60">
        <v>0</v>
      </c>
      <c r="N1478" s="60">
        <v>0</v>
      </c>
      <c r="O1478" s="60">
        <v>0</v>
      </c>
      <c r="P1478" s="60">
        <v>0</v>
      </c>
      <c r="Q1478" s="60">
        <v>0</v>
      </c>
      <c r="R1478" s="60">
        <v>0</v>
      </c>
      <c r="S1478" s="60">
        <v>0</v>
      </c>
      <c r="T1478" s="60">
        <v>0</v>
      </c>
      <c r="U1478" s="60">
        <v>0</v>
      </c>
      <c r="V1478" s="60">
        <v>0</v>
      </c>
      <c r="W1478" s="60">
        <v>0</v>
      </c>
      <c r="X1478" s="60">
        <v>0</v>
      </c>
      <c r="Y1478" s="60">
        <v>0</v>
      </c>
      <c r="Z1478" s="60">
        <v>0</v>
      </c>
      <c r="AA1478" s="60">
        <v>0</v>
      </c>
      <c r="AB1478" s="60">
        <v>0</v>
      </c>
      <c r="AC1478" s="60">
        <v>0</v>
      </c>
      <c r="AD1478" s="60">
        <v>0</v>
      </c>
      <c r="AE1478" s="60">
        <v>0</v>
      </c>
      <c r="AF1478" s="60">
        <v>0</v>
      </c>
      <c r="AG1478" s="60">
        <v>0</v>
      </c>
      <c r="AH1478" s="60">
        <v>0</v>
      </c>
      <c r="AI1478" s="60">
        <v>26.39</v>
      </c>
      <c r="AJ1478" s="60">
        <v>32.17</v>
      </c>
      <c r="AK1478" s="60">
        <v>38.270000000000003</v>
      </c>
      <c r="AL1478" s="60">
        <v>0</v>
      </c>
      <c r="AM1478" s="60">
        <v>0</v>
      </c>
      <c r="AN1478" s="60">
        <v>0</v>
      </c>
      <c r="AO1478" s="60">
        <v>26.39</v>
      </c>
      <c r="AP1478" s="60">
        <v>32.17</v>
      </c>
      <c r="AQ1478" s="60">
        <v>38.270000000000003</v>
      </c>
      <c r="AR1478" s="61">
        <v>38.270000000000003</v>
      </c>
    </row>
    <row r="1479" spans="1:44" x14ac:dyDescent="0.35">
      <c r="A1479" s="49" t="str">
        <f t="shared" si="119"/>
        <v>35</v>
      </c>
      <c r="B1479" s="27">
        <v>67462</v>
      </c>
      <c r="C1479" s="25" t="str">
        <f t="shared" si="120"/>
        <v>0000000</v>
      </c>
      <c r="D1479" s="26" t="s">
        <v>3663</v>
      </c>
      <c r="E1479" s="25" t="s">
        <v>1886</v>
      </c>
      <c r="F1479" s="25" t="s">
        <v>1883</v>
      </c>
      <c r="G1479" s="59" t="s">
        <v>1887</v>
      </c>
      <c r="H1479" s="60">
        <v>20.64</v>
      </c>
      <c r="I1479" s="60">
        <v>21.9</v>
      </c>
      <c r="J1479" s="60">
        <v>30.36</v>
      </c>
      <c r="K1479" s="60">
        <v>0</v>
      </c>
      <c r="L1479" s="60">
        <v>0</v>
      </c>
      <c r="M1479" s="60">
        <v>0</v>
      </c>
      <c r="N1479" s="60">
        <v>0</v>
      </c>
      <c r="O1479" s="60">
        <v>0</v>
      </c>
      <c r="P1479" s="60">
        <v>0</v>
      </c>
      <c r="Q1479" s="60">
        <v>0</v>
      </c>
      <c r="R1479" s="60">
        <v>0</v>
      </c>
      <c r="S1479" s="60">
        <v>0</v>
      </c>
      <c r="T1479" s="60">
        <v>0</v>
      </c>
      <c r="U1479" s="60">
        <v>0</v>
      </c>
      <c r="V1479" s="60">
        <v>0</v>
      </c>
      <c r="W1479" s="60">
        <v>0</v>
      </c>
      <c r="X1479" s="60">
        <v>0</v>
      </c>
      <c r="Y1479" s="60">
        <v>0</v>
      </c>
      <c r="Z1479" s="60">
        <v>0</v>
      </c>
      <c r="AA1479" s="60">
        <v>0</v>
      </c>
      <c r="AB1479" s="60">
        <v>0</v>
      </c>
      <c r="AC1479" s="60">
        <v>0</v>
      </c>
      <c r="AD1479" s="60">
        <v>0</v>
      </c>
      <c r="AE1479" s="60">
        <v>0</v>
      </c>
      <c r="AF1479" s="60">
        <v>0</v>
      </c>
      <c r="AG1479" s="60">
        <v>0</v>
      </c>
      <c r="AH1479" s="60">
        <v>0</v>
      </c>
      <c r="AI1479" s="60">
        <v>20.64</v>
      </c>
      <c r="AJ1479" s="60">
        <v>21.9</v>
      </c>
      <c r="AK1479" s="60">
        <v>30.36</v>
      </c>
      <c r="AL1479" s="60">
        <v>0</v>
      </c>
      <c r="AM1479" s="60">
        <v>0</v>
      </c>
      <c r="AN1479" s="60">
        <v>0</v>
      </c>
      <c r="AO1479" s="60">
        <v>20.64</v>
      </c>
      <c r="AP1479" s="60">
        <v>21.9</v>
      </c>
      <c r="AQ1479" s="60">
        <v>30.36</v>
      </c>
      <c r="AR1479" s="61">
        <v>30.36</v>
      </c>
    </row>
    <row r="1480" spans="1:44" x14ac:dyDescent="0.35">
      <c r="A1480" s="49" t="str">
        <f t="shared" si="119"/>
        <v>35</v>
      </c>
      <c r="B1480" s="27">
        <v>67488</v>
      </c>
      <c r="C1480" s="25" t="str">
        <f t="shared" si="120"/>
        <v>0000000</v>
      </c>
      <c r="D1480" s="26" t="s">
        <v>3663</v>
      </c>
      <c r="E1480" s="25" t="s">
        <v>1892</v>
      </c>
      <c r="F1480" s="25" t="s">
        <v>1883</v>
      </c>
      <c r="G1480" s="59" t="s">
        <v>1893</v>
      </c>
      <c r="H1480" s="60">
        <v>2.83</v>
      </c>
      <c r="I1480" s="60">
        <v>4.03</v>
      </c>
      <c r="J1480" s="60">
        <v>5.44</v>
      </c>
      <c r="K1480" s="60">
        <v>0</v>
      </c>
      <c r="L1480" s="60">
        <v>0</v>
      </c>
      <c r="M1480" s="60">
        <v>0</v>
      </c>
      <c r="N1480" s="60">
        <v>0</v>
      </c>
      <c r="O1480" s="60">
        <v>0</v>
      </c>
      <c r="P1480" s="60">
        <v>0</v>
      </c>
      <c r="Q1480" s="60">
        <v>0</v>
      </c>
      <c r="R1480" s="60">
        <v>0</v>
      </c>
      <c r="S1480" s="60">
        <v>0</v>
      </c>
      <c r="T1480" s="60">
        <v>0</v>
      </c>
      <c r="U1480" s="60">
        <v>0</v>
      </c>
      <c r="V1480" s="60">
        <v>0</v>
      </c>
      <c r="W1480" s="60">
        <v>0</v>
      </c>
      <c r="X1480" s="60">
        <v>0</v>
      </c>
      <c r="Y1480" s="60">
        <v>0</v>
      </c>
      <c r="Z1480" s="60">
        <v>0</v>
      </c>
      <c r="AA1480" s="60">
        <v>0</v>
      </c>
      <c r="AB1480" s="60">
        <v>0</v>
      </c>
      <c r="AC1480" s="60">
        <v>0</v>
      </c>
      <c r="AD1480" s="60">
        <v>0</v>
      </c>
      <c r="AE1480" s="60">
        <v>0</v>
      </c>
      <c r="AF1480" s="60">
        <v>0</v>
      </c>
      <c r="AG1480" s="60">
        <v>0</v>
      </c>
      <c r="AH1480" s="60">
        <v>0</v>
      </c>
      <c r="AI1480" s="60">
        <v>2.83</v>
      </c>
      <c r="AJ1480" s="60">
        <v>4.03</v>
      </c>
      <c r="AK1480" s="60">
        <v>5.44</v>
      </c>
      <c r="AL1480" s="60">
        <v>0</v>
      </c>
      <c r="AM1480" s="60">
        <v>0</v>
      </c>
      <c r="AN1480" s="60">
        <v>0</v>
      </c>
      <c r="AO1480" s="60">
        <v>2.83</v>
      </c>
      <c r="AP1480" s="60">
        <v>4.03</v>
      </c>
      <c r="AQ1480" s="60">
        <v>5.44</v>
      </c>
      <c r="AR1480" s="61">
        <v>5.44</v>
      </c>
    </row>
    <row r="1481" spans="1:44" x14ac:dyDescent="0.35">
      <c r="A1481" s="49" t="str">
        <f t="shared" si="119"/>
        <v>35</v>
      </c>
      <c r="B1481" s="27">
        <v>67520</v>
      </c>
      <c r="C1481" s="25" t="str">
        <f t="shared" si="120"/>
        <v>0000000</v>
      </c>
      <c r="D1481" s="26" t="s">
        <v>3663</v>
      </c>
      <c r="E1481" s="25" t="s">
        <v>1896</v>
      </c>
      <c r="F1481" s="25" t="s">
        <v>1883</v>
      </c>
      <c r="G1481" s="59" t="s">
        <v>1897</v>
      </c>
      <c r="H1481" s="60">
        <v>7.48</v>
      </c>
      <c r="I1481" s="60">
        <v>8.3699999999999992</v>
      </c>
      <c r="J1481" s="60">
        <v>3.82</v>
      </c>
      <c r="K1481" s="60">
        <v>0</v>
      </c>
      <c r="L1481" s="60">
        <v>0</v>
      </c>
      <c r="M1481" s="60">
        <v>0</v>
      </c>
      <c r="N1481" s="60">
        <v>0</v>
      </c>
      <c r="O1481" s="60">
        <v>0</v>
      </c>
      <c r="P1481" s="60">
        <v>0</v>
      </c>
      <c r="Q1481" s="60">
        <v>0</v>
      </c>
      <c r="R1481" s="60">
        <v>0</v>
      </c>
      <c r="S1481" s="60">
        <v>0</v>
      </c>
      <c r="T1481" s="60">
        <v>0</v>
      </c>
      <c r="U1481" s="60">
        <v>0</v>
      </c>
      <c r="V1481" s="60">
        <v>0</v>
      </c>
      <c r="W1481" s="60">
        <v>0</v>
      </c>
      <c r="X1481" s="60">
        <v>0</v>
      </c>
      <c r="Y1481" s="60">
        <v>0</v>
      </c>
      <c r="Z1481" s="60">
        <v>0</v>
      </c>
      <c r="AA1481" s="60">
        <v>0</v>
      </c>
      <c r="AB1481" s="60">
        <v>0</v>
      </c>
      <c r="AC1481" s="60">
        <v>0</v>
      </c>
      <c r="AD1481" s="60">
        <v>0</v>
      </c>
      <c r="AE1481" s="60">
        <v>0</v>
      </c>
      <c r="AF1481" s="60">
        <v>0</v>
      </c>
      <c r="AG1481" s="60">
        <v>0</v>
      </c>
      <c r="AH1481" s="60">
        <v>0</v>
      </c>
      <c r="AI1481" s="60">
        <v>7.48</v>
      </c>
      <c r="AJ1481" s="60">
        <v>8.3699999999999992</v>
      </c>
      <c r="AK1481" s="60">
        <v>3.82</v>
      </c>
      <c r="AL1481" s="60">
        <v>0</v>
      </c>
      <c r="AM1481" s="60">
        <v>0</v>
      </c>
      <c r="AN1481" s="60">
        <v>0</v>
      </c>
      <c r="AO1481" s="60">
        <v>7.48</v>
      </c>
      <c r="AP1481" s="60">
        <v>8.3699999999999992</v>
      </c>
      <c r="AQ1481" s="60">
        <v>3.82</v>
      </c>
      <c r="AR1481" s="61">
        <v>8.3699999999999992</v>
      </c>
    </row>
    <row r="1482" spans="1:44" x14ac:dyDescent="0.35">
      <c r="A1482" s="49" t="str">
        <f t="shared" si="119"/>
        <v>35</v>
      </c>
      <c r="B1482" s="27">
        <v>67553</v>
      </c>
      <c r="C1482" s="25" t="str">
        <f t="shared" si="120"/>
        <v>0000000</v>
      </c>
      <c r="D1482" s="26" t="s">
        <v>3663</v>
      </c>
      <c r="E1482" s="25" t="s">
        <v>1900</v>
      </c>
      <c r="F1482" s="25" t="s">
        <v>1883</v>
      </c>
      <c r="G1482" s="59" t="s">
        <v>1901</v>
      </c>
      <c r="H1482" s="60">
        <v>199.12</v>
      </c>
      <c r="I1482" s="60">
        <v>194.52</v>
      </c>
      <c r="J1482" s="60">
        <v>193.77</v>
      </c>
      <c r="K1482" s="60">
        <v>0</v>
      </c>
      <c r="L1482" s="60">
        <v>0</v>
      </c>
      <c r="M1482" s="60">
        <v>0</v>
      </c>
      <c r="N1482" s="60">
        <v>0</v>
      </c>
      <c r="O1482" s="60">
        <v>0</v>
      </c>
      <c r="P1482" s="60">
        <v>0</v>
      </c>
      <c r="Q1482" s="60">
        <v>0</v>
      </c>
      <c r="R1482" s="60">
        <v>0</v>
      </c>
      <c r="S1482" s="60">
        <v>0</v>
      </c>
      <c r="T1482" s="60">
        <v>0</v>
      </c>
      <c r="U1482" s="60">
        <v>0</v>
      </c>
      <c r="V1482" s="60">
        <v>0</v>
      </c>
      <c r="W1482" s="60">
        <v>0</v>
      </c>
      <c r="X1482" s="60">
        <v>0</v>
      </c>
      <c r="Y1482" s="60">
        <v>0</v>
      </c>
      <c r="Z1482" s="60">
        <v>0</v>
      </c>
      <c r="AA1482" s="60">
        <v>0</v>
      </c>
      <c r="AB1482" s="60">
        <v>0</v>
      </c>
      <c r="AC1482" s="60">
        <v>0</v>
      </c>
      <c r="AD1482" s="60">
        <v>0</v>
      </c>
      <c r="AE1482" s="60">
        <v>0</v>
      </c>
      <c r="AF1482" s="60">
        <v>0</v>
      </c>
      <c r="AG1482" s="60">
        <v>0</v>
      </c>
      <c r="AH1482" s="60">
        <v>0</v>
      </c>
      <c r="AI1482" s="60">
        <v>199.12</v>
      </c>
      <c r="AJ1482" s="60">
        <v>194.52</v>
      </c>
      <c r="AK1482" s="60">
        <v>193.77</v>
      </c>
      <c r="AL1482" s="60">
        <v>0</v>
      </c>
      <c r="AM1482" s="60">
        <v>0</v>
      </c>
      <c r="AN1482" s="60">
        <v>0</v>
      </c>
      <c r="AO1482" s="60">
        <v>199.12</v>
      </c>
      <c r="AP1482" s="60">
        <v>194.52</v>
      </c>
      <c r="AQ1482" s="60">
        <v>193.77</v>
      </c>
      <c r="AR1482" s="61">
        <v>199.12</v>
      </c>
    </row>
    <row r="1483" spans="1:44" x14ac:dyDescent="0.35">
      <c r="A1483" s="49" t="str">
        <f t="shared" si="119"/>
        <v>35</v>
      </c>
      <c r="B1483" s="27">
        <v>67561</v>
      </c>
      <c r="C1483" s="25" t="str">
        <f t="shared" si="120"/>
        <v>0000000</v>
      </c>
      <c r="D1483" s="26" t="s">
        <v>3663</v>
      </c>
      <c r="E1483" s="25" t="s">
        <v>1902</v>
      </c>
      <c r="F1483" s="25" t="s">
        <v>1883</v>
      </c>
      <c r="G1483" s="59" t="s">
        <v>1903</v>
      </c>
      <c r="H1483" s="60">
        <v>45.26</v>
      </c>
      <c r="I1483" s="60">
        <v>58.89</v>
      </c>
      <c r="J1483" s="60">
        <v>87.17</v>
      </c>
      <c r="K1483" s="60">
        <v>0</v>
      </c>
      <c r="L1483" s="60">
        <v>0</v>
      </c>
      <c r="M1483" s="60">
        <v>0</v>
      </c>
      <c r="N1483" s="60">
        <v>0</v>
      </c>
      <c r="O1483" s="60">
        <v>0</v>
      </c>
      <c r="P1483" s="60">
        <v>0</v>
      </c>
      <c r="Q1483" s="60">
        <v>0</v>
      </c>
      <c r="R1483" s="60">
        <v>0</v>
      </c>
      <c r="S1483" s="60">
        <v>0</v>
      </c>
      <c r="T1483" s="60">
        <v>0</v>
      </c>
      <c r="U1483" s="60">
        <v>0</v>
      </c>
      <c r="V1483" s="60">
        <v>0</v>
      </c>
      <c r="W1483" s="60">
        <v>0</v>
      </c>
      <c r="X1483" s="60">
        <v>0</v>
      </c>
      <c r="Y1483" s="60">
        <v>0</v>
      </c>
      <c r="Z1483" s="60">
        <v>0</v>
      </c>
      <c r="AA1483" s="60">
        <v>0</v>
      </c>
      <c r="AB1483" s="60">
        <v>0</v>
      </c>
      <c r="AC1483" s="60">
        <v>0</v>
      </c>
      <c r="AD1483" s="60">
        <v>0</v>
      </c>
      <c r="AE1483" s="60">
        <v>0</v>
      </c>
      <c r="AF1483" s="60">
        <v>0</v>
      </c>
      <c r="AG1483" s="60">
        <v>0</v>
      </c>
      <c r="AH1483" s="60">
        <v>0</v>
      </c>
      <c r="AI1483" s="60">
        <v>45.26</v>
      </c>
      <c r="AJ1483" s="60">
        <v>58.89</v>
      </c>
      <c r="AK1483" s="60">
        <v>87.17</v>
      </c>
      <c r="AL1483" s="60">
        <v>0</v>
      </c>
      <c r="AM1483" s="60">
        <v>0</v>
      </c>
      <c r="AN1483" s="60">
        <v>0</v>
      </c>
      <c r="AO1483" s="60">
        <v>45.26</v>
      </c>
      <c r="AP1483" s="60">
        <v>58.89</v>
      </c>
      <c r="AQ1483" s="60">
        <v>87.17</v>
      </c>
      <c r="AR1483" s="61">
        <v>87.17</v>
      </c>
    </row>
    <row r="1484" spans="1:44" x14ac:dyDescent="0.35">
      <c r="A1484" s="49" t="str">
        <f t="shared" si="119"/>
        <v>35</v>
      </c>
      <c r="B1484" s="27">
        <v>67579</v>
      </c>
      <c r="C1484" s="25" t="str">
        <f t="shared" si="120"/>
        <v>0000000</v>
      </c>
      <c r="D1484" s="26" t="s">
        <v>3663</v>
      </c>
      <c r="E1484" s="25" t="s">
        <v>1904</v>
      </c>
      <c r="F1484" s="25" t="s">
        <v>1883</v>
      </c>
      <c r="G1484" s="59" t="s">
        <v>1905</v>
      </c>
      <c r="H1484" s="60">
        <v>15.87</v>
      </c>
      <c r="I1484" s="60">
        <v>14.92</v>
      </c>
      <c r="J1484" s="60">
        <v>9.08</v>
      </c>
      <c r="K1484" s="60">
        <v>0</v>
      </c>
      <c r="L1484" s="60">
        <v>0</v>
      </c>
      <c r="M1484" s="60">
        <v>0</v>
      </c>
      <c r="N1484" s="60">
        <v>0</v>
      </c>
      <c r="O1484" s="60">
        <v>0</v>
      </c>
      <c r="P1484" s="60">
        <v>0</v>
      </c>
      <c r="Q1484" s="60">
        <v>0</v>
      </c>
      <c r="R1484" s="60">
        <v>0</v>
      </c>
      <c r="S1484" s="60">
        <v>0</v>
      </c>
      <c r="T1484" s="60">
        <v>0</v>
      </c>
      <c r="U1484" s="60">
        <v>0</v>
      </c>
      <c r="V1484" s="60">
        <v>0</v>
      </c>
      <c r="W1484" s="60">
        <v>0</v>
      </c>
      <c r="X1484" s="60">
        <v>0</v>
      </c>
      <c r="Y1484" s="60">
        <v>0</v>
      </c>
      <c r="Z1484" s="60">
        <v>0</v>
      </c>
      <c r="AA1484" s="60">
        <v>0</v>
      </c>
      <c r="AB1484" s="60">
        <v>0</v>
      </c>
      <c r="AC1484" s="60">
        <v>0</v>
      </c>
      <c r="AD1484" s="60">
        <v>0</v>
      </c>
      <c r="AE1484" s="60">
        <v>0</v>
      </c>
      <c r="AF1484" s="60">
        <v>0</v>
      </c>
      <c r="AG1484" s="60">
        <v>0</v>
      </c>
      <c r="AH1484" s="60">
        <v>0</v>
      </c>
      <c r="AI1484" s="60">
        <v>15.87</v>
      </c>
      <c r="AJ1484" s="60">
        <v>14.92</v>
      </c>
      <c r="AK1484" s="60">
        <v>9.08</v>
      </c>
      <c r="AL1484" s="60">
        <v>0</v>
      </c>
      <c r="AM1484" s="60">
        <v>0</v>
      </c>
      <c r="AN1484" s="60">
        <v>0</v>
      </c>
      <c r="AO1484" s="60">
        <v>15.87</v>
      </c>
      <c r="AP1484" s="60">
        <v>14.92</v>
      </c>
      <c r="AQ1484" s="60">
        <v>9.08</v>
      </c>
      <c r="AR1484" s="61">
        <v>15.87</v>
      </c>
    </row>
    <row r="1485" spans="1:44" x14ac:dyDescent="0.35">
      <c r="A1485" s="49" t="str">
        <f t="shared" ref="A1485:A1497" si="121">TEXT(44,"00")</f>
        <v>44</v>
      </c>
      <c r="B1485" s="27">
        <v>10447</v>
      </c>
      <c r="C1485" s="25" t="str">
        <f t="shared" si="120"/>
        <v>0000000</v>
      </c>
      <c r="D1485" s="26" t="s">
        <v>3663</v>
      </c>
      <c r="E1485" s="25" t="s">
        <v>2850</v>
      </c>
      <c r="F1485" s="25" t="s">
        <v>2851</v>
      </c>
      <c r="G1485" s="59" t="s">
        <v>2851</v>
      </c>
      <c r="H1485" s="60">
        <v>0</v>
      </c>
      <c r="I1485" s="60">
        <v>0</v>
      </c>
      <c r="J1485" s="60">
        <v>0</v>
      </c>
      <c r="K1485" s="60">
        <v>0</v>
      </c>
      <c r="L1485" s="60">
        <v>0</v>
      </c>
      <c r="M1485" s="60">
        <v>0</v>
      </c>
      <c r="N1485" s="60">
        <v>0</v>
      </c>
      <c r="O1485" s="60">
        <v>0</v>
      </c>
      <c r="P1485" s="60">
        <v>0</v>
      </c>
      <c r="Q1485" s="60">
        <v>0</v>
      </c>
      <c r="R1485" s="60">
        <v>0</v>
      </c>
      <c r="S1485" s="60">
        <v>0</v>
      </c>
      <c r="T1485" s="60">
        <v>938.58</v>
      </c>
      <c r="U1485" s="60">
        <v>870.25</v>
      </c>
      <c r="V1485" s="60">
        <v>1005.29</v>
      </c>
      <c r="W1485" s="60">
        <v>83.79</v>
      </c>
      <c r="X1485" s="60">
        <v>86.52</v>
      </c>
      <c r="Y1485" s="60">
        <v>88.9</v>
      </c>
      <c r="Z1485" s="60">
        <v>137.97999999999999</v>
      </c>
      <c r="AA1485" s="60">
        <v>117.59</v>
      </c>
      <c r="AB1485" s="60">
        <v>115.43</v>
      </c>
      <c r="AC1485" s="60">
        <v>0</v>
      </c>
      <c r="AD1485" s="60">
        <v>0</v>
      </c>
      <c r="AE1485" s="60">
        <v>0</v>
      </c>
      <c r="AF1485" s="60">
        <v>0</v>
      </c>
      <c r="AG1485" s="60">
        <v>0</v>
      </c>
      <c r="AH1485" s="60">
        <v>0</v>
      </c>
      <c r="AI1485" s="60">
        <v>1160.3499999999999</v>
      </c>
      <c r="AJ1485" s="60">
        <v>1074.3599999999999</v>
      </c>
      <c r="AK1485" s="60">
        <v>1209.6199999999999</v>
      </c>
      <c r="AL1485" s="60">
        <v>0</v>
      </c>
      <c r="AM1485" s="60">
        <v>0</v>
      </c>
      <c r="AN1485" s="60">
        <v>0</v>
      </c>
      <c r="AO1485" s="60">
        <v>1160.3499999999999</v>
      </c>
      <c r="AP1485" s="60">
        <v>1074.3599999999999</v>
      </c>
      <c r="AQ1485" s="60">
        <v>1209.6199999999999</v>
      </c>
      <c r="AR1485" s="61">
        <v>1209.6199999999999</v>
      </c>
    </row>
    <row r="1486" spans="1:44" x14ac:dyDescent="0.35">
      <c r="A1486" s="49" t="str">
        <f t="shared" si="121"/>
        <v>44</v>
      </c>
      <c r="B1486" s="27">
        <v>69765</v>
      </c>
      <c r="C1486" s="25" t="str">
        <f t="shared" si="120"/>
        <v>0000000</v>
      </c>
      <c r="D1486" s="26" t="s">
        <v>3663</v>
      </c>
      <c r="E1486" s="25" t="s">
        <v>2859</v>
      </c>
      <c r="F1486" s="25" t="s">
        <v>2851</v>
      </c>
      <c r="G1486" s="59" t="s">
        <v>2860</v>
      </c>
      <c r="H1486" s="60">
        <v>1403.79</v>
      </c>
      <c r="I1486" s="60">
        <v>1493.23</v>
      </c>
      <c r="J1486" s="60">
        <v>1578.86</v>
      </c>
      <c r="K1486" s="60">
        <v>0</v>
      </c>
      <c r="L1486" s="60">
        <v>0</v>
      </c>
      <c r="M1486" s="60">
        <v>0</v>
      </c>
      <c r="N1486" s="60">
        <v>0</v>
      </c>
      <c r="O1486" s="60">
        <v>0</v>
      </c>
      <c r="P1486" s="60">
        <v>0</v>
      </c>
      <c r="Q1486" s="60">
        <v>0</v>
      </c>
      <c r="R1486" s="60">
        <v>0</v>
      </c>
      <c r="S1486" s="60">
        <v>0</v>
      </c>
      <c r="T1486" s="60">
        <v>0</v>
      </c>
      <c r="U1486" s="60">
        <v>0</v>
      </c>
      <c r="V1486" s="60">
        <v>0</v>
      </c>
      <c r="W1486" s="60">
        <v>0</v>
      </c>
      <c r="X1486" s="60">
        <v>0</v>
      </c>
      <c r="Y1486" s="60">
        <v>0</v>
      </c>
      <c r="Z1486" s="60">
        <v>0</v>
      </c>
      <c r="AA1486" s="60">
        <v>0</v>
      </c>
      <c r="AB1486" s="60">
        <v>0</v>
      </c>
      <c r="AC1486" s="60">
        <v>144.58000000000001</v>
      </c>
      <c r="AD1486" s="60">
        <v>148.59</v>
      </c>
      <c r="AE1486" s="60">
        <v>149.97999999999999</v>
      </c>
      <c r="AF1486" s="60">
        <v>0</v>
      </c>
      <c r="AG1486" s="60">
        <v>0</v>
      </c>
      <c r="AH1486" s="60">
        <v>0</v>
      </c>
      <c r="AI1486" s="60">
        <v>1548.37</v>
      </c>
      <c r="AJ1486" s="60">
        <v>1641.82</v>
      </c>
      <c r="AK1486" s="60">
        <v>1728.84</v>
      </c>
      <c r="AL1486" s="60">
        <v>0</v>
      </c>
      <c r="AM1486" s="60">
        <v>0</v>
      </c>
      <c r="AN1486" s="60">
        <v>0</v>
      </c>
      <c r="AO1486" s="60">
        <v>1548.37</v>
      </c>
      <c r="AP1486" s="60">
        <v>1641.82</v>
      </c>
      <c r="AQ1486" s="60">
        <v>1728.84</v>
      </c>
      <c r="AR1486" s="61">
        <v>1728.84</v>
      </c>
    </row>
    <row r="1487" spans="1:44" x14ac:dyDescent="0.35">
      <c r="A1487" s="49" t="str">
        <f t="shared" si="121"/>
        <v>44</v>
      </c>
      <c r="B1487" s="27">
        <v>69849</v>
      </c>
      <c r="C1487" s="25" t="str">
        <f t="shared" si="120"/>
        <v>0000000</v>
      </c>
      <c r="D1487" s="26" t="s">
        <v>3663</v>
      </c>
      <c r="E1487" s="25" t="s">
        <v>2877</v>
      </c>
      <c r="F1487" s="25" t="s">
        <v>2851</v>
      </c>
      <c r="G1487" s="59" t="s">
        <v>2878</v>
      </c>
      <c r="H1487" s="60">
        <v>1497.79</v>
      </c>
      <c r="I1487" s="60">
        <v>1546.7</v>
      </c>
      <c r="J1487" s="60">
        <v>1817.19</v>
      </c>
      <c r="K1487" s="60">
        <v>0</v>
      </c>
      <c r="L1487" s="60">
        <v>0</v>
      </c>
      <c r="M1487" s="60">
        <v>0</v>
      </c>
      <c r="N1487" s="60">
        <v>0</v>
      </c>
      <c r="O1487" s="60">
        <v>0</v>
      </c>
      <c r="P1487" s="60">
        <v>0</v>
      </c>
      <c r="Q1487" s="60">
        <v>0</v>
      </c>
      <c r="R1487" s="60">
        <v>0</v>
      </c>
      <c r="S1487" s="60">
        <v>0</v>
      </c>
      <c r="T1487" s="60">
        <v>0</v>
      </c>
      <c r="U1487" s="60">
        <v>0</v>
      </c>
      <c r="V1487" s="60">
        <v>0</v>
      </c>
      <c r="W1487" s="60">
        <v>0</v>
      </c>
      <c r="X1487" s="60">
        <v>0</v>
      </c>
      <c r="Y1487" s="60">
        <v>0</v>
      </c>
      <c r="Z1487" s="60">
        <v>0</v>
      </c>
      <c r="AA1487" s="60">
        <v>0</v>
      </c>
      <c r="AB1487" s="60">
        <v>0</v>
      </c>
      <c r="AC1487" s="60">
        <v>0</v>
      </c>
      <c r="AD1487" s="60">
        <v>0</v>
      </c>
      <c r="AE1487" s="60">
        <v>0</v>
      </c>
      <c r="AF1487" s="60">
        <v>0</v>
      </c>
      <c r="AG1487" s="60">
        <v>0</v>
      </c>
      <c r="AH1487" s="60">
        <v>0</v>
      </c>
      <c r="AI1487" s="60">
        <v>1497.79</v>
      </c>
      <c r="AJ1487" s="60">
        <v>1546.7</v>
      </c>
      <c r="AK1487" s="60">
        <v>1817.19</v>
      </c>
      <c r="AL1487" s="60">
        <v>0</v>
      </c>
      <c r="AM1487" s="60">
        <v>0</v>
      </c>
      <c r="AN1487" s="60">
        <v>0</v>
      </c>
      <c r="AO1487" s="60">
        <v>1497.79</v>
      </c>
      <c r="AP1487" s="60">
        <v>1546.7</v>
      </c>
      <c r="AQ1487" s="60">
        <v>1817.19</v>
      </c>
      <c r="AR1487" s="61">
        <v>1817.19</v>
      </c>
    </row>
    <row r="1488" spans="1:44" x14ac:dyDescent="0.35">
      <c r="A1488" s="49" t="str">
        <f t="shared" si="121"/>
        <v>44</v>
      </c>
      <c r="B1488" s="27">
        <v>69807</v>
      </c>
      <c r="C1488" s="25" t="str">
        <f t="shared" si="120"/>
        <v>0000000</v>
      </c>
      <c r="D1488" s="26" t="s">
        <v>3663</v>
      </c>
      <c r="E1488" s="25" t="s">
        <v>2869</v>
      </c>
      <c r="F1488" s="25" t="s">
        <v>2851</v>
      </c>
      <c r="G1488" s="59" t="s">
        <v>2870</v>
      </c>
      <c r="H1488" s="60">
        <v>1864.64</v>
      </c>
      <c r="I1488" s="60">
        <v>1916.13</v>
      </c>
      <c r="J1488" s="60">
        <v>2180.89</v>
      </c>
      <c r="K1488" s="60">
        <v>0</v>
      </c>
      <c r="L1488" s="60">
        <v>0</v>
      </c>
      <c r="M1488" s="60">
        <v>0</v>
      </c>
      <c r="N1488" s="60">
        <v>0</v>
      </c>
      <c r="O1488" s="60">
        <v>0</v>
      </c>
      <c r="P1488" s="60">
        <v>0</v>
      </c>
      <c r="Q1488" s="60">
        <v>0</v>
      </c>
      <c r="R1488" s="60">
        <v>0</v>
      </c>
      <c r="S1488" s="60">
        <v>0</v>
      </c>
      <c r="T1488" s="60">
        <v>0</v>
      </c>
      <c r="U1488" s="60">
        <v>0</v>
      </c>
      <c r="V1488" s="60">
        <v>0</v>
      </c>
      <c r="W1488" s="60">
        <v>0</v>
      </c>
      <c r="X1488" s="60">
        <v>0</v>
      </c>
      <c r="Y1488" s="60">
        <v>0</v>
      </c>
      <c r="Z1488" s="60">
        <v>0</v>
      </c>
      <c r="AA1488" s="60">
        <v>0</v>
      </c>
      <c r="AB1488" s="60">
        <v>0</v>
      </c>
      <c r="AC1488" s="60">
        <v>3286.01</v>
      </c>
      <c r="AD1488" s="60">
        <v>3350.44</v>
      </c>
      <c r="AE1488" s="60">
        <v>3087.37</v>
      </c>
      <c r="AF1488" s="60">
        <v>0</v>
      </c>
      <c r="AG1488" s="60">
        <v>0</v>
      </c>
      <c r="AH1488" s="60">
        <v>0</v>
      </c>
      <c r="AI1488" s="60">
        <v>5150.6499999999996</v>
      </c>
      <c r="AJ1488" s="60">
        <v>5266.57</v>
      </c>
      <c r="AK1488" s="60">
        <v>5268.26</v>
      </c>
      <c r="AL1488" s="60">
        <v>0</v>
      </c>
      <c r="AM1488" s="60">
        <v>0</v>
      </c>
      <c r="AN1488" s="60">
        <v>0</v>
      </c>
      <c r="AO1488" s="60">
        <v>5150.6499999999996</v>
      </c>
      <c r="AP1488" s="60">
        <v>5266.57</v>
      </c>
      <c r="AQ1488" s="60">
        <v>5268.26</v>
      </c>
      <c r="AR1488" s="61">
        <v>5268.26</v>
      </c>
    </row>
    <row r="1489" spans="1:44" x14ac:dyDescent="0.35">
      <c r="A1489" s="49" t="str">
        <f t="shared" si="121"/>
        <v>44</v>
      </c>
      <c r="B1489" s="27">
        <v>69823</v>
      </c>
      <c r="C1489" s="25" t="str">
        <f t="shared" si="120"/>
        <v>0000000</v>
      </c>
      <c r="D1489" s="26" t="s">
        <v>3663</v>
      </c>
      <c r="E1489" s="25" t="s">
        <v>2873</v>
      </c>
      <c r="F1489" s="25" t="s">
        <v>2851</v>
      </c>
      <c r="G1489" s="59" t="s">
        <v>2874</v>
      </c>
      <c r="H1489" s="60">
        <v>3860.32</v>
      </c>
      <c r="I1489" s="60">
        <v>4072.42</v>
      </c>
      <c r="J1489" s="60">
        <v>4241.25</v>
      </c>
      <c r="K1489" s="60">
        <v>0</v>
      </c>
      <c r="L1489" s="60">
        <v>0</v>
      </c>
      <c r="M1489" s="60">
        <v>0</v>
      </c>
      <c r="N1489" s="60">
        <v>0</v>
      </c>
      <c r="O1489" s="60">
        <v>0</v>
      </c>
      <c r="P1489" s="60">
        <v>0</v>
      </c>
      <c r="Q1489" s="60">
        <v>0</v>
      </c>
      <c r="R1489" s="60">
        <v>0</v>
      </c>
      <c r="S1489" s="60">
        <v>0</v>
      </c>
      <c r="T1489" s="60">
        <v>0</v>
      </c>
      <c r="U1489" s="60">
        <v>0</v>
      </c>
      <c r="V1489" s="60">
        <v>0</v>
      </c>
      <c r="W1489" s="60">
        <v>0</v>
      </c>
      <c r="X1489" s="60">
        <v>0</v>
      </c>
      <c r="Y1489" s="60">
        <v>0</v>
      </c>
      <c r="Z1489" s="60">
        <v>0</v>
      </c>
      <c r="AA1489" s="60">
        <v>0</v>
      </c>
      <c r="AB1489" s="60">
        <v>0</v>
      </c>
      <c r="AC1489" s="60">
        <v>0</v>
      </c>
      <c r="AD1489" s="60">
        <v>624.57000000000005</v>
      </c>
      <c r="AE1489" s="60">
        <v>623.74</v>
      </c>
      <c r="AF1489" s="60">
        <v>0</v>
      </c>
      <c r="AG1489" s="60">
        <v>0</v>
      </c>
      <c r="AH1489" s="60">
        <v>0</v>
      </c>
      <c r="AI1489" s="60">
        <v>3860.32</v>
      </c>
      <c r="AJ1489" s="60">
        <v>4696.99</v>
      </c>
      <c r="AK1489" s="60">
        <v>4864.99</v>
      </c>
      <c r="AL1489" s="60">
        <v>0</v>
      </c>
      <c r="AM1489" s="60">
        <v>-624.57000000000005</v>
      </c>
      <c r="AN1489" s="60">
        <v>-623.74</v>
      </c>
      <c r="AO1489" s="60">
        <v>3860.32</v>
      </c>
      <c r="AP1489" s="60">
        <v>4072.42</v>
      </c>
      <c r="AQ1489" s="60">
        <v>4241.25</v>
      </c>
      <c r="AR1489" s="61">
        <v>4241.25</v>
      </c>
    </row>
    <row r="1490" spans="1:44" x14ac:dyDescent="0.35">
      <c r="A1490" s="49" t="str">
        <f t="shared" si="121"/>
        <v>44</v>
      </c>
      <c r="B1490" s="27">
        <v>69815</v>
      </c>
      <c r="C1490" s="25" t="str">
        <f t="shared" si="120"/>
        <v>0000000</v>
      </c>
      <c r="D1490" s="26" t="s">
        <v>3663</v>
      </c>
      <c r="E1490" s="25" t="s">
        <v>2871</v>
      </c>
      <c r="F1490" s="25" t="s">
        <v>2851</v>
      </c>
      <c r="G1490" s="59" t="s">
        <v>2872</v>
      </c>
      <c r="H1490" s="60">
        <v>1632.8</v>
      </c>
      <c r="I1490" s="60">
        <v>1624.1</v>
      </c>
      <c r="J1490" s="60">
        <v>1900.34</v>
      </c>
      <c r="K1490" s="60">
        <v>0</v>
      </c>
      <c r="L1490" s="60">
        <v>0</v>
      </c>
      <c r="M1490" s="60">
        <v>0</v>
      </c>
      <c r="N1490" s="60">
        <v>0</v>
      </c>
      <c r="O1490" s="60">
        <v>0</v>
      </c>
      <c r="P1490" s="60">
        <v>0</v>
      </c>
      <c r="Q1490" s="60">
        <v>0</v>
      </c>
      <c r="R1490" s="60">
        <v>0</v>
      </c>
      <c r="S1490" s="60">
        <v>0</v>
      </c>
      <c r="T1490" s="60">
        <v>0</v>
      </c>
      <c r="U1490" s="60">
        <v>0</v>
      </c>
      <c r="V1490" s="60">
        <v>0</v>
      </c>
      <c r="W1490" s="60">
        <v>0</v>
      </c>
      <c r="X1490" s="60">
        <v>0</v>
      </c>
      <c r="Y1490" s="60">
        <v>0</v>
      </c>
      <c r="Z1490" s="60">
        <v>0</v>
      </c>
      <c r="AA1490" s="60">
        <v>0</v>
      </c>
      <c r="AB1490" s="60">
        <v>0</v>
      </c>
      <c r="AC1490" s="60">
        <v>0</v>
      </c>
      <c r="AD1490" s="60">
        <v>0</v>
      </c>
      <c r="AE1490" s="60">
        <v>0</v>
      </c>
      <c r="AF1490" s="60">
        <v>0</v>
      </c>
      <c r="AG1490" s="60">
        <v>0</v>
      </c>
      <c r="AH1490" s="60">
        <v>0</v>
      </c>
      <c r="AI1490" s="60">
        <v>1632.8</v>
      </c>
      <c r="AJ1490" s="60">
        <v>1624.1</v>
      </c>
      <c r="AK1490" s="60">
        <v>1900.34</v>
      </c>
      <c r="AL1490" s="60">
        <v>0</v>
      </c>
      <c r="AM1490" s="60">
        <v>0</v>
      </c>
      <c r="AN1490" s="60">
        <v>0</v>
      </c>
      <c r="AO1490" s="60">
        <v>1632.8</v>
      </c>
      <c r="AP1490" s="60">
        <v>1624.1</v>
      </c>
      <c r="AQ1490" s="60">
        <v>1900.34</v>
      </c>
      <c r="AR1490" s="61">
        <v>1900.34</v>
      </c>
    </row>
    <row r="1491" spans="1:44" x14ac:dyDescent="0.35">
      <c r="A1491" s="49" t="str">
        <f t="shared" si="121"/>
        <v>44</v>
      </c>
      <c r="B1491" s="27">
        <v>75432</v>
      </c>
      <c r="C1491" s="25" t="str">
        <f t="shared" si="120"/>
        <v>0000000</v>
      </c>
      <c r="D1491" s="26" t="s">
        <v>3663</v>
      </c>
      <c r="E1491" s="25" t="s">
        <v>2879</v>
      </c>
      <c r="F1491" s="25" t="s">
        <v>2851</v>
      </c>
      <c r="G1491" s="59" t="s">
        <v>2880</v>
      </c>
      <c r="H1491" s="60">
        <v>1980.23</v>
      </c>
      <c r="I1491" s="60">
        <v>2049.88</v>
      </c>
      <c r="J1491" s="60">
        <v>2352.4499999999998</v>
      </c>
      <c r="K1491" s="60">
        <v>0</v>
      </c>
      <c r="L1491" s="60">
        <v>0</v>
      </c>
      <c r="M1491" s="60">
        <v>0</v>
      </c>
      <c r="N1491" s="60">
        <v>0</v>
      </c>
      <c r="O1491" s="60">
        <v>0</v>
      </c>
      <c r="P1491" s="60">
        <v>0</v>
      </c>
      <c r="Q1491" s="60">
        <v>0</v>
      </c>
      <c r="R1491" s="60">
        <v>0</v>
      </c>
      <c r="S1491" s="60">
        <v>0</v>
      </c>
      <c r="T1491" s="60">
        <v>0</v>
      </c>
      <c r="U1491" s="60">
        <v>0</v>
      </c>
      <c r="V1491" s="60">
        <v>0</v>
      </c>
      <c r="W1491" s="60">
        <v>0</v>
      </c>
      <c r="X1491" s="60">
        <v>0</v>
      </c>
      <c r="Y1491" s="60">
        <v>0</v>
      </c>
      <c r="Z1491" s="60">
        <v>0</v>
      </c>
      <c r="AA1491" s="60">
        <v>0</v>
      </c>
      <c r="AB1491" s="60">
        <v>0</v>
      </c>
      <c r="AC1491" s="60">
        <v>0</v>
      </c>
      <c r="AD1491" s="60">
        <v>0</v>
      </c>
      <c r="AE1491" s="60">
        <v>0</v>
      </c>
      <c r="AF1491" s="60">
        <v>0</v>
      </c>
      <c r="AG1491" s="60">
        <v>0</v>
      </c>
      <c r="AH1491" s="60">
        <v>0</v>
      </c>
      <c r="AI1491" s="60">
        <v>1980.23</v>
      </c>
      <c r="AJ1491" s="60">
        <v>2049.88</v>
      </c>
      <c r="AK1491" s="60">
        <v>2352.4499999999998</v>
      </c>
      <c r="AL1491" s="60">
        <v>0</v>
      </c>
      <c r="AM1491" s="60">
        <v>0</v>
      </c>
      <c r="AN1491" s="60">
        <v>0</v>
      </c>
      <c r="AO1491" s="60">
        <v>1980.23</v>
      </c>
      <c r="AP1491" s="60">
        <v>2049.88</v>
      </c>
      <c r="AQ1491" s="60">
        <v>2352.4499999999998</v>
      </c>
      <c r="AR1491" s="61">
        <v>2352.4499999999998</v>
      </c>
    </row>
    <row r="1492" spans="1:44" x14ac:dyDescent="0.35">
      <c r="A1492" s="49" t="str">
        <f t="shared" si="121"/>
        <v>44</v>
      </c>
      <c r="B1492" s="27">
        <v>69732</v>
      </c>
      <c r="C1492" s="25" t="str">
        <f t="shared" si="120"/>
        <v>0000000</v>
      </c>
      <c r="D1492" s="26" t="s">
        <v>3663</v>
      </c>
      <c r="E1492" s="25" t="s">
        <v>2855</v>
      </c>
      <c r="F1492" s="25" t="s">
        <v>2851</v>
      </c>
      <c r="G1492" s="59" t="s">
        <v>2856</v>
      </c>
      <c r="H1492" s="60">
        <v>102.31</v>
      </c>
      <c r="I1492" s="60">
        <v>107.58</v>
      </c>
      <c r="J1492" s="60">
        <v>134.79</v>
      </c>
      <c r="K1492" s="60">
        <v>0</v>
      </c>
      <c r="L1492" s="60">
        <v>0</v>
      </c>
      <c r="M1492" s="60">
        <v>0</v>
      </c>
      <c r="N1492" s="60">
        <v>0</v>
      </c>
      <c r="O1492" s="60">
        <v>0</v>
      </c>
      <c r="P1492" s="60">
        <v>0</v>
      </c>
      <c r="Q1492" s="60">
        <v>0</v>
      </c>
      <c r="R1492" s="60">
        <v>0</v>
      </c>
      <c r="S1492" s="60">
        <v>0</v>
      </c>
      <c r="T1492" s="60">
        <v>0</v>
      </c>
      <c r="U1492" s="60">
        <v>0</v>
      </c>
      <c r="V1492" s="60">
        <v>0</v>
      </c>
      <c r="W1492" s="60">
        <v>0</v>
      </c>
      <c r="X1492" s="60">
        <v>0</v>
      </c>
      <c r="Y1492" s="60">
        <v>0</v>
      </c>
      <c r="Z1492" s="60">
        <v>0</v>
      </c>
      <c r="AA1492" s="60">
        <v>0</v>
      </c>
      <c r="AB1492" s="60">
        <v>0</v>
      </c>
      <c r="AC1492" s="60">
        <v>0</v>
      </c>
      <c r="AD1492" s="60">
        <v>0</v>
      </c>
      <c r="AE1492" s="60">
        <v>0</v>
      </c>
      <c r="AF1492" s="60">
        <v>0</v>
      </c>
      <c r="AG1492" s="60">
        <v>0</v>
      </c>
      <c r="AH1492" s="60">
        <v>0</v>
      </c>
      <c r="AI1492" s="60">
        <v>102.31</v>
      </c>
      <c r="AJ1492" s="60">
        <v>107.58</v>
      </c>
      <c r="AK1492" s="60">
        <v>134.79</v>
      </c>
      <c r="AL1492" s="60">
        <v>0</v>
      </c>
      <c r="AM1492" s="60">
        <v>0</v>
      </c>
      <c r="AN1492" s="60">
        <v>0</v>
      </c>
      <c r="AO1492" s="60">
        <v>102.31</v>
      </c>
      <c r="AP1492" s="60">
        <v>107.58</v>
      </c>
      <c r="AQ1492" s="60">
        <v>134.79</v>
      </c>
      <c r="AR1492" s="61">
        <v>134.79</v>
      </c>
    </row>
    <row r="1493" spans="1:44" x14ac:dyDescent="0.35">
      <c r="A1493" s="49" t="str">
        <f t="shared" si="121"/>
        <v>44</v>
      </c>
      <c r="B1493" s="27">
        <v>69757</v>
      </c>
      <c r="C1493" s="25" t="str">
        <f t="shared" si="120"/>
        <v>0000000</v>
      </c>
      <c r="D1493" s="26" t="s">
        <v>3663</v>
      </c>
      <c r="E1493" s="25" t="s">
        <v>2857</v>
      </c>
      <c r="F1493" s="25" t="s">
        <v>2851</v>
      </c>
      <c r="G1493" s="59" t="s">
        <v>2858</v>
      </c>
      <c r="H1493" s="60">
        <v>109.38</v>
      </c>
      <c r="I1493" s="60">
        <v>102.07</v>
      </c>
      <c r="J1493" s="60">
        <v>109.37</v>
      </c>
      <c r="K1493" s="60">
        <v>0</v>
      </c>
      <c r="L1493" s="60">
        <v>0</v>
      </c>
      <c r="M1493" s="60">
        <v>0</v>
      </c>
      <c r="N1493" s="60">
        <v>0</v>
      </c>
      <c r="O1493" s="60">
        <v>0</v>
      </c>
      <c r="P1493" s="60">
        <v>0</v>
      </c>
      <c r="Q1493" s="60">
        <v>0</v>
      </c>
      <c r="R1493" s="60">
        <v>0</v>
      </c>
      <c r="S1493" s="60">
        <v>0</v>
      </c>
      <c r="T1493" s="60">
        <v>0</v>
      </c>
      <c r="U1493" s="60">
        <v>0</v>
      </c>
      <c r="V1493" s="60">
        <v>0</v>
      </c>
      <c r="W1493" s="60">
        <v>0</v>
      </c>
      <c r="X1493" s="60">
        <v>0</v>
      </c>
      <c r="Y1493" s="60">
        <v>0</v>
      </c>
      <c r="Z1493" s="60">
        <v>0</v>
      </c>
      <c r="AA1493" s="60">
        <v>0</v>
      </c>
      <c r="AB1493" s="60">
        <v>0</v>
      </c>
      <c r="AC1493" s="60">
        <v>0</v>
      </c>
      <c r="AD1493" s="60">
        <v>0</v>
      </c>
      <c r="AE1493" s="60">
        <v>0</v>
      </c>
      <c r="AF1493" s="60">
        <v>0</v>
      </c>
      <c r="AG1493" s="60">
        <v>0</v>
      </c>
      <c r="AH1493" s="60">
        <v>0</v>
      </c>
      <c r="AI1493" s="60">
        <v>109.38</v>
      </c>
      <c r="AJ1493" s="60">
        <v>102.07</v>
      </c>
      <c r="AK1493" s="60">
        <v>109.37</v>
      </c>
      <c r="AL1493" s="60">
        <v>0</v>
      </c>
      <c r="AM1493" s="60">
        <v>0</v>
      </c>
      <c r="AN1493" s="60">
        <v>0</v>
      </c>
      <c r="AO1493" s="60">
        <v>109.38</v>
      </c>
      <c r="AP1493" s="60">
        <v>102.07</v>
      </c>
      <c r="AQ1493" s="60">
        <v>109.37</v>
      </c>
      <c r="AR1493" s="61">
        <v>109.38</v>
      </c>
    </row>
    <row r="1494" spans="1:44" x14ac:dyDescent="0.35">
      <c r="A1494" s="49" t="str">
        <f t="shared" si="121"/>
        <v>44</v>
      </c>
      <c r="B1494" s="27">
        <v>69773</v>
      </c>
      <c r="C1494" s="25" t="str">
        <f t="shared" si="120"/>
        <v>0000000</v>
      </c>
      <c r="D1494" s="26" t="s">
        <v>3663</v>
      </c>
      <c r="E1494" s="25" t="s">
        <v>2861</v>
      </c>
      <c r="F1494" s="25" t="s">
        <v>2851</v>
      </c>
      <c r="G1494" s="59" t="s">
        <v>2862</v>
      </c>
      <c r="H1494" s="60">
        <v>146.05000000000001</v>
      </c>
      <c r="I1494" s="60">
        <v>130.1</v>
      </c>
      <c r="J1494" s="60">
        <v>144.96</v>
      </c>
      <c r="K1494" s="60">
        <v>0</v>
      </c>
      <c r="L1494" s="60">
        <v>0</v>
      </c>
      <c r="M1494" s="60">
        <v>0</v>
      </c>
      <c r="N1494" s="60">
        <v>0</v>
      </c>
      <c r="O1494" s="60">
        <v>0</v>
      </c>
      <c r="P1494" s="60">
        <v>0</v>
      </c>
      <c r="Q1494" s="60">
        <v>0</v>
      </c>
      <c r="R1494" s="60">
        <v>0</v>
      </c>
      <c r="S1494" s="60">
        <v>0</v>
      </c>
      <c r="T1494" s="60">
        <v>0</v>
      </c>
      <c r="U1494" s="60">
        <v>0</v>
      </c>
      <c r="V1494" s="60">
        <v>0</v>
      </c>
      <c r="W1494" s="60">
        <v>0</v>
      </c>
      <c r="X1494" s="60">
        <v>0</v>
      </c>
      <c r="Y1494" s="60">
        <v>0</v>
      </c>
      <c r="Z1494" s="60">
        <v>0</v>
      </c>
      <c r="AA1494" s="60">
        <v>0</v>
      </c>
      <c r="AB1494" s="60">
        <v>0</v>
      </c>
      <c r="AC1494" s="60">
        <v>0</v>
      </c>
      <c r="AD1494" s="60">
        <v>0</v>
      </c>
      <c r="AE1494" s="60">
        <v>0</v>
      </c>
      <c r="AF1494" s="60">
        <v>0</v>
      </c>
      <c r="AG1494" s="60">
        <v>0</v>
      </c>
      <c r="AH1494" s="60">
        <v>0</v>
      </c>
      <c r="AI1494" s="60">
        <v>146.05000000000001</v>
      </c>
      <c r="AJ1494" s="60">
        <v>130.1</v>
      </c>
      <c r="AK1494" s="60">
        <v>144.96</v>
      </c>
      <c r="AL1494" s="60">
        <v>0</v>
      </c>
      <c r="AM1494" s="60">
        <v>0</v>
      </c>
      <c r="AN1494" s="60">
        <v>0</v>
      </c>
      <c r="AO1494" s="60">
        <v>146.05000000000001</v>
      </c>
      <c r="AP1494" s="60">
        <v>130.1</v>
      </c>
      <c r="AQ1494" s="60">
        <v>144.96</v>
      </c>
      <c r="AR1494" s="61">
        <v>146.05000000000001</v>
      </c>
    </row>
    <row r="1495" spans="1:44" x14ac:dyDescent="0.35">
      <c r="A1495" s="49" t="str">
        <f t="shared" si="121"/>
        <v>44</v>
      </c>
      <c r="B1495" s="27">
        <v>69781</v>
      </c>
      <c r="C1495" s="25" t="str">
        <f t="shared" si="120"/>
        <v>0000000</v>
      </c>
      <c r="D1495" s="26" t="s">
        <v>3663</v>
      </c>
      <c r="E1495" s="25" t="s">
        <v>2863</v>
      </c>
      <c r="F1495" s="25" t="s">
        <v>2851</v>
      </c>
      <c r="G1495" s="59" t="s">
        <v>2864</v>
      </c>
      <c r="H1495" s="60">
        <v>140.83000000000001</v>
      </c>
      <c r="I1495" s="60">
        <v>132.06</v>
      </c>
      <c r="J1495" s="60">
        <v>111.65</v>
      </c>
      <c r="K1495" s="60">
        <v>0</v>
      </c>
      <c r="L1495" s="60">
        <v>0</v>
      </c>
      <c r="M1495" s="60">
        <v>0</v>
      </c>
      <c r="N1495" s="60">
        <v>0</v>
      </c>
      <c r="O1495" s="60">
        <v>0</v>
      </c>
      <c r="P1495" s="60">
        <v>0</v>
      </c>
      <c r="Q1495" s="60">
        <v>0</v>
      </c>
      <c r="R1495" s="60">
        <v>0</v>
      </c>
      <c r="S1495" s="60">
        <v>0</v>
      </c>
      <c r="T1495" s="60">
        <v>0</v>
      </c>
      <c r="U1495" s="60">
        <v>0</v>
      </c>
      <c r="V1495" s="60">
        <v>0</v>
      </c>
      <c r="W1495" s="60">
        <v>0</v>
      </c>
      <c r="X1495" s="60">
        <v>0</v>
      </c>
      <c r="Y1495" s="60">
        <v>0</v>
      </c>
      <c r="Z1495" s="60">
        <v>0</v>
      </c>
      <c r="AA1495" s="60">
        <v>0</v>
      </c>
      <c r="AB1495" s="60">
        <v>0</v>
      </c>
      <c r="AC1495" s="60">
        <v>0</v>
      </c>
      <c r="AD1495" s="60">
        <v>0</v>
      </c>
      <c r="AE1495" s="60">
        <v>0</v>
      </c>
      <c r="AF1495" s="60">
        <v>0</v>
      </c>
      <c r="AG1495" s="60">
        <v>0</v>
      </c>
      <c r="AH1495" s="60">
        <v>0</v>
      </c>
      <c r="AI1495" s="60">
        <v>140.83000000000001</v>
      </c>
      <c r="AJ1495" s="60">
        <v>132.06</v>
      </c>
      <c r="AK1495" s="60">
        <v>111.65</v>
      </c>
      <c r="AL1495" s="60">
        <v>0</v>
      </c>
      <c r="AM1495" s="60">
        <v>0</v>
      </c>
      <c r="AN1495" s="60">
        <v>0</v>
      </c>
      <c r="AO1495" s="60">
        <v>140.83000000000001</v>
      </c>
      <c r="AP1495" s="60">
        <v>132.06</v>
      </c>
      <c r="AQ1495" s="60">
        <v>111.65</v>
      </c>
      <c r="AR1495" s="61">
        <v>140.83000000000001</v>
      </c>
    </row>
    <row r="1496" spans="1:44" x14ac:dyDescent="0.35">
      <c r="A1496" s="49" t="str">
        <f t="shared" si="121"/>
        <v>44</v>
      </c>
      <c r="B1496" s="27">
        <v>10447</v>
      </c>
      <c r="C1496" s="25" t="str">
        <f>TEXT(4430252,"0000000")</f>
        <v>4430252</v>
      </c>
      <c r="D1496" s="26" t="s">
        <v>2854</v>
      </c>
      <c r="E1496" s="25" t="s">
        <v>2852</v>
      </c>
      <c r="F1496" s="25" t="s">
        <v>2851</v>
      </c>
      <c r="G1496" s="59" t="s">
        <v>2853</v>
      </c>
      <c r="H1496" s="60">
        <v>0</v>
      </c>
      <c r="I1496" s="60">
        <v>0</v>
      </c>
      <c r="J1496" s="60">
        <v>0</v>
      </c>
      <c r="K1496" s="60">
        <v>0</v>
      </c>
      <c r="L1496" s="60">
        <v>0</v>
      </c>
      <c r="M1496" s="60">
        <v>0</v>
      </c>
      <c r="N1496" s="60">
        <v>0</v>
      </c>
      <c r="O1496" s="60">
        <v>0</v>
      </c>
      <c r="P1496" s="60">
        <v>0</v>
      </c>
      <c r="Q1496" s="60">
        <v>0</v>
      </c>
      <c r="R1496" s="60">
        <v>0</v>
      </c>
      <c r="S1496" s="60">
        <v>0</v>
      </c>
      <c r="T1496" s="60">
        <v>0</v>
      </c>
      <c r="U1496" s="60">
        <v>0</v>
      </c>
      <c r="V1496" s="60">
        <v>0</v>
      </c>
      <c r="W1496" s="60">
        <v>0</v>
      </c>
      <c r="X1496" s="60">
        <v>0</v>
      </c>
      <c r="Y1496" s="60">
        <v>0</v>
      </c>
      <c r="Z1496" s="60">
        <v>0</v>
      </c>
      <c r="AA1496" s="60">
        <v>0</v>
      </c>
      <c r="AB1496" s="60">
        <v>0</v>
      </c>
      <c r="AC1496" s="60">
        <v>499.81</v>
      </c>
      <c r="AD1496" s="60">
        <v>0</v>
      </c>
      <c r="AE1496" s="60">
        <v>0</v>
      </c>
      <c r="AF1496" s="60">
        <v>0</v>
      </c>
      <c r="AG1496" s="60">
        <v>0</v>
      </c>
      <c r="AH1496" s="60">
        <v>0</v>
      </c>
      <c r="AI1496" s="60">
        <v>499.81</v>
      </c>
      <c r="AJ1496" s="60">
        <v>0</v>
      </c>
      <c r="AK1496" s="60">
        <v>0</v>
      </c>
      <c r="AL1496" s="60">
        <v>0</v>
      </c>
      <c r="AM1496" s="60">
        <v>527.07000000000005</v>
      </c>
      <c r="AN1496" s="60">
        <v>527.03</v>
      </c>
      <c r="AO1496" s="60">
        <v>499.81</v>
      </c>
      <c r="AP1496" s="60">
        <v>527.07000000000005</v>
      </c>
      <c r="AQ1496" s="60">
        <v>527.03</v>
      </c>
      <c r="AR1496" s="61">
        <v>527.07000000000005</v>
      </c>
    </row>
    <row r="1497" spans="1:44" x14ac:dyDescent="0.35">
      <c r="A1497" s="49" t="str">
        <f t="shared" si="121"/>
        <v>44</v>
      </c>
      <c r="B1497" s="27">
        <v>69823</v>
      </c>
      <c r="C1497" s="25" t="str">
        <f>TEXT(4430187,"0000000")</f>
        <v>4430187</v>
      </c>
      <c r="D1497" s="26" t="s">
        <v>2876</v>
      </c>
      <c r="E1497" s="25" t="s">
        <v>2875</v>
      </c>
      <c r="F1497" s="25" t="s">
        <v>2851</v>
      </c>
      <c r="G1497" s="59" t="s">
        <v>2459</v>
      </c>
      <c r="H1497" s="60">
        <v>0</v>
      </c>
      <c r="I1497" s="60">
        <v>0</v>
      </c>
      <c r="J1497" s="60">
        <v>0</v>
      </c>
      <c r="K1497" s="60">
        <v>0</v>
      </c>
      <c r="L1497" s="60">
        <v>0</v>
      </c>
      <c r="M1497" s="60">
        <v>0</v>
      </c>
      <c r="N1497" s="60">
        <v>0</v>
      </c>
      <c r="O1497" s="60">
        <v>0</v>
      </c>
      <c r="P1497" s="60">
        <v>0</v>
      </c>
      <c r="Q1497" s="60">
        <v>0</v>
      </c>
      <c r="R1497" s="60">
        <v>0</v>
      </c>
      <c r="S1497" s="60">
        <v>0</v>
      </c>
      <c r="T1497" s="60">
        <v>0</v>
      </c>
      <c r="U1497" s="60">
        <v>0</v>
      </c>
      <c r="V1497" s="60">
        <v>0</v>
      </c>
      <c r="W1497" s="60">
        <v>0</v>
      </c>
      <c r="X1497" s="60">
        <v>0</v>
      </c>
      <c r="Y1497" s="60">
        <v>0</v>
      </c>
      <c r="Z1497" s="60">
        <v>0</v>
      </c>
      <c r="AA1497" s="60">
        <v>0</v>
      </c>
      <c r="AB1497" s="60">
        <v>0</v>
      </c>
      <c r="AC1497" s="60">
        <v>103.47</v>
      </c>
      <c r="AD1497" s="60">
        <v>0</v>
      </c>
      <c r="AE1497" s="60">
        <v>0</v>
      </c>
      <c r="AF1497" s="60">
        <v>0</v>
      </c>
      <c r="AG1497" s="60">
        <v>0</v>
      </c>
      <c r="AH1497" s="60">
        <v>0</v>
      </c>
      <c r="AI1497" s="60">
        <v>103.47</v>
      </c>
      <c r="AJ1497" s="60">
        <v>0</v>
      </c>
      <c r="AK1497" s="60">
        <v>0</v>
      </c>
      <c r="AL1497" s="60">
        <v>0</v>
      </c>
      <c r="AM1497" s="60">
        <v>97.5</v>
      </c>
      <c r="AN1497" s="60">
        <v>96.71</v>
      </c>
      <c r="AO1497" s="60">
        <v>103.47</v>
      </c>
      <c r="AP1497" s="60">
        <v>97.5</v>
      </c>
      <c r="AQ1497" s="60">
        <v>96.71</v>
      </c>
      <c r="AR1497" s="61">
        <v>103.47</v>
      </c>
    </row>
    <row r="1498" spans="1:44" x14ac:dyDescent="0.35">
      <c r="A1498" s="49" t="str">
        <f>TEXT(15,"00")</f>
        <v>15</v>
      </c>
      <c r="B1498" s="27">
        <v>73742</v>
      </c>
      <c r="C1498" s="25" t="str">
        <f>TEXT(,"0000000")</f>
        <v>0000000</v>
      </c>
      <c r="D1498" s="26" t="s">
        <v>3663</v>
      </c>
      <c r="E1498" s="25" t="s">
        <v>747</v>
      </c>
      <c r="F1498" s="25" t="s">
        <v>748</v>
      </c>
      <c r="G1498" s="59" t="s">
        <v>748</v>
      </c>
      <c r="H1498" s="60">
        <v>4679.5200000000004</v>
      </c>
      <c r="I1498" s="60">
        <v>4598.4399999999996</v>
      </c>
      <c r="J1498" s="60">
        <v>4928.8900000000003</v>
      </c>
      <c r="K1498" s="60">
        <v>0</v>
      </c>
      <c r="L1498" s="60">
        <v>0</v>
      </c>
      <c r="M1498" s="60">
        <v>0</v>
      </c>
      <c r="N1498" s="60">
        <v>0</v>
      </c>
      <c r="O1498" s="60">
        <v>0</v>
      </c>
      <c r="P1498" s="60">
        <v>0</v>
      </c>
      <c r="Q1498" s="60">
        <v>0</v>
      </c>
      <c r="R1498" s="60">
        <v>0</v>
      </c>
      <c r="S1498" s="60">
        <v>0</v>
      </c>
      <c r="T1498" s="60">
        <v>0</v>
      </c>
      <c r="U1498" s="60">
        <v>0</v>
      </c>
      <c r="V1498" s="60">
        <v>0</v>
      </c>
      <c r="W1498" s="60">
        <v>0</v>
      </c>
      <c r="X1498" s="60">
        <v>0</v>
      </c>
      <c r="Y1498" s="60">
        <v>0</v>
      </c>
      <c r="Z1498" s="60">
        <v>0</v>
      </c>
      <c r="AA1498" s="60">
        <v>0</v>
      </c>
      <c r="AB1498" s="60">
        <v>0</v>
      </c>
      <c r="AC1498" s="60">
        <v>0</v>
      </c>
      <c r="AD1498" s="60">
        <v>0</v>
      </c>
      <c r="AE1498" s="60">
        <v>0</v>
      </c>
      <c r="AF1498" s="60">
        <v>0</v>
      </c>
      <c r="AG1498" s="60">
        <v>0</v>
      </c>
      <c r="AH1498" s="60">
        <v>0</v>
      </c>
      <c r="AI1498" s="60">
        <v>4679.5200000000004</v>
      </c>
      <c r="AJ1498" s="60">
        <v>4598.4399999999996</v>
      </c>
      <c r="AK1498" s="60">
        <v>4928.8900000000003</v>
      </c>
      <c r="AL1498" s="60">
        <v>0</v>
      </c>
      <c r="AM1498" s="60">
        <v>0</v>
      </c>
      <c r="AN1498" s="60">
        <v>0</v>
      </c>
      <c r="AO1498" s="60">
        <v>4679.5200000000004</v>
      </c>
      <c r="AP1498" s="60">
        <v>4598.4399999999996</v>
      </c>
      <c r="AQ1498" s="60">
        <v>4928.8900000000003</v>
      </c>
      <c r="AR1498" s="61">
        <v>4928.8900000000003</v>
      </c>
    </row>
    <row r="1499" spans="1:44" x14ac:dyDescent="0.35">
      <c r="A1499" s="49" t="str">
        <f>TEXT(49,"00")</f>
        <v>49</v>
      </c>
      <c r="B1499" s="27">
        <v>10496</v>
      </c>
      <c r="C1499" s="25" t="str">
        <f>TEXT(,"0000000")</f>
        <v>0000000</v>
      </c>
      <c r="D1499" s="26" t="s">
        <v>3663</v>
      </c>
      <c r="E1499" s="25" t="s">
        <v>20</v>
      </c>
      <c r="F1499" s="25" t="s">
        <v>21</v>
      </c>
      <c r="G1499" s="59" t="s">
        <v>21</v>
      </c>
      <c r="H1499" s="60">
        <v>0</v>
      </c>
      <c r="I1499" s="60">
        <v>0</v>
      </c>
      <c r="J1499" s="60">
        <v>0</v>
      </c>
      <c r="K1499" s="60">
        <v>0</v>
      </c>
      <c r="L1499" s="60">
        <v>0</v>
      </c>
      <c r="M1499" s="60">
        <v>0</v>
      </c>
      <c r="N1499" s="60">
        <v>0</v>
      </c>
      <c r="O1499" s="60">
        <v>0</v>
      </c>
      <c r="P1499" s="60">
        <v>0</v>
      </c>
      <c r="Q1499" s="60">
        <v>0</v>
      </c>
      <c r="R1499" s="60">
        <v>0</v>
      </c>
      <c r="S1499" s="60">
        <v>0</v>
      </c>
      <c r="T1499" s="60">
        <v>0</v>
      </c>
      <c r="U1499" s="60">
        <v>0</v>
      </c>
      <c r="V1499" s="60">
        <v>0</v>
      </c>
      <c r="W1499" s="60">
        <v>0</v>
      </c>
      <c r="X1499" s="60">
        <v>0</v>
      </c>
      <c r="Y1499" s="60">
        <v>0</v>
      </c>
      <c r="Z1499" s="60">
        <v>0</v>
      </c>
      <c r="AA1499" s="60">
        <v>0</v>
      </c>
      <c r="AB1499" s="60">
        <v>0</v>
      </c>
      <c r="AC1499" s="60">
        <v>0</v>
      </c>
      <c r="AD1499" s="60">
        <v>0</v>
      </c>
      <c r="AE1499" s="60">
        <v>0</v>
      </c>
      <c r="AF1499" s="60">
        <v>0</v>
      </c>
      <c r="AG1499" s="60">
        <v>0</v>
      </c>
      <c r="AH1499" s="60">
        <v>0</v>
      </c>
      <c r="AI1499" s="60">
        <v>0</v>
      </c>
      <c r="AJ1499" s="60">
        <v>0</v>
      </c>
      <c r="AK1499" s="60">
        <v>0</v>
      </c>
      <c r="AL1499" s="60">
        <v>0</v>
      </c>
      <c r="AM1499" s="60">
        <v>0</v>
      </c>
      <c r="AN1499" s="60">
        <v>0</v>
      </c>
      <c r="AO1499" s="60">
        <v>0</v>
      </c>
      <c r="AP1499" s="60">
        <v>0</v>
      </c>
      <c r="AQ1499" s="60">
        <v>0</v>
      </c>
      <c r="AR1499" s="61">
        <v>0</v>
      </c>
    </row>
    <row r="1500" spans="1:44" x14ac:dyDescent="0.35">
      <c r="A1500" s="49" t="str">
        <f>TEXT(1,"00")</f>
        <v>01</v>
      </c>
      <c r="B1500" s="27">
        <v>10017</v>
      </c>
      <c r="C1500" s="25" t="str">
        <f>TEXT(131581,"0000000")</f>
        <v>0131581</v>
      </c>
      <c r="D1500" s="27">
        <v>1707</v>
      </c>
      <c r="E1500" s="25" t="s">
        <v>22</v>
      </c>
      <c r="F1500" s="25" t="s">
        <v>21</v>
      </c>
      <c r="G1500" s="59" t="s">
        <v>23</v>
      </c>
      <c r="H1500" s="60">
        <v>0</v>
      </c>
      <c r="I1500" s="60">
        <v>0</v>
      </c>
      <c r="J1500" s="60">
        <v>0</v>
      </c>
      <c r="K1500" s="60">
        <v>0</v>
      </c>
      <c r="L1500" s="60">
        <v>0</v>
      </c>
      <c r="M1500" s="60">
        <v>0</v>
      </c>
      <c r="N1500" s="60">
        <v>0</v>
      </c>
      <c r="O1500" s="60">
        <v>0</v>
      </c>
      <c r="P1500" s="60">
        <v>0</v>
      </c>
      <c r="Q1500" s="60">
        <v>0</v>
      </c>
      <c r="R1500" s="60">
        <v>0</v>
      </c>
      <c r="S1500" s="60">
        <v>0</v>
      </c>
      <c r="T1500" s="60">
        <v>0</v>
      </c>
      <c r="U1500" s="60">
        <v>0</v>
      </c>
      <c r="V1500" s="60">
        <v>0</v>
      </c>
      <c r="W1500" s="60">
        <v>0</v>
      </c>
      <c r="X1500" s="60">
        <v>0</v>
      </c>
      <c r="Y1500" s="60">
        <v>0</v>
      </c>
      <c r="Z1500" s="60">
        <v>0</v>
      </c>
      <c r="AA1500" s="60">
        <v>0</v>
      </c>
      <c r="AB1500" s="60">
        <v>0</v>
      </c>
      <c r="AC1500" s="60">
        <v>96.3</v>
      </c>
      <c r="AD1500" s="60">
        <v>101.56</v>
      </c>
      <c r="AE1500" s="60">
        <v>152.08000000000001</v>
      </c>
      <c r="AF1500" s="60">
        <v>0</v>
      </c>
      <c r="AG1500" s="60">
        <v>0</v>
      </c>
      <c r="AH1500" s="60">
        <v>0</v>
      </c>
      <c r="AI1500" s="60">
        <v>96.3</v>
      </c>
      <c r="AJ1500" s="60">
        <v>101.56</v>
      </c>
      <c r="AK1500" s="60">
        <v>152.08000000000001</v>
      </c>
      <c r="AL1500" s="60">
        <v>0</v>
      </c>
      <c r="AM1500" s="60">
        <v>0</v>
      </c>
      <c r="AN1500" s="60">
        <v>0</v>
      </c>
      <c r="AO1500" s="60">
        <v>96.3</v>
      </c>
      <c r="AP1500" s="60">
        <v>101.56</v>
      </c>
      <c r="AQ1500" s="60">
        <v>152.08000000000001</v>
      </c>
      <c r="AR1500" s="61">
        <v>152.08000000000001</v>
      </c>
    </row>
    <row r="1501" spans="1:44" x14ac:dyDescent="0.35">
      <c r="A1501" s="49" t="str">
        <f>TEXT(1,"00")</f>
        <v>01</v>
      </c>
      <c r="B1501" s="27">
        <v>61119</v>
      </c>
      <c r="C1501" s="25" t="str">
        <f>TEXT(122085,"0000000")</f>
        <v>0122085</v>
      </c>
      <c r="D1501" s="27">
        <v>1181</v>
      </c>
      <c r="E1501" s="25" t="s">
        <v>41</v>
      </c>
      <c r="F1501" s="25" t="s">
        <v>21</v>
      </c>
      <c r="G1501" s="59" t="s">
        <v>42</v>
      </c>
      <c r="H1501" s="60">
        <v>0</v>
      </c>
      <c r="I1501" s="60">
        <v>0</v>
      </c>
      <c r="J1501" s="60">
        <v>0</v>
      </c>
      <c r="K1501" s="60">
        <v>0</v>
      </c>
      <c r="L1501" s="60">
        <v>0</v>
      </c>
      <c r="M1501" s="60">
        <v>0</v>
      </c>
      <c r="N1501" s="60">
        <v>0</v>
      </c>
      <c r="O1501" s="60">
        <v>0</v>
      </c>
      <c r="P1501" s="60">
        <v>0</v>
      </c>
      <c r="Q1501" s="60">
        <v>0</v>
      </c>
      <c r="R1501" s="60">
        <v>0</v>
      </c>
      <c r="S1501" s="60">
        <v>0</v>
      </c>
      <c r="T1501" s="60">
        <v>0</v>
      </c>
      <c r="U1501" s="60">
        <v>0</v>
      </c>
      <c r="V1501" s="60">
        <v>0</v>
      </c>
      <c r="W1501" s="60">
        <v>0</v>
      </c>
      <c r="X1501" s="60">
        <v>0</v>
      </c>
      <c r="Y1501" s="60">
        <v>0</v>
      </c>
      <c r="Z1501" s="60">
        <v>0</v>
      </c>
      <c r="AA1501" s="60">
        <v>0</v>
      </c>
      <c r="AB1501" s="60">
        <v>0</v>
      </c>
      <c r="AC1501" s="60">
        <v>564.72</v>
      </c>
      <c r="AD1501" s="60">
        <v>342.15</v>
      </c>
      <c r="AE1501" s="60">
        <v>454.63</v>
      </c>
      <c r="AF1501" s="60">
        <v>0</v>
      </c>
      <c r="AG1501" s="60">
        <v>0</v>
      </c>
      <c r="AH1501" s="60">
        <v>0</v>
      </c>
      <c r="AI1501" s="60">
        <v>564.72</v>
      </c>
      <c r="AJ1501" s="60">
        <v>342.15</v>
      </c>
      <c r="AK1501" s="60">
        <v>454.63</v>
      </c>
      <c r="AL1501" s="60">
        <v>0</v>
      </c>
      <c r="AM1501" s="60">
        <v>0</v>
      </c>
      <c r="AN1501" s="60">
        <v>0</v>
      </c>
      <c r="AO1501" s="60">
        <v>564.72</v>
      </c>
      <c r="AP1501" s="60">
        <v>342.15</v>
      </c>
      <c r="AQ1501" s="60">
        <v>454.63</v>
      </c>
      <c r="AR1501" s="61">
        <v>564.72</v>
      </c>
    </row>
    <row r="1502" spans="1:44" x14ac:dyDescent="0.35">
      <c r="A1502" s="49" t="str">
        <f>TEXT(1,"00")</f>
        <v>01</v>
      </c>
      <c r="B1502" s="27">
        <v>61192</v>
      </c>
      <c r="C1502" s="25" t="str">
        <f>TEXT(127944,"0000000")</f>
        <v>0127944</v>
      </c>
      <c r="D1502" s="27">
        <v>1543</v>
      </c>
      <c r="E1502" s="25" t="s">
        <v>61</v>
      </c>
      <c r="F1502" s="25" t="s">
        <v>21</v>
      </c>
      <c r="G1502" s="59" t="s">
        <v>62</v>
      </c>
      <c r="H1502" s="60">
        <v>0</v>
      </c>
      <c r="I1502" s="60">
        <v>0</v>
      </c>
      <c r="J1502" s="60">
        <v>0</v>
      </c>
      <c r="K1502" s="60">
        <v>0</v>
      </c>
      <c r="L1502" s="60">
        <v>0</v>
      </c>
      <c r="M1502" s="60">
        <v>0</v>
      </c>
      <c r="N1502" s="60">
        <v>0</v>
      </c>
      <c r="O1502" s="60">
        <v>0</v>
      </c>
      <c r="P1502" s="60">
        <v>0</v>
      </c>
      <c r="Q1502" s="60">
        <v>0</v>
      </c>
      <c r="R1502" s="60">
        <v>0</v>
      </c>
      <c r="S1502" s="60">
        <v>0</v>
      </c>
      <c r="T1502" s="60">
        <v>0</v>
      </c>
      <c r="U1502" s="60">
        <v>0</v>
      </c>
      <c r="V1502" s="60">
        <v>0</v>
      </c>
      <c r="W1502" s="60">
        <v>0</v>
      </c>
      <c r="X1502" s="60">
        <v>0</v>
      </c>
      <c r="Y1502" s="60">
        <v>0</v>
      </c>
      <c r="Z1502" s="60">
        <v>0</v>
      </c>
      <c r="AA1502" s="60">
        <v>0</v>
      </c>
      <c r="AB1502" s="60">
        <v>0</v>
      </c>
      <c r="AC1502" s="60">
        <v>510.28</v>
      </c>
      <c r="AD1502" s="60">
        <v>450.71</v>
      </c>
      <c r="AE1502" s="60">
        <v>207.7</v>
      </c>
      <c r="AF1502" s="60">
        <v>0</v>
      </c>
      <c r="AG1502" s="60">
        <v>0</v>
      </c>
      <c r="AH1502" s="60">
        <v>0</v>
      </c>
      <c r="AI1502" s="60">
        <v>510.28</v>
      </c>
      <c r="AJ1502" s="60">
        <v>450.71</v>
      </c>
      <c r="AK1502" s="60">
        <v>207.7</v>
      </c>
      <c r="AL1502" s="60">
        <v>0</v>
      </c>
      <c r="AM1502" s="60">
        <v>0</v>
      </c>
      <c r="AN1502" s="60">
        <v>0</v>
      </c>
      <c r="AO1502" s="60">
        <v>510.28</v>
      </c>
      <c r="AP1502" s="60">
        <v>450.71</v>
      </c>
      <c r="AQ1502" s="60">
        <v>207.7</v>
      </c>
      <c r="AR1502" s="61">
        <v>510.28</v>
      </c>
    </row>
    <row r="1503" spans="1:44" x14ac:dyDescent="0.35">
      <c r="A1503" s="49" t="str">
        <f>TEXT(1,"00")</f>
        <v>01</v>
      </c>
      <c r="B1503" s="27">
        <v>61259</v>
      </c>
      <c r="C1503" s="25" t="str">
        <f>TEXT(100065,"0000000")</f>
        <v>0100065</v>
      </c>
      <c r="D1503" s="26" t="s">
        <v>78</v>
      </c>
      <c r="E1503" s="25" t="s">
        <v>76</v>
      </c>
      <c r="F1503" s="25" t="s">
        <v>21</v>
      </c>
      <c r="G1503" s="59" t="s">
        <v>77</v>
      </c>
      <c r="H1503" s="60">
        <v>0</v>
      </c>
      <c r="I1503" s="60">
        <v>0</v>
      </c>
      <c r="J1503" s="60">
        <v>0</v>
      </c>
      <c r="K1503" s="60">
        <v>0</v>
      </c>
      <c r="L1503" s="60">
        <v>0</v>
      </c>
      <c r="M1503" s="60">
        <v>0</v>
      </c>
      <c r="N1503" s="60">
        <v>0</v>
      </c>
      <c r="O1503" s="60">
        <v>0</v>
      </c>
      <c r="P1503" s="60">
        <v>0</v>
      </c>
      <c r="Q1503" s="60">
        <v>0</v>
      </c>
      <c r="R1503" s="60">
        <v>0</v>
      </c>
      <c r="S1503" s="60">
        <v>0</v>
      </c>
      <c r="T1503" s="60">
        <v>0</v>
      </c>
      <c r="U1503" s="60">
        <v>0</v>
      </c>
      <c r="V1503" s="60">
        <v>0</v>
      </c>
      <c r="W1503" s="60">
        <v>0</v>
      </c>
      <c r="X1503" s="60">
        <v>0</v>
      </c>
      <c r="Y1503" s="60">
        <v>0</v>
      </c>
      <c r="Z1503" s="60">
        <v>0</v>
      </c>
      <c r="AA1503" s="60">
        <v>0</v>
      </c>
      <c r="AB1503" s="60">
        <v>0</v>
      </c>
      <c r="AC1503" s="60">
        <v>311.56</v>
      </c>
      <c r="AD1503" s="60">
        <v>325.07</v>
      </c>
      <c r="AE1503" s="60">
        <v>337.86</v>
      </c>
      <c r="AF1503" s="60">
        <v>0</v>
      </c>
      <c r="AG1503" s="60">
        <v>0</v>
      </c>
      <c r="AH1503" s="60">
        <v>0</v>
      </c>
      <c r="AI1503" s="60">
        <v>311.56</v>
      </c>
      <c r="AJ1503" s="60">
        <v>325.07</v>
      </c>
      <c r="AK1503" s="60">
        <v>337.86</v>
      </c>
      <c r="AL1503" s="60">
        <v>0</v>
      </c>
      <c r="AM1503" s="60">
        <v>0</v>
      </c>
      <c r="AN1503" s="60">
        <v>0</v>
      </c>
      <c r="AO1503" s="60">
        <v>311.56</v>
      </c>
      <c r="AP1503" s="60">
        <v>325.07</v>
      </c>
      <c r="AQ1503" s="60">
        <v>337.86</v>
      </c>
      <c r="AR1503" s="61">
        <v>337.86</v>
      </c>
    </row>
    <row r="1504" spans="1:44" ht="31" x14ac:dyDescent="0.35">
      <c r="A1504" s="49" t="str">
        <f>TEXT(7,"00")</f>
        <v>07</v>
      </c>
      <c r="B1504" s="27">
        <v>61796</v>
      </c>
      <c r="C1504" s="25" t="str">
        <f>TEXT(136903,"0000000")</f>
        <v>0136903</v>
      </c>
      <c r="D1504" s="27">
        <v>1906</v>
      </c>
      <c r="E1504" s="25" t="s">
        <v>330</v>
      </c>
      <c r="F1504" s="25" t="s">
        <v>21</v>
      </c>
      <c r="G1504" s="59" t="s">
        <v>331</v>
      </c>
      <c r="H1504" s="60">
        <v>0</v>
      </c>
      <c r="I1504" s="60">
        <v>0</v>
      </c>
      <c r="J1504" s="60">
        <v>0</v>
      </c>
      <c r="K1504" s="60">
        <v>0</v>
      </c>
      <c r="L1504" s="60">
        <v>0</v>
      </c>
      <c r="M1504" s="60">
        <v>0</v>
      </c>
      <c r="N1504" s="60">
        <v>0</v>
      </c>
      <c r="O1504" s="60">
        <v>0</v>
      </c>
      <c r="P1504" s="60">
        <v>0</v>
      </c>
      <c r="Q1504" s="60">
        <v>0</v>
      </c>
      <c r="R1504" s="60">
        <v>0</v>
      </c>
      <c r="S1504" s="60">
        <v>0</v>
      </c>
      <c r="T1504" s="60">
        <v>0</v>
      </c>
      <c r="U1504" s="60">
        <v>0</v>
      </c>
      <c r="V1504" s="60">
        <v>0</v>
      </c>
      <c r="W1504" s="60">
        <v>0</v>
      </c>
      <c r="X1504" s="60">
        <v>0</v>
      </c>
      <c r="Y1504" s="60">
        <v>0</v>
      </c>
      <c r="Z1504" s="60">
        <v>0</v>
      </c>
      <c r="AA1504" s="60">
        <v>0</v>
      </c>
      <c r="AB1504" s="60">
        <v>0</v>
      </c>
      <c r="AC1504" s="60">
        <v>213.15</v>
      </c>
      <c r="AD1504" s="60">
        <v>195.05</v>
      </c>
      <c r="AE1504" s="60">
        <v>200.6</v>
      </c>
      <c r="AF1504" s="60">
        <v>0</v>
      </c>
      <c r="AG1504" s="60">
        <v>0</v>
      </c>
      <c r="AH1504" s="60">
        <v>0</v>
      </c>
      <c r="AI1504" s="60">
        <v>213.15</v>
      </c>
      <c r="AJ1504" s="60">
        <v>195.05</v>
      </c>
      <c r="AK1504" s="60">
        <v>200.6</v>
      </c>
      <c r="AL1504" s="60">
        <v>0</v>
      </c>
      <c r="AM1504" s="60">
        <v>0</v>
      </c>
      <c r="AN1504" s="60">
        <v>0</v>
      </c>
      <c r="AO1504" s="60">
        <v>213.15</v>
      </c>
      <c r="AP1504" s="60">
        <v>195.05</v>
      </c>
      <c r="AQ1504" s="60">
        <v>200.6</v>
      </c>
      <c r="AR1504" s="61">
        <v>213.15</v>
      </c>
    </row>
    <row r="1505" spans="1:44" x14ac:dyDescent="0.35">
      <c r="A1505" s="49" t="str">
        <f>TEXT(19,"00")</f>
        <v>19</v>
      </c>
      <c r="B1505" s="27">
        <v>64642</v>
      </c>
      <c r="C1505" s="25" t="str">
        <f>TEXT(136127,"0000000")</f>
        <v>0136127</v>
      </c>
      <c r="D1505" s="27">
        <v>1886</v>
      </c>
      <c r="E1505" s="25" t="s">
        <v>996</v>
      </c>
      <c r="F1505" s="25" t="s">
        <v>21</v>
      </c>
      <c r="G1505" s="59" t="s">
        <v>997</v>
      </c>
      <c r="H1505" s="60">
        <v>0</v>
      </c>
      <c r="I1505" s="60">
        <v>0</v>
      </c>
      <c r="J1505" s="60">
        <v>0</v>
      </c>
      <c r="K1505" s="60">
        <v>0</v>
      </c>
      <c r="L1505" s="60">
        <v>0</v>
      </c>
      <c r="M1505" s="60">
        <v>0</v>
      </c>
      <c r="N1505" s="60">
        <v>0</v>
      </c>
      <c r="O1505" s="60">
        <v>0</v>
      </c>
      <c r="P1505" s="60">
        <v>0</v>
      </c>
      <c r="Q1505" s="60">
        <v>0</v>
      </c>
      <c r="R1505" s="60">
        <v>0</v>
      </c>
      <c r="S1505" s="60">
        <v>0</v>
      </c>
      <c r="T1505" s="60">
        <v>0</v>
      </c>
      <c r="U1505" s="60">
        <v>0</v>
      </c>
      <c r="V1505" s="60">
        <v>0</v>
      </c>
      <c r="W1505" s="60">
        <v>0</v>
      </c>
      <c r="X1505" s="60">
        <v>0</v>
      </c>
      <c r="Y1505" s="60">
        <v>0</v>
      </c>
      <c r="Z1505" s="60">
        <v>0</v>
      </c>
      <c r="AA1505" s="60">
        <v>0</v>
      </c>
      <c r="AB1505" s="60">
        <v>0</v>
      </c>
      <c r="AC1505" s="60">
        <v>426.06</v>
      </c>
      <c r="AD1505" s="60">
        <v>282.54000000000002</v>
      </c>
      <c r="AE1505" s="60">
        <v>226.84</v>
      </c>
      <c r="AF1505" s="60">
        <v>0</v>
      </c>
      <c r="AG1505" s="60">
        <v>0</v>
      </c>
      <c r="AH1505" s="60">
        <v>0</v>
      </c>
      <c r="AI1505" s="60">
        <v>426.06</v>
      </c>
      <c r="AJ1505" s="60">
        <v>282.54000000000002</v>
      </c>
      <c r="AK1505" s="60">
        <v>226.84</v>
      </c>
      <c r="AL1505" s="60">
        <v>0</v>
      </c>
      <c r="AM1505" s="60">
        <v>0</v>
      </c>
      <c r="AN1505" s="60">
        <v>0</v>
      </c>
      <c r="AO1505" s="60">
        <v>426.06</v>
      </c>
      <c r="AP1505" s="60">
        <v>282.54000000000002</v>
      </c>
      <c r="AQ1505" s="60">
        <v>226.84</v>
      </c>
      <c r="AR1505" s="61">
        <v>426.06</v>
      </c>
    </row>
    <row r="1506" spans="1:44" x14ac:dyDescent="0.35">
      <c r="A1506" s="49" t="str">
        <f>TEXT(19,"00")</f>
        <v>19</v>
      </c>
      <c r="B1506" s="27">
        <v>75309</v>
      </c>
      <c r="C1506" s="25" t="str">
        <f>TEXT(132654,"0000000")</f>
        <v>0132654</v>
      </c>
      <c r="D1506" s="27">
        <v>1751</v>
      </c>
      <c r="E1506" s="25" t="s">
        <v>1174</v>
      </c>
      <c r="F1506" s="25" t="s">
        <v>21</v>
      </c>
      <c r="G1506" s="59" t="s">
        <v>1175</v>
      </c>
      <c r="H1506" s="60">
        <v>0</v>
      </c>
      <c r="I1506" s="60">
        <v>0</v>
      </c>
      <c r="J1506" s="60">
        <v>0</v>
      </c>
      <c r="K1506" s="60">
        <v>0</v>
      </c>
      <c r="L1506" s="60">
        <v>0</v>
      </c>
      <c r="M1506" s="60">
        <v>0</v>
      </c>
      <c r="N1506" s="60">
        <v>0</v>
      </c>
      <c r="O1506" s="60">
        <v>0</v>
      </c>
      <c r="P1506" s="60">
        <v>0</v>
      </c>
      <c r="Q1506" s="60">
        <v>0</v>
      </c>
      <c r="R1506" s="60">
        <v>0</v>
      </c>
      <c r="S1506" s="60">
        <v>0</v>
      </c>
      <c r="T1506" s="60">
        <v>0</v>
      </c>
      <c r="U1506" s="60">
        <v>0</v>
      </c>
      <c r="V1506" s="60">
        <v>0</v>
      </c>
      <c r="W1506" s="60">
        <v>0</v>
      </c>
      <c r="X1506" s="60">
        <v>0</v>
      </c>
      <c r="Y1506" s="60">
        <v>0</v>
      </c>
      <c r="Z1506" s="60">
        <v>0</v>
      </c>
      <c r="AA1506" s="60">
        <v>0</v>
      </c>
      <c r="AB1506" s="60">
        <v>0</v>
      </c>
      <c r="AC1506" s="60">
        <v>369.98</v>
      </c>
      <c r="AD1506" s="60">
        <v>332.01</v>
      </c>
      <c r="AE1506" s="60">
        <v>282.24</v>
      </c>
      <c r="AF1506" s="60">
        <v>0</v>
      </c>
      <c r="AG1506" s="60">
        <v>0</v>
      </c>
      <c r="AH1506" s="60">
        <v>0</v>
      </c>
      <c r="AI1506" s="60">
        <v>369.98</v>
      </c>
      <c r="AJ1506" s="60">
        <v>332.01</v>
      </c>
      <c r="AK1506" s="60">
        <v>282.24</v>
      </c>
      <c r="AL1506" s="60">
        <v>0</v>
      </c>
      <c r="AM1506" s="60">
        <v>0</v>
      </c>
      <c r="AN1506" s="60">
        <v>0</v>
      </c>
      <c r="AO1506" s="60">
        <v>369.98</v>
      </c>
      <c r="AP1506" s="60">
        <v>332.01</v>
      </c>
      <c r="AQ1506" s="60">
        <v>282.24</v>
      </c>
      <c r="AR1506" s="61">
        <v>369.98</v>
      </c>
    </row>
    <row r="1507" spans="1:44" x14ac:dyDescent="0.35">
      <c r="A1507" s="49" t="str">
        <f>TEXT(27,"00")</f>
        <v>27</v>
      </c>
      <c r="B1507" s="27">
        <v>10272</v>
      </c>
      <c r="C1507" s="25" t="str">
        <f>TEXT(112177,"0000000")</f>
        <v>0112177</v>
      </c>
      <c r="D1507" s="26" t="s">
        <v>1383</v>
      </c>
      <c r="E1507" s="25" t="s">
        <v>1381</v>
      </c>
      <c r="F1507" s="25" t="s">
        <v>21</v>
      </c>
      <c r="G1507" s="59" t="s">
        <v>1382</v>
      </c>
      <c r="H1507" s="60">
        <v>0</v>
      </c>
      <c r="I1507" s="60">
        <v>0</v>
      </c>
      <c r="J1507" s="60">
        <v>0</v>
      </c>
      <c r="K1507" s="60">
        <v>0</v>
      </c>
      <c r="L1507" s="60">
        <v>0</v>
      </c>
      <c r="M1507" s="60">
        <v>0</v>
      </c>
      <c r="N1507" s="60">
        <v>0</v>
      </c>
      <c r="O1507" s="60">
        <v>0</v>
      </c>
      <c r="P1507" s="60">
        <v>0</v>
      </c>
      <c r="Q1507" s="60">
        <v>0</v>
      </c>
      <c r="R1507" s="60">
        <v>0</v>
      </c>
      <c r="S1507" s="60">
        <v>0</v>
      </c>
      <c r="T1507" s="60">
        <v>0</v>
      </c>
      <c r="U1507" s="60">
        <v>0</v>
      </c>
      <c r="V1507" s="60">
        <v>0</v>
      </c>
      <c r="W1507" s="60">
        <v>0</v>
      </c>
      <c r="X1507" s="60">
        <v>0</v>
      </c>
      <c r="Y1507" s="60">
        <v>0</v>
      </c>
      <c r="Z1507" s="60">
        <v>0</v>
      </c>
      <c r="AA1507" s="60">
        <v>0</v>
      </c>
      <c r="AB1507" s="60">
        <v>0</v>
      </c>
      <c r="AC1507" s="60">
        <v>446.85</v>
      </c>
      <c r="AD1507" s="60">
        <v>425.36</v>
      </c>
      <c r="AE1507" s="60">
        <v>468</v>
      </c>
      <c r="AF1507" s="60">
        <v>0</v>
      </c>
      <c r="AG1507" s="60">
        <v>0</v>
      </c>
      <c r="AH1507" s="60">
        <v>0</v>
      </c>
      <c r="AI1507" s="60">
        <v>446.85</v>
      </c>
      <c r="AJ1507" s="60">
        <v>425.36</v>
      </c>
      <c r="AK1507" s="60">
        <v>468</v>
      </c>
      <c r="AL1507" s="60">
        <v>0</v>
      </c>
      <c r="AM1507" s="60">
        <v>0</v>
      </c>
      <c r="AN1507" s="60">
        <v>0</v>
      </c>
      <c r="AO1507" s="60">
        <v>446.85</v>
      </c>
      <c r="AP1507" s="60">
        <v>425.36</v>
      </c>
      <c r="AQ1507" s="60">
        <v>468</v>
      </c>
      <c r="AR1507" s="61">
        <v>468</v>
      </c>
    </row>
    <row r="1508" spans="1:44" x14ac:dyDescent="0.35">
      <c r="A1508" s="49" t="str">
        <f>TEXT(27,"00")</f>
        <v>27</v>
      </c>
      <c r="B1508" s="27">
        <v>10272</v>
      </c>
      <c r="C1508" s="25" t="str">
        <f>TEXT(124297,"0000000")</f>
        <v>0124297</v>
      </c>
      <c r="D1508" s="27">
        <v>1306</v>
      </c>
      <c r="E1508" s="25" t="s">
        <v>1384</v>
      </c>
      <c r="F1508" s="25" t="s">
        <v>21</v>
      </c>
      <c r="G1508" s="59" t="s">
        <v>1385</v>
      </c>
      <c r="H1508" s="60">
        <v>0</v>
      </c>
      <c r="I1508" s="60">
        <v>0</v>
      </c>
      <c r="J1508" s="60">
        <v>0</v>
      </c>
      <c r="K1508" s="60">
        <v>0</v>
      </c>
      <c r="L1508" s="60">
        <v>0</v>
      </c>
      <c r="M1508" s="60">
        <v>0</v>
      </c>
      <c r="N1508" s="60">
        <v>0</v>
      </c>
      <c r="O1508" s="60">
        <v>0</v>
      </c>
      <c r="P1508" s="60">
        <v>0</v>
      </c>
      <c r="Q1508" s="60">
        <v>0</v>
      </c>
      <c r="R1508" s="60">
        <v>0</v>
      </c>
      <c r="S1508" s="60">
        <v>0</v>
      </c>
      <c r="T1508" s="60">
        <v>0</v>
      </c>
      <c r="U1508" s="60">
        <v>0</v>
      </c>
      <c r="V1508" s="60">
        <v>0</v>
      </c>
      <c r="W1508" s="60">
        <v>0</v>
      </c>
      <c r="X1508" s="60">
        <v>0</v>
      </c>
      <c r="Y1508" s="60">
        <v>0</v>
      </c>
      <c r="Z1508" s="60">
        <v>0</v>
      </c>
      <c r="AA1508" s="60">
        <v>0</v>
      </c>
      <c r="AB1508" s="60">
        <v>0</v>
      </c>
      <c r="AC1508" s="60">
        <v>462.05</v>
      </c>
      <c r="AD1508" s="60">
        <v>461.42</v>
      </c>
      <c r="AE1508" s="60">
        <v>475.27</v>
      </c>
      <c r="AF1508" s="60">
        <v>0</v>
      </c>
      <c r="AG1508" s="60">
        <v>0</v>
      </c>
      <c r="AH1508" s="60">
        <v>0</v>
      </c>
      <c r="AI1508" s="60">
        <v>462.05</v>
      </c>
      <c r="AJ1508" s="60">
        <v>461.42</v>
      </c>
      <c r="AK1508" s="60">
        <v>475.27</v>
      </c>
      <c r="AL1508" s="60">
        <v>0</v>
      </c>
      <c r="AM1508" s="60">
        <v>0</v>
      </c>
      <c r="AN1508" s="60">
        <v>0</v>
      </c>
      <c r="AO1508" s="60">
        <v>462.05</v>
      </c>
      <c r="AP1508" s="60">
        <v>461.42</v>
      </c>
      <c r="AQ1508" s="60">
        <v>475.27</v>
      </c>
      <c r="AR1508" s="61">
        <v>475.27</v>
      </c>
    </row>
    <row r="1509" spans="1:44" x14ac:dyDescent="0.35">
      <c r="A1509" s="49" t="str">
        <f>TEXT(27,"00")</f>
        <v>27</v>
      </c>
      <c r="B1509" s="27">
        <v>10272</v>
      </c>
      <c r="C1509" s="25" t="str">
        <f>TEXT(6119663,"0000000")</f>
        <v>6119663</v>
      </c>
      <c r="D1509" s="26" t="s">
        <v>1388</v>
      </c>
      <c r="E1509" s="25" t="s">
        <v>1386</v>
      </c>
      <c r="F1509" s="25" t="s">
        <v>21</v>
      </c>
      <c r="G1509" s="59" t="s">
        <v>1387</v>
      </c>
      <c r="H1509" s="60">
        <v>0</v>
      </c>
      <c r="I1509" s="60">
        <v>0</v>
      </c>
      <c r="J1509" s="60">
        <v>0</v>
      </c>
      <c r="K1509" s="60">
        <v>0</v>
      </c>
      <c r="L1509" s="60">
        <v>0</v>
      </c>
      <c r="M1509" s="60">
        <v>0</v>
      </c>
      <c r="N1509" s="60">
        <v>0</v>
      </c>
      <c r="O1509" s="60">
        <v>0</v>
      </c>
      <c r="P1509" s="60">
        <v>0</v>
      </c>
      <c r="Q1509" s="60">
        <v>0</v>
      </c>
      <c r="R1509" s="60">
        <v>0</v>
      </c>
      <c r="S1509" s="60">
        <v>0</v>
      </c>
      <c r="T1509" s="60">
        <v>0</v>
      </c>
      <c r="U1509" s="60">
        <v>0</v>
      </c>
      <c r="V1509" s="60">
        <v>0</v>
      </c>
      <c r="W1509" s="60">
        <v>0</v>
      </c>
      <c r="X1509" s="60">
        <v>0</v>
      </c>
      <c r="Y1509" s="60">
        <v>0</v>
      </c>
      <c r="Z1509" s="60">
        <v>0</v>
      </c>
      <c r="AA1509" s="60">
        <v>0</v>
      </c>
      <c r="AB1509" s="60">
        <v>0</v>
      </c>
      <c r="AC1509" s="60">
        <v>146.19999999999999</v>
      </c>
      <c r="AD1509" s="60">
        <v>152.35</v>
      </c>
      <c r="AE1509" s="60">
        <v>209.51</v>
      </c>
      <c r="AF1509" s="60">
        <v>0</v>
      </c>
      <c r="AG1509" s="60">
        <v>0</v>
      </c>
      <c r="AH1509" s="60">
        <v>0</v>
      </c>
      <c r="AI1509" s="60">
        <v>146.19999999999999</v>
      </c>
      <c r="AJ1509" s="60">
        <v>152.35</v>
      </c>
      <c r="AK1509" s="60">
        <v>209.51</v>
      </c>
      <c r="AL1509" s="60">
        <v>0</v>
      </c>
      <c r="AM1509" s="60">
        <v>0</v>
      </c>
      <c r="AN1509" s="60">
        <v>0</v>
      </c>
      <c r="AO1509" s="60">
        <v>146.19999999999999</v>
      </c>
      <c r="AP1509" s="60">
        <v>152.35</v>
      </c>
      <c r="AQ1509" s="60">
        <v>209.51</v>
      </c>
      <c r="AR1509" s="61">
        <v>209.51</v>
      </c>
    </row>
    <row r="1510" spans="1:44" x14ac:dyDescent="0.35">
      <c r="A1510" s="49" t="str">
        <f>TEXT(27,"00")</f>
        <v>27</v>
      </c>
      <c r="B1510" s="27">
        <v>66092</v>
      </c>
      <c r="C1510" s="25" t="str">
        <f>TEXT(2730240,"0000000")</f>
        <v>2730240</v>
      </c>
      <c r="D1510" s="26" t="s">
        <v>1413</v>
      </c>
      <c r="E1510" s="25" t="s">
        <v>1411</v>
      </c>
      <c r="F1510" s="25" t="s">
        <v>21</v>
      </c>
      <c r="G1510" s="59" t="s">
        <v>1412</v>
      </c>
      <c r="H1510" s="60">
        <v>0</v>
      </c>
      <c r="I1510" s="60">
        <v>0</v>
      </c>
      <c r="J1510" s="60">
        <v>0</v>
      </c>
      <c r="K1510" s="60">
        <v>0</v>
      </c>
      <c r="L1510" s="60">
        <v>0</v>
      </c>
      <c r="M1510" s="60">
        <v>0</v>
      </c>
      <c r="N1510" s="60">
        <v>0</v>
      </c>
      <c r="O1510" s="60">
        <v>0</v>
      </c>
      <c r="P1510" s="60">
        <v>0</v>
      </c>
      <c r="Q1510" s="60">
        <v>0</v>
      </c>
      <c r="R1510" s="60">
        <v>0</v>
      </c>
      <c r="S1510" s="60">
        <v>0</v>
      </c>
      <c r="T1510" s="60">
        <v>0</v>
      </c>
      <c r="U1510" s="60">
        <v>0</v>
      </c>
      <c r="V1510" s="60">
        <v>0</v>
      </c>
      <c r="W1510" s="60">
        <v>0</v>
      </c>
      <c r="X1510" s="60">
        <v>0</v>
      </c>
      <c r="Y1510" s="60">
        <v>0</v>
      </c>
      <c r="Z1510" s="60">
        <v>0</v>
      </c>
      <c r="AA1510" s="60">
        <v>0</v>
      </c>
      <c r="AB1510" s="60">
        <v>0</v>
      </c>
      <c r="AC1510" s="60">
        <v>134.5</v>
      </c>
      <c r="AD1510" s="60">
        <v>123.29</v>
      </c>
      <c r="AE1510" s="60">
        <v>139.69</v>
      </c>
      <c r="AF1510" s="60">
        <v>0</v>
      </c>
      <c r="AG1510" s="60">
        <v>0</v>
      </c>
      <c r="AH1510" s="60">
        <v>0</v>
      </c>
      <c r="AI1510" s="60">
        <v>134.5</v>
      </c>
      <c r="AJ1510" s="60">
        <v>123.29</v>
      </c>
      <c r="AK1510" s="60">
        <v>139.69</v>
      </c>
      <c r="AL1510" s="60">
        <v>0</v>
      </c>
      <c r="AM1510" s="60">
        <v>0</v>
      </c>
      <c r="AN1510" s="60">
        <v>0</v>
      </c>
      <c r="AO1510" s="60">
        <v>134.5</v>
      </c>
      <c r="AP1510" s="60">
        <v>123.29</v>
      </c>
      <c r="AQ1510" s="60">
        <v>139.69</v>
      </c>
      <c r="AR1510" s="61">
        <v>139.69</v>
      </c>
    </row>
    <row r="1511" spans="1:44" x14ac:dyDescent="0.35">
      <c r="A1511" s="49" t="str">
        <f>TEXT(27,"00")</f>
        <v>27</v>
      </c>
      <c r="B1511" s="27">
        <v>75150</v>
      </c>
      <c r="C1511" s="25" t="str">
        <f>TEXT(118349,"0000000")</f>
        <v>0118349</v>
      </c>
      <c r="D1511" s="27">
        <v>1000</v>
      </c>
      <c r="E1511" s="25" t="s">
        <v>1439</v>
      </c>
      <c r="F1511" s="25" t="s">
        <v>21</v>
      </c>
      <c r="G1511" s="59" t="s">
        <v>1440</v>
      </c>
      <c r="H1511" s="60">
        <v>0</v>
      </c>
      <c r="I1511" s="60">
        <v>0</v>
      </c>
      <c r="J1511" s="60">
        <v>0</v>
      </c>
      <c r="K1511" s="60">
        <v>0</v>
      </c>
      <c r="L1511" s="60">
        <v>0</v>
      </c>
      <c r="M1511" s="60">
        <v>0</v>
      </c>
      <c r="N1511" s="60">
        <v>0</v>
      </c>
      <c r="O1511" s="60">
        <v>0</v>
      </c>
      <c r="P1511" s="60">
        <v>0</v>
      </c>
      <c r="Q1511" s="60">
        <v>0</v>
      </c>
      <c r="R1511" s="60">
        <v>0</v>
      </c>
      <c r="S1511" s="60">
        <v>0</v>
      </c>
      <c r="T1511" s="60">
        <v>0</v>
      </c>
      <c r="U1511" s="60">
        <v>0</v>
      </c>
      <c r="V1511" s="60">
        <v>0</v>
      </c>
      <c r="W1511" s="60">
        <v>0</v>
      </c>
      <c r="X1511" s="60">
        <v>0</v>
      </c>
      <c r="Y1511" s="60">
        <v>0</v>
      </c>
      <c r="Z1511" s="60">
        <v>0</v>
      </c>
      <c r="AA1511" s="60">
        <v>0</v>
      </c>
      <c r="AB1511" s="60">
        <v>0</v>
      </c>
      <c r="AC1511" s="60">
        <v>84.26</v>
      </c>
      <c r="AD1511" s="60">
        <v>85.58</v>
      </c>
      <c r="AE1511" s="60">
        <v>84.21</v>
      </c>
      <c r="AF1511" s="60">
        <v>0</v>
      </c>
      <c r="AG1511" s="60">
        <v>0</v>
      </c>
      <c r="AH1511" s="60">
        <v>0</v>
      </c>
      <c r="AI1511" s="60">
        <v>84.26</v>
      </c>
      <c r="AJ1511" s="60">
        <v>85.58</v>
      </c>
      <c r="AK1511" s="60">
        <v>84.21</v>
      </c>
      <c r="AL1511" s="60">
        <v>0</v>
      </c>
      <c r="AM1511" s="60">
        <v>0</v>
      </c>
      <c r="AN1511" s="60">
        <v>0</v>
      </c>
      <c r="AO1511" s="60">
        <v>84.26</v>
      </c>
      <c r="AP1511" s="60">
        <v>85.58</v>
      </c>
      <c r="AQ1511" s="60">
        <v>84.21</v>
      </c>
      <c r="AR1511" s="61">
        <v>85.58</v>
      </c>
    </row>
    <row r="1512" spans="1:44" x14ac:dyDescent="0.35">
      <c r="A1512" s="49" t="str">
        <f>TEXT(36,"00")</f>
        <v>36</v>
      </c>
      <c r="B1512" s="27">
        <v>67736</v>
      </c>
      <c r="C1512" s="25" t="str">
        <f>TEXT(136069,"0000000")</f>
        <v>0136069</v>
      </c>
      <c r="D1512" s="27">
        <v>1885</v>
      </c>
      <c r="E1512" s="25" t="s">
        <v>1953</v>
      </c>
      <c r="F1512" s="25" t="s">
        <v>21</v>
      </c>
      <c r="G1512" s="59" t="s">
        <v>1954</v>
      </c>
      <c r="H1512" s="60">
        <v>0</v>
      </c>
      <c r="I1512" s="60">
        <v>0</v>
      </c>
      <c r="J1512" s="60">
        <v>0</v>
      </c>
      <c r="K1512" s="60">
        <v>0</v>
      </c>
      <c r="L1512" s="60">
        <v>0</v>
      </c>
      <c r="M1512" s="60">
        <v>0</v>
      </c>
      <c r="N1512" s="60">
        <v>0</v>
      </c>
      <c r="O1512" s="60">
        <v>0</v>
      </c>
      <c r="P1512" s="60">
        <v>0</v>
      </c>
      <c r="Q1512" s="60">
        <v>0</v>
      </c>
      <c r="R1512" s="60">
        <v>0</v>
      </c>
      <c r="S1512" s="60">
        <v>0</v>
      </c>
      <c r="T1512" s="60">
        <v>0</v>
      </c>
      <c r="U1512" s="60">
        <v>0</v>
      </c>
      <c r="V1512" s="60">
        <v>0</v>
      </c>
      <c r="W1512" s="60">
        <v>0</v>
      </c>
      <c r="X1512" s="60">
        <v>0</v>
      </c>
      <c r="Y1512" s="60">
        <v>0</v>
      </c>
      <c r="Z1512" s="60">
        <v>0</v>
      </c>
      <c r="AA1512" s="60">
        <v>0</v>
      </c>
      <c r="AB1512" s="60">
        <v>0</v>
      </c>
      <c r="AC1512" s="60">
        <v>2959.7</v>
      </c>
      <c r="AD1512" s="60">
        <v>3090.69</v>
      </c>
      <c r="AE1512" s="60">
        <v>2572.42</v>
      </c>
      <c r="AF1512" s="60">
        <v>0</v>
      </c>
      <c r="AG1512" s="60">
        <v>0</v>
      </c>
      <c r="AH1512" s="60">
        <v>0</v>
      </c>
      <c r="AI1512" s="60">
        <v>2959.7</v>
      </c>
      <c r="AJ1512" s="60">
        <v>3090.69</v>
      </c>
      <c r="AK1512" s="60">
        <v>2572.42</v>
      </c>
      <c r="AL1512" s="60">
        <v>0</v>
      </c>
      <c r="AM1512" s="60">
        <v>0</v>
      </c>
      <c r="AN1512" s="60">
        <v>0</v>
      </c>
      <c r="AO1512" s="60">
        <v>2959.7</v>
      </c>
      <c r="AP1512" s="60">
        <v>3090.69</v>
      </c>
      <c r="AQ1512" s="60">
        <v>2572.42</v>
      </c>
      <c r="AR1512" s="61">
        <v>3090.69</v>
      </c>
    </row>
    <row r="1513" spans="1:44" x14ac:dyDescent="0.35">
      <c r="A1513" s="49" t="str">
        <f>TEXT(36,"00")</f>
        <v>36</v>
      </c>
      <c r="B1513" s="27">
        <v>67736</v>
      </c>
      <c r="C1513" s="25" t="str">
        <f>TEXT(139576,"0000000")</f>
        <v>0139576</v>
      </c>
      <c r="D1513" s="27">
        <v>2073</v>
      </c>
      <c r="E1513" s="25" t="s">
        <v>1957</v>
      </c>
      <c r="F1513" s="25" t="s">
        <v>21</v>
      </c>
      <c r="G1513" s="59" t="s">
        <v>1958</v>
      </c>
      <c r="H1513" s="60">
        <v>0</v>
      </c>
      <c r="I1513" s="60">
        <v>0</v>
      </c>
      <c r="J1513" s="60">
        <v>0</v>
      </c>
      <c r="K1513" s="60">
        <v>0</v>
      </c>
      <c r="L1513" s="60">
        <v>0</v>
      </c>
      <c r="M1513" s="60">
        <v>0</v>
      </c>
      <c r="N1513" s="60">
        <v>0</v>
      </c>
      <c r="O1513" s="60">
        <v>0</v>
      </c>
      <c r="P1513" s="60">
        <v>0</v>
      </c>
      <c r="Q1513" s="60">
        <v>0</v>
      </c>
      <c r="R1513" s="60">
        <v>0</v>
      </c>
      <c r="S1513" s="60">
        <v>0</v>
      </c>
      <c r="T1513" s="60">
        <v>0</v>
      </c>
      <c r="U1513" s="60">
        <v>0</v>
      </c>
      <c r="V1513" s="60">
        <v>0</v>
      </c>
      <c r="W1513" s="60">
        <v>0</v>
      </c>
      <c r="X1513" s="60">
        <v>0</v>
      </c>
      <c r="Y1513" s="60">
        <v>0</v>
      </c>
      <c r="Z1513" s="60">
        <v>0</v>
      </c>
      <c r="AA1513" s="60">
        <v>0</v>
      </c>
      <c r="AB1513" s="60">
        <v>0</v>
      </c>
      <c r="AC1513" s="60">
        <v>545.91</v>
      </c>
      <c r="AD1513" s="60">
        <v>603.35</v>
      </c>
      <c r="AE1513" s="60">
        <v>438.67</v>
      </c>
      <c r="AF1513" s="60">
        <v>0</v>
      </c>
      <c r="AG1513" s="60">
        <v>0</v>
      </c>
      <c r="AH1513" s="60">
        <v>0</v>
      </c>
      <c r="AI1513" s="60">
        <v>545.91</v>
      </c>
      <c r="AJ1513" s="60">
        <v>603.35</v>
      </c>
      <c r="AK1513" s="60">
        <v>438.67</v>
      </c>
      <c r="AL1513" s="60">
        <v>0</v>
      </c>
      <c r="AM1513" s="60">
        <v>0</v>
      </c>
      <c r="AN1513" s="60">
        <v>0</v>
      </c>
      <c r="AO1513" s="60">
        <v>545.91</v>
      </c>
      <c r="AP1513" s="60">
        <v>603.35</v>
      </c>
      <c r="AQ1513" s="60">
        <v>438.67</v>
      </c>
      <c r="AR1513" s="61">
        <v>603.35</v>
      </c>
    </row>
    <row r="1514" spans="1:44" x14ac:dyDescent="0.35">
      <c r="A1514" s="49" t="str">
        <f>TEXT(36,"00")</f>
        <v>36</v>
      </c>
      <c r="B1514" s="27">
        <v>75051</v>
      </c>
      <c r="C1514" s="25" t="str">
        <f>TEXT(115089,"0000000")</f>
        <v>0115089</v>
      </c>
      <c r="D1514" s="26" t="s">
        <v>2028</v>
      </c>
      <c r="E1514" s="25" t="s">
        <v>2026</v>
      </c>
      <c r="F1514" s="25" t="s">
        <v>21</v>
      </c>
      <c r="G1514" s="59" t="s">
        <v>2027</v>
      </c>
      <c r="H1514" s="60">
        <v>0</v>
      </c>
      <c r="I1514" s="60">
        <v>0</v>
      </c>
      <c r="J1514" s="60">
        <v>0</v>
      </c>
      <c r="K1514" s="60">
        <v>0</v>
      </c>
      <c r="L1514" s="60">
        <v>0</v>
      </c>
      <c r="M1514" s="60">
        <v>0</v>
      </c>
      <c r="N1514" s="60">
        <v>0</v>
      </c>
      <c r="O1514" s="60">
        <v>0</v>
      </c>
      <c r="P1514" s="60">
        <v>0</v>
      </c>
      <c r="Q1514" s="60">
        <v>0</v>
      </c>
      <c r="R1514" s="60">
        <v>0</v>
      </c>
      <c r="S1514" s="60">
        <v>0</v>
      </c>
      <c r="T1514" s="60">
        <v>0</v>
      </c>
      <c r="U1514" s="60">
        <v>0</v>
      </c>
      <c r="V1514" s="60">
        <v>0</v>
      </c>
      <c r="W1514" s="60">
        <v>0</v>
      </c>
      <c r="X1514" s="60">
        <v>0</v>
      </c>
      <c r="Y1514" s="60">
        <v>0</v>
      </c>
      <c r="Z1514" s="60">
        <v>0</v>
      </c>
      <c r="AA1514" s="60">
        <v>0</v>
      </c>
      <c r="AB1514" s="60">
        <v>0</v>
      </c>
      <c r="AC1514" s="60">
        <v>2147.6799999999998</v>
      </c>
      <c r="AD1514" s="60">
        <v>2133.15</v>
      </c>
      <c r="AE1514" s="60">
        <v>1806.01</v>
      </c>
      <c r="AF1514" s="60">
        <v>0</v>
      </c>
      <c r="AG1514" s="60">
        <v>0</v>
      </c>
      <c r="AH1514" s="60">
        <v>0</v>
      </c>
      <c r="AI1514" s="60">
        <v>2147.6799999999998</v>
      </c>
      <c r="AJ1514" s="60">
        <v>2133.15</v>
      </c>
      <c r="AK1514" s="60">
        <v>1806.01</v>
      </c>
      <c r="AL1514" s="60">
        <v>0</v>
      </c>
      <c r="AM1514" s="60">
        <v>0</v>
      </c>
      <c r="AN1514" s="60">
        <v>0</v>
      </c>
      <c r="AO1514" s="60">
        <v>2147.6799999999998</v>
      </c>
      <c r="AP1514" s="60">
        <v>2133.15</v>
      </c>
      <c r="AQ1514" s="60">
        <v>1806.01</v>
      </c>
      <c r="AR1514" s="61">
        <v>2147.6799999999998</v>
      </c>
    </row>
    <row r="1515" spans="1:44" x14ac:dyDescent="0.35">
      <c r="A1515" s="49" t="str">
        <f>TEXT(37,"00")</f>
        <v>37</v>
      </c>
      <c r="B1515" s="27">
        <v>68213</v>
      </c>
      <c r="C1515" s="25" t="str">
        <f>TEXT(129668,"0000000")</f>
        <v>0129668</v>
      </c>
      <c r="D1515" s="27">
        <v>1628</v>
      </c>
      <c r="E1515" s="25" t="s">
        <v>2161</v>
      </c>
      <c r="F1515" s="25" t="s">
        <v>21</v>
      </c>
      <c r="G1515" s="59" t="s">
        <v>2162</v>
      </c>
      <c r="H1515" s="60">
        <v>0</v>
      </c>
      <c r="I1515" s="60">
        <v>0</v>
      </c>
      <c r="J1515" s="60">
        <v>0</v>
      </c>
      <c r="K1515" s="60">
        <v>0</v>
      </c>
      <c r="L1515" s="60">
        <v>0</v>
      </c>
      <c r="M1515" s="60">
        <v>0</v>
      </c>
      <c r="N1515" s="60">
        <v>0</v>
      </c>
      <c r="O1515" s="60">
        <v>0</v>
      </c>
      <c r="P1515" s="60">
        <v>0</v>
      </c>
      <c r="Q1515" s="60">
        <v>0</v>
      </c>
      <c r="R1515" s="60">
        <v>0</v>
      </c>
      <c r="S1515" s="60">
        <v>0</v>
      </c>
      <c r="T1515" s="60">
        <v>0</v>
      </c>
      <c r="U1515" s="60">
        <v>0</v>
      </c>
      <c r="V1515" s="60">
        <v>0</v>
      </c>
      <c r="W1515" s="60">
        <v>0</v>
      </c>
      <c r="X1515" s="60">
        <v>0</v>
      </c>
      <c r="Y1515" s="60">
        <v>0</v>
      </c>
      <c r="Z1515" s="60">
        <v>0</v>
      </c>
      <c r="AA1515" s="60">
        <v>0</v>
      </c>
      <c r="AB1515" s="60">
        <v>0</v>
      </c>
      <c r="AC1515" s="60">
        <v>207.74</v>
      </c>
      <c r="AD1515" s="60">
        <v>178.4</v>
      </c>
      <c r="AE1515" s="60">
        <v>116.8</v>
      </c>
      <c r="AF1515" s="60">
        <v>0</v>
      </c>
      <c r="AG1515" s="60">
        <v>0</v>
      </c>
      <c r="AH1515" s="60">
        <v>0</v>
      </c>
      <c r="AI1515" s="60">
        <v>207.74</v>
      </c>
      <c r="AJ1515" s="60">
        <v>178.4</v>
      </c>
      <c r="AK1515" s="60">
        <v>116.8</v>
      </c>
      <c r="AL1515" s="60">
        <v>0</v>
      </c>
      <c r="AM1515" s="60">
        <v>0</v>
      </c>
      <c r="AN1515" s="60">
        <v>0</v>
      </c>
      <c r="AO1515" s="60">
        <v>207.74</v>
      </c>
      <c r="AP1515" s="60">
        <v>178.4</v>
      </c>
      <c r="AQ1515" s="60">
        <v>116.8</v>
      </c>
      <c r="AR1515" s="61">
        <v>207.74</v>
      </c>
    </row>
    <row r="1516" spans="1:44" x14ac:dyDescent="0.35">
      <c r="A1516" s="49" t="str">
        <f>TEXT(37,"00")</f>
        <v>37</v>
      </c>
      <c r="B1516" s="27">
        <v>75416</v>
      </c>
      <c r="C1516" s="25" t="str">
        <f>TEXT(132472,"0000000")</f>
        <v>0132472</v>
      </c>
      <c r="D1516" s="27">
        <v>1758</v>
      </c>
      <c r="E1516" s="25" t="s">
        <v>2335</v>
      </c>
      <c r="F1516" s="25" t="s">
        <v>21</v>
      </c>
      <c r="G1516" s="59" t="s">
        <v>2336</v>
      </c>
      <c r="H1516" s="60">
        <v>0</v>
      </c>
      <c r="I1516" s="60">
        <v>0</v>
      </c>
      <c r="J1516" s="60">
        <v>0</v>
      </c>
      <c r="K1516" s="60">
        <v>0</v>
      </c>
      <c r="L1516" s="60">
        <v>0</v>
      </c>
      <c r="M1516" s="60">
        <v>0</v>
      </c>
      <c r="N1516" s="60">
        <v>0</v>
      </c>
      <c r="O1516" s="60">
        <v>0</v>
      </c>
      <c r="P1516" s="60">
        <v>0</v>
      </c>
      <c r="Q1516" s="60">
        <v>0</v>
      </c>
      <c r="R1516" s="60">
        <v>0</v>
      </c>
      <c r="S1516" s="60">
        <v>0</v>
      </c>
      <c r="T1516" s="60">
        <v>0</v>
      </c>
      <c r="U1516" s="60">
        <v>0</v>
      </c>
      <c r="V1516" s="60">
        <v>0</v>
      </c>
      <c r="W1516" s="60">
        <v>0</v>
      </c>
      <c r="X1516" s="60">
        <v>0</v>
      </c>
      <c r="Y1516" s="60">
        <v>0</v>
      </c>
      <c r="Z1516" s="60">
        <v>0</v>
      </c>
      <c r="AA1516" s="60">
        <v>0</v>
      </c>
      <c r="AB1516" s="60">
        <v>0</v>
      </c>
      <c r="AC1516" s="60">
        <v>245.73</v>
      </c>
      <c r="AD1516" s="60">
        <v>263.44</v>
      </c>
      <c r="AE1516" s="60">
        <v>254.16</v>
      </c>
      <c r="AF1516" s="60">
        <v>0</v>
      </c>
      <c r="AG1516" s="60">
        <v>0</v>
      </c>
      <c r="AH1516" s="60">
        <v>0</v>
      </c>
      <c r="AI1516" s="60">
        <v>245.73</v>
      </c>
      <c r="AJ1516" s="60">
        <v>263.44</v>
      </c>
      <c r="AK1516" s="60">
        <v>254.16</v>
      </c>
      <c r="AL1516" s="60">
        <v>0</v>
      </c>
      <c r="AM1516" s="60">
        <v>0</v>
      </c>
      <c r="AN1516" s="60">
        <v>0</v>
      </c>
      <c r="AO1516" s="60">
        <v>245.73</v>
      </c>
      <c r="AP1516" s="60">
        <v>263.44</v>
      </c>
      <c r="AQ1516" s="60">
        <v>254.16</v>
      </c>
      <c r="AR1516" s="61">
        <v>263.44</v>
      </c>
    </row>
    <row r="1517" spans="1:44" x14ac:dyDescent="0.35">
      <c r="A1517" s="49" t="str">
        <f>TEXT(37,"00")</f>
        <v>37</v>
      </c>
      <c r="B1517" s="27">
        <v>75416</v>
      </c>
      <c r="C1517" s="25" t="str">
        <f>TEXT(139378,"0000000")</f>
        <v>0139378</v>
      </c>
      <c r="D1517" s="27">
        <v>2051</v>
      </c>
      <c r="E1517" s="25" t="s">
        <v>2339</v>
      </c>
      <c r="F1517" s="25" t="s">
        <v>21</v>
      </c>
      <c r="G1517" s="59" t="s">
        <v>2340</v>
      </c>
      <c r="H1517" s="60">
        <v>0</v>
      </c>
      <c r="I1517" s="60">
        <v>0</v>
      </c>
      <c r="J1517" s="60">
        <v>0</v>
      </c>
      <c r="K1517" s="60">
        <v>0</v>
      </c>
      <c r="L1517" s="60">
        <v>0</v>
      </c>
      <c r="M1517" s="60">
        <v>0</v>
      </c>
      <c r="N1517" s="60">
        <v>0</v>
      </c>
      <c r="O1517" s="60">
        <v>0</v>
      </c>
      <c r="P1517" s="60">
        <v>0</v>
      </c>
      <c r="Q1517" s="60">
        <v>0</v>
      </c>
      <c r="R1517" s="60">
        <v>0</v>
      </c>
      <c r="S1517" s="60">
        <v>0</v>
      </c>
      <c r="T1517" s="60">
        <v>0</v>
      </c>
      <c r="U1517" s="60">
        <v>0</v>
      </c>
      <c r="V1517" s="60">
        <v>0</v>
      </c>
      <c r="W1517" s="60">
        <v>0</v>
      </c>
      <c r="X1517" s="60">
        <v>0</v>
      </c>
      <c r="Y1517" s="60">
        <v>0</v>
      </c>
      <c r="Z1517" s="60">
        <v>0</v>
      </c>
      <c r="AA1517" s="60">
        <v>0</v>
      </c>
      <c r="AB1517" s="60">
        <v>0</v>
      </c>
      <c r="AC1517" s="60">
        <v>358.16</v>
      </c>
      <c r="AD1517" s="60">
        <v>409.07</v>
      </c>
      <c r="AE1517" s="60">
        <v>378.65</v>
      </c>
      <c r="AF1517" s="60">
        <v>0</v>
      </c>
      <c r="AG1517" s="60">
        <v>0</v>
      </c>
      <c r="AH1517" s="60">
        <v>0</v>
      </c>
      <c r="AI1517" s="60">
        <v>358.16</v>
      </c>
      <c r="AJ1517" s="60">
        <v>409.07</v>
      </c>
      <c r="AK1517" s="60">
        <v>378.65</v>
      </c>
      <c r="AL1517" s="60">
        <v>0</v>
      </c>
      <c r="AM1517" s="60">
        <v>0</v>
      </c>
      <c r="AN1517" s="60">
        <v>0</v>
      </c>
      <c r="AO1517" s="60">
        <v>358.16</v>
      </c>
      <c r="AP1517" s="60">
        <v>409.07</v>
      </c>
      <c r="AQ1517" s="60">
        <v>378.65</v>
      </c>
      <c r="AR1517" s="61">
        <v>409.07</v>
      </c>
    </row>
    <row r="1518" spans="1:44" x14ac:dyDescent="0.35">
      <c r="A1518" s="49" t="str">
        <f>TEXT(37,"00")</f>
        <v>37</v>
      </c>
      <c r="B1518" s="27">
        <v>75416</v>
      </c>
      <c r="C1518" s="25" t="str">
        <f>TEXT(139386,"0000000")</f>
        <v>0139386</v>
      </c>
      <c r="D1518" s="27">
        <v>2053</v>
      </c>
      <c r="E1518" s="25" t="s">
        <v>2341</v>
      </c>
      <c r="F1518" s="25" t="s">
        <v>21</v>
      </c>
      <c r="G1518" s="59" t="s">
        <v>1958</v>
      </c>
      <c r="H1518" s="60">
        <v>0</v>
      </c>
      <c r="I1518" s="60">
        <v>0</v>
      </c>
      <c r="J1518" s="60">
        <v>0</v>
      </c>
      <c r="K1518" s="60">
        <v>0</v>
      </c>
      <c r="L1518" s="60">
        <v>0</v>
      </c>
      <c r="M1518" s="60">
        <v>0</v>
      </c>
      <c r="N1518" s="60">
        <v>0</v>
      </c>
      <c r="O1518" s="60">
        <v>0</v>
      </c>
      <c r="P1518" s="60">
        <v>0</v>
      </c>
      <c r="Q1518" s="60">
        <v>0</v>
      </c>
      <c r="R1518" s="60">
        <v>0</v>
      </c>
      <c r="S1518" s="60">
        <v>0</v>
      </c>
      <c r="T1518" s="60">
        <v>0</v>
      </c>
      <c r="U1518" s="60">
        <v>0</v>
      </c>
      <c r="V1518" s="60">
        <v>0</v>
      </c>
      <c r="W1518" s="60">
        <v>0</v>
      </c>
      <c r="X1518" s="60">
        <v>0</v>
      </c>
      <c r="Y1518" s="60">
        <v>0</v>
      </c>
      <c r="Z1518" s="60">
        <v>0</v>
      </c>
      <c r="AA1518" s="60">
        <v>0</v>
      </c>
      <c r="AB1518" s="60">
        <v>0</v>
      </c>
      <c r="AC1518" s="60">
        <v>1055.01</v>
      </c>
      <c r="AD1518" s="60">
        <v>1229.17</v>
      </c>
      <c r="AE1518" s="60">
        <v>1066.28</v>
      </c>
      <c r="AF1518" s="60">
        <v>0</v>
      </c>
      <c r="AG1518" s="60">
        <v>0</v>
      </c>
      <c r="AH1518" s="60">
        <v>0</v>
      </c>
      <c r="AI1518" s="60">
        <v>1055.01</v>
      </c>
      <c r="AJ1518" s="60">
        <v>1229.17</v>
      </c>
      <c r="AK1518" s="60">
        <v>1066.28</v>
      </c>
      <c r="AL1518" s="60">
        <v>0</v>
      </c>
      <c r="AM1518" s="60">
        <v>0</v>
      </c>
      <c r="AN1518" s="60">
        <v>0</v>
      </c>
      <c r="AO1518" s="60">
        <v>1055.01</v>
      </c>
      <c r="AP1518" s="60">
        <v>1229.17</v>
      </c>
      <c r="AQ1518" s="60">
        <v>1066.28</v>
      </c>
      <c r="AR1518" s="61">
        <v>1229.17</v>
      </c>
    </row>
    <row r="1519" spans="1:44" x14ac:dyDescent="0.35">
      <c r="A1519" s="49" t="str">
        <f>TEXT(37,"00")</f>
        <v>37</v>
      </c>
      <c r="B1519" s="27">
        <v>75416</v>
      </c>
      <c r="C1519" s="25" t="str">
        <f>TEXT(139451,"0000000")</f>
        <v>0139451</v>
      </c>
      <c r="D1519" s="27">
        <v>2052</v>
      </c>
      <c r="E1519" s="25" t="s">
        <v>2342</v>
      </c>
      <c r="F1519" s="25" t="s">
        <v>21</v>
      </c>
      <c r="G1519" s="59" t="s">
        <v>2343</v>
      </c>
      <c r="H1519" s="60">
        <v>0</v>
      </c>
      <c r="I1519" s="60">
        <v>0</v>
      </c>
      <c r="J1519" s="60">
        <v>0</v>
      </c>
      <c r="K1519" s="60">
        <v>0</v>
      </c>
      <c r="L1519" s="60">
        <v>0</v>
      </c>
      <c r="M1519" s="60">
        <v>0</v>
      </c>
      <c r="N1519" s="60">
        <v>0</v>
      </c>
      <c r="O1519" s="60">
        <v>0</v>
      </c>
      <c r="P1519" s="60">
        <v>0</v>
      </c>
      <c r="Q1519" s="60">
        <v>0</v>
      </c>
      <c r="R1519" s="60">
        <v>0</v>
      </c>
      <c r="S1519" s="60">
        <v>0</v>
      </c>
      <c r="T1519" s="60">
        <v>0</v>
      </c>
      <c r="U1519" s="60">
        <v>0</v>
      </c>
      <c r="V1519" s="60">
        <v>0</v>
      </c>
      <c r="W1519" s="60">
        <v>0</v>
      </c>
      <c r="X1519" s="60">
        <v>0</v>
      </c>
      <c r="Y1519" s="60">
        <v>0</v>
      </c>
      <c r="Z1519" s="60">
        <v>0</v>
      </c>
      <c r="AA1519" s="60">
        <v>0</v>
      </c>
      <c r="AB1519" s="60">
        <v>0</v>
      </c>
      <c r="AC1519" s="60">
        <v>125.67</v>
      </c>
      <c r="AD1519" s="60">
        <v>68.900000000000006</v>
      </c>
      <c r="AE1519" s="60">
        <v>14.73</v>
      </c>
      <c r="AF1519" s="60">
        <v>0</v>
      </c>
      <c r="AG1519" s="60">
        <v>0</v>
      </c>
      <c r="AH1519" s="60">
        <v>0</v>
      </c>
      <c r="AI1519" s="60">
        <v>125.67</v>
      </c>
      <c r="AJ1519" s="60">
        <v>68.900000000000006</v>
      </c>
      <c r="AK1519" s="60">
        <v>14.73</v>
      </c>
      <c r="AL1519" s="60">
        <v>0</v>
      </c>
      <c r="AM1519" s="60">
        <v>0</v>
      </c>
      <c r="AN1519" s="60">
        <v>0</v>
      </c>
      <c r="AO1519" s="60">
        <v>125.67</v>
      </c>
      <c r="AP1519" s="60">
        <v>68.900000000000006</v>
      </c>
      <c r="AQ1519" s="60">
        <v>14.73</v>
      </c>
      <c r="AR1519" s="61">
        <v>125.67</v>
      </c>
    </row>
    <row r="1520" spans="1:44" ht="31" x14ac:dyDescent="0.35">
      <c r="A1520" s="49" t="str">
        <f>TEXT(39,"00")</f>
        <v>39</v>
      </c>
      <c r="B1520" s="27">
        <v>68676</v>
      </c>
      <c r="C1520" s="25" t="str">
        <f>TEXT(139907,"0000000")</f>
        <v>0139907</v>
      </c>
      <c r="D1520" s="27">
        <v>2077</v>
      </c>
      <c r="E1520" s="25" t="s">
        <v>2488</v>
      </c>
      <c r="F1520" s="25" t="s">
        <v>21</v>
      </c>
      <c r="G1520" s="59" t="s">
        <v>2489</v>
      </c>
      <c r="H1520" s="60">
        <v>0</v>
      </c>
      <c r="I1520" s="60">
        <v>0</v>
      </c>
      <c r="J1520" s="60">
        <v>0</v>
      </c>
      <c r="K1520" s="60">
        <v>0</v>
      </c>
      <c r="L1520" s="60">
        <v>0</v>
      </c>
      <c r="M1520" s="60">
        <v>0</v>
      </c>
      <c r="N1520" s="60">
        <v>0</v>
      </c>
      <c r="O1520" s="60">
        <v>0</v>
      </c>
      <c r="P1520" s="60">
        <v>0</v>
      </c>
      <c r="Q1520" s="60">
        <v>0</v>
      </c>
      <c r="R1520" s="60">
        <v>0</v>
      </c>
      <c r="S1520" s="60">
        <v>0</v>
      </c>
      <c r="T1520" s="60">
        <v>0</v>
      </c>
      <c r="U1520" s="60">
        <v>0</v>
      </c>
      <c r="V1520" s="60">
        <v>0</v>
      </c>
      <c r="W1520" s="60">
        <v>0</v>
      </c>
      <c r="X1520" s="60">
        <v>0</v>
      </c>
      <c r="Y1520" s="60">
        <v>0</v>
      </c>
      <c r="Z1520" s="60">
        <v>0</v>
      </c>
      <c r="AA1520" s="60">
        <v>0</v>
      </c>
      <c r="AB1520" s="60">
        <v>0</v>
      </c>
      <c r="AC1520" s="60">
        <v>86.23</v>
      </c>
      <c r="AD1520" s="60">
        <v>60.8</v>
      </c>
      <c r="AE1520" s="60">
        <v>42</v>
      </c>
      <c r="AF1520" s="60">
        <v>0</v>
      </c>
      <c r="AG1520" s="60">
        <v>0</v>
      </c>
      <c r="AH1520" s="60">
        <v>0</v>
      </c>
      <c r="AI1520" s="60">
        <v>86.23</v>
      </c>
      <c r="AJ1520" s="60">
        <v>60.8</v>
      </c>
      <c r="AK1520" s="60">
        <v>42</v>
      </c>
      <c r="AL1520" s="60">
        <v>0</v>
      </c>
      <c r="AM1520" s="60">
        <v>0</v>
      </c>
      <c r="AN1520" s="60">
        <v>0</v>
      </c>
      <c r="AO1520" s="60">
        <v>86.23</v>
      </c>
      <c r="AP1520" s="60">
        <v>60.8</v>
      </c>
      <c r="AQ1520" s="60">
        <v>42</v>
      </c>
      <c r="AR1520" s="61">
        <v>86.23</v>
      </c>
    </row>
    <row r="1521" spans="1:44" ht="31" x14ac:dyDescent="0.35">
      <c r="A1521" s="49" t="str">
        <f t="shared" ref="A1521:A1527" si="122">TEXT(43,"00")</f>
        <v>43</v>
      </c>
      <c r="B1521" s="27">
        <v>10439</v>
      </c>
      <c r="C1521" s="25" t="str">
        <f>TEXT(131748,"0000000")</f>
        <v>0131748</v>
      </c>
      <c r="D1521" s="27">
        <v>1716</v>
      </c>
      <c r="E1521" s="25" t="s">
        <v>2727</v>
      </c>
      <c r="F1521" s="25" t="s">
        <v>21</v>
      </c>
      <c r="G1521" s="59" t="s">
        <v>2728</v>
      </c>
      <c r="H1521" s="60">
        <v>0</v>
      </c>
      <c r="I1521" s="60">
        <v>0</v>
      </c>
      <c r="J1521" s="60">
        <v>0</v>
      </c>
      <c r="K1521" s="60">
        <v>0</v>
      </c>
      <c r="L1521" s="60">
        <v>0</v>
      </c>
      <c r="M1521" s="60">
        <v>0</v>
      </c>
      <c r="N1521" s="60">
        <v>0</v>
      </c>
      <c r="O1521" s="60">
        <v>0</v>
      </c>
      <c r="P1521" s="60">
        <v>0</v>
      </c>
      <c r="Q1521" s="60">
        <v>0</v>
      </c>
      <c r="R1521" s="60">
        <v>0</v>
      </c>
      <c r="S1521" s="60">
        <v>0</v>
      </c>
      <c r="T1521" s="60">
        <v>0</v>
      </c>
      <c r="U1521" s="60">
        <v>0</v>
      </c>
      <c r="V1521" s="60">
        <v>0</v>
      </c>
      <c r="W1521" s="60">
        <v>0</v>
      </c>
      <c r="X1521" s="60">
        <v>0</v>
      </c>
      <c r="Y1521" s="60">
        <v>0</v>
      </c>
      <c r="Z1521" s="60">
        <v>0</v>
      </c>
      <c r="AA1521" s="60">
        <v>0</v>
      </c>
      <c r="AB1521" s="60">
        <v>0</v>
      </c>
      <c r="AC1521" s="60">
        <v>256.94</v>
      </c>
      <c r="AD1521" s="60">
        <v>341.05</v>
      </c>
      <c r="AE1521" s="60">
        <v>346.7</v>
      </c>
      <c r="AF1521" s="60">
        <v>0</v>
      </c>
      <c r="AG1521" s="60">
        <v>0</v>
      </c>
      <c r="AH1521" s="60">
        <v>0</v>
      </c>
      <c r="AI1521" s="60">
        <v>256.94</v>
      </c>
      <c r="AJ1521" s="60">
        <v>341.05</v>
      </c>
      <c r="AK1521" s="60">
        <v>346.7</v>
      </c>
      <c r="AL1521" s="60">
        <v>0</v>
      </c>
      <c r="AM1521" s="60">
        <v>0</v>
      </c>
      <c r="AN1521" s="60">
        <v>0</v>
      </c>
      <c r="AO1521" s="60">
        <v>256.94</v>
      </c>
      <c r="AP1521" s="60">
        <v>341.05</v>
      </c>
      <c r="AQ1521" s="60">
        <v>346.7</v>
      </c>
      <c r="AR1521" s="61">
        <v>346.7</v>
      </c>
    </row>
    <row r="1522" spans="1:44" ht="31" x14ac:dyDescent="0.35">
      <c r="A1522" s="49" t="str">
        <f t="shared" si="122"/>
        <v>43</v>
      </c>
      <c r="B1522" s="27">
        <v>10439</v>
      </c>
      <c r="C1522" s="25" t="str">
        <f>TEXT(132530,"0000000")</f>
        <v>0132530</v>
      </c>
      <c r="D1522" s="27">
        <v>1743</v>
      </c>
      <c r="E1522" s="25" t="s">
        <v>2729</v>
      </c>
      <c r="F1522" s="25" t="s">
        <v>21</v>
      </c>
      <c r="G1522" s="59" t="s">
        <v>2730</v>
      </c>
      <c r="H1522" s="60">
        <v>0</v>
      </c>
      <c r="I1522" s="60">
        <v>0</v>
      </c>
      <c r="J1522" s="60">
        <v>0</v>
      </c>
      <c r="K1522" s="60">
        <v>0</v>
      </c>
      <c r="L1522" s="60">
        <v>0</v>
      </c>
      <c r="M1522" s="60">
        <v>0</v>
      </c>
      <c r="N1522" s="60">
        <v>0</v>
      </c>
      <c r="O1522" s="60">
        <v>0</v>
      </c>
      <c r="P1522" s="60">
        <v>0</v>
      </c>
      <c r="Q1522" s="60">
        <v>0</v>
      </c>
      <c r="R1522" s="60">
        <v>0</v>
      </c>
      <c r="S1522" s="60">
        <v>0</v>
      </c>
      <c r="T1522" s="60">
        <v>0</v>
      </c>
      <c r="U1522" s="60">
        <v>0</v>
      </c>
      <c r="V1522" s="60">
        <v>0</v>
      </c>
      <c r="W1522" s="60">
        <v>0</v>
      </c>
      <c r="X1522" s="60">
        <v>0</v>
      </c>
      <c r="Y1522" s="60">
        <v>0</v>
      </c>
      <c r="Z1522" s="60">
        <v>0</v>
      </c>
      <c r="AA1522" s="60">
        <v>0</v>
      </c>
      <c r="AB1522" s="60">
        <v>0</v>
      </c>
      <c r="AC1522" s="60">
        <v>252.34</v>
      </c>
      <c r="AD1522" s="60">
        <v>265.52999999999997</v>
      </c>
      <c r="AE1522" s="60">
        <v>300.8</v>
      </c>
      <c r="AF1522" s="60">
        <v>0</v>
      </c>
      <c r="AG1522" s="60">
        <v>0</v>
      </c>
      <c r="AH1522" s="60">
        <v>0</v>
      </c>
      <c r="AI1522" s="60">
        <v>252.34</v>
      </c>
      <c r="AJ1522" s="60">
        <v>265.52999999999997</v>
      </c>
      <c r="AK1522" s="60">
        <v>300.8</v>
      </c>
      <c r="AL1522" s="60">
        <v>0</v>
      </c>
      <c r="AM1522" s="60">
        <v>0</v>
      </c>
      <c r="AN1522" s="60">
        <v>0</v>
      </c>
      <c r="AO1522" s="60">
        <v>252.34</v>
      </c>
      <c r="AP1522" s="60">
        <v>265.52999999999997</v>
      </c>
      <c r="AQ1522" s="60">
        <v>300.8</v>
      </c>
      <c r="AR1522" s="61">
        <v>300.8</v>
      </c>
    </row>
    <row r="1523" spans="1:44" x14ac:dyDescent="0.35">
      <c r="A1523" s="49" t="str">
        <f t="shared" si="122"/>
        <v>43</v>
      </c>
      <c r="B1523" s="27">
        <v>69427</v>
      </c>
      <c r="C1523" s="25" t="str">
        <f>TEXT(130856,"0000000")</f>
        <v>0130856</v>
      </c>
      <c r="D1523" s="27">
        <v>1681</v>
      </c>
      <c r="E1523" s="25" t="s">
        <v>2762</v>
      </c>
      <c r="F1523" s="25" t="s">
        <v>21</v>
      </c>
      <c r="G1523" s="59" t="s">
        <v>2763</v>
      </c>
      <c r="H1523" s="60">
        <v>0</v>
      </c>
      <c r="I1523" s="60">
        <v>0</v>
      </c>
      <c r="J1523" s="60">
        <v>0</v>
      </c>
      <c r="K1523" s="60">
        <v>0</v>
      </c>
      <c r="L1523" s="60">
        <v>0</v>
      </c>
      <c r="M1523" s="60">
        <v>0</v>
      </c>
      <c r="N1523" s="60">
        <v>0</v>
      </c>
      <c r="O1523" s="60">
        <v>0</v>
      </c>
      <c r="P1523" s="60">
        <v>0</v>
      </c>
      <c r="Q1523" s="60">
        <v>0</v>
      </c>
      <c r="R1523" s="60">
        <v>0</v>
      </c>
      <c r="S1523" s="60">
        <v>0</v>
      </c>
      <c r="T1523" s="60">
        <v>0</v>
      </c>
      <c r="U1523" s="60">
        <v>0</v>
      </c>
      <c r="V1523" s="60">
        <v>0</v>
      </c>
      <c r="W1523" s="60">
        <v>0</v>
      </c>
      <c r="X1523" s="60">
        <v>0</v>
      </c>
      <c r="Y1523" s="60">
        <v>0</v>
      </c>
      <c r="Z1523" s="60">
        <v>0</v>
      </c>
      <c r="AA1523" s="60">
        <v>0</v>
      </c>
      <c r="AB1523" s="60">
        <v>0</v>
      </c>
      <c r="AC1523" s="60">
        <v>251.57</v>
      </c>
      <c r="AD1523" s="60">
        <v>270.39999999999998</v>
      </c>
      <c r="AE1523" s="60">
        <v>323.27</v>
      </c>
      <c r="AF1523" s="60">
        <v>0</v>
      </c>
      <c r="AG1523" s="60">
        <v>0</v>
      </c>
      <c r="AH1523" s="60">
        <v>0</v>
      </c>
      <c r="AI1523" s="60">
        <v>251.57</v>
      </c>
      <c r="AJ1523" s="60">
        <v>270.39999999999998</v>
      </c>
      <c r="AK1523" s="60">
        <v>323.27</v>
      </c>
      <c r="AL1523" s="60">
        <v>0</v>
      </c>
      <c r="AM1523" s="60">
        <v>0</v>
      </c>
      <c r="AN1523" s="60">
        <v>0</v>
      </c>
      <c r="AO1523" s="60">
        <v>251.57</v>
      </c>
      <c r="AP1523" s="60">
        <v>270.39999999999998</v>
      </c>
      <c r="AQ1523" s="60">
        <v>323.27</v>
      </c>
      <c r="AR1523" s="61">
        <v>323.27</v>
      </c>
    </row>
    <row r="1524" spans="1:44" x14ac:dyDescent="0.35">
      <c r="A1524" s="49" t="str">
        <f t="shared" si="122"/>
        <v>43</v>
      </c>
      <c r="B1524" s="27">
        <v>69427</v>
      </c>
      <c r="C1524" s="25" t="str">
        <f>TEXT(131995,"0000000")</f>
        <v>0131995</v>
      </c>
      <c r="D1524" s="27">
        <v>1675</v>
      </c>
      <c r="E1524" s="25" t="s">
        <v>2764</v>
      </c>
      <c r="F1524" s="25" t="s">
        <v>21</v>
      </c>
      <c r="G1524" s="59" t="s">
        <v>2765</v>
      </c>
      <c r="H1524" s="60">
        <v>0</v>
      </c>
      <c r="I1524" s="60">
        <v>0</v>
      </c>
      <c r="J1524" s="60">
        <v>0</v>
      </c>
      <c r="K1524" s="60">
        <v>0</v>
      </c>
      <c r="L1524" s="60">
        <v>0</v>
      </c>
      <c r="M1524" s="60">
        <v>0</v>
      </c>
      <c r="N1524" s="60">
        <v>0</v>
      </c>
      <c r="O1524" s="60">
        <v>0</v>
      </c>
      <c r="P1524" s="60">
        <v>0</v>
      </c>
      <c r="Q1524" s="60">
        <v>0</v>
      </c>
      <c r="R1524" s="60">
        <v>0</v>
      </c>
      <c r="S1524" s="60">
        <v>0</v>
      </c>
      <c r="T1524" s="60">
        <v>0</v>
      </c>
      <c r="U1524" s="60">
        <v>0</v>
      </c>
      <c r="V1524" s="60">
        <v>0</v>
      </c>
      <c r="W1524" s="60">
        <v>0</v>
      </c>
      <c r="X1524" s="60">
        <v>0</v>
      </c>
      <c r="Y1524" s="60">
        <v>0</v>
      </c>
      <c r="Z1524" s="60">
        <v>0</v>
      </c>
      <c r="AA1524" s="60">
        <v>0</v>
      </c>
      <c r="AB1524" s="60">
        <v>0</v>
      </c>
      <c r="AC1524" s="60">
        <v>234.92</v>
      </c>
      <c r="AD1524" s="60">
        <v>230.01</v>
      </c>
      <c r="AE1524" s="60">
        <v>241.14</v>
      </c>
      <c r="AF1524" s="60">
        <v>0</v>
      </c>
      <c r="AG1524" s="60">
        <v>0</v>
      </c>
      <c r="AH1524" s="60">
        <v>0</v>
      </c>
      <c r="AI1524" s="60">
        <v>234.92</v>
      </c>
      <c r="AJ1524" s="60">
        <v>230.01</v>
      </c>
      <c r="AK1524" s="60">
        <v>241.14</v>
      </c>
      <c r="AL1524" s="60">
        <v>0</v>
      </c>
      <c r="AM1524" s="60">
        <v>0</v>
      </c>
      <c r="AN1524" s="60">
        <v>0</v>
      </c>
      <c r="AO1524" s="60">
        <v>234.92</v>
      </c>
      <c r="AP1524" s="60">
        <v>230.01</v>
      </c>
      <c r="AQ1524" s="60">
        <v>241.14</v>
      </c>
      <c r="AR1524" s="61">
        <v>241.14</v>
      </c>
    </row>
    <row r="1525" spans="1:44" x14ac:dyDescent="0.35">
      <c r="A1525" s="49" t="str">
        <f t="shared" si="122"/>
        <v>43</v>
      </c>
      <c r="B1525" s="27">
        <v>69427</v>
      </c>
      <c r="C1525" s="25" t="str">
        <f>TEXT(4330668,"0000000")</f>
        <v>4330668</v>
      </c>
      <c r="D1525" s="26" t="s">
        <v>2770</v>
      </c>
      <c r="E1525" s="25" t="s">
        <v>2768</v>
      </c>
      <c r="F1525" s="25" t="s">
        <v>21</v>
      </c>
      <c r="G1525" s="59" t="s">
        <v>2769</v>
      </c>
      <c r="H1525" s="60">
        <v>0</v>
      </c>
      <c r="I1525" s="60">
        <v>0</v>
      </c>
      <c r="J1525" s="60">
        <v>0</v>
      </c>
      <c r="K1525" s="60">
        <v>0</v>
      </c>
      <c r="L1525" s="60">
        <v>0</v>
      </c>
      <c r="M1525" s="60">
        <v>0</v>
      </c>
      <c r="N1525" s="60">
        <v>0</v>
      </c>
      <c r="O1525" s="60">
        <v>0</v>
      </c>
      <c r="P1525" s="60">
        <v>0</v>
      </c>
      <c r="Q1525" s="60">
        <v>0</v>
      </c>
      <c r="R1525" s="60">
        <v>0</v>
      </c>
      <c r="S1525" s="60">
        <v>0</v>
      </c>
      <c r="T1525" s="60">
        <v>0</v>
      </c>
      <c r="U1525" s="60">
        <v>0</v>
      </c>
      <c r="V1525" s="60">
        <v>0</v>
      </c>
      <c r="W1525" s="60">
        <v>0</v>
      </c>
      <c r="X1525" s="60">
        <v>0</v>
      </c>
      <c r="Y1525" s="60">
        <v>0</v>
      </c>
      <c r="Z1525" s="60">
        <v>0</v>
      </c>
      <c r="AA1525" s="60">
        <v>0</v>
      </c>
      <c r="AB1525" s="60">
        <v>0</v>
      </c>
      <c r="AC1525" s="60">
        <v>374.6</v>
      </c>
      <c r="AD1525" s="60">
        <v>375.96</v>
      </c>
      <c r="AE1525" s="60">
        <v>416.3</v>
      </c>
      <c r="AF1525" s="60">
        <v>0</v>
      </c>
      <c r="AG1525" s="60">
        <v>0</v>
      </c>
      <c r="AH1525" s="60">
        <v>0</v>
      </c>
      <c r="AI1525" s="60">
        <v>374.6</v>
      </c>
      <c r="AJ1525" s="60">
        <v>375.96</v>
      </c>
      <c r="AK1525" s="60">
        <v>416.3</v>
      </c>
      <c r="AL1525" s="60">
        <v>0</v>
      </c>
      <c r="AM1525" s="60">
        <v>0</v>
      </c>
      <c r="AN1525" s="60">
        <v>0</v>
      </c>
      <c r="AO1525" s="60">
        <v>374.6</v>
      </c>
      <c r="AP1525" s="60">
        <v>375.96</v>
      </c>
      <c r="AQ1525" s="60">
        <v>416.3</v>
      </c>
      <c r="AR1525" s="61">
        <v>416.3</v>
      </c>
    </row>
    <row r="1526" spans="1:44" x14ac:dyDescent="0.35">
      <c r="A1526" s="49" t="str">
        <f t="shared" si="122"/>
        <v>43</v>
      </c>
      <c r="B1526" s="27">
        <v>69450</v>
      </c>
      <c r="C1526" s="25" t="str">
        <f>TEXT(113662,"0000000")</f>
        <v>0113662</v>
      </c>
      <c r="D1526" s="26" t="s">
        <v>2783</v>
      </c>
      <c r="E1526" s="25" t="s">
        <v>2781</v>
      </c>
      <c r="F1526" s="25" t="s">
        <v>21</v>
      </c>
      <c r="G1526" s="59" t="s">
        <v>2782</v>
      </c>
      <c r="H1526" s="60">
        <v>0</v>
      </c>
      <c r="I1526" s="60">
        <v>0</v>
      </c>
      <c r="J1526" s="60">
        <v>0</v>
      </c>
      <c r="K1526" s="60">
        <v>0</v>
      </c>
      <c r="L1526" s="60">
        <v>0</v>
      </c>
      <c r="M1526" s="60">
        <v>0</v>
      </c>
      <c r="N1526" s="60">
        <v>0</v>
      </c>
      <c r="O1526" s="60">
        <v>0</v>
      </c>
      <c r="P1526" s="60">
        <v>0</v>
      </c>
      <c r="Q1526" s="60">
        <v>0</v>
      </c>
      <c r="R1526" s="60">
        <v>0</v>
      </c>
      <c r="S1526" s="60">
        <v>0</v>
      </c>
      <c r="T1526" s="60">
        <v>0</v>
      </c>
      <c r="U1526" s="60">
        <v>0</v>
      </c>
      <c r="V1526" s="60">
        <v>0</v>
      </c>
      <c r="W1526" s="60">
        <v>0</v>
      </c>
      <c r="X1526" s="60">
        <v>0</v>
      </c>
      <c r="Y1526" s="60">
        <v>0</v>
      </c>
      <c r="Z1526" s="60">
        <v>0</v>
      </c>
      <c r="AA1526" s="60">
        <v>0</v>
      </c>
      <c r="AB1526" s="60">
        <v>0</v>
      </c>
      <c r="AC1526" s="60">
        <v>329.93</v>
      </c>
      <c r="AD1526" s="60">
        <v>350</v>
      </c>
      <c r="AE1526" s="60">
        <v>439.13</v>
      </c>
      <c r="AF1526" s="60">
        <v>0</v>
      </c>
      <c r="AG1526" s="60">
        <v>0</v>
      </c>
      <c r="AH1526" s="60">
        <v>0</v>
      </c>
      <c r="AI1526" s="60">
        <v>329.93</v>
      </c>
      <c r="AJ1526" s="60">
        <v>350</v>
      </c>
      <c r="AK1526" s="60">
        <v>439.13</v>
      </c>
      <c r="AL1526" s="60">
        <v>0</v>
      </c>
      <c r="AM1526" s="60">
        <v>0</v>
      </c>
      <c r="AN1526" s="60">
        <v>0</v>
      </c>
      <c r="AO1526" s="60">
        <v>329.93</v>
      </c>
      <c r="AP1526" s="60">
        <v>350</v>
      </c>
      <c r="AQ1526" s="60">
        <v>439.13</v>
      </c>
      <c r="AR1526" s="61">
        <v>439.13</v>
      </c>
    </row>
    <row r="1527" spans="1:44" x14ac:dyDescent="0.35">
      <c r="A1527" s="49" t="str">
        <f t="shared" si="122"/>
        <v>43</v>
      </c>
      <c r="B1527" s="27">
        <v>69583</v>
      </c>
      <c r="C1527" s="25" t="str">
        <f>TEXT(6118541,"0000000")</f>
        <v>6118541</v>
      </c>
      <c r="D1527" s="26" t="s">
        <v>2816</v>
      </c>
      <c r="E1527" s="25" t="s">
        <v>2814</v>
      </c>
      <c r="F1527" s="25" t="s">
        <v>21</v>
      </c>
      <c r="G1527" s="59" t="s">
        <v>2815</v>
      </c>
      <c r="H1527" s="60">
        <v>0</v>
      </c>
      <c r="I1527" s="60">
        <v>0</v>
      </c>
      <c r="J1527" s="60">
        <v>0</v>
      </c>
      <c r="K1527" s="60">
        <v>0</v>
      </c>
      <c r="L1527" s="60">
        <v>0</v>
      </c>
      <c r="M1527" s="60">
        <v>0</v>
      </c>
      <c r="N1527" s="60">
        <v>0</v>
      </c>
      <c r="O1527" s="60">
        <v>0</v>
      </c>
      <c r="P1527" s="60">
        <v>0</v>
      </c>
      <c r="Q1527" s="60">
        <v>0</v>
      </c>
      <c r="R1527" s="60">
        <v>0</v>
      </c>
      <c r="S1527" s="60">
        <v>0</v>
      </c>
      <c r="T1527" s="60">
        <v>0</v>
      </c>
      <c r="U1527" s="60">
        <v>0</v>
      </c>
      <c r="V1527" s="60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v>627.20000000000005</v>
      </c>
      <c r="AD1527" s="60">
        <v>630.46</v>
      </c>
      <c r="AE1527" s="60">
        <v>636.09</v>
      </c>
      <c r="AF1527" s="60">
        <v>0</v>
      </c>
      <c r="AG1527" s="60">
        <v>0</v>
      </c>
      <c r="AH1527" s="60">
        <v>0</v>
      </c>
      <c r="AI1527" s="60">
        <v>627.20000000000005</v>
      </c>
      <c r="AJ1527" s="60">
        <v>630.46</v>
      </c>
      <c r="AK1527" s="60">
        <v>636.09</v>
      </c>
      <c r="AL1527" s="60">
        <v>0</v>
      </c>
      <c r="AM1527" s="60">
        <v>0</v>
      </c>
      <c r="AN1527" s="60">
        <v>0</v>
      </c>
      <c r="AO1527" s="60">
        <v>627.20000000000005</v>
      </c>
      <c r="AP1527" s="60">
        <v>630.46</v>
      </c>
      <c r="AQ1527" s="60">
        <v>636.09</v>
      </c>
      <c r="AR1527" s="61">
        <v>636.09</v>
      </c>
    </row>
    <row r="1528" spans="1:44" x14ac:dyDescent="0.35">
      <c r="A1528" s="49" t="str">
        <f>TEXT(48,"00")</f>
        <v>48</v>
      </c>
      <c r="B1528" s="27">
        <v>70581</v>
      </c>
      <c r="C1528" s="25" t="str">
        <f>TEXT(137380,"0000000")</f>
        <v>0137380</v>
      </c>
      <c r="D1528" s="27">
        <v>1912</v>
      </c>
      <c r="E1528" s="25" t="s">
        <v>3041</v>
      </c>
      <c r="F1528" s="25" t="s">
        <v>21</v>
      </c>
      <c r="G1528" s="59" t="s">
        <v>3042</v>
      </c>
      <c r="H1528" s="60">
        <v>0</v>
      </c>
      <c r="I1528" s="60">
        <v>0</v>
      </c>
      <c r="J1528" s="60">
        <v>0</v>
      </c>
      <c r="K1528" s="60">
        <v>0</v>
      </c>
      <c r="L1528" s="60">
        <v>0</v>
      </c>
      <c r="M1528" s="60">
        <v>0</v>
      </c>
      <c r="N1528" s="60">
        <v>0</v>
      </c>
      <c r="O1528" s="60">
        <v>0</v>
      </c>
      <c r="P1528" s="60">
        <v>0</v>
      </c>
      <c r="Q1528" s="60">
        <v>0</v>
      </c>
      <c r="R1528" s="60">
        <v>0</v>
      </c>
      <c r="S1528" s="60">
        <v>0</v>
      </c>
      <c r="T1528" s="60">
        <v>0</v>
      </c>
      <c r="U1528" s="60">
        <v>0</v>
      </c>
      <c r="V1528" s="60">
        <v>0</v>
      </c>
      <c r="W1528" s="60">
        <v>0</v>
      </c>
      <c r="X1528" s="60">
        <v>0</v>
      </c>
      <c r="Y1528" s="60">
        <v>0</v>
      </c>
      <c r="Z1528" s="60">
        <v>0</v>
      </c>
      <c r="AA1528" s="60">
        <v>0</v>
      </c>
      <c r="AB1528" s="60">
        <v>0</v>
      </c>
      <c r="AC1528" s="60">
        <v>92.59</v>
      </c>
      <c r="AD1528" s="60">
        <v>133.29</v>
      </c>
      <c r="AE1528" s="60">
        <v>288.39999999999998</v>
      </c>
      <c r="AF1528" s="60">
        <v>0</v>
      </c>
      <c r="AG1528" s="60">
        <v>0</v>
      </c>
      <c r="AH1528" s="60">
        <v>0</v>
      </c>
      <c r="AI1528" s="60">
        <v>92.59</v>
      </c>
      <c r="AJ1528" s="60">
        <v>133.29</v>
      </c>
      <c r="AK1528" s="60">
        <v>288.39999999999998</v>
      </c>
      <c r="AL1528" s="60">
        <v>0</v>
      </c>
      <c r="AM1528" s="60">
        <v>0</v>
      </c>
      <c r="AN1528" s="60">
        <v>0</v>
      </c>
      <c r="AO1528" s="60">
        <v>92.59</v>
      </c>
      <c r="AP1528" s="60">
        <v>133.29</v>
      </c>
      <c r="AQ1528" s="60">
        <v>288.39999999999998</v>
      </c>
      <c r="AR1528" s="61">
        <v>288.39999999999998</v>
      </c>
    </row>
    <row r="1529" spans="1:44" x14ac:dyDescent="0.35">
      <c r="A1529" s="49" t="str">
        <f>TEXT(48,"00")</f>
        <v>48</v>
      </c>
      <c r="B1529" s="27">
        <v>70581</v>
      </c>
      <c r="C1529" s="25" t="str">
        <f>TEXT(139816,"0000000")</f>
        <v>0139816</v>
      </c>
      <c r="D1529" s="27">
        <v>2083</v>
      </c>
      <c r="E1529" s="25" t="s">
        <v>3043</v>
      </c>
      <c r="F1529" s="25" t="s">
        <v>21</v>
      </c>
      <c r="G1529" s="59" t="s">
        <v>3044</v>
      </c>
      <c r="H1529" s="60">
        <v>0</v>
      </c>
      <c r="I1529" s="60">
        <v>0</v>
      </c>
      <c r="J1529" s="60">
        <v>0</v>
      </c>
      <c r="K1529" s="60">
        <v>0</v>
      </c>
      <c r="L1529" s="60">
        <v>0</v>
      </c>
      <c r="M1529" s="60">
        <v>0</v>
      </c>
      <c r="N1529" s="60">
        <v>0</v>
      </c>
      <c r="O1529" s="60">
        <v>0</v>
      </c>
      <c r="P1529" s="60">
        <v>0</v>
      </c>
      <c r="Q1529" s="60">
        <v>0</v>
      </c>
      <c r="R1529" s="60">
        <v>0</v>
      </c>
      <c r="S1529" s="60">
        <v>0</v>
      </c>
      <c r="T1529" s="60">
        <v>0</v>
      </c>
      <c r="U1529" s="60">
        <v>0</v>
      </c>
      <c r="V1529" s="60">
        <v>0</v>
      </c>
      <c r="W1529" s="60">
        <v>0</v>
      </c>
      <c r="X1529" s="60">
        <v>0</v>
      </c>
      <c r="Y1529" s="60">
        <v>0</v>
      </c>
      <c r="Z1529" s="60">
        <v>0</v>
      </c>
      <c r="AA1529" s="60">
        <v>0</v>
      </c>
      <c r="AB1529" s="60">
        <v>0</v>
      </c>
      <c r="AC1529" s="60">
        <v>136.16</v>
      </c>
      <c r="AD1529" s="60">
        <v>157.86000000000001</v>
      </c>
      <c r="AE1529" s="60">
        <v>97.7</v>
      </c>
      <c r="AF1529" s="60">
        <v>0</v>
      </c>
      <c r="AG1529" s="60">
        <v>0</v>
      </c>
      <c r="AH1529" s="60">
        <v>0</v>
      </c>
      <c r="AI1529" s="60">
        <v>136.16</v>
      </c>
      <c r="AJ1529" s="60">
        <v>157.86000000000001</v>
      </c>
      <c r="AK1529" s="60">
        <v>97.7</v>
      </c>
      <c r="AL1529" s="60">
        <v>0</v>
      </c>
      <c r="AM1529" s="60">
        <v>0</v>
      </c>
      <c r="AN1529" s="60">
        <v>0</v>
      </c>
      <c r="AO1529" s="60">
        <v>136.16</v>
      </c>
      <c r="AP1529" s="60">
        <v>157.86000000000001</v>
      </c>
      <c r="AQ1529" s="60">
        <v>97.7</v>
      </c>
      <c r="AR1529" s="61">
        <v>157.86000000000001</v>
      </c>
    </row>
    <row r="1530" spans="1:44" x14ac:dyDescent="0.35">
      <c r="A1530" s="49" t="str">
        <f>TEXT(48,"00")</f>
        <v>48</v>
      </c>
      <c r="B1530" s="27">
        <v>70581</v>
      </c>
      <c r="C1530" s="25" t="str">
        <f>TEXT(4830196,"0000000")</f>
        <v>4830196</v>
      </c>
      <c r="D1530" s="26" t="s">
        <v>3047</v>
      </c>
      <c r="E1530" s="25" t="s">
        <v>3045</v>
      </c>
      <c r="F1530" s="25" t="s">
        <v>21</v>
      </c>
      <c r="G1530" s="59" t="s">
        <v>3046</v>
      </c>
      <c r="H1530" s="60">
        <v>0</v>
      </c>
      <c r="I1530" s="60">
        <v>0</v>
      </c>
      <c r="J1530" s="60">
        <v>0</v>
      </c>
      <c r="K1530" s="60">
        <v>0</v>
      </c>
      <c r="L1530" s="60">
        <v>0</v>
      </c>
      <c r="M1530" s="60">
        <v>0</v>
      </c>
      <c r="N1530" s="60">
        <v>0</v>
      </c>
      <c r="O1530" s="60">
        <v>0</v>
      </c>
      <c r="P1530" s="60">
        <v>0</v>
      </c>
      <c r="Q1530" s="60">
        <v>0</v>
      </c>
      <c r="R1530" s="60">
        <v>0</v>
      </c>
      <c r="S1530" s="60">
        <v>0</v>
      </c>
      <c r="T1530" s="60">
        <v>0</v>
      </c>
      <c r="U1530" s="60">
        <v>0</v>
      </c>
      <c r="V1530" s="60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0</v>
      </c>
      <c r="AB1530" s="60">
        <v>0</v>
      </c>
      <c r="AC1530" s="60">
        <v>397.89</v>
      </c>
      <c r="AD1530" s="60">
        <v>451.13</v>
      </c>
      <c r="AE1530" s="60">
        <v>524.92999999999995</v>
      </c>
      <c r="AF1530" s="60">
        <v>0</v>
      </c>
      <c r="AG1530" s="60">
        <v>0</v>
      </c>
      <c r="AH1530" s="60">
        <v>0</v>
      </c>
      <c r="AI1530" s="60">
        <v>397.89</v>
      </c>
      <c r="AJ1530" s="60">
        <v>451.13</v>
      </c>
      <c r="AK1530" s="60">
        <v>524.92999999999995</v>
      </c>
      <c r="AL1530" s="60">
        <v>0</v>
      </c>
      <c r="AM1530" s="60">
        <v>0</v>
      </c>
      <c r="AN1530" s="60">
        <v>0</v>
      </c>
      <c r="AO1530" s="60">
        <v>397.89</v>
      </c>
      <c r="AP1530" s="60">
        <v>451.13</v>
      </c>
      <c r="AQ1530" s="60">
        <v>524.92999999999995</v>
      </c>
      <c r="AR1530" s="61">
        <v>524.92999999999995</v>
      </c>
    </row>
    <row r="1531" spans="1:44" x14ac:dyDescent="0.35">
      <c r="A1531" s="49" t="str">
        <f>TEXT(48,"00")</f>
        <v>48</v>
      </c>
      <c r="B1531" s="27">
        <v>70581</v>
      </c>
      <c r="C1531" s="25" t="str">
        <f>TEXT(6116255,"0000000")</f>
        <v>6116255</v>
      </c>
      <c r="D1531" s="26" t="s">
        <v>3050</v>
      </c>
      <c r="E1531" s="25" t="s">
        <v>3048</v>
      </c>
      <c r="F1531" s="25" t="s">
        <v>21</v>
      </c>
      <c r="G1531" s="59" t="s">
        <v>3049</v>
      </c>
      <c r="H1531" s="60">
        <v>0</v>
      </c>
      <c r="I1531" s="60">
        <v>0</v>
      </c>
      <c r="J1531" s="60">
        <v>0</v>
      </c>
      <c r="K1531" s="60">
        <v>0</v>
      </c>
      <c r="L1531" s="60">
        <v>0</v>
      </c>
      <c r="M1531" s="60">
        <v>0</v>
      </c>
      <c r="N1531" s="60">
        <v>0</v>
      </c>
      <c r="O1531" s="60">
        <v>0</v>
      </c>
      <c r="P1531" s="60">
        <v>0</v>
      </c>
      <c r="Q1531" s="60">
        <v>0</v>
      </c>
      <c r="R1531" s="60">
        <v>0</v>
      </c>
      <c r="S1531" s="60">
        <v>0</v>
      </c>
      <c r="T1531" s="60">
        <v>0</v>
      </c>
      <c r="U1531" s="60">
        <v>0</v>
      </c>
      <c r="V1531" s="60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v>259.10000000000002</v>
      </c>
      <c r="AD1531" s="60">
        <v>333.91</v>
      </c>
      <c r="AE1531" s="60">
        <v>404.67</v>
      </c>
      <c r="AF1531" s="60">
        <v>0</v>
      </c>
      <c r="AG1531" s="60">
        <v>0</v>
      </c>
      <c r="AH1531" s="60">
        <v>0</v>
      </c>
      <c r="AI1531" s="60">
        <v>259.10000000000002</v>
      </c>
      <c r="AJ1531" s="60">
        <v>333.91</v>
      </c>
      <c r="AK1531" s="60">
        <v>404.67</v>
      </c>
      <c r="AL1531" s="60">
        <v>0</v>
      </c>
      <c r="AM1531" s="60">
        <v>0</v>
      </c>
      <c r="AN1531" s="60">
        <v>0</v>
      </c>
      <c r="AO1531" s="60">
        <v>259.10000000000002</v>
      </c>
      <c r="AP1531" s="60">
        <v>333.91</v>
      </c>
      <c r="AQ1531" s="60">
        <v>404.67</v>
      </c>
      <c r="AR1531" s="61">
        <v>404.67</v>
      </c>
    </row>
    <row r="1532" spans="1:44" x14ac:dyDescent="0.35">
      <c r="A1532" s="49" t="str">
        <f>TEXT(49,"00")</f>
        <v>49</v>
      </c>
      <c r="B1532" s="27">
        <v>70722</v>
      </c>
      <c r="C1532" s="25" t="str">
        <f>TEXT(139048,"0000000")</f>
        <v>0139048</v>
      </c>
      <c r="D1532" s="27">
        <v>2037</v>
      </c>
      <c r="E1532" s="25" t="s">
        <v>3077</v>
      </c>
      <c r="F1532" s="25" t="s">
        <v>21</v>
      </c>
      <c r="G1532" s="59" t="s">
        <v>3078</v>
      </c>
      <c r="H1532" s="60">
        <v>0</v>
      </c>
      <c r="I1532" s="60">
        <v>0</v>
      </c>
      <c r="J1532" s="60">
        <v>0</v>
      </c>
      <c r="K1532" s="60">
        <v>0</v>
      </c>
      <c r="L1532" s="60">
        <v>0</v>
      </c>
      <c r="M1532" s="60">
        <v>0</v>
      </c>
      <c r="N1532" s="60">
        <v>0</v>
      </c>
      <c r="O1532" s="60">
        <v>0</v>
      </c>
      <c r="P1532" s="60">
        <v>0</v>
      </c>
      <c r="Q1532" s="60">
        <v>0</v>
      </c>
      <c r="R1532" s="60">
        <v>0</v>
      </c>
      <c r="S1532" s="60">
        <v>0</v>
      </c>
      <c r="T1532" s="60">
        <v>0</v>
      </c>
      <c r="U1532" s="60">
        <v>0</v>
      </c>
      <c r="V1532" s="60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0</v>
      </c>
      <c r="AC1532" s="60">
        <v>129.49</v>
      </c>
      <c r="AD1532" s="60">
        <v>151.44999999999999</v>
      </c>
      <c r="AE1532" s="60">
        <v>183.78</v>
      </c>
      <c r="AF1532" s="60">
        <v>0</v>
      </c>
      <c r="AG1532" s="60">
        <v>0</v>
      </c>
      <c r="AH1532" s="60">
        <v>0</v>
      </c>
      <c r="AI1532" s="60">
        <v>129.49</v>
      </c>
      <c r="AJ1532" s="60">
        <v>151.44999999999999</v>
      </c>
      <c r="AK1532" s="60">
        <v>183.78</v>
      </c>
      <c r="AL1532" s="60">
        <v>0</v>
      </c>
      <c r="AM1532" s="60">
        <v>0</v>
      </c>
      <c r="AN1532" s="60">
        <v>0</v>
      </c>
      <c r="AO1532" s="60">
        <v>129.49</v>
      </c>
      <c r="AP1532" s="60">
        <v>151.44999999999999</v>
      </c>
      <c r="AQ1532" s="60">
        <v>183.78</v>
      </c>
      <c r="AR1532" s="61">
        <v>183.78</v>
      </c>
    </row>
    <row r="1533" spans="1:44" x14ac:dyDescent="0.35">
      <c r="A1533" s="49" t="str">
        <f>TEXT(51,"00")</f>
        <v>51</v>
      </c>
      <c r="B1533" s="27">
        <v>71407</v>
      </c>
      <c r="C1533" s="25" t="str">
        <f>TEXT(109793,"0000000")</f>
        <v>0109793</v>
      </c>
      <c r="D1533" s="26" t="s">
        <v>3239</v>
      </c>
      <c r="E1533" s="25" t="s">
        <v>3237</v>
      </c>
      <c r="F1533" s="25" t="s">
        <v>21</v>
      </c>
      <c r="G1533" s="59" t="s">
        <v>3238</v>
      </c>
      <c r="H1533" s="60">
        <v>0</v>
      </c>
      <c r="I1533" s="60">
        <v>0</v>
      </c>
      <c r="J1533" s="60">
        <v>0</v>
      </c>
      <c r="K1533" s="60">
        <v>0</v>
      </c>
      <c r="L1533" s="60">
        <v>0</v>
      </c>
      <c r="M1533" s="60">
        <v>0</v>
      </c>
      <c r="N1533" s="60">
        <v>0</v>
      </c>
      <c r="O1533" s="60">
        <v>0</v>
      </c>
      <c r="P1533" s="60">
        <v>0</v>
      </c>
      <c r="Q1533" s="60">
        <v>0</v>
      </c>
      <c r="R1533" s="60">
        <v>0</v>
      </c>
      <c r="S1533" s="60">
        <v>0</v>
      </c>
      <c r="T1533" s="60">
        <v>0</v>
      </c>
      <c r="U1533" s="60">
        <v>0</v>
      </c>
      <c r="V1533" s="60">
        <v>0</v>
      </c>
      <c r="W1533" s="60">
        <v>0</v>
      </c>
      <c r="X1533" s="60">
        <v>0</v>
      </c>
      <c r="Y1533" s="60">
        <v>0</v>
      </c>
      <c r="Z1533" s="60">
        <v>0</v>
      </c>
      <c r="AA1533" s="60">
        <v>0</v>
      </c>
      <c r="AB1533" s="60">
        <v>0</v>
      </c>
      <c r="AC1533" s="60">
        <v>2261.15</v>
      </c>
      <c r="AD1533" s="60">
        <v>2443.4899999999998</v>
      </c>
      <c r="AE1533" s="60">
        <v>2105.48</v>
      </c>
      <c r="AF1533" s="60">
        <v>0</v>
      </c>
      <c r="AG1533" s="60">
        <v>0</v>
      </c>
      <c r="AH1533" s="60">
        <v>0</v>
      </c>
      <c r="AI1533" s="60">
        <v>2261.15</v>
      </c>
      <c r="AJ1533" s="60">
        <v>2443.4899999999998</v>
      </c>
      <c r="AK1533" s="60">
        <v>2105.48</v>
      </c>
      <c r="AL1533" s="60">
        <v>0</v>
      </c>
      <c r="AM1533" s="60">
        <v>0</v>
      </c>
      <c r="AN1533" s="60">
        <v>0</v>
      </c>
      <c r="AO1533" s="60">
        <v>2261.15</v>
      </c>
      <c r="AP1533" s="60">
        <v>2443.4899999999998</v>
      </c>
      <c r="AQ1533" s="60">
        <v>2105.48</v>
      </c>
      <c r="AR1533" s="61">
        <v>2443.4899999999998</v>
      </c>
    </row>
    <row r="1534" spans="1:44" x14ac:dyDescent="0.35">
      <c r="A1534" s="49" t="str">
        <f>TEXT(7,"00")</f>
        <v>07</v>
      </c>
      <c r="B1534" s="27">
        <v>61804</v>
      </c>
      <c r="C1534" s="25" t="str">
        <f t="shared" ref="C1534:C1546" si="123">TEXT(,"0000000")</f>
        <v>0000000</v>
      </c>
      <c r="D1534" s="26" t="s">
        <v>3663</v>
      </c>
      <c r="E1534" s="25" t="s">
        <v>332</v>
      </c>
      <c r="F1534" s="25" t="s">
        <v>333</v>
      </c>
      <c r="G1534" s="59" t="s">
        <v>333</v>
      </c>
      <c r="H1534" s="60">
        <v>28204.29</v>
      </c>
      <c r="I1534" s="60">
        <v>28780.17</v>
      </c>
      <c r="J1534" s="60">
        <v>30948.61</v>
      </c>
      <c r="K1534" s="60">
        <v>0</v>
      </c>
      <c r="L1534" s="60">
        <v>0</v>
      </c>
      <c r="M1534" s="60">
        <v>0</v>
      </c>
      <c r="N1534" s="60">
        <v>0</v>
      </c>
      <c r="O1534" s="60">
        <v>0</v>
      </c>
      <c r="P1534" s="60">
        <v>0</v>
      </c>
      <c r="Q1534" s="60">
        <v>0</v>
      </c>
      <c r="R1534" s="60">
        <v>0</v>
      </c>
      <c r="S1534" s="60">
        <v>0</v>
      </c>
      <c r="T1534" s="60">
        <v>0</v>
      </c>
      <c r="U1534" s="60">
        <v>0</v>
      </c>
      <c r="V1534" s="60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v>0</v>
      </c>
      <c r="AD1534" s="60">
        <v>0</v>
      </c>
      <c r="AE1534" s="60">
        <v>0</v>
      </c>
      <c r="AF1534" s="60">
        <v>0</v>
      </c>
      <c r="AG1534" s="60">
        <v>0</v>
      </c>
      <c r="AH1534" s="60">
        <v>0</v>
      </c>
      <c r="AI1534" s="60">
        <v>28204.29</v>
      </c>
      <c r="AJ1534" s="60">
        <v>28780.17</v>
      </c>
      <c r="AK1534" s="60">
        <v>30948.61</v>
      </c>
      <c r="AL1534" s="60">
        <v>0</v>
      </c>
      <c r="AM1534" s="60">
        <v>0</v>
      </c>
      <c r="AN1534" s="60">
        <v>0</v>
      </c>
      <c r="AO1534" s="60">
        <v>28204.29</v>
      </c>
      <c r="AP1534" s="60">
        <v>28780.17</v>
      </c>
      <c r="AQ1534" s="60">
        <v>30948.61</v>
      </c>
      <c r="AR1534" s="61">
        <v>30948.61</v>
      </c>
    </row>
    <row r="1535" spans="1:44" x14ac:dyDescent="0.35">
      <c r="A1535" s="49" t="str">
        <f t="shared" ref="A1535:A1554" si="124">TEXT(36,"00")</f>
        <v>36</v>
      </c>
      <c r="B1535" s="27">
        <v>10363</v>
      </c>
      <c r="C1535" s="25" t="str">
        <f t="shared" si="123"/>
        <v>0000000</v>
      </c>
      <c r="D1535" s="26" t="s">
        <v>3663</v>
      </c>
      <c r="E1535" s="25" t="s">
        <v>1908</v>
      </c>
      <c r="F1535" s="25" t="s">
        <v>1909</v>
      </c>
      <c r="G1535" s="59" t="s">
        <v>1909</v>
      </c>
      <c r="H1535" s="60">
        <v>0</v>
      </c>
      <c r="I1535" s="60">
        <v>0</v>
      </c>
      <c r="J1535" s="60">
        <v>0</v>
      </c>
      <c r="K1535" s="60">
        <v>0</v>
      </c>
      <c r="L1535" s="60">
        <v>0</v>
      </c>
      <c r="M1535" s="60">
        <v>0</v>
      </c>
      <c r="N1535" s="60">
        <v>0</v>
      </c>
      <c r="O1535" s="60">
        <v>0</v>
      </c>
      <c r="P1535" s="60">
        <v>0</v>
      </c>
      <c r="Q1535" s="60">
        <v>0</v>
      </c>
      <c r="R1535" s="60">
        <v>0</v>
      </c>
      <c r="S1535" s="60">
        <v>0</v>
      </c>
      <c r="T1535" s="60">
        <v>101.6</v>
      </c>
      <c r="U1535" s="60">
        <v>68.260000000000005</v>
      </c>
      <c r="V1535" s="60">
        <v>125.35</v>
      </c>
      <c r="W1535" s="60">
        <v>370.22</v>
      </c>
      <c r="X1535" s="60">
        <v>402.11</v>
      </c>
      <c r="Y1535" s="60">
        <v>431.12</v>
      </c>
      <c r="Z1535" s="60">
        <v>0</v>
      </c>
      <c r="AA1535" s="60">
        <v>0</v>
      </c>
      <c r="AB1535" s="60">
        <v>0</v>
      </c>
      <c r="AC1535" s="60">
        <v>0</v>
      </c>
      <c r="AD1535" s="60">
        <v>0</v>
      </c>
      <c r="AE1535" s="60">
        <v>0</v>
      </c>
      <c r="AF1535" s="60">
        <v>0</v>
      </c>
      <c r="AG1535" s="60">
        <v>0</v>
      </c>
      <c r="AH1535" s="60">
        <v>0</v>
      </c>
      <c r="AI1535" s="60">
        <v>471.82</v>
      </c>
      <c r="AJ1535" s="60">
        <v>470.37</v>
      </c>
      <c r="AK1535" s="60">
        <v>556.47</v>
      </c>
      <c r="AL1535" s="60">
        <v>0</v>
      </c>
      <c r="AM1535" s="60">
        <v>0</v>
      </c>
      <c r="AN1535" s="60">
        <v>0</v>
      </c>
      <c r="AO1535" s="60">
        <v>471.82</v>
      </c>
      <c r="AP1535" s="60">
        <v>470.37</v>
      </c>
      <c r="AQ1535" s="60">
        <v>556.47</v>
      </c>
      <c r="AR1535" s="61">
        <v>556.47</v>
      </c>
    </row>
    <row r="1536" spans="1:44" x14ac:dyDescent="0.35">
      <c r="A1536" s="49" t="str">
        <f t="shared" si="124"/>
        <v>36</v>
      </c>
      <c r="B1536" s="27">
        <v>67595</v>
      </c>
      <c r="C1536" s="25" t="str">
        <f t="shared" si="123"/>
        <v>0000000</v>
      </c>
      <c r="D1536" s="26" t="s">
        <v>3663</v>
      </c>
      <c r="E1536" s="25" t="s">
        <v>1927</v>
      </c>
      <c r="F1536" s="25" t="s">
        <v>1909</v>
      </c>
      <c r="G1536" s="59" t="s">
        <v>1928</v>
      </c>
      <c r="H1536" s="60">
        <v>5201.05</v>
      </c>
      <c r="I1536" s="60">
        <v>5133.42</v>
      </c>
      <c r="J1536" s="60">
        <v>5816.21</v>
      </c>
      <c r="K1536" s="60">
        <v>0</v>
      </c>
      <c r="L1536" s="60">
        <v>0</v>
      </c>
      <c r="M1536" s="60">
        <v>0</v>
      </c>
      <c r="N1536" s="60">
        <v>0</v>
      </c>
      <c r="O1536" s="60">
        <v>0</v>
      </c>
      <c r="P1536" s="60">
        <v>0</v>
      </c>
      <c r="Q1536" s="60">
        <v>0</v>
      </c>
      <c r="R1536" s="60">
        <v>0</v>
      </c>
      <c r="S1536" s="60">
        <v>0</v>
      </c>
      <c r="T1536" s="60">
        <v>0</v>
      </c>
      <c r="U1536" s="60">
        <v>0</v>
      </c>
      <c r="V1536" s="60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v>0</v>
      </c>
      <c r="AD1536" s="60">
        <v>0</v>
      </c>
      <c r="AE1536" s="60">
        <v>0</v>
      </c>
      <c r="AF1536" s="60">
        <v>0</v>
      </c>
      <c r="AG1536" s="60">
        <v>0</v>
      </c>
      <c r="AH1536" s="60">
        <v>0</v>
      </c>
      <c r="AI1536" s="60">
        <v>5201.05</v>
      </c>
      <c r="AJ1536" s="60">
        <v>5133.42</v>
      </c>
      <c r="AK1536" s="60">
        <v>5816.21</v>
      </c>
      <c r="AL1536" s="60">
        <v>0</v>
      </c>
      <c r="AM1536" s="60">
        <v>0</v>
      </c>
      <c r="AN1536" s="60">
        <v>0</v>
      </c>
      <c r="AO1536" s="60">
        <v>5201.05</v>
      </c>
      <c r="AP1536" s="60">
        <v>5133.42</v>
      </c>
      <c r="AQ1536" s="60">
        <v>5816.21</v>
      </c>
      <c r="AR1536" s="61">
        <v>5816.21</v>
      </c>
    </row>
    <row r="1537" spans="1:44" x14ac:dyDescent="0.35">
      <c r="A1537" s="49" t="str">
        <f t="shared" si="124"/>
        <v>36</v>
      </c>
      <c r="B1537" s="27">
        <v>67645</v>
      </c>
      <c r="C1537" s="25" t="str">
        <f t="shared" si="123"/>
        <v>0000000</v>
      </c>
      <c r="D1537" s="26" t="s">
        <v>3663</v>
      </c>
      <c r="E1537" s="25" t="s">
        <v>1933</v>
      </c>
      <c r="F1537" s="25" t="s">
        <v>1909</v>
      </c>
      <c r="G1537" s="59" t="s">
        <v>1934</v>
      </c>
      <c r="H1537" s="60">
        <v>3961.51</v>
      </c>
      <c r="I1537" s="60">
        <v>3985.34</v>
      </c>
      <c r="J1537" s="60">
        <v>4281.79</v>
      </c>
      <c r="K1537" s="60">
        <v>0</v>
      </c>
      <c r="L1537" s="60">
        <v>0</v>
      </c>
      <c r="M1537" s="60">
        <v>0</v>
      </c>
      <c r="N1537" s="60">
        <v>0</v>
      </c>
      <c r="O1537" s="60">
        <v>0</v>
      </c>
      <c r="P1537" s="60">
        <v>0</v>
      </c>
      <c r="Q1537" s="60">
        <v>0</v>
      </c>
      <c r="R1537" s="60">
        <v>0</v>
      </c>
      <c r="S1537" s="60">
        <v>0</v>
      </c>
      <c r="T1537" s="60">
        <v>0</v>
      </c>
      <c r="U1537" s="60">
        <v>0</v>
      </c>
      <c r="V1537" s="60">
        <v>0</v>
      </c>
      <c r="W1537" s="60">
        <v>0</v>
      </c>
      <c r="X1537" s="60">
        <v>0</v>
      </c>
      <c r="Y1537" s="60">
        <v>0</v>
      </c>
      <c r="Z1537" s="60">
        <v>0</v>
      </c>
      <c r="AA1537" s="60">
        <v>0</v>
      </c>
      <c r="AB1537" s="60">
        <v>0</v>
      </c>
      <c r="AC1537" s="60">
        <v>0</v>
      </c>
      <c r="AD1537" s="60">
        <v>0</v>
      </c>
      <c r="AE1537" s="60">
        <v>0</v>
      </c>
      <c r="AF1537" s="60">
        <v>0</v>
      </c>
      <c r="AG1537" s="60">
        <v>0</v>
      </c>
      <c r="AH1537" s="60">
        <v>0</v>
      </c>
      <c r="AI1537" s="60">
        <v>3961.51</v>
      </c>
      <c r="AJ1537" s="60">
        <v>3985.34</v>
      </c>
      <c r="AK1537" s="60">
        <v>4281.79</v>
      </c>
      <c r="AL1537" s="60">
        <v>0</v>
      </c>
      <c r="AM1537" s="60">
        <v>0</v>
      </c>
      <c r="AN1537" s="60">
        <v>0</v>
      </c>
      <c r="AO1537" s="60">
        <v>3961.51</v>
      </c>
      <c r="AP1537" s="60">
        <v>3985.34</v>
      </c>
      <c r="AQ1537" s="60">
        <v>4281.79</v>
      </c>
      <c r="AR1537" s="61">
        <v>4281.79</v>
      </c>
    </row>
    <row r="1538" spans="1:44" x14ac:dyDescent="0.35">
      <c r="A1538" s="49" t="str">
        <f t="shared" si="124"/>
        <v>36</v>
      </c>
      <c r="B1538" s="27">
        <v>67652</v>
      </c>
      <c r="C1538" s="25" t="str">
        <f t="shared" si="123"/>
        <v>0000000</v>
      </c>
      <c r="D1538" s="26" t="s">
        <v>3663</v>
      </c>
      <c r="E1538" s="25" t="s">
        <v>1935</v>
      </c>
      <c r="F1538" s="25" t="s">
        <v>1909</v>
      </c>
      <c r="G1538" s="59" t="s">
        <v>1936</v>
      </c>
      <c r="H1538" s="60">
        <v>21200.9</v>
      </c>
      <c r="I1538" s="60">
        <v>21209.17</v>
      </c>
      <c r="J1538" s="60">
        <v>22610.92</v>
      </c>
      <c r="K1538" s="60">
        <v>0</v>
      </c>
      <c r="L1538" s="60">
        <v>0</v>
      </c>
      <c r="M1538" s="60">
        <v>0</v>
      </c>
      <c r="N1538" s="60">
        <v>0</v>
      </c>
      <c r="O1538" s="60">
        <v>0</v>
      </c>
      <c r="P1538" s="60">
        <v>0</v>
      </c>
      <c r="Q1538" s="60">
        <v>0</v>
      </c>
      <c r="R1538" s="60">
        <v>0</v>
      </c>
      <c r="S1538" s="60">
        <v>0</v>
      </c>
      <c r="T1538" s="60">
        <v>0</v>
      </c>
      <c r="U1538" s="60">
        <v>0</v>
      </c>
      <c r="V1538" s="60">
        <v>0</v>
      </c>
      <c r="W1538" s="60">
        <v>0</v>
      </c>
      <c r="X1538" s="60">
        <v>0</v>
      </c>
      <c r="Y1538" s="60">
        <v>0</v>
      </c>
      <c r="Z1538" s="60">
        <v>0</v>
      </c>
      <c r="AA1538" s="60">
        <v>0</v>
      </c>
      <c r="AB1538" s="60">
        <v>0</v>
      </c>
      <c r="AC1538" s="60">
        <v>0</v>
      </c>
      <c r="AD1538" s="60">
        <v>0</v>
      </c>
      <c r="AE1538" s="60">
        <v>0</v>
      </c>
      <c r="AF1538" s="60">
        <v>0</v>
      </c>
      <c r="AG1538" s="60">
        <v>0</v>
      </c>
      <c r="AH1538" s="60">
        <v>0</v>
      </c>
      <c r="AI1538" s="60">
        <v>21200.9</v>
      </c>
      <c r="AJ1538" s="60">
        <v>21209.17</v>
      </c>
      <c r="AK1538" s="60">
        <v>22610.92</v>
      </c>
      <c r="AL1538" s="60">
        <v>0</v>
      </c>
      <c r="AM1538" s="60">
        <v>0</v>
      </c>
      <c r="AN1538" s="60">
        <v>0</v>
      </c>
      <c r="AO1538" s="60">
        <v>21200.9</v>
      </c>
      <c r="AP1538" s="60">
        <v>21209.17</v>
      </c>
      <c r="AQ1538" s="60">
        <v>22610.92</v>
      </c>
      <c r="AR1538" s="61">
        <v>22610.92</v>
      </c>
    </row>
    <row r="1539" spans="1:44" x14ac:dyDescent="0.35">
      <c r="A1539" s="49" t="str">
        <f t="shared" si="124"/>
        <v>36</v>
      </c>
      <c r="B1539" s="27">
        <v>67678</v>
      </c>
      <c r="C1539" s="25" t="str">
        <f t="shared" si="123"/>
        <v>0000000</v>
      </c>
      <c r="D1539" s="26" t="s">
        <v>3663</v>
      </c>
      <c r="E1539" s="25" t="s">
        <v>1937</v>
      </c>
      <c r="F1539" s="25" t="s">
        <v>1909</v>
      </c>
      <c r="G1539" s="59" t="s">
        <v>1938</v>
      </c>
      <c r="H1539" s="60">
        <v>23957.89</v>
      </c>
      <c r="I1539" s="60">
        <v>23836.85</v>
      </c>
      <c r="J1539" s="60">
        <v>26373.119999999999</v>
      </c>
      <c r="K1539" s="60">
        <v>0</v>
      </c>
      <c r="L1539" s="60">
        <v>0</v>
      </c>
      <c r="M1539" s="60">
        <v>0</v>
      </c>
      <c r="N1539" s="60">
        <v>0</v>
      </c>
      <c r="O1539" s="60">
        <v>0</v>
      </c>
      <c r="P1539" s="60">
        <v>0</v>
      </c>
      <c r="Q1539" s="60">
        <v>0</v>
      </c>
      <c r="R1539" s="60">
        <v>0</v>
      </c>
      <c r="S1539" s="60">
        <v>0</v>
      </c>
      <c r="T1539" s="60">
        <v>0</v>
      </c>
      <c r="U1539" s="60">
        <v>0</v>
      </c>
      <c r="V1539" s="60">
        <v>0</v>
      </c>
      <c r="W1539" s="60">
        <v>0</v>
      </c>
      <c r="X1539" s="60">
        <v>0</v>
      </c>
      <c r="Y1539" s="60">
        <v>0</v>
      </c>
      <c r="Z1539" s="60">
        <v>0</v>
      </c>
      <c r="AA1539" s="60">
        <v>0</v>
      </c>
      <c r="AB1539" s="60">
        <v>0</v>
      </c>
      <c r="AC1539" s="60">
        <v>0</v>
      </c>
      <c r="AD1539" s="60">
        <v>0</v>
      </c>
      <c r="AE1539" s="60">
        <v>0</v>
      </c>
      <c r="AF1539" s="60">
        <v>0</v>
      </c>
      <c r="AG1539" s="60">
        <v>0</v>
      </c>
      <c r="AH1539" s="60">
        <v>0</v>
      </c>
      <c r="AI1539" s="60">
        <v>23957.89</v>
      </c>
      <c r="AJ1539" s="60">
        <v>23836.85</v>
      </c>
      <c r="AK1539" s="60">
        <v>26373.119999999999</v>
      </c>
      <c r="AL1539" s="60">
        <v>0</v>
      </c>
      <c r="AM1539" s="60">
        <v>0</v>
      </c>
      <c r="AN1539" s="60">
        <v>0</v>
      </c>
      <c r="AO1539" s="60">
        <v>23957.89</v>
      </c>
      <c r="AP1539" s="60">
        <v>23836.85</v>
      </c>
      <c r="AQ1539" s="60">
        <v>26373.119999999999</v>
      </c>
      <c r="AR1539" s="61">
        <v>26373.119999999999</v>
      </c>
    </row>
    <row r="1540" spans="1:44" x14ac:dyDescent="0.35">
      <c r="A1540" s="49" t="str">
        <f t="shared" si="124"/>
        <v>36</v>
      </c>
      <c r="B1540" s="27">
        <v>67694</v>
      </c>
      <c r="C1540" s="25" t="str">
        <f t="shared" si="123"/>
        <v>0000000</v>
      </c>
      <c r="D1540" s="26" t="s">
        <v>3663</v>
      </c>
      <c r="E1540" s="25" t="s">
        <v>1943</v>
      </c>
      <c r="F1540" s="25" t="s">
        <v>1909</v>
      </c>
      <c r="G1540" s="59" t="s">
        <v>1944</v>
      </c>
      <c r="H1540" s="60">
        <v>2208.89</v>
      </c>
      <c r="I1540" s="60">
        <v>2166.0700000000002</v>
      </c>
      <c r="J1540" s="60">
        <v>2327</v>
      </c>
      <c r="K1540" s="60">
        <v>0</v>
      </c>
      <c r="L1540" s="60">
        <v>0</v>
      </c>
      <c r="M1540" s="60">
        <v>0</v>
      </c>
      <c r="N1540" s="60">
        <v>0</v>
      </c>
      <c r="O1540" s="60">
        <v>0</v>
      </c>
      <c r="P1540" s="60">
        <v>0</v>
      </c>
      <c r="Q1540" s="60">
        <v>0</v>
      </c>
      <c r="R1540" s="60">
        <v>0</v>
      </c>
      <c r="S1540" s="60">
        <v>0</v>
      </c>
      <c r="T1540" s="60">
        <v>0</v>
      </c>
      <c r="U1540" s="60">
        <v>0</v>
      </c>
      <c r="V1540" s="60">
        <v>0</v>
      </c>
      <c r="W1540" s="60">
        <v>0</v>
      </c>
      <c r="X1540" s="60">
        <v>0</v>
      </c>
      <c r="Y1540" s="60">
        <v>0</v>
      </c>
      <c r="Z1540" s="60">
        <v>0</v>
      </c>
      <c r="AA1540" s="60">
        <v>0</v>
      </c>
      <c r="AB1540" s="60">
        <v>0</v>
      </c>
      <c r="AC1540" s="60">
        <v>0</v>
      </c>
      <c r="AD1540" s="60">
        <v>0</v>
      </c>
      <c r="AE1540" s="60">
        <v>0</v>
      </c>
      <c r="AF1540" s="60">
        <v>0</v>
      </c>
      <c r="AG1540" s="60">
        <v>0</v>
      </c>
      <c r="AH1540" s="60">
        <v>0</v>
      </c>
      <c r="AI1540" s="60">
        <v>2208.89</v>
      </c>
      <c r="AJ1540" s="60">
        <v>2166.0700000000002</v>
      </c>
      <c r="AK1540" s="60">
        <v>2327</v>
      </c>
      <c r="AL1540" s="60">
        <v>0</v>
      </c>
      <c r="AM1540" s="60">
        <v>0</v>
      </c>
      <c r="AN1540" s="60">
        <v>0</v>
      </c>
      <c r="AO1540" s="60">
        <v>2208.89</v>
      </c>
      <c r="AP1540" s="60">
        <v>2166.0700000000002</v>
      </c>
      <c r="AQ1540" s="60">
        <v>2327</v>
      </c>
      <c r="AR1540" s="61">
        <v>2327</v>
      </c>
    </row>
    <row r="1541" spans="1:44" x14ac:dyDescent="0.35">
      <c r="A1541" s="49" t="str">
        <f t="shared" si="124"/>
        <v>36</v>
      </c>
      <c r="B1541" s="27">
        <v>67702</v>
      </c>
      <c r="C1541" s="25" t="str">
        <f t="shared" si="123"/>
        <v>0000000</v>
      </c>
      <c r="D1541" s="26" t="s">
        <v>3663</v>
      </c>
      <c r="E1541" s="25" t="s">
        <v>1945</v>
      </c>
      <c r="F1541" s="25" t="s">
        <v>1909</v>
      </c>
      <c r="G1541" s="59" t="s">
        <v>1946</v>
      </c>
      <c r="H1541" s="60">
        <v>12632.19</v>
      </c>
      <c r="I1541" s="60">
        <v>12508.12</v>
      </c>
      <c r="J1541" s="60">
        <v>13608.27</v>
      </c>
      <c r="K1541" s="60">
        <v>0</v>
      </c>
      <c r="L1541" s="60">
        <v>0</v>
      </c>
      <c r="M1541" s="60">
        <v>0</v>
      </c>
      <c r="N1541" s="60">
        <v>0</v>
      </c>
      <c r="O1541" s="60">
        <v>0</v>
      </c>
      <c r="P1541" s="60">
        <v>0</v>
      </c>
      <c r="Q1541" s="60">
        <v>0</v>
      </c>
      <c r="R1541" s="60">
        <v>0</v>
      </c>
      <c r="S1541" s="60">
        <v>0</v>
      </c>
      <c r="T1541" s="60">
        <v>0</v>
      </c>
      <c r="U1541" s="60">
        <v>0</v>
      </c>
      <c r="V1541" s="60">
        <v>0</v>
      </c>
      <c r="W1541" s="60">
        <v>0</v>
      </c>
      <c r="X1541" s="60">
        <v>0</v>
      </c>
      <c r="Y1541" s="60">
        <v>0</v>
      </c>
      <c r="Z1541" s="60">
        <v>0</v>
      </c>
      <c r="AA1541" s="60">
        <v>0</v>
      </c>
      <c r="AB1541" s="60">
        <v>0</v>
      </c>
      <c r="AC1541" s="60">
        <v>0</v>
      </c>
      <c r="AD1541" s="60">
        <v>0</v>
      </c>
      <c r="AE1541" s="60">
        <v>0</v>
      </c>
      <c r="AF1541" s="60">
        <v>0</v>
      </c>
      <c r="AG1541" s="60">
        <v>0</v>
      </c>
      <c r="AH1541" s="60">
        <v>0</v>
      </c>
      <c r="AI1541" s="60">
        <v>12632.19</v>
      </c>
      <c r="AJ1541" s="60">
        <v>12508.12</v>
      </c>
      <c r="AK1541" s="60">
        <v>13608.27</v>
      </c>
      <c r="AL1541" s="60">
        <v>0</v>
      </c>
      <c r="AM1541" s="60">
        <v>0</v>
      </c>
      <c r="AN1541" s="60">
        <v>0</v>
      </c>
      <c r="AO1541" s="60">
        <v>12632.19</v>
      </c>
      <c r="AP1541" s="60">
        <v>12508.12</v>
      </c>
      <c r="AQ1541" s="60">
        <v>13608.27</v>
      </c>
      <c r="AR1541" s="61">
        <v>13608.27</v>
      </c>
    </row>
    <row r="1542" spans="1:44" x14ac:dyDescent="0.35">
      <c r="A1542" s="49" t="str">
        <f t="shared" si="124"/>
        <v>36</v>
      </c>
      <c r="B1542" s="27">
        <v>67785</v>
      </c>
      <c r="C1542" s="25" t="str">
        <f t="shared" si="123"/>
        <v>0000000</v>
      </c>
      <c r="D1542" s="26" t="s">
        <v>3663</v>
      </c>
      <c r="E1542" s="25" t="s">
        <v>1961</v>
      </c>
      <c r="F1542" s="25" t="s">
        <v>1909</v>
      </c>
      <c r="G1542" s="59" t="s">
        <v>1066</v>
      </c>
      <c r="H1542" s="60">
        <v>2801.69</v>
      </c>
      <c r="I1542" s="60">
        <v>2481.0100000000002</v>
      </c>
      <c r="J1542" s="60">
        <v>2451</v>
      </c>
      <c r="K1542" s="60">
        <v>0</v>
      </c>
      <c r="L1542" s="60">
        <v>0</v>
      </c>
      <c r="M1542" s="60">
        <v>0</v>
      </c>
      <c r="N1542" s="60">
        <v>0</v>
      </c>
      <c r="O1542" s="60">
        <v>0</v>
      </c>
      <c r="P1542" s="60">
        <v>0</v>
      </c>
      <c r="Q1542" s="60">
        <v>0</v>
      </c>
      <c r="R1542" s="60">
        <v>0</v>
      </c>
      <c r="S1542" s="60">
        <v>0</v>
      </c>
      <c r="T1542" s="60">
        <v>0</v>
      </c>
      <c r="U1542" s="60">
        <v>0</v>
      </c>
      <c r="V1542" s="60">
        <v>0</v>
      </c>
      <c r="W1542" s="60">
        <v>0</v>
      </c>
      <c r="X1542" s="60">
        <v>0</v>
      </c>
      <c r="Y1542" s="60">
        <v>0</v>
      </c>
      <c r="Z1542" s="60">
        <v>0</v>
      </c>
      <c r="AA1542" s="60">
        <v>0</v>
      </c>
      <c r="AB1542" s="60">
        <v>0</v>
      </c>
      <c r="AC1542" s="60">
        <v>0</v>
      </c>
      <c r="AD1542" s="60">
        <v>0</v>
      </c>
      <c r="AE1542" s="60">
        <v>0</v>
      </c>
      <c r="AF1542" s="60">
        <v>0</v>
      </c>
      <c r="AG1542" s="60">
        <v>0</v>
      </c>
      <c r="AH1542" s="60">
        <v>0</v>
      </c>
      <c r="AI1542" s="60">
        <v>2801.69</v>
      </c>
      <c r="AJ1542" s="60">
        <v>2481.0100000000002</v>
      </c>
      <c r="AK1542" s="60">
        <v>2451</v>
      </c>
      <c r="AL1542" s="60">
        <v>0</v>
      </c>
      <c r="AM1542" s="60">
        <v>0</v>
      </c>
      <c r="AN1542" s="60">
        <v>0</v>
      </c>
      <c r="AO1542" s="60">
        <v>2801.69</v>
      </c>
      <c r="AP1542" s="60">
        <v>2481.0100000000002</v>
      </c>
      <c r="AQ1542" s="60">
        <v>2451</v>
      </c>
      <c r="AR1542" s="61">
        <v>2801.69</v>
      </c>
    </row>
    <row r="1543" spans="1:44" x14ac:dyDescent="0.35">
      <c r="A1543" s="49" t="str">
        <f t="shared" si="124"/>
        <v>36</v>
      </c>
      <c r="B1543" s="27">
        <v>75069</v>
      </c>
      <c r="C1543" s="25" t="str">
        <f t="shared" si="123"/>
        <v>0000000</v>
      </c>
      <c r="D1543" s="26" t="s">
        <v>3663</v>
      </c>
      <c r="E1543" s="25" t="s">
        <v>2039</v>
      </c>
      <c r="F1543" s="25" t="s">
        <v>1909</v>
      </c>
      <c r="G1543" s="59" t="s">
        <v>2040</v>
      </c>
      <c r="H1543" s="60">
        <v>9314.59</v>
      </c>
      <c r="I1543" s="60">
        <v>9431.67</v>
      </c>
      <c r="J1543" s="60">
        <v>10115.84</v>
      </c>
      <c r="K1543" s="60">
        <v>0</v>
      </c>
      <c r="L1543" s="60">
        <v>0</v>
      </c>
      <c r="M1543" s="60">
        <v>0</v>
      </c>
      <c r="N1543" s="60">
        <v>0</v>
      </c>
      <c r="O1543" s="60">
        <v>0</v>
      </c>
      <c r="P1543" s="60">
        <v>0</v>
      </c>
      <c r="Q1543" s="60">
        <v>0</v>
      </c>
      <c r="R1543" s="60">
        <v>0</v>
      </c>
      <c r="S1543" s="60">
        <v>0</v>
      </c>
      <c r="T1543" s="60">
        <v>0</v>
      </c>
      <c r="U1543" s="60">
        <v>0</v>
      </c>
      <c r="V1543" s="60">
        <v>0</v>
      </c>
      <c r="W1543" s="60">
        <v>0</v>
      </c>
      <c r="X1543" s="60">
        <v>0</v>
      </c>
      <c r="Y1543" s="60">
        <v>0</v>
      </c>
      <c r="Z1543" s="60">
        <v>0</v>
      </c>
      <c r="AA1543" s="60">
        <v>0</v>
      </c>
      <c r="AB1543" s="60">
        <v>0</v>
      </c>
      <c r="AC1543" s="60">
        <v>0</v>
      </c>
      <c r="AD1543" s="60">
        <v>0</v>
      </c>
      <c r="AE1543" s="60">
        <v>0</v>
      </c>
      <c r="AF1543" s="60">
        <v>0</v>
      </c>
      <c r="AG1543" s="60">
        <v>0</v>
      </c>
      <c r="AH1543" s="60">
        <v>0</v>
      </c>
      <c r="AI1543" s="60">
        <v>9314.59</v>
      </c>
      <c r="AJ1543" s="60">
        <v>9431.67</v>
      </c>
      <c r="AK1543" s="60">
        <v>10115.84</v>
      </c>
      <c r="AL1543" s="60">
        <v>0</v>
      </c>
      <c r="AM1543" s="60">
        <v>0</v>
      </c>
      <c r="AN1543" s="60">
        <v>0</v>
      </c>
      <c r="AO1543" s="60">
        <v>9314.59</v>
      </c>
      <c r="AP1543" s="60">
        <v>9431.67</v>
      </c>
      <c r="AQ1543" s="60">
        <v>10115.84</v>
      </c>
      <c r="AR1543" s="61">
        <v>10115.84</v>
      </c>
    </row>
    <row r="1544" spans="1:44" x14ac:dyDescent="0.35">
      <c r="A1544" s="49" t="str">
        <f t="shared" si="124"/>
        <v>36</v>
      </c>
      <c r="B1544" s="27">
        <v>67793</v>
      </c>
      <c r="C1544" s="25" t="str">
        <f t="shared" si="123"/>
        <v>0000000</v>
      </c>
      <c r="D1544" s="26" t="s">
        <v>3663</v>
      </c>
      <c r="E1544" s="25" t="s">
        <v>1962</v>
      </c>
      <c r="F1544" s="25" t="s">
        <v>1909</v>
      </c>
      <c r="G1544" s="59" t="s">
        <v>1963</v>
      </c>
      <c r="H1544" s="60">
        <v>87.96</v>
      </c>
      <c r="I1544" s="60">
        <v>75.790000000000006</v>
      </c>
      <c r="J1544" s="60">
        <v>101.88</v>
      </c>
      <c r="K1544" s="60">
        <v>0</v>
      </c>
      <c r="L1544" s="60">
        <v>0</v>
      </c>
      <c r="M1544" s="60">
        <v>0</v>
      </c>
      <c r="N1544" s="60">
        <v>0</v>
      </c>
      <c r="O1544" s="60">
        <v>0</v>
      </c>
      <c r="P1544" s="60">
        <v>0</v>
      </c>
      <c r="Q1544" s="60">
        <v>0</v>
      </c>
      <c r="R1544" s="60">
        <v>0</v>
      </c>
      <c r="S1544" s="60">
        <v>0</v>
      </c>
      <c r="T1544" s="60">
        <v>0</v>
      </c>
      <c r="U1544" s="60">
        <v>0</v>
      </c>
      <c r="V1544" s="60">
        <v>0</v>
      </c>
      <c r="W1544" s="60">
        <v>0</v>
      </c>
      <c r="X1544" s="60">
        <v>0</v>
      </c>
      <c r="Y1544" s="60">
        <v>0</v>
      </c>
      <c r="Z1544" s="60">
        <v>0</v>
      </c>
      <c r="AA1544" s="60">
        <v>0</v>
      </c>
      <c r="AB1544" s="60">
        <v>0</v>
      </c>
      <c r="AC1544" s="60">
        <v>0</v>
      </c>
      <c r="AD1544" s="60">
        <v>0</v>
      </c>
      <c r="AE1544" s="60">
        <v>0</v>
      </c>
      <c r="AF1544" s="60">
        <v>0</v>
      </c>
      <c r="AG1544" s="60">
        <v>0</v>
      </c>
      <c r="AH1544" s="60">
        <v>0</v>
      </c>
      <c r="AI1544" s="60">
        <v>87.96</v>
      </c>
      <c r="AJ1544" s="60">
        <v>75.790000000000006</v>
      </c>
      <c r="AK1544" s="60">
        <v>101.88</v>
      </c>
      <c r="AL1544" s="60">
        <v>0</v>
      </c>
      <c r="AM1544" s="60">
        <v>0</v>
      </c>
      <c r="AN1544" s="60">
        <v>0</v>
      </c>
      <c r="AO1544" s="60">
        <v>87.96</v>
      </c>
      <c r="AP1544" s="60">
        <v>75.790000000000006</v>
      </c>
      <c r="AQ1544" s="60">
        <v>101.88</v>
      </c>
      <c r="AR1544" s="61">
        <v>101.88</v>
      </c>
    </row>
    <row r="1545" spans="1:44" x14ac:dyDescent="0.35">
      <c r="A1545" s="49" t="str">
        <f t="shared" si="124"/>
        <v>36</v>
      </c>
      <c r="B1545" s="27">
        <v>67819</v>
      </c>
      <c r="C1545" s="25" t="str">
        <f t="shared" si="123"/>
        <v>0000000</v>
      </c>
      <c r="D1545" s="26" t="s">
        <v>3663</v>
      </c>
      <c r="E1545" s="25" t="s">
        <v>1966</v>
      </c>
      <c r="F1545" s="25" t="s">
        <v>1967</v>
      </c>
      <c r="G1545" s="59" t="s">
        <v>1967</v>
      </c>
      <c r="H1545" s="60">
        <v>17266.34</v>
      </c>
      <c r="I1545" s="60">
        <v>17669.11</v>
      </c>
      <c r="J1545" s="60">
        <v>19389.84</v>
      </c>
      <c r="K1545" s="60">
        <v>0</v>
      </c>
      <c r="L1545" s="60">
        <v>0</v>
      </c>
      <c r="M1545" s="60">
        <v>0</v>
      </c>
      <c r="N1545" s="60">
        <v>0</v>
      </c>
      <c r="O1545" s="60">
        <v>0</v>
      </c>
      <c r="P1545" s="60">
        <v>0</v>
      </c>
      <c r="Q1545" s="60">
        <v>0</v>
      </c>
      <c r="R1545" s="60">
        <v>0</v>
      </c>
      <c r="S1545" s="60">
        <v>0</v>
      </c>
      <c r="T1545" s="60">
        <v>0</v>
      </c>
      <c r="U1545" s="60">
        <v>0</v>
      </c>
      <c r="V1545" s="60">
        <v>0</v>
      </c>
      <c r="W1545" s="60">
        <v>0</v>
      </c>
      <c r="X1545" s="60">
        <v>0</v>
      </c>
      <c r="Y1545" s="60">
        <v>0</v>
      </c>
      <c r="Z1545" s="60">
        <v>0</v>
      </c>
      <c r="AA1545" s="60">
        <v>0</v>
      </c>
      <c r="AB1545" s="60">
        <v>0</v>
      </c>
      <c r="AC1545" s="60">
        <v>0</v>
      </c>
      <c r="AD1545" s="60">
        <v>0</v>
      </c>
      <c r="AE1545" s="60">
        <v>0</v>
      </c>
      <c r="AF1545" s="60">
        <v>0</v>
      </c>
      <c r="AG1545" s="60">
        <v>0</v>
      </c>
      <c r="AH1545" s="60">
        <v>0</v>
      </c>
      <c r="AI1545" s="60">
        <v>17266.34</v>
      </c>
      <c r="AJ1545" s="60">
        <v>17669.11</v>
      </c>
      <c r="AK1545" s="60">
        <v>19389.84</v>
      </c>
      <c r="AL1545" s="60">
        <v>0</v>
      </c>
      <c r="AM1545" s="60">
        <v>0</v>
      </c>
      <c r="AN1545" s="60">
        <v>0</v>
      </c>
      <c r="AO1545" s="60">
        <v>17266.34</v>
      </c>
      <c r="AP1545" s="60">
        <v>17669.11</v>
      </c>
      <c r="AQ1545" s="60">
        <v>19389.84</v>
      </c>
      <c r="AR1545" s="61">
        <v>19389.84</v>
      </c>
    </row>
    <row r="1546" spans="1:44" x14ac:dyDescent="0.35">
      <c r="A1546" s="49" t="str">
        <f t="shared" si="124"/>
        <v>36</v>
      </c>
      <c r="B1546" s="27">
        <v>67876</v>
      </c>
      <c r="C1546" s="25" t="str">
        <f t="shared" si="123"/>
        <v>0000000</v>
      </c>
      <c r="D1546" s="26" t="s">
        <v>3663</v>
      </c>
      <c r="E1546" s="25" t="s">
        <v>1976</v>
      </c>
      <c r="F1546" s="25" t="s">
        <v>1977</v>
      </c>
      <c r="G1546" s="59" t="s">
        <v>1977</v>
      </c>
      <c r="H1546" s="60">
        <v>41323.550000000003</v>
      </c>
      <c r="I1546" s="60">
        <v>39989.919999999998</v>
      </c>
      <c r="J1546" s="60">
        <v>45871.97</v>
      </c>
      <c r="K1546" s="60">
        <v>0</v>
      </c>
      <c r="L1546" s="60">
        <v>0</v>
      </c>
      <c r="M1546" s="60">
        <v>0</v>
      </c>
      <c r="N1546" s="60">
        <v>0</v>
      </c>
      <c r="O1546" s="60">
        <v>0</v>
      </c>
      <c r="P1546" s="60">
        <v>0</v>
      </c>
      <c r="Q1546" s="60">
        <v>0</v>
      </c>
      <c r="R1546" s="60">
        <v>0</v>
      </c>
      <c r="S1546" s="60">
        <v>0</v>
      </c>
      <c r="T1546" s="60">
        <v>0</v>
      </c>
      <c r="U1546" s="60">
        <v>0</v>
      </c>
      <c r="V1546" s="60">
        <v>0</v>
      </c>
      <c r="W1546" s="60">
        <v>0</v>
      </c>
      <c r="X1546" s="60">
        <v>0</v>
      </c>
      <c r="Y1546" s="60">
        <v>0</v>
      </c>
      <c r="Z1546" s="60">
        <v>0</v>
      </c>
      <c r="AA1546" s="60">
        <v>0</v>
      </c>
      <c r="AB1546" s="60">
        <v>0</v>
      </c>
      <c r="AC1546" s="60">
        <v>2014.48</v>
      </c>
      <c r="AD1546" s="60">
        <v>2701.52</v>
      </c>
      <c r="AE1546" s="60">
        <v>3121.88</v>
      </c>
      <c r="AF1546" s="60">
        <v>0</v>
      </c>
      <c r="AG1546" s="60">
        <v>0</v>
      </c>
      <c r="AH1546" s="60">
        <v>0</v>
      </c>
      <c r="AI1546" s="60">
        <v>43338.03</v>
      </c>
      <c r="AJ1546" s="60">
        <v>42691.44</v>
      </c>
      <c r="AK1546" s="60">
        <v>48993.85</v>
      </c>
      <c r="AL1546" s="60">
        <v>0</v>
      </c>
      <c r="AM1546" s="60">
        <v>-581.61</v>
      </c>
      <c r="AN1546" s="60">
        <v>-723.7</v>
      </c>
      <c r="AO1546" s="60">
        <v>43338.03</v>
      </c>
      <c r="AP1546" s="60">
        <v>42109.83</v>
      </c>
      <c r="AQ1546" s="60">
        <v>48270.15</v>
      </c>
      <c r="AR1546" s="61">
        <v>48270.15</v>
      </c>
    </row>
    <row r="1547" spans="1:44" x14ac:dyDescent="0.35">
      <c r="A1547" s="49" t="str">
        <f t="shared" si="124"/>
        <v>36</v>
      </c>
      <c r="B1547" s="27">
        <v>67876</v>
      </c>
      <c r="C1547" s="25" t="str">
        <f>TEXT(109850,"0000000")</f>
        <v>0109850</v>
      </c>
      <c r="D1547" s="26" t="s">
        <v>1983</v>
      </c>
      <c r="E1547" s="25" t="s">
        <v>1981</v>
      </c>
      <c r="F1547" s="25" t="s">
        <v>1977</v>
      </c>
      <c r="G1547" s="59" t="s">
        <v>1982</v>
      </c>
      <c r="H1547" s="60">
        <v>0</v>
      </c>
      <c r="I1547" s="60">
        <v>0</v>
      </c>
      <c r="J1547" s="60">
        <v>0</v>
      </c>
      <c r="K1547" s="60">
        <v>0</v>
      </c>
      <c r="L1547" s="60">
        <v>0</v>
      </c>
      <c r="M1547" s="60">
        <v>0</v>
      </c>
      <c r="N1547" s="60">
        <v>0</v>
      </c>
      <c r="O1547" s="60">
        <v>0</v>
      </c>
      <c r="P1547" s="60">
        <v>0</v>
      </c>
      <c r="Q1547" s="60">
        <v>0</v>
      </c>
      <c r="R1547" s="60">
        <v>0</v>
      </c>
      <c r="S1547" s="60">
        <v>0</v>
      </c>
      <c r="T1547" s="60">
        <v>0</v>
      </c>
      <c r="U1547" s="60">
        <v>0</v>
      </c>
      <c r="V1547" s="60">
        <v>0</v>
      </c>
      <c r="W1547" s="60">
        <v>0</v>
      </c>
      <c r="X1547" s="60">
        <v>0</v>
      </c>
      <c r="Y1547" s="60">
        <v>0</v>
      </c>
      <c r="Z1547" s="60">
        <v>0</v>
      </c>
      <c r="AA1547" s="60">
        <v>0</v>
      </c>
      <c r="AB1547" s="60">
        <v>0</v>
      </c>
      <c r="AC1547" s="60">
        <v>356.67</v>
      </c>
      <c r="AD1547" s="60">
        <v>0</v>
      </c>
      <c r="AE1547" s="60">
        <v>0</v>
      </c>
      <c r="AF1547" s="60">
        <v>0</v>
      </c>
      <c r="AG1547" s="60">
        <v>0</v>
      </c>
      <c r="AH1547" s="60">
        <v>0</v>
      </c>
      <c r="AI1547" s="60">
        <v>356.67</v>
      </c>
      <c r="AJ1547" s="60">
        <v>0</v>
      </c>
      <c r="AK1547" s="60">
        <v>0</v>
      </c>
      <c r="AL1547" s="60">
        <v>0</v>
      </c>
      <c r="AM1547" s="60">
        <v>358.72</v>
      </c>
      <c r="AN1547" s="60">
        <v>397.9</v>
      </c>
      <c r="AO1547" s="60">
        <v>356.67</v>
      </c>
      <c r="AP1547" s="60">
        <v>358.72</v>
      </c>
      <c r="AQ1547" s="60">
        <v>397.9</v>
      </c>
      <c r="AR1547" s="61">
        <v>397.9</v>
      </c>
    </row>
    <row r="1548" spans="1:44" x14ac:dyDescent="0.35">
      <c r="A1548" s="49" t="str">
        <f t="shared" si="124"/>
        <v>36</v>
      </c>
      <c r="B1548" s="27">
        <v>67876</v>
      </c>
      <c r="C1548" s="25" t="str">
        <f>TEXT(3630993,"0000000")</f>
        <v>3630993</v>
      </c>
      <c r="D1548" s="26" t="s">
        <v>1990</v>
      </c>
      <c r="E1548" s="25" t="s">
        <v>1988</v>
      </c>
      <c r="F1548" s="25" t="s">
        <v>1977</v>
      </c>
      <c r="G1548" s="59" t="s">
        <v>1989</v>
      </c>
      <c r="H1548" s="60">
        <v>0</v>
      </c>
      <c r="I1548" s="60">
        <v>0</v>
      </c>
      <c r="J1548" s="60">
        <v>0</v>
      </c>
      <c r="K1548" s="60">
        <v>0</v>
      </c>
      <c r="L1548" s="60">
        <v>0</v>
      </c>
      <c r="M1548" s="60">
        <v>0</v>
      </c>
      <c r="N1548" s="60">
        <v>0</v>
      </c>
      <c r="O1548" s="60">
        <v>0</v>
      </c>
      <c r="P1548" s="60">
        <v>0</v>
      </c>
      <c r="Q1548" s="60">
        <v>0</v>
      </c>
      <c r="R1548" s="60">
        <v>0</v>
      </c>
      <c r="S1548" s="60">
        <v>0</v>
      </c>
      <c r="T1548" s="60">
        <v>0</v>
      </c>
      <c r="U1548" s="60">
        <v>0</v>
      </c>
      <c r="V1548" s="60">
        <v>0</v>
      </c>
      <c r="W1548" s="60">
        <v>0</v>
      </c>
      <c r="X1548" s="60">
        <v>0</v>
      </c>
      <c r="Y1548" s="60">
        <v>0</v>
      </c>
      <c r="Z1548" s="60">
        <v>0</v>
      </c>
      <c r="AA1548" s="60">
        <v>0</v>
      </c>
      <c r="AB1548" s="60">
        <v>0</v>
      </c>
      <c r="AC1548" s="60">
        <v>237.43</v>
      </c>
      <c r="AD1548" s="60">
        <v>0</v>
      </c>
      <c r="AE1548" s="60">
        <v>0</v>
      </c>
      <c r="AF1548" s="60">
        <v>0</v>
      </c>
      <c r="AG1548" s="60">
        <v>0</v>
      </c>
      <c r="AH1548" s="60">
        <v>0</v>
      </c>
      <c r="AI1548" s="60">
        <v>237.43</v>
      </c>
      <c r="AJ1548" s="60">
        <v>0</v>
      </c>
      <c r="AK1548" s="60">
        <v>0</v>
      </c>
      <c r="AL1548" s="60">
        <v>0</v>
      </c>
      <c r="AM1548" s="60">
        <v>222.89</v>
      </c>
      <c r="AN1548" s="60">
        <v>325.8</v>
      </c>
      <c r="AO1548" s="60">
        <v>237.43</v>
      </c>
      <c r="AP1548" s="60">
        <v>222.89</v>
      </c>
      <c r="AQ1548" s="60">
        <v>325.8</v>
      </c>
      <c r="AR1548" s="61">
        <v>325.8</v>
      </c>
    </row>
    <row r="1549" spans="1:44" x14ac:dyDescent="0.35">
      <c r="A1549" s="49" t="str">
        <f t="shared" si="124"/>
        <v>36</v>
      </c>
      <c r="B1549" s="27">
        <v>10363</v>
      </c>
      <c r="C1549" s="25" t="str">
        <f t="shared" ref="C1549:C1580" si="125">TEXT(,"0000000")</f>
        <v>0000000</v>
      </c>
      <c r="D1549" s="26" t="s">
        <v>3663</v>
      </c>
      <c r="E1549" s="25" t="s">
        <v>1910</v>
      </c>
      <c r="F1549" s="25" t="s">
        <v>1911</v>
      </c>
      <c r="G1549" s="59" t="s">
        <v>1911</v>
      </c>
      <c r="H1549" s="60">
        <v>0</v>
      </c>
      <c r="I1549" s="60">
        <v>0</v>
      </c>
      <c r="J1549" s="60">
        <v>0</v>
      </c>
      <c r="K1549" s="60">
        <v>0</v>
      </c>
      <c r="L1549" s="60">
        <v>0</v>
      </c>
      <c r="M1549" s="60">
        <v>0</v>
      </c>
      <c r="N1549" s="60">
        <v>0</v>
      </c>
      <c r="O1549" s="60">
        <v>0</v>
      </c>
      <c r="P1549" s="60">
        <v>0</v>
      </c>
      <c r="Q1549" s="60">
        <v>0</v>
      </c>
      <c r="R1549" s="60">
        <v>0</v>
      </c>
      <c r="S1549" s="60">
        <v>0</v>
      </c>
      <c r="T1549" s="60">
        <v>328.57</v>
      </c>
      <c r="U1549" s="60">
        <v>312.77999999999997</v>
      </c>
      <c r="V1549" s="60">
        <v>605.21</v>
      </c>
      <c r="W1549" s="60">
        <v>89.24</v>
      </c>
      <c r="X1549" s="60">
        <v>107.06</v>
      </c>
      <c r="Y1549" s="60">
        <v>170.74</v>
      </c>
      <c r="Z1549" s="60">
        <v>0</v>
      </c>
      <c r="AA1549" s="60">
        <v>0</v>
      </c>
      <c r="AB1549" s="60">
        <v>0</v>
      </c>
      <c r="AC1549" s="60">
        <v>0</v>
      </c>
      <c r="AD1549" s="60">
        <v>0</v>
      </c>
      <c r="AE1549" s="60">
        <v>0</v>
      </c>
      <c r="AF1549" s="60">
        <v>0</v>
      </c>
      <c r="AG1549" s="60">
        <v>0</v>
      </c>
      <c r="AH1549" s="60">
        <v>0</v>
      </c>
      <c r="AI1549" s="60">
        <v>417.81</v>
      </c>
      <c r="AJ1549" s="60">
        <v>419.84</v>
      </c>
      <c r="AK1549" s="60">
        <v>775.95</v>
      </c>
      <c r="AL1549" s="60">
        <v>0</v>
      </c>
      <c r="AM1549" s="60">
        <v>0</v>
      </c>
      <c r="AN1549" s="60">
        <v>0</v>
      </c>
      <c r="AO1549" s="60">
        <v>417.81</v>
      </c>
      <c r="AP1549" s="60">
        <v>419.84</v>
      </c>
      <c r="AQ1549" s="60">
        <v>775.95</v>
      </c>
      <c r="AR1549" s="61">
        <v>775.95</v>
      </c>
    </row>
    <row r="1550" spans="1:44" x14ac:dyDescent="0.35">
      <c r="A1550" s="49" t="str">
        <f t="shared" si="124"/>
        <v>36</v>
      </c>
      <c r="B1550" s="27">
        <v>67686</v>
      </c>
      <c r="C1550" s="25" t="str">
        <f t="shared" si="125"/>
        <v>0000000</v>
      </c>
      <c r="D1550" s="26" t="s">
        <v>3663</v>
      </c>
      <c r="E1550" s="25" t="s">
        <v>1941</v>
      </c>
      <c r="F1550" s="25" t="s">
        <v>1911</v>
      </c>
      <c r="G1550" s="59" t="s">
        <v>1942</v>
      </c>
      <c r="H1550" s="60">
        <v>17515.099999999999</v>
      </c>
      <c r="I1550" s="60">
        <v>17853.09</v>
      </c>
      <c r="J1550" s="60">
        <v>20338.71</v>
      </c>
      <c r="K1550" s="60">
        <v>0</v>
      </c>
      <c r="L1550" s="60">
        <v>0</v>
      </c>
      <c r="M1550" s="60">
        <v>0</v>
      </c>
      <c r="N1550" s="60">
        <v>0</v>
      </c>
      <c r="O1550" s="60">
        <v>0</v>
      </c>
      <c r="P1550" s="60">
        <v>0</v>
      </c>
      <c r="Q1550" s="60">
        <v>0</v>
      </c>
      <c r="R1550" s="60">
        <v>0</v>
      </c>
      <c r="S1550" s="60">
        <v>0</v>
      </c>
      <c r="T1550" s="60">
        <v>0</v>
      </c>
      <c r="U1550" s="60">
        <v>0</v>
      </c>
      <c r="V1550" s="60">
        <v>0</v>
      </c>
      <c r="W1550" s="60">
        <v>0</v>
      </c>
      <c r="X1550" s="60">
        <v>0</v>
      </c>
      <c r="Y1550" s="60">
        <v>0</v>
      </c>
      <c r="Z1550" s="60">
        <v>0</v>
      </c>
      <c r="AA1550" s="60">
        <v>0</v>
      </c>
      <c r="AB1550" s="60">
        <v>0</v>
      </c>
      <c r="AC1550" s="60">
        <v>0</v>
      </c>
      <c r="AD1550" s="60">
        <v>0</v>
      </c>
      <c r="AE1550" s="60">
        <v>0</v>
      </c>
      <c r="AF1550" s="60">
        <v>0</v>
      </c>
      <c r="AG1550" s="60">
        <v>0</v>
      </c>
      <c r="AH1550" s="60">
        <v>0</v>
      </c>
      <c r="AI1550" s="60">
        <v>17515.099999999999</v>
      </c>
      <c r="AJ1550" s="60">
        <v>17853.09</v>
      </c>
      <c r="AK1550" s="60">
        <v>20338.71</v>
      </c>
      <c r="AL1550" s="60">
        <v>0</v>
      </c>
      <c r="AM1550" s="60">
        <v>0</v>
      </c>
      <c r="AN1550" s="60">
        <v>0</v>
      </c>
      <c r="AO1550" s="60">
        <v>17515.099999999999</v>
      </c>
      <c r="AP1550" s="60">
        <v>17853.09</v>
      </c>
      <c r="AQ1550" s="60">
        <v>20338.71</v>
      </c>
      <c r="AR1550" s="61">
        <v>20338.71</v>
      </c>
    </row>
    <row r="1551" spans="1:44" x14ac:dyDescent="0.35">
      <c r="A1551" s="49" t="str">
        <f t="shared" si="124"/>
        <v>36</v>
      </c>
      <c r="B1551" s="27">
        <v>67843</v>
      </c>
      <c r="C1551" s="25" t="str">
        <f t="shared" si="125"/>
        <v>0000000</v>
      </c>
      <c r="D1551" s="26" t="s">
        <v>3663</v>
      </c>
      <c r="E1551" s="25" t="s">
        <v>1970</v>
      </c>
      <c r="F1551" s="25" t="s">
        <v>1911</v>
      </c>
      <c r="G1551" s="59" t="s">
        <v>1971</v>
      </c>
      <c r="H1551" s="60">
        <v>18157.64</v>
      </c>
      <c r="I1551" s="60">
        <v>18348.43</v>
      </c>
      <c r="J1551" s="60">
        <v>19810.32</v>
      </c>
      <c r="K1551" s="60">
        <v>0</v>
      </c>
      <c r="L1551" s="60">
        <v>0</v>
      </c>
      <c r="M1551" s="60">
        <v>0</v>
      </c>
      <c r="N1551" s="60">
        <v>0</v>
      </c>
      <c r="O1551" s="60">
        <v>0</v>
      </c>
      <c r="P1551" s="60">
        <v>0</v>
      </c>
      <c r="Q1551" s="60">
        <v>0</v>
      </c>
      <c r="R1551" s="60">
        <v>0</v>
      </c>
      <c r="S1551" s="60">
        <v>0</v>
      </c>
      <c r="T1551" s="60">
        <v>0</v>
      </c>
      <c r="U1551" s="60">
        <v>0</v>
      </c>
      <c r="V1551" s="60">
        <v>0</v>
      </c>
      <c r="W1551" s="60">
        <v>0</v>
      </c>
      <c r="X1551" s="60">
        <v>0</v>
      </c>
      <c r="Y1551" s="60">
        <v>0</v>
      </c>
      <c r="Z1551" s="60">
        <v>0</v>
      </c>
      <c r="AA1551" s="60">
        <v>0</v>
      </c>
      <c r="AB1551" s="60">
        <v>0</v>
      </c>
      <c r="AC1551" s="60">
        <v>229.64</v>
      </c>
      <c r="AD1551" s="60">
        <v>223.37</v>
      </c>
      <c r="AE1551" s="60">
        <v>229.7</v>
      </c>
      <c r="AF1551" s="60">
        <v>0</v>
      </c>
      <c r="AG1551" s="60">
        <v>0</v>
      </c>
      <c r="AH1551" s="60">
        <v>0</v>
      </c>
      <c r="AI1551" s="60">
        <v>18387.28</v>
      </c>
      <c r="AJ1551" s="60">
        <v>18571.8</v>
      </c>
      <c r="AK1551" s="60">
        <v>20040.02</v>
      </c>
      <c r="AL1551" s="60">
        <v>0</v>
      </c>
      <c r="AM1551" s="60">
        <v>0</v>
      </c>
      <c r="AN1551" s="60">
        <v>0</v>
      </c>
      <c r="AO1551" s="60">
        <v>18387.28</v>
      </c>
      <c r="AP1551" s="60">
        <v>18571.8</v>
      </c>
      <c r="AQ1551" s="60">
        <v>20040.02</v>
      </c>
      <c r="AR1551" s="61">
        <v>20040.02</v>
      </c>
    </row>
    <row r="1552" spans="1:44" x14ac:dyDescent="0.35">
      <c r="A1552" s="49" t="str">
        <f t="shared" si="124"/>
        <v>36</v>
      </c>
      <c r="B1552" s="27">
        <v>67850</v>
      </c>
      <c r="C1552" s="25" t="str">
        <f t="shared" si="125"/>
        <v>0000000</v>
      </c>
      <c r="D1552" s="26" t="s">
        <v>3663</v>
      </c>
      <c r="E1552" s="25" t="s">
        <v>1972</v>
      </c>
      <c r="F1552" s="25" t="s">
        <v>1911</v>
      </c>
      <c r="G1552" s="59" t="s">
        <v>1973</v>
      </c>
      <c r="H1552" s="60">
        <v>21792.02</v>
      </c>
      <c r="I1552" s="60">
        <v>21770.09</v>
      </c>
      <c r="J1552" s="60">
        <v>24043.8</v>
      </c>
      <c r="K1552" s="60">
        <v>0</v>
      </c>
      <c r="L1552" s="60">
        <v>0</v>
      </c>
      <c r="M1552" s="60">
        <v>0</v>
      </c>
      <c r="N1552" s="60">
        <v>0</v>
      </c>
      <c r="O1552" s="60">
        <v>0</v>
      </c>
      <c r="P1552" s="60">
        <v>0</v>
      </c>
      <c r="Q1552" s="60">
        <v>0</v>
      </c>
      <c r="R1552" s="60">
        <v>0</v>
      </c>
      <c r="S1552" s="60">
        <v>0</v>
      </c>
      <c r="T1552" s="60">
        <v>0</v>
      </c>
      <c r="U1552" s="60">
        <v>0</v>
      </c>
      <c r="V1552" s="60">
        <v>0</v>
      </c>
      <c r="W1552" s="60">
        <v>0</v>
      </c>
      <c r="X1552" s="60">
        <v>0</v>
      </c>
      <c r="Y1552" s="60">
        <v>0</v>
      </c>
      <c r="Z1552" s="60">
        <v>0</v>
      </c>
      <c r="AA1552" s="60">
        <v>0</v>
      </c>
      <c r="AB1552" s="60">
        <v>0</v>
      </c>
      <c r="AC1552" s="60">
        <v>0</v>
      </c>
      <c r="AD1552" s="60">
        <v>0</v>
      </c>
      <c r="AE1552" s="60">
        <v>0</v>
      </c>
      <c r="AF1552" s="60">
        <v>0</v>
      </c>
      <c r="AG1552" s="60">
        <v>0</v>
      </c>
      <c r="AH1552" s="60">
        <v>0</v>
      </c>
      <c r="AI1552" s="60">
        <v>21792.02</v>
      </c>
      <c r="AJ1552" s="60">
        <v>21770.09</v>
      </c>
      <c r="AK1552" s="60">
        <v>24043.8</v>
      </c>
      <c r="AL1552" s="60">
        <v>0</v>
      </c>
      <c r="AM1552" s="60">
        <v>0</v>
      </c>
      <c r="AN1552" s="60">
        <v>0</v>
      </c>
      <c r="AO1552" s="60">
        <v>21792.02</v>
      </c>
      <c r="AP1552" s="60">
        <v>21770.09</v>
      </c>
      <c r="AQ1552" s="60">
        <v>24043.8</v>
      </c>
      <c r="AR1552" s="61">
        <v>24043.8</v>
      </c>
    </row>
    <row r="1553" spans="1:44" x14ac:dyDescent="0.35">
      <c r="A1553" s="49" t="str">
        <f t="shared" si="124"/>
        <v>36</v>
      </c>
      <c r="B1553" s="27">
        <v>67868</v>
      </c>
      <c r="C1553" s="25" t="str">
        <f t="shared" si="125"/>
        <v>0000000</v>
      </c>
      <c r="D1553" s="26" t="s">
        <v>3663</v>
      </c>
      <c r="E1553" s="25" t="s">
        <v>1974</v>
      </c>
      <c r="F1553" s="25" t="s">
        <v>1911</v>
      </c>
      <c r="G1553" s="59" t="s">
        <v>1975</v>
      </c>
      <c r="H1553" s="60">
        <v>2546.94</v>
      </c>
      <c r="I1553" s="60">
        <v>2467.62</v>
      </c>
      <c r="J1553" s="60">
        <v>2916.56</v>
      </c>
      <c r="K1553" s="60">
        <v>0</v>
      </c>
      <c r="L1553" s="60">
        <v>0</v>
      </c>
      <c r="M1553" s="60">
        <v>0</v>
      </c>
      <c r="N1553" s="60">
        <v>0</v>
      </c>
      <c r="O1553" s="60">
        <v>0</v>
      </c>
      <c r="P1553" s="60">
        <v>0</v>
      </c>
      <c r="Q1553" s="60">
        <v>0</v>
      </c>
      <c r="R1553" s="60">
        <v>0</v>
      </c>
      <c r="S1553" s="60">
        <v>0</v>
      </c>
      <c r="T1553" s="60">
        <v>0</v>
      </c>
      <c r="U1553" s="60">
        <v>0</v>
      </c>
      <c r="V1553" s="60">
        <v>0</v>
      </c>
      <c r="W1553" s="60">
        <v>0</v>
      </c>
      <c r="X1553" s="60">
        <v>0</v>
      </c>
      <c r="Y1553" s="60">
        <v>0</v>
      </c>
      <c r="Z1553" s="60">
        <v>0</v>
      </c>
      <c r="AA1553" s="60">
        <v>0</v>
      </c>
      <c r="AB1553" s="60">
        <v>0</v>
      </c>
      <c r="AC1553" s="60">
        <v>0</v>
      </c>
      <c r="AD1553" s="60">
        <v>0</v>
      </c>
      <c r="AE1553" s="60">
        <v>0</v>
      </c>
      <c r="AF1553" s="60">
        <v>0</v>
      </c>
      <c r="AG1553" s="60">
        <v>0</v>
      </c>
      <c r="AH1553" s="60">
        <v>0</v>
      </c>
      <c r="AI1553" s="60">
        <v>2546.94</v>
      </c>
      <c r="AJ1553" s="60">
        <v>2467.62</v>
      </c>
      <c r="AK1553" s="60">
        <v>2916.56</v>
      </c>
      <c r="AL1553" s="60">
        <v>0</v>
      </c>
      <c r="AM1553" s="60">
        <v>0</v>
      </c>
      <c r="AN1553" s="60">
        <v>0</v>
      </c>
      <c r="AO1553" s="60">
        <v>2546.94</v>
      </c>
      <c r="AP1553" s="60">
        <v>2467.62</v>
      </c>
      <c r="AQ1553" s="60">
        <v>2916.56</v>
      </c>
      <c r="AR1553" s="61">
        <v>2916.56</v>
      </c>
    </row>
    <row r="1554" spans="1:44" x14ac:dyDescent="0.35">
      <c r="A1554" s="49" t="str">
        <f t="shared" si="124"/>
        <v>36</v>
      </c>
      <c r="B1554" s="27">
        <v>67959</v>
      </c>
      <c r="C1554" s="25" t="str">
        <f t="shared" si="125"/>
        <v>0000000</v>
      </c>
      <c r="D1554" s="26" t="s">
        <v>3663</v>
      </c>
      <c r="E1554" s="25" t="s">
        <v>1997</v>
      </c>
      <c r="F1554" s="25" t="s">
        <v>1911</v>
      </c>
      <c r="G1554" s="59" t="s">
        <v>1998</v>
      </c>
      <c r="H1554" s="60">
        <v>7092.02</v>
      </c>
      <c r="I1554" s="60">
        <v>7212.62</v>
      </c>
      <c r="J1554" s="60">
        <v>7732.42</v>
      </c>
      <c r="K1554" s="60">
        <v>0</v>
      </c>
      <c r="L1554" s="60">
        <v>0</v>
      </c>
      <c r="M1554" s="60">
        <v>0</v>
      </c>
      <c r="N1554" s="60">
        <v>0</v>
      </c>
      <c r="O1554" s="60">
        <v>0</v>
      </c>
      <c r="P1554" s="60">
        <v>0</v>
      </c>
      <c r="Q1554" s="60">
        <v>0</v>
      </c>
      <c r="R1554" s="60">
        <v>0</v>
      </c>
      <c r="S1554" s="60">
        <v>0</v>
      </c>
      <c r="T1554" s="60">
        <v>0</v>
      </c>
      <c r="U1554" s="60">
        <v>0</v>
      </c>
      <c r="V1554" s="60">
        <v>0</v>
      </c>
      <c r="W1554" s="60">
        <v>0</v>
      </c>
      <c r="X1554" s="60">
        <v>0</v>
      </c>
      <c r="Y1554" s="60">
        <v>0</v>
      </c>
      <c r="Z1554" s="60">
        <v>0</v>
      </c>
      <c r="AA1554" s="60">
        <v>0</v>
      </c>
      <c r="AB1554" s="60">
        <v>0</v>
      </c>
      <c r="AC1554" s="60">
        <v>645.05999999999995</v>
      </c>
      <c r="AD1554" s="60">
        <v>628.91999999999996</v>
      </c>
      <c r="AE1554" s="60">
        <v>649.09</v>
      </c>
      <c r="AF1554" s="60">
        <v>0</v>
      </c>
      <c r="AG1554" s="60">
        <v>0</v>
      </c>
      <c r="AH1554" s="60">
        <v>0</v>
      </c>
      <c r="AI1554" s="60">
        <v>7737.08</v>
      </c>
      <c r="AJ1554" s="60">
        <v>7841.54</v>
      </c>
      <c r="AK1554" s="60">
        <v>8381.51</v>
      </c>
      <c r="AL1554" s="60">
        <v>0</v>
      </c>
      <c r="AM1554" s="60">
        <v>0</v>
      </c>
      <c r="AN1554" s="60">
        <v>0</v>
      </c>
      <c r="AO1554" s="60">
        <v>7737.08</v>
      </c>
      <c r="AP1554" s="60">
        <v>7841.54</v>
      </c>
      <c r="AQ1554" s="60">
        <v>8381.51</v>
      </c>
      <c r="AR1554" s="61">
        <v>8381.51</v>
      </c>
    </row>
    <row r="1555" spans="1:44" x14ac:dyDescent="0.35">
      <c r="A1555" s="49" t="str">
        <f t="shared" ref="A1555:A1566" si="126">TEXT(55,"00")</f>
        <v>55</v>
      </c>
      <c r="B1555" s="27">
        <v>10553</v>
      </c>
      <c r="C1555" s="25" t="str">
        <f t="shared" si="125"/>
        <v>0000000</v>
      </c>
      <c r="D1555" s="26" t="s">
        <v>3663</v>
      </c>
      <c r="E1555" s="25" t="s">
        <v>3412</v>
      </c>
      <c r="F1555" s="25" t="s">
        <v>3413</v>
      </c>
      <c r="G1555" s="59" t="s">
        <v>3413</v>
      </c>
      <c r="H1555" s="60">
        <v>0</v>
      </c>
      <c r="I1555" s="60">
        <v>0</v>
      </c>
      <c r="J1555" s="60">
        <v>0</v>
      </c>
      <c r="K1555" s="60">
        <v>0</v>
      </c>
      <c r="L1555" s="60">
        <v>0</v>
      </c>
      <c r="M1555" s="60">
        <v>0</v>
      </c>
      <c r="N1555" s="60">
        <v>0</v>
      </c>
      <c r="O1555" s="60">
        <v>0</v>
      </c>
      <c r="P1555" s="60">
        <v>0</v>
      </c>
      <c r="Q1555" s="60">
        <v>0</v>
      </c>
      <c r="R1555" s="60">
        <v>0</v>
      </c>
      <c r="S1555" s="60">
        <v>0</v>
      </c>
      <c r="T1555" s="60">
        <v>15.21</v>
      </c>
      <c r="U1555" s="60">
        <v>20.41</v>
      </c>
      <c r="V1555" s="60">
        <v>21.68</v>
      </c>
      <c r="W1555" s="60">
        <v>69.290000000000006</v>
      </c>
      <c r="X1555" s="60">
        <v>82.89</v>
      </c>
      <c r="Y1555" s="60">
        <v>79.28</v>
      </c>
      <c r="Z1555" s="60">
        <v>0</v>
      </c>
      <c r="AA1555" s="60">
        <v>0</v>
      </c>
      <c r="AB1555" s="60">
        <v>0</v>
      </c>
      <c r="AC1555" s="60">
        <v>0</v>
      </c>
      <c r="AD1555" s="60">
        <v>0</v>
      </c>
      <c r="AE1555" s="60">
        <v>0</v>
      </c>
      <c r="AF1555" s="60">
        <v>0</v>
      </c>
      <c r="AG1555" s="60">
        <v>0</v>
      </c>
      <c r="AH1555" s="60">
        <v>0</v>
      </c>
      <c r="AI1555" s="60">
        <v>84.5</v>
      </c>
      <c r="AJ1555" s="60">
        <v>103.3</v>
      </c>
      <c r="AK1555" s="60">
        <v>100.96</v>
      </c>
      <c r="AL1555" s="60">
        <v>0</v>
      </c>
      <c r="AM1555" s="60">
        <v>0</v>
      </c>
      <c r="AN1555" s="60">
        <v>0</v>
      </c>
      <c r="AO1555" s="60">
        <v>84.5</v>
      </c>
      <c r="AP1555" s="60">
        <v>103.3</v>
      </c>
      <c r="AQ1555" s="60">
        <v>100.96</v>
      </c>
      <c r="AR1555" s="61">
        <v>103.3</v>
      </c>
    </row>
    <row r="1556" spans="1:44" x14ac:dyDescent="0.35">
      <c r="A1556" s="49" t="str">
        <f t="shared" si="126"/>
        <v>55</v>
      </c>
      <c r="B1556" s="27">
        <v>72306</v>
      </c>
      <c r="C1556" s="25" t="str">
        <f t="shared" si="125"/>
        <v>0000000</v>
      </c>
      <c r="D1556" s="26" t="s">
        <v>3663</v>
      </c>
      <c r="E1556" s="25" t="s">
        <v>3414</v>
      </c>
      <c r="F1556" s="25" t="s">
        <v>3413</v>
      </c>
      <c r="G1556" s="59" t="s">
        <v>3415</v>
      </c>
      <c r="H1556" s="60">
        <v>158.41</v>
      </c>
      <c r="I1556" s="60">
        <v>155.93</v>
      </c>
      <c r="J1556" s="60">
        <v>169</v>
      </c>
      <c r="K1556" s="60">
        <v>0</v>
      </c>
      <c r="L1556" s="60">
        <v>0</v>
      </c>
      <c r="M1556" s="60">
        <v>0</v>
      </c>
      <c r="N1556" s="60">
        <v>0</v>
      </c>
      <c r="O1556" s="60">
        <v>0</v>
      </c>
      <c r="P1556" s="60">
        <v>0</v>
      </c>
      <c r="Q1556" s="60">
        <v>0</v>
      </c>
      <c r="R1556" s="60">
        <v>0</v>
      </c>
      <c r="S1556" s="60">
        <v>0</v>
      </c>
      <c r="T1556" s="60">
        <v>0</v>
      </c>
      <c r="U1556" s="60">
        <v>0</v>
      </c>
      <c r="V1556" s="60">
        <v>0</v>
      </c>
      <c r="W1556" s="60">
        <v>0</v>
      </c>
      <c r="X1556" s="60">
        <v>0</v>
      </c>
      <c r="Y1556" s="60">
        <v>0</v>
      </c>
      <c r="Z1556" s="60">
        <v>0</v>
      </c>
      <c r="AA1556" s="60">
        <v>0</v>
      </c>
      <c r="AB1556" s="60">
        <v>0</v>
      </c>
      <c r="AC1556" s="60">
        <v>0</v>
      </c>
      <c r="AD1556" s="60">
        <v>0</v>
      </c>
      <c r="AE1556" s="60">
        <v>0</v>
      </c>
      <c r="AF1556" s="60">
        <v>0</v>
      </c>
      <c r="AG1556" s="60">
        <v>0</v>
      </c>
      <c r="AH1556" s="60">
        <v>0</v>
      </c>
      <c r="AI1556" s="60">
        <v>158.41</v>
      </c>
      <c r="AJ1556" s="60">
        <v>155.93</v>
      </c>
      <c r="AK1556" s="60">
        <v>169</v>
      </c>
      <c r="AL1556" s="60">
        <v>0</v>
      </c>
      <c r="AM1556" s="60">
        <v>0</v>
      </c>
      <c r="AN1556" s="60">
        <v>0</v>
      </c>
      <c r="AO1556" s="60">
        <v>158.41</v>
      </c>
      <c r="AP1556" s="60">
        <v>155.93</v>
      </c>
      <c r="AQ1556" s="60">
        <v>169</v>
      </c>
      <c r="AR1556" s="61">
        <v>169</v>
      </c>
    </row>
    <row r="1557" spans="1:44" x14ac:dyDescent="0.35">
      <c r="A1557" s="49" t="str">
        <f t="shared" si="126"/>
        <v>55</v>
      </c>
      <c r="B1557" s="27">
        <v>72348</v>
      </c>
      <c r="C1557" s="25" t="str">
        <f t="shared" si="125"/>
        <v>0000000</v>
      </c>
      <c r="D1557" s="26" t="s">
        <v>3663</v>
      </c>
      <c r="E1557" s="25" t="s">
        <v>3416</v>
      </c>
      <c r="F1557" s="25" t="s">
        <v>3413</v>
      </c>
      <c r="G1557" s="59" t="s">
        <v>3417</v>
      </c>
      <c r="H1557" s="60">
        <v>396.33</v>
      </c>
      <c r="I1557" s="60">
        <v>387.14</v>
      </c>
      <c r="J1557" s="60">
        <v>442</v>
      </c>
      <c r="K1557" s="60">
        <v>0</v>
      </c>
      <c r="L1557" s="60">
        <v>0</v>
      </c>
      <c r="M1557" s="60">
        <v>0</v>
      </c>
      <c r="N1557" s="60">
        <v>0</v>
      </c>
      <c r="O1557" s="60">
        <v>0</v>
      </c>
      <c r="P1557" s="60">
        <v>0</v>
      </c>
      <c r="Q1557" s="60">
        <v>0</v>
      </c>
      <c r="R1557" s="60">
        <v>0</v>
      </c>
      <c r="S1557" s="60">
        <v>0</v>
      </c>
      <c r="T1557" s="60">
        <v>0</v>
      </c>
      <c r="U1557" s="60">
        <v>0</v>
      </c>
      <c r="V1557" s="60">
        <v>0</v>
      </c>
      <c r="W1557" s="60">
        <v>0</v>
      </c>
      <c r="X1557" s="60">
        <v>0</v>
      </c>
      <c r="Y1557" s="60">
        <v>0</v>
      </c>
      <c r="Z1557" s="60">
        <v>0</v>
      </c>
      <c r="AA1557" s="60">
        <v>0</v>
      </c>
      <c r="AB1557" s="60">
        <v>0</v>
      </c>
      <c r="AC1557" s="60">
        <v>0</v>
      </c>
      <c r="AD1557" s="60">
        <v>0</v>
      </c>
      <c r="AE1557" s="60">
        <v>0</v>
      </c>
      <c r="AF1557" s="60">
        <v>0</v>
      </c>
      <c r="AG1557" s="60">
        <v>0</v>
      </c>
      <c r="AH1557" s="60">
        <v>0</v>
      </c>
      <c r="AI1557" s="60">
        <v>396.33</v>
      </c>
      <c r="AJ1557" s="60">
        <v>387.14</v>
      </c>
      <c r="AK1557" s="60">
        <v>442</v>
      </c>
      <c r="AL1557" s="60">
        <v>0</v>
      </c>
      <c r="AM1557" s="60">
        <v>0</v>
      </c>
      <c r="AN1557" s="60">
        <v>0</v>
      </c>
      <c r="AO1557" s="60">
        <v>396.33</v>
      </c>
      <c r="AP1557" s="60">
        <v>387.14</v>
      </c>
      <c r="AQ1557" s="60">
        <v>442</v>
      </c>
      <c r="AR1557" s="61">
        <v>442</v>
      </c>
    </row>
    <row r="1558" spans="1:44" x14ac:dyDescent="0.35">
      <c r="A1558" s="49" t="str">
        <f t="shared" si="126"/>
        <v>55</v>
      </c>
      <c r="B1558" s="27">
        <v>72355</v>
      </c>
      <c r="C1558" s="25" t="str">
        <f t="shared" si="125"/>
        <v>0000000</v>
      </c>
      <c r="D1558" s="26" t="s">
        <v>3663</v>
      </c>
      <c r="E1558" s="25" t="s">
        <v>3418</v>
      </c>
      <c r="F1558" s="25" t="s">
        <v>3413</v>
      </c>
      <c r="G1558" s="59" t="s">
        <v>3419</v>
      </c>
      <c r="H1558" s="60">
        <v>400.44</v>
      </c>
      <c r="I1558" s="60">
        <v>413.99</v>
      </c>
      <c r="J1558" s="60">
        <v>470.01</v>
      </c>
      <c r="K1558" s="60">
        <v>0</v>
      </c>
      <c r="L1558" s="60">
        <v>0</v>
      </c>
      <c r="M1558" s="60">
        <v>0</v>
      </c>
      <c r="N1558" s="60">
        <v>0</v>
      </c>
      <c r="O1558" s="60">
        <v>0</v>
      </c>
      <c r="P1558" s="60">
        <v>0</v>
      </c>
      <c r="Q1558" s="60">
        <v>0</v>
      </c>
      <c r="R1558" s="60">
        <v>0</v>
      </c>
      <c r="S1558" s="60">
        <v>0</v>
      </c>
      <c r="T1558" s="60">
        <v>0</v>
      </c>
      <c r="U1558" s="60">
        <v>0</v>
      </c>
      <c r="V1558" s="60">
        <v>0</v>
      </c>
      <c r="W1558" s="60">
        <v>0</v>
      </c>
      <c r="X1558" s="60">
        <v>0</v>
      </c>
      <c r="Y1558" s="60">
        <v>0</v>
      </c>
      <c r="Z1558" s="60">
        <v>0</v>
      </c>
      <c r="AA1558" s="60">
        <v>0</v>
      </c>
      <c r="AB1558" s="60">
        <v>0</v>
      </c>
      <c r="AC1558" s="60">
        <v>0</v>
      </c>
      <c r="AD1558" s="60">
        <v>0</v>
      </c>
      <c r="AE1558" s="60">
        <v>0</v>
      </c>
      <c r="AF1558" s="60">
        <v>0</v>
      </c>
      <c r="AG1558" s="60">
        <v>0</v>
      </c>
      <c r="AH1558" s="60">
        <v>0</v>
      </c>
      <c r="AI1558" s="60">
        <v>400.44</v>
      </c>
      <c r="AJ1558" s="60">
        <v>413.99</v>
      </c>
      <c r="AK1558" s="60">
        <v>470.01</v>
      </c>
      <c r="AL1558" s="60">
        <v>0</v>
      </c>
      <c r="AM1558" s="60">
        <v>0</v>
      </c>
      <c r="AN1558" s="60">
        <v>0</v>
      </c>
      <c r="AO1558" s="60">
        <v>400.44</v>
      </c>
      <c r="AP1558" s="60">
        <v>413.99</v>
      </c>
      <c r="AQ1558" s="60">
        <v>470.01</v>
      </c>
      <c r="AR1558" s="61">
        <v>470.01</v>
      </c>
    </row>
    <row r="1559" spans="1:44" x14ac:dyDescent="0.35">
      <c r="A1559" s="49" t="str">
        <f t="shared" si="126"/>
        <v>55</v>
      </c>
      <c r="B1559" s="27">
        <v>72363</v>
      </c>
      <c r="C1559" s="25" t="str">
        <f t="shared" si="125"/>
        <v>0000000</v>
      </c>
      <c r="D1559" s="26" t="s">
        <v>3663</v>
      </c>
      <c r="E1559" s="25" t="s">
        <v>3420</v>
      </c>
      <c r="F1559" s="25" t="s">
        <v>3413</v>
      </c>
      <c r="G1559" s="59" t="s">
        <v>3421</v>
      </c>
      <c r="H1559" s="60">
        <v>345.95</v>
      </c>
      <c r="I1559" s="60">
        <v>314.48</v>
      </c>
      <c r="J1559" s="60">
        <v>358.56</v>
      </c>
      <c r="K1559" s="60">
        <v>0</v>
      </c>
      <c r="L1559" s="60">
        <v>0</v>
      </c>
      <c r="M1559" s="60">
        <v>0</v>
      </c>
      <c r="N1559" s="60">
        <v>0</v>
      </c>
      <c r="O1559" s="60">
        <v>0</v>
      </c>
      <c r="P1559" s="60">
        <v>0</v>
      </c>
      <c r="Q1559" s="60">
        <v>0</v>
      </c>
      <c r="R1559" s="60">
        <v>0</v>
      </c>
      <c r="S1559" s="60">
        <v>0</v>
      </c>
      <c r="T1559" s="60">
        <v>0</v>
      </c>
      <c r="U1559" s="60">
        <v>0</v>
      </c>
      <c r="V1559" s="60">
        <v>0</v>
      </c>
      <c r="W1559" s="60">
        <v>0</v>
      </c>
      <c r="X1559" s="60">
        <v>0</v>
      </c>
      <c r="Y1559" s="60">
        <v>0</v>
      </c>
      <c r="Z1559" s="60">
        <v>0</v>
      </c>
      <c r="AA1559" s="60">
        <v>0</v>
      </c>
      <c r="AB1559" s="60">
        <v>0</v>
      </c>
      <c r="AC1559" s="60">
        <v>0</v>
      </c>
      <c r="AD1559" s="60">
        <v>0</v>
      </c>
      <c r="AE1559" s="60">
        <v>0</v>
      </c>
      <c r="AF1559" s="60">
        <v>0</v>
      </c>
      <c r="AG1559" s="60">
        <v>0</v>
      </c>
      <c r="AH1559" s="60">
        <v>0</v>
      </c>
      <c r="AI1559" s="60">
        <v>345.95</v>
      </c>
      <c r="AJ1559" s="60">
        <v>314.48</v>
      </c>
      <c r="AK1559" s="60">
        <v>358.56</v>
      </c>
      <c r="AL1559" s="60">
        <v>0</v>
      </c>
      <c r="AM1559" s="60">
        <v>0</v>
      </c>
      <c r="AN1559" s="60">
        <v>0</v>
      </c>
      <c r="AO1559" s="60">
        <v>345.95</v>
      </c>
      <c r="AP1559" s="60">
        <v>314.48</v>
      </c>
      <c r="AQ1559" s="60">
        <v>358.56</v>
      </c>
      <c r="AR1559" s="61">
        <v>358.56</v>
      </c>
    </row>
    <row r="1560" spans="1:44" x14ac:dyDescent="0.35">
      <c r="A1560" s="49" t="str">
        <f t="shared" si="126"/>
        <v>55</v>
      </c>
      <c r="B1560" s="27">
        <v>72371</v>
      </c>
      <c r="C1560" s="25" t="str">
        <f t="shared" si="125"/>
        <v>0000000</v>
      </c>
      <c r="D1560" s="26" t="s">
        <v>3663</v>
      </c>
      <c r="E1560" s="25" t="s">
        <v>3422</v>
      </c>
      <c r="F1560" s="25" t="s">
        <v>3413</v>
      </c>
      <c r="G1560" s="59" t="s">
        <v>3423</v>
      </c>
      <c r="H1560" s="60">
        <v>651.37</v>
      </c>
      <c r="I1560" s="60">
        <v>643.48</v>
      </c>
      <c r="J1560" s="60">
        <v>686.06</v>
      </c>
      <c r="K1560" s="60">
        <v>0</v>
      </c>
      <c r="L1560" s="60">
        <v>0</v>
      </c>
      <c r="M1560" s="60">
        <v>0</v>
      </c>
      <c r="N1560" s="60">
        <v>0</v>
      </c>
      <c r="O1560" s="60">
        <v>0</v>
      </c>
      <c r="P1560" s="60">
        <v>0</v>
      </c>
      <c r="Q1560" s="60">
        <v>0</v>
      </c>
      <c r="R1560" s="60">
        <v>0</v>
      </c>
      <c r="S1560" s="60">
        <v>0</v>
      </c>
      <c r="T1560" s="60">
        <v>0</v>
      </c>
      <c r="U1560" s="60">
        <v>0</v>
      </c>
      <c r="V1560" s="60">
        <v>0</v>
      </c>
      <c r="W1560" s="60">
        <v>0</v>
      </c>
      <c r="X1560" s="60">
        <v>0</v>
      </c>
      <c r="Y1560" s="60">
        <v>0</v>
      </c>
      <c r="Z1560" s="60">
        <v>0</v>
      </c>
      <c r="AA1560" s="60">
        <v>0</v>
      </c>
      <c r="AB1560" s="60">
        <v>0</v>
      </c>
      <c r="AC1560" s="60">
        <v>0</v>
      </c>
      <c r="AD1560" s="60">
        <v>0</v>
      </c>
      <c r="AE1560" s="60">
        <v>0</v>
      </c>
      <c r="AF1560" s="60">
        <v>0</v>
      </c>
      <c r="AG1560" s="60">
        <v>0</v>
      </c>
      <c r="AH1560" s="60">
        <v>0</v>
      </c>
      <c r="AI1560" s="60">
        <v>651.37</v>
      </c>
      <c r="AJ1560" s="60">
        <v>643.48</v>
      </c>
      <c r="AK1560" s="60">
        <v>686.06</v>
      </c>
      <c r="AL1560" s="60">
        <v>0</v>
      </c>
      <c r="AM1560" s="60">
        <v>0</v>
      </c>
      <c r="AN1560" s="60">
        <v>0</v>
      </c>
      <c r="AO1560" s="60">
        <v>651.37</v>
      </c>
      <c r="AP1560" s="60">
        <v>643.48</v>
      </c>
      <c r="AQ1560" s="60">
        <v>686.06</v>
      </c>
      <c r="AR1560" s="61">
        <v>686.06</v>
      </c>
    </row>
    <row r="1561" spans="1:44" x14ac:dyDescent="0.35">
      <c r="A1561" s="49" t="str">
        <f t="shared" si="126"/>
        <v>55</v>
      </c>
      <c r="B1561" s="27">
        <v>72389</v>
      </c>
      <c r="C1561" s="25" t="str">
        <f t="shared" si="125"/>
        <v>0000000</v>
      </c>
      <c r="D1561" s="26" t="s">
        <v>3663</v>
      </c>
      <c r="E1561" s="25" t="s">
        <v>3424</v>
      </c>
      <c r="F1561" s="25" t="s">
        <v>3413</v>
      </c>
      <c r="G1561" s="59" t="s">
        <v>3425</v>
      </c>
      <c r="H1561" s="60">
        <v>947.59</v>
      </c>
      <c r="I1561" s="60">
        <v>892.85</v>
      </c>
      <c r="J1561" s="60">
        <v>950.4</v>
      </c>
      <c r="K1561" s="60">
        <v>0</v>
      </c>
      <c r="L1561" s="60">
        <v>0</v>
      </c>
      <c r="M1561" s="60">
        <v>0</v>
      </c>
      <c r="N1561" s="60">
        <v>0</v>
      </c>
      <c r="O1561" s="60">
        <v>0</v>
      </c>
      <c r="P1561" s="60">
        <v>0</v>
      </c>
      <c r="Q1561" s="60">
        <v>0</v>
      </c>
      <c r="R1561" s="60">
        <v>0</v>
      </c>
      <c r="S1561" s="60">
        <v>0</v>
      </c>
      <c r="T1561" s="60">
        <v>0</v>
      </c>
      <c r="U1561" s="60">
        <v>0</v>
      </c>
      <c r="V1561" s="60">
        <v>0</v>
      </c>
      <c r="W1561" s="60">
        <v>0</v>
      </c>
      <c r="X1561" s="60">
        <v>0</v>
      </c>
      <c r="Y1561" s="60">
        <v>0</v>
      </c>
      <c r="Z1561" s="60">
        <v>0</v>
      </c>
      <c r="AA1561" s="60">
        <v>0</v>
      </c>
      <c r="AB1561" s="60">
        <v>0</v>
      </c>
      <c r="AC1561" s="60">
        <v>0</v>
      </c>
      <c r="AD1561" s="60">
        <v>0</v>
      </c>
      <c r="AE1561" s="60">
        <v>0</v>
      </c>
      <c r="AF1561" s="60">
        <v>0</v>
      </c>
      <c r="AG1561" s="60">
        <v>0</v>
      </c>
      <c r="AH1561" s="60">
        <v>0</v>
      </c>
      <c r="AI1561" s="60">
        <v>947.59</v>
      </c>
      <c r="AJ1561" s="60">
        <v>892.85</v>
      </c>
      <c r="AK1561" s="60">
        <v>950.4</v>
      </c>
      <c r="AL1561" s="60">
        <v>0</v>
      </c>
      <c r="AM1561" s="60">
        <v>0</v>
      </c>
      <c r="AN1561" s="60">
        <v>0</v>
      </c>
      <c r="AO1561" s="60">
        <v>947.59</v>
      </c>
      <c r="AP1561" s="60">
        <v>892.85</v>
      </c>
      <c r="AQ1561" s="60">
        <v>950.4</v>
      </c>
      <c r="AR1561" s="61">
        <v>950.4</v>
      </c>
    </row>
    <row r="1562" spans="1:44" x14ac:dyDescent="0.35">
      <c r="A1562" s="49" t="str">
        <f t="shared" si="126"/>
        <v>55</v>
      </c>
      <c r="B1562" s="27">
        <v>72397</v>
      </c>
      <c r="C1562" s="25" t="str">
        <f t="shared" si="125"/>
        <v>0000000</v>
      </c>
      <c r="D1562" s="26" t="s">
        <v>3663</v>
      </c>
      <c r="E1562" s="25" t="s">
        <v>3426</v>
      </c>
      <c r="F1562" s="25" t="s">
        <v>3413</v>
      </c>
      <c r="G1562" s="59" t="s">
        <v>3427</v>
      </c>
      <c r="H1562" s="60">
        <v>447.6</v>
      </c>
      <c r="I1562" s="60">
        <v>430.1</v>
      </c>
      <c r="J1562" s="60">
        <v>540.94000000000005</v>
      </c>
      <c r="K1562" s="60">
        <v>0</v>
      </c>
      <c r="L1562" s="60">
        <v>0</v>
      </c>
      <c r="M1562" s="60">
        <v>0</v>
      </c>
      <c r="N1562" s="60">
        <v>0</v>
      </c>
      <c r="O1562" s="60">
        <v>0</v>
      </c>
      <c r="P1562" s="60">
        <v>0</v>
      </c>
      <c r="Q1562" s="60">
        <v>0</v>
      </c>
      <c r="R1562" s="60">
        <v>0</v>
      </c>
      <c r="S1562" s="60">
        <v>0</v>
      </c>
      <c r="T1562" s="60">
        <v>0</v>
      </c>
      <c r="U1562" s="60">
        <v>0</v>
      </c>
      <c r="V1562" s="60">
        <v>0</v>
      </c>
      <c r="W1562" s="60">
        <v>0</v>
      </c>
      <c r="X1562" s="60">
        <v>0</v>
      </c>
      <c r="Y1562" s="60">
        <v>0</v>
      </c>
      <c r="Z1562" s="60">
        <v>0</v>
      </c>
      <c r="AA1562" s="60">
        <v>0</v>
      </c>
      <c r="AB1562" s="60">
        <v>0</v>
      </c>
      <c r="AC1562" s="60">
        <v>0</v>
      </c>
      <c r="AD1562" s="60">
        <v>0</v>
      </c>
      <c r="AE1562" s="60">
        <v>0</v>
      </c>
      <c r="AF1562" s="60">
        <v>0</v>
      </c>
      <c r="AG1562" s="60">
        <v>0</v>
      </c>
      <c r="AH1562" s="60">
        <v>0</v>
      </c>
      <c r="AI1562" s="60">
        <v>447.6</v>
      </c>
      <c r="AJ1562" s="60">
        <v>430.1</v>
      </c>
      <c r="AK1562" s="60">
        <v>540.94000000000005</v>
      </c>
      <c r="AL1562" s="60">
        <v>0</v>
      </c>
      <c r="AM1562" s="60">
        <v>0</v>
      </c>
      <c r="AN1562" s="60">
        <v>0</v>
      </c>
      <c r="AO1562" s="60">
        <v>447.6</v>
      </c>
      <c r="AP1562" s="60">
        <v>430.1</v>
      </c>
      <c r="AQ1562" s="60">
        <v>540.94000000000005</v>
      </c>
      <c r="AR1562" s="61">
        <v>540.94000000000005</v>
      </c>
    </row>
    <row r="1563" spans="1:44" x14ac:dyDescent="0.35">
      <c r="A1563" s="49" t="str">
        <f t="shared" si="126"/>
        <v>55</v>
      </c>
      <c r="B1563" s="27">
        <v>72405</v>
      </c>
      <c r="C1563" s="25" t="str">
        <f t="shared" si="125"/>
        <v>0000000</v>
      </c>
      <c r="D1563" s="26" t="s">
        <v>3663</v>
      </c>
      <c r="E1563" s="25" t="s">
        <v>3428</v>
      </c>
      <c r="F1563" s="25" t="s">
        <v>3413</v>
      </c>
      <c r="G1563" s="59" t="s">
        <v>3429</v>
      </c>
      <c r="H1563" s="60">
        <v>378.42</v>
      </c>
      <c r="I1563" s="60">
        <v>360.49</v>
      </c>
      <c r="J1563" s="60">
        <v>383.51</v>
      </c>
      <c r="K1563" s="60">
        <v>0</v>
      </c>
      <c r="L1563" s="60">
        <v>0</v>
      </c>
      <c r="M1563" s="60">
        <v>0</v>
      </c>
      <c r="N1563" s="60">
        <v>0</v>
      </c>
      <c r="O1563" s="60">
        <v>0</v>
      </c>
      <c r="P1563" s="60">
        <v>0</v>
      </c>
      <c r="Q1563" s="60">
        <v>0</v>
      </c>
      <c r="R1563" s="60">
        <v>0</v>
      </c>
      <c r="S1563" s="60">
        <v>0</v>
      </c>
      <c r="T1563" s="60">
        <v>0</v>
      </c>
      <c r="U1563" s="60">
        <v>0</v>
      </c>
      <c r="V1563" s="60">
        <v>0</v>
      </c>
      <c r="W1563" s="60">
        <v>0</v>
      </c>
      <c r="X1563" s="60">
        <v>0</v>
      </c>
      <c r="Y1563" s="60">
        <v>0</v>
      </c>
      <c r="Z1563" s="60">
        <v>0</v>
      </c>
      <c r="AA1563" s="60">
        <v>0</v>
      </c>
      <c r="AB1563" s="60">
        <v>0</v>
      </c>
      <c r="AC1563" s="60">
        <v>0</v>
      </c>
      <c r="AD1563" s="60">
        <v>0</v>
      </c>
      <c r="AE1563" s="60">
        <v>0</v>
      </c>
      <c r="AF1563" s="60">
        <v>0</v>
      </c>
      <c r="AG1563" s="60">
        <v>0</v>
      </c>
      <c r="AH1563" s="60">
        <v>0</v>
      </c>
      <c r="AI1563" s="60">
        <v>378.42</v>
      </c>
      <c r="AJ1563" s="60">
        <v>360.49</v>
      </c>
      <c r="AK1563" s="60">
        <v>383.51</v>
      </c>
      <c r="AL1563" s="60">
        <v>0</v>
      </c>
      <c r="AM1563" s="60">
        <v>0</v>
      </c>
      <c r="AN1563" s="60">
        <v>0</v>
      </c>
      <c r="AO1563" s="60">
        <v>378.42</v>
      </c>
      <c r="AP1563" s="60">
        <v>360.49</v>
      </c>
      <c r="AQ1563" s="60">
        <v>383.51</v>
      </c>
      <c r="AR1563" s="61">
        <v>383.51</v>
      </c>
    </row>
    <row r="1564" spans="1:44" x14ac:dyDescent="0.35">
      <c r="A1564" s="49" t="str">
        <f t="shared" si="126"/>
        <v>55</v>
      </c>
      <c r="B1564" s="27">
        <v>72413</v>
      </c>
      <c r="C1564" s="25" t="str">
        <f t="shared" si="125"/>
        <v>0000000</v>
      </c>
      <c r="D1564" s="26" t="s">
        <v>3663</v>
      </c>
      <c r="E1564" s="25" t="s">
        <v>3430</v>
      </c>
      <c r="F1564" s="25" t="s">
        <v>3413</v>
      </c>
      <c r="G1564" s="59" t="s">
        <v>3431</v>
      </c>
      <c r="H1564" s="60">
        <v>426.49</v>
      </c>
      <c r="I1564" s="60">
        <v>392.01</v>
      </c>
      <c r="J1564" s="60">
        <v>390.1</v>
      </c>
      <c r="K1564" s="60">
        <v>0</v>
      </c>
      <c r="L1564" s="60">
        <v>0</v>
      </c>
      <c r="M1564" s="60">
        <v>0</v>
      </c>
      <c r="N1564" s="60">
        <v>0</v>
      </c>
      <c r="O1564" s="60">
        <v>0</v>
      </c>
      <c r="P1564" s="60">
        <v>0</v>
      </c>
      <c r="Q1564" s="60">
        <v>0</v>
      </c>
      <c r="R1564" s="60">
        <v>0</v>
      </c>
      <c r="S1564" s="60">
        <v>0</v>
      </c>
      <c r="T1564" s="60">
        <v>0</v>
      </c>
      <c r="U1564" s="60">
        <v>0</v>
      </c>
      <c r="V1564" s="60">
        <v>0</v>
      </c>
      <c r="W1564" s="60">
        <v>0</v>
      </c>
      <c r="X1564" s="60">
        <v>0</v>
      </c>
      <c r="Y1564" s="60">
        <v>0</v>
      </c>
      <c r="Z1564" s="60">
        <v>0</v>
      </c>
      <c r="AA1564" s="60">
        <v>0</v>
      </c>
      <c r="AB1564" s="60">
        <v>0</v>
      </c>
      <c r="AC1564" s="60">
        <v>596.73</v>
      </c>
      <c r="AD1564" s="60">
        <v>622.64</v>
      </c>
      <c r="AE1564" s="60">
        <v>672.96</v>
      </c>
      <c r="AF1564" s="60">
        <v>0</v>
      </c>
      <c r="AG1564" s="60">
        <v>0</v>
      </c>
      <c r="AH1564" s="60">
        <v>0</v>
      </c>
      <c r="AI1564" s="60">
        <v>1023.22</v>
      </c>
      <c r="AJ1564" s="60">
        <v>1014.65</v>
      </c>
      <c r="AK1564" s="60">
        <v>1063.06</v>
      </c>
      <c r="AL1564" s="60">
        <v>0</v>
      </c>
      <c r="AM1564" s="60">
        <v>0</v>
      </c>
      <c r="AN1564" s="60">
        <v>0</v>
      </c>
      <c r="AO1564" s="60">
        <v>1023.22</v>
      </c>
      <c r="AP1564" s="60">
        <v>1014.65</v>
      </c>
      <c r="AQ1564" s="60">
        <v>1063.06</v>
      </c>
      <c r="AR1564" s="61">
        <v>1063.06</v>
      </c>
    </row>
    <row r="1565" spans="1:44" x14ac:dyDescent="0.35">
      <c r="A1565" s="49" t="str">
        <f t="shared" si="126"/>
        <v>55</v>
      </c>
      <c r="B1565" s="27">
        <v>72421</v>
      </c>
      <c r="C1565" s="25" t="str">
        <f t="shared" si="125"/>
        <v>0000000</v>
      </c>
      <c r="D1565" s="26" t="s">
        <v>3663</v>
      </c>
      <c r="E1565" s="25" t="s">
        <v>3432</v>
      </c>
      <c r="F1565" s="25" t="s">
        <v>3413</v>
      </c>
      <c r="G1565" s="59" t="s">
        <v>3433</v>
      </c>
      <c r="H1565" s="60">
        <v>234.54</v>
      </c>
      <c r="I1565" s="60">
        <v>221.46</v>
      </c>
      <c r="J1565" s="60">
        <v>259.57</v>
      </c>
      <c r="K1565" s="60">
        <v>0</v>
      </c>
      <c r="L1565" s="60">
        <v>0</v>
      </c>
      <c r="M1565" s="60">
        <v>0</v>
      </c>
      <c r="N1565" s="60">
        <v>0</v>
      </c>
      <c r="O1565" s="60">
        <v>0</v>
      </c>
      <c r="P1565" s="60">
        <v>0</v>
      </c>
      <c r="Q1565" s="60">
        <v>0</v>
      </c>
      <c r="R1565" s="60">
        <v>0</v>
      </c>
      <c r="S1565" s="60">
        <v>0</v>
      </c>
      <c r="T1565" s="60">
        <v>0</v>
      </c>
      <c r="U1565" s="60">
        <v>0</v>
      </c>
      <c r="V1565" s="60">
        <v>0</v>
      </c>
      <c r="W1565" s="60">
        <v>0</v>
      </c>
      <c r="X1565" s="60">
        <v>0</v>
      </c>
      <c r="Y1565" s="60">
        <v>0</v>
      </c>
      <c r="Z1565" s="60">
        <v>0</v>
      </c>
      <c r="AA1565" s="60">
        <v>0</v>
      </c>
      <c r="AB1565" s="60">
        <v>0</v>
      </c>
      <c r="AC1565" s="60">
        <v>0</v>
      </c>
      <c r="AD1565" s="60">
        <v>0</v>
      </c>
      <c r="AE1565" s="60">
        <v>0</v>
      </c>
      <c r="AF1565" s="60">
        <v>0</v>
      </c>
      <c r="AG1565" s="60">
        <v>0</v>
      </c>
      <c r="AH1565" s="60">
        <v>0</v>
      </c>
      <c r="AI1565" s="60">
        <v>234.54</v>
      </c>
      <c r="AJ1565" s="60">
        <v>221.46</v>
      </c>
      <c r="AK1565" s="60">
        <v>259.57</v>
      </c>
      <c r="AL1565" s="60">
        <v>0</v>
      </c>
      <c r="AM1565" s="60">
        <v>0</v>
      </c>
      <c r="AN1565" s="60">
        <v>0</v>
      </c>
      <c r="AO1565" s="60">
        <v>234.54</v>
      </c>
      <c r="AP1565" s="60">
        <v>221.46</v>
      </c>
      <c r="AQ1565" s="60">
        <v>259.57</v>
      </c>
      <c r="AR1565" s="61">
        <v>259.57</v>
      </c>
    </row>
    <row r="1566" spans="1:44" x14ac:dyDescent="0.35">
      <c r="A1566" s="49" t="str">
        <f t="shared" si="126"/>
        <v>55</v>
      </c>
      <c r="B1566" s="27">
        <v>75184</v>
      </c>
      <c r="C1566" s="25" t="str">
        <f t="shared" si="125"/>
        <v>0000000</v>
      </c>
      <c r="D1566" s="26" t="s">
        <v>3663</v>
      </c>
      <c r="E1566" s="25" t="s">
        <v>3434</v>
      </c>
      <c r="F1566" s="25" t="s">
        <v>3413</v>
      </c>
      <c r="G1566" s="59" t="s">
        <v>3435</v>
      </c>
      <c r="H1566" s="60">
        <v>239.28</v>
      </c>
      <c r="I1566" s="60">
        <v>251.21</v>
      </c>
      <c r="J1566" s="60">
        <v>274.57</v>
      </c>
      <c r="K1566" s="60">
        <v>0</v>
      </c>
      <c r="L1566" s="60">
        <v>0</v>
      </c>
      <c r="M1566" s="60">
        <v>0</v>
      </c>
      <c r="N1566" s="60">
        <v>0</v>
      </c>
      <c r="O1566" s="60">
        <v>0</v>
      </c>
      <c r="P1566" s="60">
        <v>0</v>
      </c>
      <c r="Q1566" s="60">
        <v>0</v>
      </c>
      <c r="R1566" s="60">
        <v>0</v>
      </c>
      <c r="S1566" s="60">
        <v>0</v>
      </c>
      <c r="T1566" s="60">
        <v>0</v>
      </c>
      <c r="U1566" s="60">
        <v>0</v>
      </c>
      <c r="V1566" s="60">
        <v>0</v>
      </c>
      <c r="W1566" s="60">
        <v>0</v>
      </c>
      <c r="X1566" s="60">
        <v>0</v>
      </c>
      <c r="Y1566" s="60">
        <v>0</v>
      </c>
      <c r="Z1566" s="60">
        <v>0</v>
      </c>
      <c r="AA1566" s="60">
        <v>0</v>
      </c>
      <c r="AB1566" s="60">
        <v>0</v>
      </c>
      <c r="AC1566" s="60">
        <v>0</v>
      </c>
      <c r="AD1566" s="60">
        <v>0</v>
      </c>
      <c r="AE1566" s="60">
        <v>0</v>
      </c>
      <c r="AF1566" s="60">
        <v>0</v>
      </c>
      <c r="AG1566" s="60">
        <v>0</v>
      </c>
      <c r="AH1566" s="60">
        <v>0</v>
      </c>
      <c r="AI1566" s="60">
        <v>239.28</v>
      </c>
      <c r="AJ1566" s="60">
        <v>251.21</v>
      </c>
      <c r="AK1566" s="60">
        <v>274.57</v>
      </c>
      <c r="AL1566" s="60">
        <v>0</v>
      </c>
      <c r="AM1566" s="60">
        <v>0</v>
      </c>
      <c r="AN1566" s="60">
        <v>0</v>
      </c>
      <c r="AO1566" s="60">
        <v>239.28</v>
      </c>
      <c r="AP1566" s="60">
        <v>251.21</v>
      </c>
      <c r="AQ1566" s="60">
        <v>274.57</v>
      </c>
      <c r="AR1566" s="61">
        <v>274.57</v>
      </c>
    </row>
    <row r="1567" spans="1:44" x14ac:dyDescent="0.35">
      <c r="A1567" s="49" t="str">
        <f t="shared" ref="A1567:A1590" si="127">TEXT(12,"00")</f>
        <v>12</v>
      </c>
      <c r="B1567" s="27">
        <v>10124</v>
      </c>
      <c r="C1567" s="25" t="str">
        <f t="shared" si="125"/>
        <v>0000000</v>
      </c>
      <c r="D1567" s="26" t="s">
        <v>3663</v>
      </c>
      <c r="E1567" s="25" t="s">
        <v>338</v>
      </c>
      <c r="F1567" s="25" t="s">
        <v>339</v>
      </c>
      <c r="G1567" s="59" t="s">
        <v>339</v>
      </c>
      <c r="H1567" s="60">
        <v>0</v>
      </c>
      <c r="I1567" s="60">
        <v>0</v>
      </c>
      <c r="J1567" s="60">
        <v>0</v>
      </c>
      <c r="K1567" s="60">
        <v>0</v>
      </c>
      <c r="L1567" s="60">
        <v>0</v>
      </c>
      <c r="M1567" s="60">
        <v>0</v>
      </c>
      <c r="N1567" s="60">
        <v>0</v>
      </c>
      <c r="O1567" s="60">
        <v>0</v>
      </c>
      <c r="P1567" s="60">
        <v>0</v>
      </c>
      <c r="Q1567" s="60">
        <v>0</v>
      </c>
      <c r="R1567" s="60">
        <v>0</v>
      </c>
      <c r="S1567" s="60">
        <v>0</v>
      </c>
      <c r="T1567" s="60">
        <v>114.49</v>
      </c>
      <c r="U1567" s="60">
        <v>107.32</v>
      </c>
      <c r="V1567" s="60">
        <v>146.93</v>
      </c>
      <c r="W1567" s="60">
        <v>148.78</v>
      </c>
      <c r="X1567" s="60">
        <v>149.38999999999999</v>
      </c>
      <c r="Y1567" s="60">
        <v>133.6</v>
      </c>
      <c r="Z1567" s="60">
        <v>0</v>
      </c>
      <c r="AA1567" s="60">
        <v>0</v>
      </c>
      <c r="AB1567" s="60">
        <v>0</v>
      </c>
      <c r="AC1567" s="60">
        <v>0</v>
      </c>
      <c r="AD1567" s="60">
        <v>0</v>
      </c>
      <c r="AE1567" s="60">
        <v>0</v>
      </c>
      <c r="AF1567" s="60">
        <v>0</v>
      </c>
      <c r="AG1567" s="60">
        <v>0</v>
      </c>
      <c r="AH1567" s="60">
        <v>0</v>
      </c>
      <c r="AI1567" s="60">
        <v>263.27</v>
      </c>
      <c r="AJ1567" s="60">
        <v>256.70999999999998</v>
      </c>
      <c r="AK1567" s="60">
        <v>280.52999999999997</v>
      </c>
      <c r="AL1567" s="60">
        <v>0</v>
      </c>
      <c r="AM1567" s="60">
        <v>0</v>
      </c>
      <c r="AN1567" s="60">
        <v>0</v>
      </c>
      <c r="AO1567" s="60">
        <v>263.27</v>
      </c>
      <c r="AP1567" s="60">
        <v>256.70999999999998</v>
      </c>
      <c r="AQ1567" s="60">
        <v>280.52999999999997</v>
      </c>
      <c r="AR1567" s="61">
        <v>280.52999999999997</v>
      </c>
    </row>
    <row r="1568" spans="1:44" x14ac:dyDescent="0.35">
      <c r="A1568" s="49" t="str">
        <f t="shared" si="127"/>
        <v>12</v>
      </c>
      <c r="B1568" s="27">
        <v>62679</v>
      </c>
      <c r="C1568" s="25" t="str">
        <f t="shared" si="125"/>
        <v>0000000</v>
      </c>
      <c r="D1568" s="26" t="s">
        <v>3663</v>
      </c>
      <c r="E1568" s="25" t="s">
        <v>524</v>
      </c>
      <c r="F1568" s="25" t="s">
        <v>339</v>
      </c>
      <c r="G1568" s="59" t="s">
        <v>525</v>
      </c>
      <c r="H1568" s="60">
        <v>443.87</v>
      </c>
      <c r="I1568" s="60">
        <v>427.05</v>
      </c>
      <c r="J1568" s="60">
        <v>493.76</v>
      </c>
      <c r="K1568" s="60">
        <v>0</v>
      </c>
      <c r="L1568" s="60">
        <v>0</v>
      </c>
      <c r="M1568" s="60">
        <v>0</v>
      </c>
      <c r="N1568" s="60">
        <v>0</v>
      </c>
      <c r="O1568" s="60">
        <v>0</v>
      </c>
      <c r="P1568" s="60">
        <v>0</v>
      </c>
      <c r="Q1568" s="60">
        <v>0</v>
      </c>
      <c r="R1568" s="60">
        <v>0</v>
      </c>
      <c r="S1568" s="60">
        <v>0</v>
      </c>
      <c r="T1568" s="60">
        <v>0</v>
      </c>
      <c r="U1568" s="60">
        <v>0</v>
      </c>
      <c r="V1568" s="60">
        <v>0</v>
      </c>
      <c r="W1568" s="60">
        <v>0</v>
      </c>
      <c r="X1568" s="60">
        <v>0</v>
      </c>
      <c r="Y1568" s="60">
        <v>0</v>
      </c>
      <c r="Z1568" s="60">
        <v>0</v>
      </c>
      <c r="AA1568" s="60">
        <v>0</v>
      </c>
      <c r="AB1568" s="60">
        <v>0</v>
      </c>
      <c r="AC1568" s="60">
        <v>592.59</v>
      </c>
      <c r="AD1568" s="60">
        <v>606.76</v>
      </c>
      <c r="AE1568" s="60">
        <v>611.64</v>
      </c>
      <c r="AF1568" s="60">
        <v>0</v>
      </c>
      <c r="AG1568" s="60">
        <v>0</v>
      </c>
      <c r="AH1568" s="60">
        <v>0</v>
      </c>
      <c r="AI1568" s="60">
        <v>1036.46</v>
      </c>
      <c r="AJ1568" s="60">
        <v>1033.81</v>
      </c>
      <c r="AK1568" s="60">
        <v>1105.4000000000001</v>
      </c>
      <c r="AL1568" s="60">
        <v>0</v>
      </c>
      <c r="AM1568" s="60">
        <v>0</v>
      </c>
      <c r="AN1568" s="60">
        <v>0</v>
      </c>
      <c r="AO1568" s="60">
        <v>1036.46</v>
      </c>
      <c r="AP1568" s="60">
        <v>1033.81</v>
      </c>
      <c r="AQ1568" s="60">
        <v>1105.4000000000001</v>
      </c>
      <c r="AR1568" s="61">
        <v>1105.4000000000001</v>
      </c>
    </row>
    <row r="1569" spans="1:44" x14ac:dyDescent="0.35">
      <c r="A1569" s="49" t="str">
        <f t="shared" si="127"/>
        <v>12</v>
      </c>
      <c r="B1569" s="27">
        <v>62695</v>
      </c>
      <c r="C1569" s="25" t="str">
        <f t="shared" si="125"/>
        <v>0000000</v>
      </c>
      <c r="D1569" s="26" t="s">
        <v>3663</v>
      </c>
      <c r="E1569" s="25" t="s">
        <v>528</v>
      </c>
      <c r="F1569" s="25" t="s">
        <v>339</v>
      </c>
      <c r="G1569" s="59" t="s">
        <v>529</v>
      </c>
      <c r="H1569" s="60">
        <v>13.39</v>
      </c>
      <c r="I1569" s="60">
        <v>15.82</v>
      </c>
      <c r="J1569" s="60">
        <v>21.23</v>
      </c>
      <c r="K1569" s="60">
        <v>0</v>
      </c>
      <c r="L1569" s="60">
        <v>0</v>
      </c>
      <c r="M1569" s="60">
        <v>0</v>
      </c>
      <c r="N1569" s="60">
        <v>0</v>
      </c>
      <c r="O1569" s="60">
        <v>0</v>
      </c>
      <c r="P1569" s="60">
        <v>0</v>
      </c>
      <c r="Q1569" s="60">
        <v>0</v>
      </c>
      <c r="R1569" s="60">
        <v>0</v>
      </c>
      <c r="S1569" s="60">
        <v>0</v>
      </c>
      <c r="T1569" s="60">
        <v>0</v>
      </c>
      <c r="U1569" s="60">
        <v>0</v>
      </c>
      <c r="V1569" s="60">
        <v>0</v>
      </c>
      <c r="W1569" s="60">
        <v>0</v>
      </c>
      <c r="X1569" s="60">
        <v>0</v>
      </c>
      <c r="Y1569" s="60">
        <v>0</v>
      </c>
      <c r="Z1569" s="60">
        <v>0</v>
      </c>
      <c r="AA1569" s="60">
        <v>0</v>
      </c>
      <c r="AB1569" s="60">
        <v>0</v>
      </c>
      <c r="AC1569" s="60">
        <v>0</v>
      </c>
      <c r="AD1569" s="60">
        <v>0</v>
      </c>
      <c r="AE1569" s="60">
        <v>0</v>
      </c>
      <c r="AF1569" s="60">
        <v>0</v>
      </c>
      <c r="AG1569" s="60">
        <v>0</v>
      </c>
      <c r="AH1569" s="60">
        <v>0</v>
      </c>
      <c r="AI1569" s="60">
        <v>13.39</v>
      </c>
      <c r="AJ1569" s="60">
        <v>15.82</v>
      </c>
      <c r="AK1569" s="60">
        <v>21.23</v>
      </c>
      <c r="AL1569" s="60">
        <v>0</v>
      </c>
      <c r="AM1569" s="60">
        <v>0</v>
      </c>
      <c r="AN1569" s="60">
        <v>0</v>
      </c>
      <c r="AO1569" s="60">
        <v>13.39</v>
      </c>
      <c r="AP1569" s="60">
        <v>15.82</v>
      </c>
      <c r="AQ1569" s="60">
        <v>21.23</v>
      </c>
      <c r="AR1569" s="61">
        <v>21.23</v>
      </c>
    </row>
    <row r="1570" spans="1:44" x14ac:dyDescent="0.35">
      <c r="A1570" s="49" t="str">
        <f t="shared" si="127"/>
        <v>12</v>
      </c>
      <c r="B1570" s="27">
        <v>62703</v>
      </c>
      <c r="C1570" s="25" t="str">
        <f t="shared" si="125"/>
        <v>0000000</v>
      </c>
      <c r="D1570" s="26" t="s">
        <v>3663</v>
      </c>
      <c r="E1570" s="25" t="s">
        <v>530</v>
      </c>
      <c r="F1570" s="25" t="s">
        <v>339</v>
      </c>
      <c r="G1570" s="59" t="s">
        <v>531</v>
      </c>
      <c r="H1570" s="60">
        <v>159.30000000000001</v>
      </c>
      <c r="I1570" s="60">
        <v>164.01</v>
      </c>
      <c r="J1570" s="60">
        <v>167.2</v>
      </c>
      <c r="K1570" s="60">
        <v>0</v>
      </c>
      <c r="L1570" s="60">
        <v>0</v>
      </c>
      <c r="M1570" s="60">
        <v>0</v>
      </c>
      <c r="N1570" s="60">
        <v>0</v>
      </c>
      <c r="O1570" s="60">
        <v>0</v>
      </c>
      <c r="P1570" s="60">
        <v>0</v>
      </c>
      <c r="Q1570" s="60">
        <v>0</v>
      </c>
      <c r="R1570" s="60">
        <v>0</v>
      </c>
      <c r="S1570" s="60">
        <v>0</v>
      </c>
      <c r="T1570" s="60">
        <v>0</v>
      </c>
      <c r="U1570" s="60">
        <v>0</v>
      </c>
      <c r="V1570" s="60">
        <v>0</v>
      </c>
      <c r="W1570" s="60">
        <v>0</v>
      </c>
      <c r="X1570" s="60">
        <v>0</v>
      </c>
      <c r="Y1570" s="60">
        <v>0</v>
      </c>
      <c r="Z1570" s="60">
        <v>0</v>
      </c>
      <c r="AA1570" s="60">
        <v>0</v>
      </c>
      <c r="AB1570" s="60">
        <v>0</v>
      </c>
      <c r="AC1570" s="60">
        <v>0</v>
      </c>
      <c r="AD1570" s="60">
        <v>0</v>
      </c>
      <c r="AE1570" s="60">
        <v>0</v>
      </c>
      <c r="AF1570" s="60">
        <v>0</v>
      </c>
      <c r="AG1570" s="60">
        <v>0</v>
      </c>
      <c r="AH1570" s="60">
        <v>0</v>
      </c>
      <c r="AI1570" s="60">
        <v>159.30000000000001</v>
      </c>
      <c r="AJ1570" s="60">
        <v>164.01</v>
      </c>
      <c r="AK1570" s="60">
        <v>167.2</v>
      </c>
      <c r="AL1570" s="60">
        <v>0</v>
      </c>
      <c r="AM1570" s="60">
        <v>0</v>
      </c>
      <c r="AN1570" s="60">
        <v>0</v>
      </c>
      <c r="AO1570" s="60">
        <v>159.30000000000001</v>
      </c>
      <c r="AP1570" s="60">
        <v>164.01</v>
      </c>
      <c r="AQ1570" s="60">
        <v>167.2</v>
      </c>
      <c r="AR1570" s="61">
        <v>167.2</v>
      </c>
    </row>
    <row r="1571" spans="1:44" x14ac:dyDescent="0.35">
      <c r="A1571" s="49" t="str">
        <f t="shared" si="127"/>
        <v>12</v>
      </c>
      <c r="B1571" s="27">
        <v>62737</v>
      </c>
      <c r="C1571" s="25" t="str">
        <f t="shared" si="125"/>
        <v>0000000</v>
      </c>
      <c r="D1571" s="26" t="s">
        <v>3663</v>
      </c>
      <c r="E1571" s="25" t="s">
        <v>534</v>
      </c>
      <c r="F1571" s="25" t="s">
        <v>339</v>
      </c>
      <c r="G1571" s="59" t="s">
        <v>535</v>
      </c>
      <c r="H1571" s="60">
        <v>145.88</v>
      </c>
      <c r="I1571" s="60">
        <v>136.49</v>
      </c>
      <c r="J1571" s="60">
        <v>142.57</v>
      </c>
      <c r="K1571" s="60">
        <v>0</v>
      </c>
      <c r="L1571" s="60">
        <v>0</v>
      </c>
      <c r="M1571" s="60">
        <v>0</v>
      </c>
      <c r="N1571" s="60">
        <v>0</v>
      </c>
      <c r="O1571" s="60">
        <v>0</v>
      </c>
      <c r="P1571" s="60">
        <v>0</v>
      </c>
      <c r="Q1571" s="60">
        <v>0</v>
      </c>
      <c r="R1571" s="60">
        <v>0</v>
      </c>
      <c r="S1571" s="60">
        <v>0</v>
      </c>
      <c r="T1571" s="60">
        <v>0</v>
      </c>
      <c r="U1571" s="60">
        <v>0</v>
      </c>
      <c r="V1571" s="60">
        <v>0</v>
      </c>
      <c r="W1571" s="60">
        <v>0</v>
      </c>
      <c r="X1571" s="60">
        <v>0</v>
      </c>
      <c r="Y1571" s="60">
        <v>0</v>
      </c>
      <c r="Z1571" s="60">
        <v>0</v>
      </c>
      <c r="AA1571" s="60">
        <v>0</v>
      </c>
      <c r="AB1571" s="60">
        <v>0</v>
      </c>
      <c r="AC1571" s="60">
        <v>0</v>
      </c>
      <c r="AD1571" s="60">
        <v>0</v>
      </c>
      <c r="AE1571" s="60">
        <v>0</v>
      </c>
      <c r="AF1571" s="60">
        <v>0</v>
      </c>
      <c r="AG1571" s="60">
        <v>0</v>
      </c>
      <c r="AH1571" s="60">
        <v>0</v>
      </c>
      <c r="AI1571" s="60">
        <v>145.88</v>
      </c>
      <c r="AJ1571" s="60">
        <v>136.49</v>
      </c>
      <c r="AK1571" s="60">
        <v>142.57</v>
      </c>
      <c r="AL1571" s="60">
        <v>0</v>
      </c>
      <c r="AM1571" s="60">
        <v>0</v>
      </c>
      <c r="AN1571" s="60">
        <v>0</v>
      </c>
      <c r="AO1571" s="60">
        <v>145.88</v>
      </c>
      <c r="AP1571" s="60">
        <v>136.49</v>
      </c>
      <c r="AQ1571" s="60">
        <v>142.57</v>
      </c>
      <c r="AR1571" s="61">
        <v>145.88</v>
      </c>
    </row>
    <row r="1572" spans="1:44" x14ac:dyDescent="0.35">
      <c r="A1572" s="49" t="str">
        <f t="shared" si="127"/>
        <v>12</v>
      </c>
      <c r="B1572" s="27">
        <v>62745</v>
      </c>
      <c r="C1572" s="25" t="str">
        <f t="shared" si="125"/>
        <v>0000000</v>
      </c>
      <c r="D1572" s="26" t="s">
        <v>3663</v>
      </c>
      <c r="E1572" s="25" t="s">
        <v>536</v>
      </c>
      <c r="F1572" s="25" t="s">
        <v>339</v>
      </c>
      <c r="G1572" s="59" t="s">
        <v>537</v>
      </c>
      <c r="H1572" s="60">
        <v>524.45000000000005</v>
      </c>
      <c r="I1572" s="60">
        <v>529.23</v>
      </c>
      <c r="J1572" s="60">
        <v>614.27</v>
      </c>
      <c r="K1572" s="60">
        <v>0</v>
      </c>
      <c r="L1572" s="60">
        <v>0</v>
      </c>
      <c r="M1572" s="60">
        <v>0</v>
      </c>
      <c r="N1572" s="60">
        <v>0</v>
      </c>
      <c r="O1572" s="60">
        <v>0</v>
      </c>
      <c r="P1572" s="60">
        <v>0</v>
      </c>
      <c r="Q1572" s="60">
        <v>0</v>
      </c>
      <c r="R1572" s="60">
        <v>0</v>
      </c>
      <c r="S1572" s="60">
        <v>0</v>
      </c>
      <c r="T1572" s="60">
        <v>0</v>
      </c>
      <c r="U1572" s="60">
        <v>0</v>
      </c>
      <c r="V1572" s="60">
        <v>0</v>
      </c>
      <c r="W1572" s="60">
        <v>0</v>
      </c>
      <c r="X1572" s="60">
        <v>0</v>
      </c>
      <c r="Y1572" s="60">
        <v>0</v>
      </c>
      <c r="Z1572" s="60">
        <v>0</v>
      </c>
      <c r="AA1572" s="60">
        <v>0</v>
      </c>
      <c r="AB1572" s="60">
        <v>0</v>
      </c>
      <c r="AC1572" s="60">
        <v>0</v>
      </c>
      <c r="AD1572" s="60">
        <v>0</v>
      </c>
      <c r="AE1572" s="60">
        <v>0</v>
      </c>
      <c r="AF1572" s="60">
        <v>0</v>
      </c>
      <c r="AG1572" s="60">
        <v>0</v>
      </c>
      <c r="AH1572" s="60">
        <v>0</v>
      </c>
      <c r="AI1572" s="60">
        <v>524.45000000000005</v>
      </c>
      <c r="AJ1572" s="60">
        <v>529.23</v>
      </c>
      <c r="AK1572" s="60">
        <v>614.27</v>
      </c>
      <c r="AL1572" s="60">
        <v>0</v>
      </c>
      <c r="AM1572" s="60">
        <v>0</v>
      </c>
      <c r="AN1572" s="60">
        <v>0</v>
      </c>
      <c r="AO1572" s="60">
        <v>524.45000000000005</v>
      </c>
      <c r="AP1572" s="60">
        <v>529.23</v>
      </c>
      <c r="AQ1572" s="60">
        <v>614.27</v>
      </c>
      <c r="AR1572" s="61">
        <v>614.27</v>
      </c>
    </row>
    <row r="1573" spans="1:44" x14ac:dyDescent="0.35">
      <c r="A1573" s="49" t="str">
        <f t="shared" si="127"/>
        <v>12</v>
      </c>
      <c r="B1573" s="27">
        <v>62794</v>
      </c>
      <c r="C1573" s="25" t="str">
        <f t="shared" si="125"/>
        <v>0000000</v>
      </c>
      <c r="D1573" s="26" t="s">
        <v>3663</v>
      </c>
      <c r="E1573" s="25" t="s">
        <v>538</v>
      </c>
      <c r="F1573" s="25" t="s">
        <v>339</v>
      </c>
      <c r="G1573" s="59" t="s">
        <v>539</v>
      </c>
      <c r="H1573" s="60">
        <v>100.48</v>
      </c>
      <c r="I1573" s="60">
        <v>106.44</v>
      </c>
      <c r="J1573" s="60">
        <v>117.99</v>
      </c>
      <c r="K1573" s="60">
        <v>0</v>
      </c>
      <c r="L1573" s="60">
        <v>0</v>
      </c>
      <c r="M1573" s="60">
        <v>0</v>
      </c>
      <c r="N1573" s="60">
        <v>0</v>
      </c>
      <c r="O1573" s="60">
        <v>0</v>
      </c>
      <c r="P1573" s="60">
        <v>0</v>
      </c>
      <c r="Q1573" s="60">
        <v>0</v>
      </c>
      <c r="R1573" s="60">
        <v>0</v>
      </c>
      <c r="S1573" s="60">
        <v>0</v>
      </c>
      <c r="T1573" s="60">
        <v>0</v>
      </c>
      <c r="U1573" s="60">
        <v>0</v>
      </c>
      <c r="V1573" s="60">
        <v>0</v>
      </c>
      <c r="W1573" s="60">
        <v>0</v>
      </c>
      <c r="X1573" s="60">
        <v>0</v>
      </c>
      <c r="Y1573" s="60">
        <v>0</v>
      </c>
      <c r="Z1573" s="60">
        <v>0</v>
      </c>
      <c r="AA1573" s="60">
        <v>0</v>
      </c>
      <c r="AB1573" s="60">
        <v>0</v>
      </c>
      <c r="AC1573" s="60">
        <v>0</v>
      </c>
      <c r="AD1573" s="60">
        <v>0</v>
      </c>
      <c r="AE1573" s="60">
        <v>0</v>
      </c>
      <c r="AF1573" s="60">
        <v>0</v>
      </c>
      <c r="AG1573" s="60">
        <v>0</v>
      </c>
      <c r="AH1573" s="60">
        <v>0</v>
      </c>
      <c r="AI1573" s="60">
        <v>100.48</v>
      </c>
      <c r="AJ1573" s="60">
        <v>106.44</v>
      </c>
      <c r="AK1573" s="60">
        <v>117.99</v>
      </c>
      <c r="AL1573" s="60">
        <v>0</v>
      </c>
      <c r="AM1573" s="60">
        <v>0</v>
      </c>
      <c r="AN1573" s="60">
        <v>0</v>
      </c>
      <c r="AO1573" s="60">
        <v>100.48</v>
      </c>
      <c r="AP1573" s="60">
        <v>106.44</v>
      </c>
      <c r="AQ1573" s="60">
        <v>117.99</v>
      </c>
      <c r="AR1573" s="61">
        <v>117.99</v>
      </c>
    </row>
    <row r="1574" spans="1:44" x14ac:dyDescent="0.35">
      <c r="A1574" s="49" t="str">
        <f t="shared" si="127"/>
        <v>12</v>
      </c>
      <c r="B1574" s="27">
        <v>62810</v>
      </c>
      <c r="C1574" s="25" t="str">
        <f t="shared" si="125"/>
        <v>0000000</v>
      </c>
      <c r="D1574" s="26" t="s">
        <v>3663</v>
      </c>
      <c r="E1574" s="25" t="s">
        <v>540</v>
      </c>
      <c r="F1574" s="25" t="s">
        <v>339</v>
      </c>
      <c r="G1574" s="59" t="s">
        <v>541</v>
      </c>
      <c r="H1574" s="60">
        <v>965.49</v>
      </c>
      <c r="I1574" s="60">
        <v>964.6</v>
      </c>
      <c r="J1574" s="60">
        <v>1069.5999999999999</v>
      </c>
      <c r="K1574" s="60">
        <v>0</v>
      </c>
      <c r="L1574" s="60">
        <v>0</v>
      </c>
      <c r="M1574" s="60">
        <v>0</v>
      </c>
      <c r="N1574" s="60">
        <v>0</v>
      </c>
      <c r="O1574" s="60">
        <v>0</v>
      </c>
      <c r="P1574" s="60">
        <v>0</v>
      </c>
      <c r="Q1574" s="60">
        <v>0</v>
      </c>
      <c r="R1574" s="60">
        <v>0</v>
      </c>
      <c r="S1574" s="60">
        <v>0</v>
      </c>
      <c r="T1574" s="60">
        <v>0</v>
      </c>
      <c r="U1574" s="60">
        <v>0</v>
      </c>
      <c r="V1574" s="60">
        <v>0</v>
      </c>
      <c r="W1574" s="60">
        <v>0</v>
      </c>
      <c r="X1574" s="60">
        <v>0</v>
      </c>
      <c r="Y1574" s="60">
        <v>0</v>
      </c>
      <c r="Z1574" s="60">
        <v>0</v>
      </c>
      <c r="AA1574" s="60">
        <v>0</v>
      </c>
      <c r="AB1574" s="60">
        <v>0</v>
      </c>
      <c r="AC1574" s="60">
        <v>0</v>
      </c>
      <c r="AD1574" s="60">
        <v>0</v>
      </c>
      <c r="AE1574" s="60">
        <v>0</v>
      </c>
      <c r="AF1574" s="60">
        <v>0</v>
      </c>
      <c r="AG1574" s="60">
        <v>0</v>
      </c>
      <c r="AH1574" s="60">
        <v>0</v>
      </c>
      <c r="AI1574" s="60">
        <v>965.49</v>
      </c>
      <c r="AJ1574" s="60">
        <v>964.6</v>
      </c>
      <c r="AK1574" s="60">
        <v>1069.5999999999999</v>
      </c>
      <c r="AL1574" s="60">
        <v>0</v>
      </c>
      <c r="AM1574" s="60">
        <v>0</v>
      </c>
      <c r="AN1574" s="60">
        <v>0</v>
      </c>
      <c r="AO1574" s="60">
        <v>965.49</v>
      </c>
      <c r="AP1574" s="60">
        <v>964.6</v>
      </c>
      <c r="AQ1574" s="60">
        <v>1069.5999999999999</v>
      </c>
      <c r="AR1574" s="61">
        <v>1069.5999999999999</v>
      </c>
    </row>
    <row r="1575" spans="1:44" x14ac:dyDescent="0.35">
      <c r="A1575" s="49" t="str">
        <f t="shared" si="127"/>
        <v>12</v>
      </c>
      <c r="B1575" s="27">
        <v>62828</v>
      </c>
      <c r="C1575" s="25" t="str">
        <f t="shared" si="125"/>
        <v>0000000</v>
      </c>
      <c r="D1575" s="26" t="s">
        <v>3663</v>
      </c>
      <c r="E1575" s="25" t="s">
        <v>542</v>
      </c>
      <c r="F1575" s="25" t="s">
        <v>339</v>
      </c>
      <c r="G1575" s="59" t="s">
        <v>543</v>
      </c>
      <c r="H1575" s="60">
        <v>243.87</v>
      </c>
      <c r="I1575" s="60">
        <v>239.47</v>
      </c>
      <c r="J1575" s="60">
        <v>283.77999999999997</v>
      </c>
      <c r="K1575" s="60">
        <v>0</v>
      </c>
      <c r="L1575" s="60">
        <v>0</v>
      </c>
      <c r="M1575" s="60">
        <v>0</v>
      </c>
      <c r="N1575" s="60">
        <v>0</v>
      </c>
      <c r="O1575" s="60">
        <v>0</v>
      </c>
      <c r="P1575" s="60">
        <v>0</v>
      </c>
      <c r="Q1575" s="60">
        <v>0</v>
      </c>
      <c r="R1575" s="60">
        <v>0</v>
      </c>
      <c r="S1575" s="60">
        <v>0</v>
      </c>
      <c r="T1575" s="60">
        <v>0</v>
      </c>
      <c r="U1575" s="60">
        <v>0</v>
      </c>
      <c r="V1575" s="60">
        <v>0</v>
      </c>
      <c r="W1575" s="60">
        <v>0</v>
      </c>
      <c r="X1575" s="60">
        <v>0</v>
      </c>
      <c r="Y1575" s="60">
        <v>0</v>
      </c>
      <c r="Z1575" s="60">
        <v>0</v>
      </c>
      <c r="AA1575" s="60">
        <v>0</v>
      </c>
      <c r="AB1575" s="60">
        <v>0</v>
      </c>
      <c r="AC1575" s="60">
        <v>45.51</v>
      </c>
      <c r="AD1575" s="60">
        <v>44.17</v>
      </c>
      <c r="AE1575" s="60">
        <v>51.6</v>
      </c>
      <c r="AF1575" s="60">
        <v>0</v>
      </c>
      <c r="AG1575" s="60">
        <v>0</v>
      </c>
      <c r="AH1575" s="60">
        <v>0</v>
      </c>
      <c r="AI1575" s="60">
        <v>289.38</v>
      </c>
      <c r="AJ1575" s="60">
        <v>283.64</v>
      </c>
      <c r="AK1575" s="60">
        <v>335.38</v>
      </c>
      <c r="AL1575" s="60">
        <v>0</v>
      </c>
      <c r="AM1575" s="60">
        <v>0</v>
      </c>
      <c r="AN1575" s="60">
        <v>0</v>
      </c>
      <c r="AO1575" s="60">
        <v>289.38</v>
      </c>
      <c r="AP1575" s="60">
        <v>283.64</v>
      </c>
      <c r="AQ1575" s="60">
        <v>335.38</v>
      </c>
      <c r="AR1575" s="61">
        <v>335.38</v>
      </c>
    </row>
    <row r="1576" spans="1:44" x14ac:dyDescent="0.35">
      <c r="A1576" s="49" t="str">
        <f t="shared" si="127"/>
        <v>12</v>
      </c>
      <c r="B1576" s="27">
        <v>62836</v>
      </c>
      <c r="C1576" s="25" t="str">
        <f t="shared" si="125"/>
        <v>0000000</v>
      </c>
      <c r="D1576" s="26" t="s">
        <v>3663</v>
      </c>
      <c r="E1576" s="25" t="s">
        <v>544</v>
      </c>
      <c r="F1576" s="25" t="s">
        <v>339</v>
      </c>
      <c r="G1576" s="59" t="s">
        <v>545</v>
      </c>
      <c r="H1576" s="60">
        <v>65.81</v>
      </c>
      <c r="I1576" s="60">
        <v>60.71</v>
      </c>
      <c r="J1576" s="60">
        <v>63.61</v>
      </c>
      <c r="K1576" s="60">
        <v>0</v>
      </c>
      <c r="L1576" s="60">
        <v>0</v>
      </c>
      <c r="M1576" s="60">
        <v>0</v>
      </c>
      <c r="N1576" s="60">
        <v>0</v>
      </c>
      <c r="O1576" s="60">
        <v>0</v>
      </c>
      <c r="P1576" s="60">
        <v>0</v>
      </c>
      <c r="Q1576" s="60">
        <v>0</v>
      </c>
      <c r="R1576" s="60">
        <v>0</v>
      </c>
      <c r="S1576" s="60">
        <v>0</v>
      </c>
      <c r="T1576" s="60">
        <v>0</v>
      </c>
      <c r="U1576" s="60">
        <v>0</v>
      </c>
      <c r="V1576" s="60">
        <v>0</v>
      </c>
      <c r="W1576" s="60">
        <v>0</v>
      </c>
      <c r="X1576" s="60">
        <v>0</v>
      </c>
      <c r="Y1576" s="60">
        <v>0</v>
      </c>
      <c r="Z1576" s="60">
        <v>0</v>
      </c>
      <c r="AA1576" s="60">
        <v>0</v>
      </c>
      <c r="AB1576" s="60">
        <v>0</v>
      </c>
      <c r="AC1576" s="60">
        <v>0</v>
      </c>
      <c r="AD1576" s="60">
        <v>0</v>
      </c>
      <c r="AE1576" s="60">
        <v>0</v>
      </c>
      <c r="AF1576" s="60">
        <v>0</v>
      </c>
      <c r="AG1576" s="60">
        <v>0</v>
      </c>
      <c r="AH1576" s="60">
        <v>0</v>
      </c>
      <c r="AI1576" s="60">
        <v>65.81</v>
      </c>
      <c r="AJ1576" s="60">
        <v>60.71</v>
      </c>
      <c r="AK1576" s="60">
        <v>63.61</v>
      </c>
      <c r="AL1576" s="60">
        <v>0</v>
      </c>
      <c r="AM1576" s="60">
        <v>0</v>
      </c>
      <c r="AN1576" s="60">
        <v>0</v>
      </c>
      <c r="AO1576" s="60">
        <v>65.81</v>
      </c>
      <c r="AP1576" s="60">
        <v>60.71</v>
      </c>
      <c r="AQ1576" s="60">
        <v>63.61</v>
      </c>
      <c r="AR1576" s="61">
        <v>65.81</v>
      </c>
    </row>
    <row r="1577" spans="1:44" x14ac:dyDescent="0.35">
      <c r="A1577" s="49" t="str">
        <f t="shared" si="127"/>
        <v>12</v>
      </c>
      <c r="B1577" s="27">
        <v>62885</v>
      </c>
      <c r="C1577" s="25" t="str">
        <f t="shared" si="125"/>
        <v>0000000</v>
      </c>
      <c r="D1577" s="26" t="s">
        <v>3663</v>
      </c>
      <c r="E1577" s="25" t="s">
        <v>548</v>
      </c>
      <c r="F1577" s="25" t="s">
        <v>339</v>
      </c>
      <c r="G1577" s="59" t="s">
        <v>549</v>
      </c>
      <c r="H1577" s="60">
        <v>200.24</v>
      </c>
      <c r="I1577" s="60">
        <v>177.36</v>
      </c>
      <c r="J1577" s="60">
        <v>192.24</v>
      </c>
      <c r="K1577" s="60">
        <v>0</v>
      </c>
      <c r="L1577" s="60">
        <v>0</v>
      </c>
      <c r="M1577" s="60">
        <v>0</v>
      </c>
      <c r="N1577" s="60">
        <v>0</v>
      </c>
      <c r="O1577" s="60">
        <v>0</v>
      </c>
      <c r="P1577" s="60">
        <v>0</v>
      </c>
      <c r="Q1577" s="60">
        <v>0</v>
      </c>
      <c r="R1577" s="60">
        <v>0</v>
      </c>
      <c r="S1577" s="60">
        <v>0</v>
      </c>
      <c r="T1577" s="60">
        <v>0</v>
      </c>
      <c r="U1577" s="60">
        <v>0</v>
      </c>
      <c r="V1577" s="60">
        <v>0</v>
      </c>
      <c r="W1577" s="60">
        <v>0</v>
      </c>
      <c r="X1577" s="60">
        <v>0</v>
      </c>
      <c r="Y1577" s="60">
        <v>0</v>
      </c>
      <c r="Z1577" s="60">
        <v>0</v>
      </c>
      <c r="AA1577" s="60">
        <v>0</v>
      </c>
      <c r="AB1577" s="60">
        <v>0</v>
      </c>
      <c r="AC1577" s="60">
        <v>0</v>
      </c>
      <c r="AD1577" s="60">
        <v>0</v>
      </c>
      <c r="AE1577" s="60">
        <v>0</v>
      </c>
      <c r="AF1577" s="60">
        <v>0</v>
      </c>
      <c r="AG1577" s="60">
        <v>0</v>
      </c>
      <c r="AH1577" s="60">
        <v>0</v>
      </c>
      <c r="AI1577" s="60">
        <v>200.24</v>
      </c>
      <c r="AJ1577" s="60">
        <v>177.36</v>
      </c>
      <c r="AK1577" s="60">
        <v>192.24</v>
      </c>
      <c r="AL1577" s="60">
        <v>0</v>
      </c>
      <c r="AM1577" s="60">
        <v>0</v>
      </c>
      <c r="AN1577" s="60">
        <v>0</v>
      </c>
      <c r="AO1577" s="60">
        <v>200.24</v>
      </c>
      <c r="AP1577" s="60">
        <v>177.36</v>
      </c>
      <c r="AQ1577" s="60">
        <v>192.24</v>
      </c>
      <c r="AR1577" s="61">
        <v>200.24</v>
      </c>
    </row>
    <row r="1578" spans="1:44" x14ac:dyDescent="0.35">
      <c r="A1578" s="49" t="str">
        <f t="shared" si="127"/>
        <v>12</v>
      </c>
      <c r="B1578" s="27">
        <v>62893</v>
      </c>
      <c r="C1578" s="25" t="str">
        <f t="shared" si="125"/>
        <v>0000000</v>
      </c>
      <c r="D1578" s="26" t="s">
        <v>3663</v>
      </c>
      <c r="E1578" s="25" t="s">
        <v>550</v>
      </c>
      <c r="F1578" s="25" t="s">
        <v>339</v>
      </c>
      <c r="G1578" s="59" t="s">
        <v>551</v>
      </c>
      <c r="H1578" s="60">
        <v>428.79</v>
      </c>
      <c r="I1578" s="60">
        <v>433.27</v>
      </c>
      <c r="J1578" s="60">
        <v>447.11</v>
      </c>
      <c r="K1578" s="60">
        <v>0</v>
      </c>
      <c r="L1578" s="60">
        <v>0</v>
      </c>
      <c r="M1578" s="60">
        <v>0</v>
      </c>
      <c r="N1578" s="60">
        <v>0</v>
      </c>
      <c r="O1578" s="60">
        <v>0</v>
      </c>
      <c r="P1578" s="60">
        <v>0</v>
      </c>
      <c r="Q1578" s="60">
        <v>0</v>
      </c>
      <c r="R1578" s="60">
        <v>0</v>
      </c>
      <c r="S1578" s="60">
        <v>0</v>
      </c>
      <c r="T1578" s="60">
        <v>0</v>
      </c>
      <c r="U1578" s="60">
        <v>0</v>
      </c>
      <c r="V1578" s="60">
        <v>0</v>
      </c>
      <c r="W1578" s="60">
        <v>0</v>
      </c>
      <c r="X1578" s="60">
        <v>0</v>
      </c>
      <c r="Y1578" s="60">
        <v>0</v>
      </c>
      <c r="Z1578" s="60">
        <v>0</v>
      </c>
      <c r="AA1578" s="60">
        <v>0</v>
      </c>
      <c r="AB1578" s="60">
        <v>0</v>
      </c>
      <c r="AC1578" s="60">
        <v>0</v>
      </c>
      <c r="AD1578" s="60">
        <v>0</v>
      </c>
      <c r="AE1578" s="60">
        <v>0</v>
      </c>
      <c r="AF1578" s="60">
        <v>0</v>
      </c>
      <c r="AG1578" s="60">
        <v>0</v>
      </c>
      <c r="AH1578" s="60">
        <v>0</v>
      </c>
      <c r="AI1578" s="60">
        <v>428.79</v>
      </c>
      <c r="AJ1578" s="60">
        <v>433.27</v>
      </c>
      <c r="AK1578" s="60">
        <v>447.11</v>
      </c>
      <c r="AL1578" s="60">
        <v>0</v>
      </c>
      <c r="AM1578" s="60">
        <v>0</v>
      </c>
      <c r="AN1578" s="60">
        <v>0</v>
      </c>
      <c r="AO1578" s="60">
        <v>428.79</v>
      </c>
      <c r="AP1578" s="60">
        <v>433.27</v>
      </c>
      <c r="AQ1578" s="60">
        <v>447.11</v>
      </c>
      <c r="AR1578" s="61">
        <v>447.11</v>
      </c>
    </row>
    <row r="1579" spans="1:44" x14ac:dyDescent="0.35">
      <c r="A1579" s="49" t="str">
        <f t="shared" si="127"/>
        <v>12</v>
      </c>
      <c r="B1579" s="27">
        <v>62901</v>
      </c>
      <c r="C1579" s="25" t="str">
        <f t="shared" si="125"/>
        <v>0000000</v>
      </c>
      <c r="D1579" s="26" t="s">
        <v>3663</v>
      </c>
      <c r="E1579" s="25" t="s">
        <v>552</v>
      </c>
      <c r="F1579" s="25" t="s">
        <v>339</v>
      </c>
      <c r="G1579" s="59" t="s">
        <v>553</v>
      </c>
      <c r="H1579" s="60">
        <v>779.22</v>
      </c>
      <c r="I1579" s="60">
        <v>714.77</v>
      </c>
      <c r="J1579" s="60">
        <v>918.34</v>
      </c>
      <c r="K1579" s="60">
        <v>0</v>
      </c>
      <c r="L1579" s="60">
        <v>0</v>
      </c>
      <c r="M1579" s="60">
        <v>0</v>
      </c>
      <c r="N1579" s="60">
        <v>0</v>
      </c>
      <c r="O1579" s="60">
        <v>0</v>
      </c>
      <c r="P1579" s="60">
        <v>0</v>
      </c>
      <c r="Q1579" s="60">
        <v>0</v>
      </c>
      <c r="R1579" s="60">
        <v>0</v>
      </c>
      <c r="S1579" s="60">
        <v>0</v>
      </c>
      <c r="T1579" s="60">
        <v>0</v>
      </c>
      <c r="U1579" s="60">
        <v>0</v>
      </c>
      <c r="V1579" s="60">
        <v>0</v>
      </c>
      <c r="W1579" s="60">
        <v>0</v>
      </c>
      <c r="X1579" s="60">
        <v>0</v>
      </c>
      <c r="Y1579" s="60">
        <v>0</v>
      </c>
      <c r="Z1579" s="60">
        <v>0</v>
      </c>
      <c r="AA1579" s="60">
        <v>0</v>
      </c>
      <c r="AB1579" s="60">
        <v>0</v>
      </c>
      <c r="AC1579" s="60">
        <v>0</v>
      </c>
      <c r="AD1579" s="60">
        <v>0</v>
      </c>
      <c r="AE1579" s="60">
        <v>0</v>
      </c>
      <c r="AF1579" s="60">
        <v>0</v>
      </c>
      <c r="AG1579" s="60">
        <v>0</v>
      </c>
      <c r="AH1579" s="60">
        <v>0</v>
      </c>
      <c r="AI1579" s="60">
        <v>779.22</v>
      </c>
      <c r="AJ1579" s="60">
        <v>714.77</v>
      </c>
      <c r="AK1579" s="60">
        <v>918.34</v>
      </c>
      <c r="AL1579" s="60">
        <v>0</v>
      </c>
      <c r="AM1579" s="60">
        <v>0</v>
      </c>
      <c r="AN1579" s="60">
        <v>0</v>
      </c>
      <c r="AO1579" s="60">
        <v>779.22</v>
      </c>
      <c r="AP1579" s="60">
        <v>714.77</v>
      </c>
      <c r="AQ1579" s="60">
        <v>918.34</v>
      </c>
      <c r="AR1579" s="61">
        <v>918.34</v>
      </c>
    </row>
    <row r="1580" spans="1:44" x14ac:dyDescent="0.35">
      <c r="A1580" s="49" t="str">
        <f t="shared" si="127"/>
        <v>12</v>
      </c>
      <c r="B1580" s="27">
        <v>62927</v>
      </c>
      <c r="C1580" s="25" t="str">
        <f t="shared" si="125"/>
        <v>0000000</v>
      </c>
      <c r="D1580" s="26" t="s">
        <v>3663</v>
      </c>
      <c r="E1580" s="25" t="s">
        <v>556</v>
      </c>
      <c r="F1580" s="25" t="s">
        <v>339</v>
      </c>
      <c r="G1580" s="59" t="s">
        <v>557</v>
      </c>
      <c r="H1580" s="60">
        <v>77.209999999999994</v>
      </c>
      <c r="I1580" s="60">
        <v>99.58</v>
      </c>
      <c r="J1580" s="60">
        <v>94.78</v>
      </c>
      <c r="K1580" s="60">
        <v>0</v>
      </c>
      <c r="L1580" s="60">
        <v>0</v>
      </c>
      <c r="M1580" s="60">
        <v>0</v>
      </c>
      <c r="N1580" s="60">
        <v>0</v>
      </c>
      <c r="O1580" s="60">
        <v>0</v>
      </c>
      <c r="P1580" s="60">
        <v>0</v>
      </c>
      <c r="Q1580" s="60">
        <v>0</v>
      </c>
      <c r="R1580" s="60">
        <v>0</v>
      </c>
      <c r="S1580" s="60">
        <v>0</v>
      </c>
      <c r="T1580" s="60">
        <v>0</v>
      </c>
      <c r="U1580" s="60">
        <v>0</v>
      </c>
      <c r="V1580" s="60">
        <v>0</v>
      </c>
      <c r="W1580" s="60">
        <v>0</v>
      </c>
      <c r="X1580" s="60">
        <v>0</v>
      </c>
      <c r="Y1580" s="60">
        <v>0</v>
      </c>
      <c r="Z1580" s="60">
        <v>0</v>
      </c>
      <c r="AA1580" s="60">
        <v>0</v>
      </c>
      <c r="AB1580" s="60">
        <v>0</v>
      </c>
      <c r="AC1580" s="60">
        <v>0</v>
      </c>
      <c r="AD1580" s="60">
        <v>0</v>
      </c>
      <c r="AE1580" s="60">
        <v>0</v>
      </c>
      <c r="AF1580" s="60">
        <v>0</v>
      </c>
      <c r="AG1580" s="60">
        <v>0</v>
      </c>
      <c r="AH1580" s="60">
        <v>0</v>
      </c>
      <c r="AI1580" s="60">
        <v>77.209999999999994</v>
      </c>
      <c r="AJ1580" s="60">
        <v>99.58</v>
      </c>
      <c r="AK1580" s="60">
        <v>94.78</v>
      </c>
      <c r="AL1580" s="60">
        <v>0</v>
      </c>
      <c r="AM1580" s="60">
        <v>0</v>
      </c>
      <c r="AN1580" s="60">
        <v>0</v>
      </c>
      <c r="AO1580" s="60">
        <v>77.209999999999994</v>
      </c>
      <c r="AP1580" s="60">
        <v>99.58</v>
      </c>
      <c r="AQ1580" s="60">
        <v>94.78</v>
      </c>
      <c r="AR1580" s="61">
        <v>99.58</v>
      </c>
    </row>
    <row r="1581" spans="1:44" x14ac:dyDescent="0.35">
      <c r="A1581" s="49" t="str">
        <f t="shared" si="127"/>
        <v>12</v>
      </c>
      <c r="B1581" s="27">
        <v>62950</v>
      </c>
      <c r="C1581" s="25" t="str">
        <f t="shared" ref="C1581:C1600" si="128">TEXT(,"0000000")</f>
        <v>0000000</v>
      </c>
      <c r="D1581" s="26" t="s">
        <v>3663</v>
      </c>
      <c r="E1581" s="25" t="s">
        <v>560</v>
      </c>
      <c r="F1581" s="25" t="s">
        <v>339</v>
      </c>
      <c r="G1581" s="59" t="s">
        <v>561</v>
      </c>
      <c r="H1581" s="60">
        <v>820.45</v>
      </c>
      <c r="I1581" s="60">
        <v>830.74</v>
      </c>
      <c r="J1581" s="60">
        <v>1038.6300000000001</v>
      </c>
      <c r="K1581" s="60">
        <v>0</v>
      </c>
      <c r="L1581" s="60">
        <v>0</v>
      </c>
      <c r="M1581" s="60">
        <v>0</v>
      </c>
      <c r="N1581" s="60">
        <v>0</v>
      </c>
      <c r="O1581" s="60">
        <v>0</v>
      </c>
      <c r="P1581" s="60">
        <v>0</v>
      </c>
      <c r="Q1581" s="60">
        <v>0</v>
      </c>
      <c r="R1581" s="60">
        <v>0</v>
      </c>
      <c r="S1581" s="60">
        <v>0</v>
      </c>
      <c r="T1581" s="60">
        <v>0</v>
      </c>
      <c r="U1581" s="60">
        <v>0</v>
      </c>
      <c r="V1581" s="60">
        <v>0</v>
      </c>
      <c r="W1581" s="60">
        <v>0</v>
      </c>
      <c r="X1581" s="60">
        <v>0</v>
      </c>
      <c r="Y1581" s="60">
        <v>0</v>
      </c>
      <c r="Z1581" s="60">
        <v>0</v>
      </c>
      <c r="AA1581" s="60">
        <v>0</v>
      </c>
      <c r="AB1581" s="60">
        <v>0</v>
      </c>
      <c r="AC1581" s="60">
        <v>0</v>
      </c>
      <c r="AD1581" s="60">
        <v>0</v>
      </c>
      <c r="AE1581" s="60">
        <v>0</v>
      </c>
      <c r="AF1581" s="60">
        <v>0</v>
      </c>
      <c r="AG1581" s="60">
        <v>0</v>
      </c>
      <c r="AH1581" s="60">
        <v>0</v>
      </c>
      <c r="AI1581" s="60">
        <v>820.45</v>
      </c>
      <c r="AJ1581" s="60">
        <v>830.74</v>
      </c>
      <c r="AK1581" s="60">
        <v>1038.6300000000001</v>
      </c>
      <c r="AL1581" s="60">
        <v>0</v>
      </c>
      <c r="AM1581" s="60">
        <v>0</v>
      </c>
      <c r="AN1581" s="60">
        <v>0</v>
      </c>
      <c r="AO1581" s="60">
        <v>820.45</v>
      </c>
      <c r="AP1581" s="60">
        <v>830.74</v>
      </c>
      <c r="AQ1581" s="60">
        <v>1038.6300000000001</v>
      </c>
      <c r="AR1581" s="61">
        <v>1038.6300000000001</v>
      </c>
    </row>
    <row r="1582" spans="1:44" x14ac:dyDescent="0.35">
      <c r="A1582" s="49" t="str">
        <f t="shared" si="127"/>
        <v>12</v>
      </c>
      <c r="B1582" s="27">
        <v>62687</v>
      </c>
      <c r="C1582" s="25" t="str">
        <f t="shared" si="128"/>
        <v>0000000</v>
      </c>
      <c r="D1582" s="26" t="s">
        <v>3663</v>
      </c>
      <c r="E1582" s="25" t="s">
        <v>526</v>
      </c>
      <c r="F1582" s="25" t="s">
        <v>339</v>
      </c>
      <c r="G1582" s="59" t="s">
        <v>527</v>
      </c>
      <c r="H1582" s="60">
        <v>1462.23</v>
      </c>
      <c r="I1582" s="60">
        <v>1427.84</v>
      </c>
      <c r="J1582" s="60">
        <v>1427.58</v>
      </c>
      <c r="K1582" s="60">
        <v>0</v>
      </c>
      <c r="L1582" s="60">
        <v>0</v>
      </c>
      <c r="M1582" s="60">
        <v>0</v>
      </c>
      <c r="N1582" s="60">
        <v>0</v>
      </c>
      <c r="O1582" s="60">
        <v>0</v>
      </c>
      <c r="P1582" s="60">
        <v>0</v>
      </c>
      <c r="Q1582" s="60">
        <v>0</v>
      </c>
      <c r="R1582" s="60">
        <v>0</v>
      </c>
      <c r="S1582" s="60">
        <v>0</v>
      </c>
      <c r="T1582" s="60">
        <v>0</v>
      </c>
      <c r="U1582" s="60">
        <v>0</v>
      </c>
      <c r="V1582" s="60">
        <v>0</v>
      </c>
      <c r="W1582" s="60">
        <v>0</v>
      </c>
      <c r="X1582" s="60">
        <v>0</v>
      </c>
      <c r="Y1582" s="60">
        <v>0</v>
      </c>
      <c r="Z1582" s="60">
        <v>0</v>
      </c>
      <c r="AA1582" s="60">
        <v>0</v>
      </c>
      <c r="AB1582" s="60">
        <v>0</v>
      </c>
      <c r="AC1582" s="60">
        <v>400.98</v>
      </c>
      <c r="AD1582" s="60">
        <v>406.7</v>
      </c>
      <c r="AE1582" s="60">
        <v>433.86</v>
      </c>
      <c r="AF1582" s="60">
        <v>0</v>
      </c>
      <c r="AG1582" s="60">
        <v>0</v>
      </c>
      <c r="AH1582" s="60">
        <v>0</v>
      </c>
      <c r="AI1582" s="60">
        <v>1863.21</v>
      </c>
      <c r="AJ1582" s="60">
        <v>1834.54</v>
      </c>
      <c r="AK1582" s="60">
        <v>1861.44</v>
      </c>
      <c r="AL1582" s="60">
        <v>0</v>
      </c>
      <c r="AM1582" s="60">
        <v>0</v>
      </c>
      <c r="AN1582" s="60">
        <v>0</v>
      </c>
      <c r="AO1582" s="60">
        <v>1863.21</v>
      </c>
      <c r="AP1582" s="60">
        <v>1834.54</v>
      </c>
      <c r="AQ1582" s="60">
        <v>1861.44</v>
      </c>
      <c r="AR1582" s="61">
        <v>1863.21</v>
      </c>
    </row>
    <row r="1583" spans="1:44" x14ac:dyDescent="0.35">
      <c r="A1583" s="49" t="str">
        <f t="shared" si="127"/>
        <v>12</v>
      </c>
      <c r="B1583" s="27">
        <v>62968</v>
      </c>
      <c r="C1583" s="25" t="str">
        <f t="shared" si="128"/>
        <v>0000000</v>
      </c>
      <c r="D1583" s="26" t="s">
        <v>3663</v>
      </c>
      <c r="E1583" s="25" t="s">
        <v>562</v>
      </c>
      <c r="F1583" s="25" t="s">
        <v>339</v>
      </c>
      <c r="G1583" s="59" t="s">
        <v>563</v>
      </c>
      <c r="H1583" s="60">
        <v>8.35</v>
      </c>
      <c r="I1583" s="60">
        <v>16.68</v>
      </c>
      <c r="J1583" s="60">
        <v>14.72</v>
      </c>
      <c r="K1583" s="60">
        <v>0</v>
      </c>
      <c r="L1583" s="60">
        <v>0</v>
      </c>
      <c r="M1583" s="60">
        <v>0</v>
      </c>
      <c r="N1583" s="60">
        <v>0</v>
      </c>
      <c r="O1583" s="60">
        <v>0</v>
      </c>
      <c r="P1583" s="60">
        <v>0</v>
      </c>
      <c r="Q1583" s="60">
        <v>0</v>
      </c>
      <c r="R1583" s="60">
        <v>0</v>
      </c>
      <c r="S1583" s="60">
        <v>0</v>
      </c>
      <c r="T1583" s="60">
        <v>0</v>
      </c>
      <c r="U1583" s="60">
        <v>0</v>
      </c>
      <c r="V1583" s="60">
        <v>0</v>
      </c>
      <c r="W1583" s="60">
        <v>0</v>
      </c>
      <c r="X1583" s="60">
        <v>0</v>
      </c>
      <c r="Y1583" s="60">
        <v>0</v>
      </c>
      <c r="Z1583" s="60">
        <v>0</v>
      </c>
      <c r="AA1583" s="60">
        <v>0</v>
      </c>
      <c r="AB1583" s="60">
        <v>0</v>
      </c>
      <c r="AC1583" s="60">
        <v>0</v>
      </c>
      <c r="AD1583" s="60">
        <v>0</v>
      </c>
      <c r="AE1583" s="60">
        <v>0</v>
      </c>
      <c r="AF1583" s="60">
        <v>0</v>
      </c>
      <c r="AG1583" s="60">
        <v>0</v>
      </c>
      <c r="AH1583" s="60">
        <v>0</v>
      </c>
      <c r="AI1583" s="60">
        <v>8.35</v>
      </c>
      <c r="AJ1583" s="60">
        <v>16.68</v>
      </c>
      <c r="AK1583" s="60">
        <v>14.72</v>
      </c>
      <c r="AL1583" s="60">
        <v>0</v>
      </c>
      <c r="AM1583" s="60">
        <v>0</v>
      </c>
      <c r="AN1583" s="60">
        <v>0</v>
      </c>
      <c r="AO1583" s="60">
        <v>8.35</v>
      </c>
      <c r="AP1583" s="60">
        <v>16.68</v>
      </c>
      <c r="AQ1583" s="60">
        <v>14.72</v>
      </c>
      <c r="AR1583" s="61">
        <v>16.68</v>
      </c>
    </row>
    <row r="1584" spans="1:44" x14ac:dyDescent="0.35">
      <c r="A1584" s="49" t="str">
        <f t="shared" si="127"/>
        <v>12</v>
      </c>
      <c r="B1584" s="27">
        <v>62976</v>
      </c>
      <c r="C1584" s="25" t="str">
        <f t="shared" si="128"/>
        <v>0000000</v>
      </c>
      <c r="D1584" s="26" t="s">
        <v>3663</v>
      </c>
      <c r="E1584" s="25" t="s">
        <v>564</v>
      </c>
      <c r="F1584" s="25" t="s">
        <v>339</v>
      </c>
      <c r="G1584" s="59" t="s">
        <v>455</v>
      </c>
      <c r="H1584" s="60">
        <v>500.15</v>
      </c>
      <c r="I1584" s="60">
        <v>493.81</v>
      </c>
      <c r="J1584" s="60">
        <v>544.83000000000004</v>
      </c>
      <c r="K1584" s="60">
        <v>0</v>
      </c>
      <c r="L1584" s="60">
        <v>0</v>
      </c>
      <c r="M1584" s="60">
        <v>0</v>
      </c>
      <c r="N1584" s="60">
        <v>0</v>
      </c>
      <c r="O1584" s="60">
        <v>0</v>
      </c>
      <c r="P1584" s="60">
        <v>0</v>
      </c>
      <c r="Q1584" s="60">
        <v>0</v>
      </c>
      <c r="R1584" s="60">
        <v>0</v>
      </c>
      <c r="S1584" s="60">
        <v>0</v>
      </c>
      <c r="T1584" s="60">
        <v>0</v>
      </c>
      <c r="U1584" s="60">
        <v>0</v>
      </c>
      <c r="V1584" s="60">
        <v>0</v>
      </c>
      <c r="W1584" s="60">
        <v>0</v>
      </c>
      <c r="X1584" s="60">
        <v>0</v>
      </c>
      <c r="Y1584" s="60">
        <v>0</v>
      </c>
      <c r="Z1584" s="60">
        <v>0</v>
      </c>
      <c r="AA1584" s="60">
        <v>0</v>
      </c>
      <c r="AB1584" s="60">
        <v>0</v>
      </c>
      <c r="AC1584" s="60">
        <v>30.85</v>
      </c>
      <c r="AD1584" s="60">
        <v>39.69</v>
      </c>
      <c r="AE1584" s="60">
        <v>40.369999999999997</v>
      </c>
      <c r="AF1584" s="60">
        <v>0</v>
      </c>
      <c r="AG1584" s="60">
        <v>0</v>
      </c>
      <c r="AH1584" s="60">
        <v>0</v>
      </c>
      <c r="AI1584" s="60">
        <v>531</v>
      </c>
      <c r="AJ1584" s="60">
        <v>533.5</v>
      </c>
      <c r="AK1584" s="60">
        <v>585.20000000000005</v>
      </c>
      <c r="AL1584" s="60">
        <v>0</v>
      </c>
      <c r="AM1584" s="60">
        <v>0</v>
      </c>
      <c r="AN1584" s="60">
        <v>0</v>
      </c>
      <c r="AO1584" s="60">
        <v>531</v>
      </c>
      <c r="AP1584" s="60">
        <v>533.5</v>
      </c>
      <c r="AQ1584" s="60">
        <v>585.20000000000005</v>
      </c>
      <c r="AR1584" s="61">
        <v>585.20000000000005</v>
      </c>
    </row>
    <row r="1585" spans="1:44" x14ac:dyDescent="0.35">
      <c r="A1585" s="49" t="str">
        <f t="shared" si="127"/>
        <v>12</v>
      </c>
      <c r="B1585" s="27">
        <v>62984</v>
      </c>
      <c r="C1585" s="25" t="str">
        <f t="shared" si="128"/>
        <v>0000000</v>
      </c>
      <c r="D1585" s="26" t="s">
        <v>3663</v>
      </c>
      <c r="E1585" s="25" t="s">
        <v>565</v>
      </c>
      <c r="F1585" s="25" t="s">
        <v>339</v>
      </c>
      <c r="G1585" s="59" t="s">
        <v>566</v>
      </c>
      <c r="H1585" s="60">
        <v>59.3</v>
      </c>
      <c r="I1585" s="60">
        <v>45.66</v>
      </c>
      <c r="J1585" s="60">
        <v>40.619999999999997</v>
      </c>
      <c r="K1585" s="60">
        <v>0</v>
      </c>
      <c r="L1585" s="60">
        <v>0</v>
      </c>
      <c r="M1585" s="60">
        <v>0</v>
      </c>
      <c r="N1585" s="60">
        <v>0</v>
      </c>
      <c r="O1585" s="60">
        <v>0</v>
      </c>
      <c r="P1585" s="60">
        <v>0</v>
      </c>
      <c r="Q1585" s="60">
        <v>0</v>
      </c>
      <c r="R1585" s="60">
        <v>0</v>
      </c>
      <c r="S1585" s="60">
        <v>0</v>
      </c>
      <c r="T1585" s="60">
        <v>0</v>
      </c>
      <c r="U1585" s="60">
        <v>0</v>
      </c>
      <c r="V1585" s="60">
        <v>0</v>
      </c>
      <c r="W1585" s="60">
        <v>0</v>
      </c>
      <c r="X1585" s="60">
        <v>0</v>
      </c>
      <c r="Y1585" s="60">
        <v>0</v>
      </c>
      <c r="Z1585" s="60">
        <v>0</v>
      </c>
      <c r="AA1585" s="60">
        <v>0</v>
      </c>
      <c r="AB1585" s="60">
        <v>0</v>
      </c>
      <c r="AC1585" s="60">
        <v>0</v>
      </c>
      <c r="AD1585" s="60">
        <v>0</v>
      </c>
      <c r="AE1585" s="60">
        <v>0</v>
      </c>
      <c r="AF1585" s="60">
        <v>0</v>
      </c>
      <c r="AG1585" s="60">
        <v>0</v>
      </c>
      <c r="AH1585" s="60">
        <v>0</v>
      </c>
      <c r="AI1585" s="60">
        <v>59.3</v>
      </c>
      <c r="AJ1585" s="60">
        <v>45.66</v>
      </c>
      <c r="AK1585" s="60">
        <v>40.619999999999997</v>
      </c>
      <c r="AL1585" s="60">
        <v>0</v>
      </c>
      <c r="AM1585" s="60">
        <v>0</v>
      </c>
      <c r="AN1585" s="60">
        <v>0</v>
      </c>
      <c r="AO1585" s="60">
        <v>59.3</v>
      </c>
      <c r="AP1585" s="60">
        <v>45.66</v>
      </c>
      <c r="AQ1585" s="60">
        <v>40.619999999999997</v>
      </c>
      <c r="AR1585" s="61">
        <v>59.3</v>
      </c>
    </row>
    <row r="1586" spans="1:44" x14ac:dyDescent="0.35">
      <c r="A1586" s="49" t="str">
        <f t="shared" si="127"/>
        <v>12</v>
      </c>
      <c r="B1586" s="27">
        <v>63008</v>
      </c>
      <c r="C1586" s="25" t="str">
        <f t="shared" si="128"/>
        <v>0000000</v>
      </c>
      <c r="D1586" s="26" t="s">
        <v>3663</v>
      </c>
      <c r="E1586" s="25" t="s">
        <v>567</v>
      </c>
      <c r="F1586" s="25" t="s">
        <v>339</v>
      </c>
      <c r="G1586" s="59" t="s">
        <v>568</v>
      </c>
      <c r="H1586" s="60">
        <v>309.10000000000002</v>
      </c>
      <c r="I1586" s="60">
        <v>261.39</v>
      </c>
      <c r="J1586" s="60">
        <v>271.2</v>
      </c>
      <c r="K1586" s="60">
        <v>0</v>
      </c>
      <c r="L1586" s="60">
        <v>0</v>
      </c>
      <c r="M1586" s="60">
        <v>0</v>
      </c>
      <c r="N1586" s="60">
        <v>0</v>
      </c>
      <c r="O1586" s="60">
        <v>0</v>
      </c>
      <c r="P1586" s="60">
        <v>0</v>
      </c>
      <c r="Q1586" s="60">
        <v>0</v>
      </c>
      <c r="R1586" s="60">
        <v>0</v>
      </c>
      <c r="S1586" s="60">
        <v>0</v>
      </c>
      <c r="T1586" s="60">
        <v>0</v>
      </c>
      <c r="U1586" s="60">
        <v>0</v>
      </c>
      <c r="V1586" s="60">
        <v>0</v>
      </c>
      <c r="W1586" s="60">
        <v>0</v>
      </c>
      <c r="X1586" s="60">
        <v>0</v>
      </c>
      <c r="Y1586" s="60">
        <v>0</v>
      </c>
      <c r="Z1586" s="60">
        <v>0</v>
      </c>
      <c r="AA1586" s="60">
        <v>0</v>
      </c>
      <c r="AB1586" s="60">
        <v>0</v>
      </c>
      <c r="AC1586" s="60">
        <v>0</v>
      </c>
      <c r="AD1586" s="60">
        <v>0</v>
      </c>
      <c r="AE1586" s="60">
        <v>0</v>
      </c>
      <c r="AF1586" s="60">
        <v>0</v>
      </c>
      <c r="AG1586" s="60">
        <v>0</v>
      </c>
      <c r="AH1586" s="60">
        <v>0</v>
      </c>
      <c r="AI1586" s="60">
        <v>309.10000000000002</v>
      </c>
      <c r="AJ1586" s="60">
        <v>261.39</v>
      </c>
      <c r="AK1586" s="60">
        <v>271.2</v>
      </c>
      <c r="AL1586" s="60">
        <v>0</v>
      </c>
      <c r="AM1586" s="60">
        <v>0</v>
      </c>
      <c r="AN1586" s="60">
        <v>0</v>
      </c>
      <c r="AO1586" s="60">
        <v>309.10000000000002</v>
      </c>
      <c r="AP1586" s="60">
        <v>261.39</v>
      </c>
      <c r="AQ1586" s="60">
        <v>271.2</v>
      </c>
      <c r="AR1586" s="61">
        <v>309.10000000000002</v>
      </c>
    </row>
    <row r="1587" spans="1:44" x14ac:dyDescent="0.35">
      <c r="A1587" s="49" t="str">
        <f t="shared" si="127"/>
        <v>12</v>
      </c>
      <c r="B1587" s="27">
        <v>63024</v>
      </c>
      <c r="C1587" s="25" t="str">
        <f t="shared" si="128"/>
        <v>0000000</v>
      </c>
      <c r="D1587" s="26" t="s">
        <v>3663</v>
      </c>
      <c r="E1587" s="25" t="s">
        <v>569</v>
      </c>
      <c r="F1587" s="25" t="s">
        <v>339</v>
      </c>
      <c r="G1587" s="59" t="s">
        <v>570</v>
      </c>
      <c r="H1587" s="60">
        <v>158.04</v>
      </c>
      <c r="I1587" s="60">
        <v>160.44</v>
      </c>
      <c r="J1587" s="60">
        <v>165.55</v>
      </c>
      <c r="K1587" s="60">
        <v>0</v>
      </c>
      <c r="L1587" s="60">
        <v>0</v>
      </c>
      <c r="M1587" s="60">
        <v>0</v>
      </c>
      <c r="N1587" s="60">
        <v>0</v>
      </c>
      <c r="O1587" s="60">
        <v>0</v>
      </c>
      <c r="P1587" s="60">
        <v>0</v>
      </c>
      <c r="Q1587" s="60">
        <v>0</v>
      </c>
      <c r="R1587" s="60">
        <v>0</v>
      </c>
      <c r="S1587" s="60">
        <v>0</v>
      </c>
      <c r="T1587" s="60">
        <v>0</v>
      </c>
      <c r="U1587" s="60">
        <v>0</v>
      </c>
      <c r="V1587" s="60">
        <v>0</v>
      </c>
      <c r="W1587" s="60">
        <v>0</v>
      </c>
      <c r="X1587" s="60">
        <v>0</v>
      </c>
      <c r="Y1587" s="60">
        <v>0</v>
      </c>
      <c r="Z1587" s="60">
        <v>0</v>
      </c>
      <c r="AA1587" s="60">
        <v>0</v>
      </c>
      <c r="AB1587" s="60">
        <v>0</v>
      </c>
      <c r="AC1587" s="60">
        <v>0</v>
      </c>
      <c r="AD1587" s="60">
        <v>0</v>
      </c>
      <c r="AE1587" s="60">
        <v>0</v>
      </c>
      <c r="AF1587" s="60">
        <v>0</v>
      </c>
      <c r="AG1587" s="60">
        <v>0</v>
      </c>
      <c r="AH1587" s="60">
        <v>0</v>
      </c>
      <c r="AI1587" s="60">
        <v>158.04</v>
      </c>
      <c r="AJ1587" s="60">
        <v>160.44</v>
      </c>
      <c r="AK1587" s="60">
        <v>165.55</v>
      </c>
      <c r="AL1587" s="60">
        <v>0</v>
      </c>
      <c r="AM1587" s="60">
        <v>0</v>
      </c>
      <c r="AN1587" s="60">
        <v>0</v>
      </c>
      <c r="AO1587" s="60">
        <v>158.04</v>
      </c>
      <c r="AP1587" s="60">
        <v>160.44</v>
      </c>
      <c r="AQ1587" s="60">
        <v>165.55</v>
      </c>
      <c r="AR1587" s="61">
        <v>165.55</v>
      </c>
    </row>
    <row r="1588" spans="1:44" x14ac:dyDescent="0.35">
      <c r="A1588" s="49" t="str">
        <f t="shared" si="127"/>
        <v>12</v>
      </c>
      <c r="B1588" s="27">
        <v>63032</v>
      </c>
      <c r="C1588" s="25" t="str">
        <f t="shared" si="128"/>
        <v>0000000</v>
      </c>
      <c r="D1588" s="26" t="s">
        <v>3663</v>
      </c>
      <c r="E1588" s="25" t="s">
        <v>571</v>
      </c>
      <c r="F1588" s="25" t="s">
        <v>339</v>
      </c>
      <c r="G1588" s="59" t="s">
        <v>572</v>
      </c>
      <c r="H1588" s="60">
        <v>315.49</v>
      </c>
      <c r="I1588" s="60">
        <v>308.69</v>
      </c>
      <c r="J1588" s="60">
        <v>378.71</v>
      </c>
      <c r="K1588" s="60">
        <v>0</v>
      </c>
      <c r="L1588" s="60">
        <v>0</v>
      </c>
      <c r="M1588" s="60">
        <v>0</v>
      </c>
      <c r="N1588" s="60">
        <v>0</v>
      </c>
      <c r="O1588" s="60">
        <v>0</v>
      </c>
      <c r="P1588" s="60">
        <v>0</v>
      </c>
      <c r="Q1588" s="60">
        <v>0</v>
      </c>
      <c r="R1588" s="60">
        <v>0</v>
      </c>
      <c r="S1588" s="60">
        <v>0</v>
      </c>
      <c r="T1588" s="60">
        <v>0</v>
      </c>
      <c r="U1588" s="60">
        <v>0</v>
      </c>
      <c r="V1588" s="60">
        <v>0</v>
      </c>
      <c r="W1588" s="60">
        <v>0</v>
      </c>
      <c r="X1588" s="60">
        <v>0</v>
      </c>
      <c r="Y1588" s="60">
        <v>0</v>
      </c>
      <c r="Z1588" s="60">
        <v>0</v>
      </c>
      <c r="AA1588" s="60">
        <v>0</v>
      </c>
      <c r="AB1588" s="60">
        <v>0</v>
      </c>
      <c r="AC1588" s="60">
        <v>505.91</v>
      </c>
      <c r="AD1588" s="60">
        <v>559.33000000000004</v>
      </c>
      <c r="AE1588" s="60">
        <v>524.05999999999995</v>
      </c>
      <c r="AF1588" s="60">
        <v>0</v>
      </c>
      <c r="AG1588" s="60">
        <v>0</v>
      </c>
      <c r="AH1588" s="60">
        <v>0</v>
      </c>
      <c r="AI1588" s="60">
        <v>821.4</v>
      </c>
      <c r="AJ1588" s="60">
        <v>868.02</v>
      </c>
      <c r="AK1588" s="60">
        <v>902.77</v>
      </c>
      <c r="AL1588" s="60">
        <v>0</v>
      </c>
      <c r="AM1588" s="60">
        <v>0</v>
      </c>
      <c r="AN1588" s="60">
        <v>0</v>
      </c>
      <c r="AO1588" s="60">
        <v>821.4</v>
      </c>
      <c r="AP1588" s="60">
        <v>868.02</v>
      </c>
      <c r="AQ1588" s="60">
        <v>902.77</v>
      </c>
      <c r="AR1588" s="61">
        <v>902.77</v>
      </c>
    </row>
    <row r="1589" spans="1:44" x14ac:dyDescent="0.35">
      <c r="A1589" s="49" t="str">
        <f t="shared" si="127"/>
        <v>12</v>
      </c>
      <c r="B1589" s="27">
        <v>63040</v>
      </c>
      <c r="C1589" s="25" t="str">
        <f t="shared" si="128"/>
        <v>0000000</v>
      </c>
      <c r="D1589" s="26" t="s">
        <v>3663</v>
      </c>
      <c r="E1589" s="25" t="s">
        <v>573</v>
      </c>
      <c r="F1589" s="25" t="s">
        <v>339</v>
      </c>
      <c r="G1589" s="59" t="s">
        <v>574</v>
      </c>
      <c r="H1589" s="60">
        <v>572.94000000000005</v>
      </c>
      <c r="I1589" s="60">
        <v>597.54999999999995</v>
      </c>
      <c r="J1589" s="60">
        <v>719.63</v>
      </c>
      <c r="K1589" s="60">
        <v>0</v>
      </c>
      <c r="L1589" s="60">
        <v>0</v>
      </c>
      <c r="M1589" s="60">
        <v>0</v>
      </c>
      <c r="N1589" s="60">
        <v>0</v>
      </c>
      <c r="O1589" s="60">
        <v>0</v>
      </c>
      <c r="P1589" s="60">
        <v>0</v>
      </c>
      <c r="Q1589" s="60">
        <v>0</v>
      </c>
      <c r="R1589" s="60">
        <v>0</v>
      </c>
      <c r="S1589" s="60">
        <v>0</v>
      </c>
      <c r="T1589" s="60">
        <v>0</v>
      </c>
      <c r="U1589" s="60">
        <v>0</v>
      </c>
      <c r="V1589" s="60">
        <v>0</v>
      </c>
      <c r="W1589" s="60">
        <v>0</v>
      </c>
      <c r="X1589" s="60">
        <v>0</v>
      </c>
      <c r="Y1589" s="60">
        <v>0</v>
      </c>
      <c r="Z1589" s="60">
        <v>0</v>
      </c>
      <c r="AA1589" s="60">
        <v>0</v>
      </c>
      <c r="AB1589" s="60">
        <v>0</v>
      </c>
      <c r="AC1589" s="60">
        <v>0</v>
      </c>
      <c r="AD1589" s="60">
        <v>0</v>
      </c>
      <c r="AE1589" s="60">
        <v>0</v>
      </c>
      <c r="AF1589" s="60">
        <v>0</v>
      </c>
      <c r="AG1589" s="60">
        <v>0</v>
      </c>
      <c r="AH1589" s="60">
        <v>0</v>
      </c>
      <c r="AI1589" s="60">
        <v>572.94000000000005</v>
      </c>
      <c r="AJ1589" s="60">
        <v>597.54999999999995</v>
      </c>
      <c r="AK1589" s="60">
        <v>719.63</v>
      </c>
      <c r="AL1589" s="60">
        <v>0</v>
      </c>
      <c r="AM1589" s="60">
        <v>0</v>
      </c>
      <c r="AN1589" s="60">
        <v>0</v>
      </c>
      <c r="AO1589" s="60">
        <v>572.94000000000005</v>
      </c>
      <c r="AP1589" s="60">
        <v>597.54999999999995</v>
      </c>
      <c r="AQ1589" s="60">
        <v>719.63</v>
      </c>
      <c r="AR1589" s="61">
        <v>719.63</v>
      </c>
    </row>
    <row r="1590" spans="1:44" x14ac:dyDescent="0.35">
      <c r="A1590" s="49" t="str">
        <f t="shared" si="127"/>
        <v>12</v>
      </c>
      <c r="B1590" s="27">
        <v>63057</v>
      </c>
      <c r="C1590" s="25" t="str">
        <f t="shared" si="128"/>
        <v>0000000</v>
      </c>
      <c r="D1590" s="26" t="s">
        <v>3663</v>
      </c>
      <c r="E1590" s="25" t="s">
        <v>575</v>
      </c>
      <c r="F1590" s="25" t="s">
        <v>339</v>
      </c>
      <c r="G1590" s="59" t="s">
        <v>576</v>
      </c>
      <c r="H1590" s="60">
        <v>153.58000000000001</v>
      </c>
      <c r="I1590" s="60">
        <v>177.52</v>
      </c>
      <c r="J1590" s="60">
        <v>189.58</v>
      </c>
      <c r="K1590" s="60">
        <v>0</v>
      </c>
      <c r="L1590" s="60">
        <v>0</v>
      </c>
      <c r="M1590" s="60">
        <v>0</v>
      </c>
      <c r="N1590" s="60">
        <v>0</v>
      </c>
      <c r="O1590" s="60">
        <v>0</v>
      </c>
      <c r="P1590" s="60">
        <v>0</v>
      </c>
      <c r="Q1590" s="60">
        <v>0</v>
      </c>
      <c r="R1590" s="60">
        <v>0</v>
      </c>
      <c r="S1590" s="60">
        <v>0</v>
      </c>
      <c r="T1590" s="60">
        <v>0</v>
      </c>
      <c r="U1590" s="60">
        <v>0</v>
      </c>
      <c r="V1590" s="60">
        <v>0</v>
      </c>
      <c r="W1590" s="60">
        <v>0</v>
      </c>
      <c r="X1590" s="60">
        <v>0</v>
      </c>
      <c r="Y1590" s="60">
        <v>0</v>
      </c>
      <c r="Z1590" s="60">
        <v>0</v>
      </c>
      <c r="AA1590" s="60">
        <v>0</v>
      </c>
      <c r="AB1590" s="60">
        <v>0</v>
      </c>
      <c r="AC1590" s="60">
        <v>0</v>
      </c>
      <c r="AD1590" s="60">
        <v>0</v>
      </c>
      <c r="AE1590" s="60">
        <v>0</v>
      </c>
      <c r="AF1590" s="60">
        <v>0</v>
      </c>
      <c r="AG1590" s="60">
        <v>0</v>
      </c>
      <c r="AH1590" s="60">
        <v>0</v>
      </c>
      <c r="AI1590" s="60">
        <v>153.58000000000001</v>
      </c>
      <c r="AJ1590" s="60">
        <v>177.52</v>
      </c>
      <c r="AK1590" s="60">
        <v>189.58</v>
      </c>
      <c r="AL1590" s="60">
        <v>0</v>
      </c>
      <c r="AM1590" s="60">
        <v>0</v>
      </c>
      <c r="AN1590" s="60">
        <v>0</v>
      </c>
      <c r="AO1590" s="60">
        <v>153.58000000000001</v>
      </c>
      <c r="AP1590" s="60">
        <v>177.52</v>
      </c>
      <c r="AQ1590" s="60">
        <v>189.58</v>
      </c>
      <c r="AR1590" s="61">
        <v>189.58</v>
      </c>
    </row>
    <row r="1591" spans="1:44" x14ac:dyDescent="0.35">
      <c r="A1591" s="49" t="str">
        <f>TEXT(8,"00")</f>
        <v>08</v>
      </c>
      <c r="B1591" s="27">
        <v>61820</v>
      </c>
      <c r="C1591" s="25" t="str">
        <f t="shared" si="128"/>
        <v>0000000</v>
      </c>
      <c r="D1591" s="26" t="s">
        <v>3663</v>
      </c>
      <c r="E1591" s="25" t="s">
        <v>342</v>
      </c>
      <c r="F1591" s="25" t="s">
        <v>339</v>
      </c>
      <c r="G1591" s="59" t="s">
        <v>343</v>
      </c>
      <c r="H1591" s="60">
        <v>3156.55</v>
      </c>
      <c r="I1591" s="60">
        <v>3004.05</v>
      </c>
      <c r="J1591" s="60">
        <v>3451.19</v>
      </c>
      <c r="K1591" s="60">
        <v>0</v>
      </c>
      <c r="L1591" s="60">
        <v>0</v>
      </c>
      <c r="M1591" s="60">
        <v>0</v>
      </c>
      <c r="N1591" s="60">
        <v>0</v>
      </c>
      <c r="O1591" s="60">
        <v>0</v>
      </c>
      <c r="P1591" s="60">
        <v>0</v>
      </c>
      <c r="Q1591" s="60">
        <v>0</v>
      </c>
      <c r="R1591" s="60">
        <v>0</v>
      </c>
      <c r="S1591" s="60">
        <v>0</v>
      </c>
      <c r="T1591" s="60">
        <v>0</v>
      </c>
      <c r="U1591" s="60">
        <v>0</v>
      </c>
      <c r="V1591" s="60">
        <v>0</v>
      </c>
      <c r="W1591" s="60">
        <v>0</v>
      </c>
      <c r="X1591" s="60">
        <v>0</v>
      </c>
      <c r="Y1591" s="60">
        <v>0</v>
      </c>
      <c r="Z1591" s="60">
        <v>0</v>
      </c>
      <c r="AA1591" s="60">
        <v>0</v>
      </c>
      <c r="AB1591" s="60">
        <v>0</v>
      </c>
      <c r="AC1591" s="60">
        <v>270.87</v>
      </c>
      <c r="AD1591" s="60">
        <v>280.04000000000002</v>
      </c>
      <c r="AE1591" s="60">
        <v>267.68</v>
      </c>
      <c r="AF1591" s="60">
        <v>0</v>
      </c>
      <c r="AG1591" s="60">
        <v>0</v>
      </c>
      <c r="AH1591" s="60">
        <v>0</v>
      </c>
      <c r="AI1591" s="60">
        <v>3427.42</v>
      </c>
      <c r="AJ1591" s="60">
        <v>3284.09</v>
      </c>
      <c r="AK1591" s="60">
        <v>3718.87</v>
      </c>
      <c r="AL1591" s="60">
        <v>0</v>
      </c>
      <c r="AM1591" s="60">
        <v>0</v>
      </c>
      <c r="AN1591" s="60">
        <v>0</v>
      </c>
      <c r="AO1591" s="60">
        <v>3427.42</v>
      </c>
      <c r="AP1591" s="60">
        <v>3284.09</v>
      </c>
      <c r="AQ1591" s="60">
        <v>3718.87</v>
      </c>
      <c r="AR1591" s="61">
        <v>3718.87</v>
      </c>
    </row>
    <row r="1592" spans="1:44" x14ac:dyDescent="0.35">
      <c r="A1592" s="49" t="str">
        <f t="shared" ref="A1592:A1598" si="129">TEXT(12,"00")</f>
        <v>12</v>
      </c>
      <c r="B1592" s="27">
        <v>62729</v>
      </c>
      <c r="C1592" s="25" t="str">
        <f t="shared" si="128"/>
        <v>0000000</v>
      </c>
      <c r="D1592" s="26" t="s">
        <v>3663</v>
      </c>
      <c r="E1592" s="25" t="s">
        <v>532</v>
      </c>
      <c r="F1592" s="25" t="s">
        <v>339</v>
      </c>
      <c r="G1592" s="59" t="s">
        <v>533</v>
      </c>
      <c r="H1592" s="60">
        <v>35.75</v>
      </c>
      <c r="I1592" s="60">
        <v>36.29</v>
      </c>
      <c r="J1592" s="60">
        <v>39.369999999999997</v>
      </c>
      <c r="K1592" s="60">
        <v>0</v>
      </c>
      <c r="L1592" s="60">
        <v>0</v>
      </c>
      <c r="M1592" s="60">
        <v>0</v>
      </c>
      <c r="N1592" s="60">
        <v>0</v>
      </c>
      <c r="O1592" s="60">
        <v>0</v>
      </c>
      <c r="P1592" s="60">
        <v>0</v>
      </c>
      <c r="Q1592" s="60">
        <v>0</v>
      </c>
      <c r="R1592" s="60">
        <v>0</v>
      </c>
      <c r="S1592" s="60">
        <v>0</v>
      </c>
      <c r="T1592" s="60">
        <v>0</v>
      </c>
      <c r="U1592" s="60">
        <v>0</v>
      </c>
      <c r="V1592" s="60">
        <v>0</v>
      </c>
      <c r="W1592" s="60">
        <v>0</v>
      </c>
      <c r="X1592" s="60">
        <v>0</v>
      </c>
      <c r="Y1592" s="60">
        <v>0</v>
      </c>
      <c r="Z1592" s="60">
        <v>0</v>
      </c>
      <c r="AA1592" s="60">
        <v>0</v>
      </c>
      <c r="AB1592" s="60">
        <v>0</v>
      </c>
      <c r="AC1592" s="60">
        <v>0</v>
      </c>
      <c r="AD1592" s="60">
        <v>0</v>
      </c>
      <c r="AE1592" s="60">
        <v>0</v>
      </c>
      <c r="AF1592" s="60">
        <v>0</v>
      </c>
      <c r="AG1592" s="60">
        <v>0</v>
      </c>
      <c r="AH1592" s="60">
        <v>0</v>
      </c>
      <c r="AI1592" s="60">
        <v>35.75</v>
      </c>
      <c r="AJ1592" s="60">
        <v>36.29</v>
      </c>
      <c r="AK1592" s="60">
        <v>39.369999999999997</v>
      </c>
      <c r="AL1592" s="60">
        <v>0</v>
      </c>
      <c r="AM1592" s="60">
        <v>0</v>
      </c>
      <c r="AN1592" s="60">
        <v>0</v>
      </c>
      <c r="AO1592" s="60">
        <v>35.75</v>
      </c>
      <c r="AP1592" s="60">
        <v>36.29</v>
      </c>
      <c r="AQ1592" s="60">
        <v>39.369999999999997</v>
      </c>
      <c r="AR1592" s="61">
        <v>39.369999999999997</v>
      </c>
    </row>
    <row r="1593" spans="1:44" x14ac:dyDescent="0.35">
      <c r="A1593" s="49" t="str">
        <f t="shared" si="129"/>
        <v>12</v>
      </c>
      <c r="B1593" s="27">
        <v>62919</v>
      </c>
      <c r="C1593" s="25" t="str">
        <f t="shared" si="128"/>
        <v>0000000</v>
      </c>
      <c r="D1593" s="26" t="s">
        <v>3663</v>
      </c>
      <c r="E1593" s="25" t="s">
        <v>554</v>
      </c>
      <c r="F1593" s="25" t="s">
        <v>339</v>
      </c>
      <c r="G1593" s="59" t="s">
        <v>555</v>
      </c>
      <c r="H1593" s="60">
        <v>29.81</v>
      </c>
      <c r="I1593" s="60">
        <v>31.91</v>
      </c>
      <c r="J1593" s="60">
        <v>14.3</v>
      </c>
      <c r="K1593" s="60">
        <v>0</v>
      </c>
      <c r="L1593" s="60">
        <v>0</v>
      </c>
      <c r="M1593" s="60">
        <v>0</v>
      </c>
      <c r="N1593" s="60">
        <v>0</v>
      </c>
      <c r="O1593" s="60">
        <v>0</v>
      </c>
      <c r="P1593" s="60">
        <v>0</v>
      </c>
      <c r="Q1593" s="60">
        <v>0</v>
      </c>
      <c r="R1593" s="60">
        <v>0</v>
      </c>
      <c r="S1593" s="60">
        <v>0</v>
      </c>
      <c r="T1593" s="60">
        <v>0</v>
      </c>
      <c r="U1593" s="60">
        <v>0</v>
      </c>
      <c r="V1593" s="60">
        <v>0</v>
      </c>
      <c r="W1593" s="60">
        <v>0</v>
      </c>
      <c r="X1593" s="60">
        <v>0</v>
      </c>
      <c r="Y1593" s="60">
        <v>0</v>
      </c>
      <c r="Z1593" s="60">
        <v>0</v>
      </c>
      <c r="AA1593" s="60">
        <v>0</v>
      </c>
      <c r="AB1593" s="60">
        <v>0</v>
      </c>
      <c r="AC1593" s="60">
        <v>0</v>
      </c>
      <c r="AD1593" s="60">
        <v>0</v>
      </c>
      <c r="AE1593" s="60">
        <v>0</v>
      </c>
      <c r="AF1593" s="60">
        <v>0</v>
      </c>
      <c r="AG1593" s="60">
        <v>0</v>
      </c>
      <c r="AH1593" s="60">
        <v>0</v>
      </c>
      <c r="AI1593" s="60">
        <v>29.81</v>
      </c>
      <c r="AJ1593" s="60">
        <v>31.91</v>
      </c>
      <c r="AK1593" s="60">
        <v>14.3</v>
      </c>
      <c r="AL1593" s="60">
        <v>0</v>
      </c>
      <c r="AM1593" s="60">
        <v>0</v>
      </c>
      <c r="AN1593" s="60">
        <v>0</v>
      </c>
      <c r="AO1593" s="60">
        <v>29.81</v>
      </c>
      <c r="AP1593" s="60">
        <v>31.91</v>
      </c>
      <c r="AQ1593" s="60">
        <v>14.3</v>
      </c>
      <c r="AR1593" s="61">
        <v>31.91</v>
      </c>
    </row>
    <row r="1594" spans="1:44" x14ac:dyDescent="0.35">
      <c r="A1594" s="49" t="str">
        <f t="shared" si="129"/>
        <v>12</v>
      </c>
      <c r="B1594" s="27">
        <v>62851</v>
      </c>
      <c r="C1594" s="25" t="str">
        <f t="shared" si="128"/>
        <v>0000000</v>
      </c>
      <c r="D1594" s="26" t="s">
        <v>3663</v>
      </c>
      <c r="E1594" s="25" t="s">
        <v>546</v>
      </c>
      <c r="F1594" s="25" t="s">
        <v>339</v>
      </c>
      <c r="G1594" s="59" t="s">
        <v>547</v>
      </c>
      <c r="H1594" s="60">
        <v>11.15</v>
      </c>
      <c r="I1594" s="60">
        <v>7.37</v>
      </c>
      <c r="J1594" s="60">
        <v>12.55</v>
      </c>
      <c r="K1594" s="60">
        <v>0</v>
      </c>
      <c r="L1594" s="60">
        <v>0</v>
      </c>
      <c r="M1594" s="60">
        <v>0</v>
      </c>
      <c r="N1594" s="60">
        <v>0</v>
      </c>
      <c r="O1594" s="60">
        <v>0</v>
      </c>
      <c r="P1594" s="60">
        <v>0</v>
      </c>
      <c r="Q1594" s="60">
        <v>0</v>
      </c>
      <c r="R1594" s="60">
        <v>0</v>
      </c>
      <c r="S1594" s="60">
        <v>0</v>
      </c>
      <c r="T1594" s="60">
        <v>0</v>
      </c>
      <c r="U1594" s="60">
        <v>0</v>
      </c>
      <c r="V1594" s="60">
        <v>0</v>
      </c>
      <c r="W1594" s="60">
        <v>0</v>
      </c>
      <c r="X1594" s="60">
        <v>0</v>
      </c>
      <c r="Y1594" s="60">
        <v>0</v>
      </c>
      <c r="Z1594" s="60">
        <v>0</v>
      </c>
      <c r="AA1594" s="60">
        <v>0</v>
      </c>
      <c r="AB1594" s="60">
        <v>0</v>
      </c>
      <c r="AC1594" s="60">
        <v>0</v>
      </c>
      <c r="AD1594" s="60">
        <v>0</v>
      </c>
      <c r="AE1594" s="60">
        <v>0</v>
      </c>
      <c r="AF1594" s="60">
        <v>0</v>
      </c>
      <c r="AG1594" s="60">
        <v>0</v>
      </c>
      <c r="AH1594" s="60">
        <v>0</v>
      </c>
      <c r="AI1594" s="60">
        <v>11.15</v>
      </c>
      <c r="AJ1594" s="60">
        <v>7.37</v>
      </c>
      <c r="AK1594" s="60">
        <v>12.55</v>
      </c>
      <c r="AL1594" s="60">
        <v>0</v>
      </c>
      <c r="AM1594" s="60">
        <v>0</v>
      </c>
      <c r="AN1594" s="60">
        <v>0</v>
      </c>
      <c r="AO1594" s="60">
        <v>11.15</v>
      </c>
      <c r="AP1594" s="60">
        <v>7.37</v>
      </c>
      <c r="AQ1594" s="60">
        <v>12.55</v>
      </c>
      <c r="AR1594" s="61">
        <v>12.55</v>
      </c>
    </row>
    <row r="1595" spans="1:44" x14ac:dyDescent="0.35">
      <c r="A1595" s="49" t="str">
        <f t="shared" si="129"/>
        <v>12</v>
      </c>
      <c r="B1595" s="27">
        <v>75374</v>
      </c>
      <c r="C1595" s="25" t="str">
        <f t="shared" si="128"/>
        <v>0000000</v>
      </c>
      <c r="D1595" s="26" t="s">
        <v>3663</v>
      </c>
      <c r="E1595" s="25" t="s">
        <v>577</v>
      </c>
      <c r="F1595" s="25" t="s">
        <v>339</v>
      </c>
      <c r="G1595" s="59" t="s">
        <v>578</v>
      </c>
      <c r="H1595" s="60">
        <v>430.89</v>
      </c>
      <c r="I1595" s="60">
        <v>433.8</v>
      </c>
      <c r="J1595" s="60">
        <v>436.63</v>
      </c>
      <c r="K1595" s="60">
        <v>0</v>
      </c>
      <c r="L1595" s="60">
        <v>0</v>
      </c>
      <c r="M1595" s="60">
        <v>0</v>
      </c>
      <c r="N1595" s="60">
        <v>0</v>
      </c>
      <c r="O1595" s="60">
        <v>0</v>
      </c>
      <c r="P1595" s="60">
        <v>0</v>
      </c>
      <c r="Q1595" s="60">
        <v>0</v>
      </c>
      <c r="R1595" s="60">
        <v>0</v>
      </c>
      <c r="S1595" s="60">
        <v>0</v>
      </c>
      <c r="T1595" s="60">
        <v>0</v>
      </c>
      <c r="U1595" s="60">
        <v>0</v>
      </c>
      <c r="V1595" s="60">
        <v>0</v>
      </c>
      <c r="W1595" s="60">
        <v>0</v>
      </c>
      <c r="X1595" s="60">
        <v>0</v>
      </c>
      <c r="Y1595" s="60">
        <v>0</v>
      </c>
      <c r="Z1595" s="60">
        <v>0</v>
      </c>
      <c r="AA1595" s="60">
        <v>0</v>
      </c>
      <c r="AB1595" s="60">
        <v>0</v>
      </c>
      <c r="AC1595" s="60">
        <v>0</v>
      </c>
      <c r="AD1595" s="60">
        <v>0</v>
      </c>
      <c r="AE1595" s="60">
        <v>0</v>
      </c>
      <c r="AF1595" s="60">
        <v>0</v>
      </c>
      <c r="AG1595" s="60">
        <v>0</v>
      </c>
      <c r="AH1595" s="60">
        <v>0</v>
      </c>
      <c r="AI1595" s="60">
        <v>430.89</v>
      </c>
      <c r="AJ1595" s="60">
        <v>433.8</v>
      </c>
      <c r="AK1595" s="60">
        <v>436.63</v>
      </c>
      <c r="AL1595" s="60">
        <v>0</v>
      </c>
      <c r="AM1595" s="60">
        <v>0</v>
      </c>
      <c r="AN1595" s="60">
        <v>0</v>
      </c>
      <c r="AO1595" s="60">
        <v>430.89</v>
      </c>
      <c r="AP1595" s="60">
        <v>433.8</v>
      </c>
      <c r="AQ1595" s="60">
        <v>436.63</v>
      </c>
      <c r="AR1595" s="61">
        <v>436.63</v>
      </c>
    </row>
    <row r="1596" spans="1:44" x14ac:dyDescent="0.35">
      <c r="A1596" s="49" t="str">
        <f t="shared" si="129"/>
        <v>12</v>
      </c>
      <c r="B1596" s="27">
        <v>75382</v>
      </c>
      <c r="C1596" s="25" t="str">
        <f t="shared" si="128"/>
        <v>0000000</v>
      </c>
      <c r="D1596" s="26" t="s">
        <v>3663</v>
      </c>
      <c r="E1596" s="25" t="s">
        <v>579</v>
      </c>
      <c r="F1596" s="25" t="s">
        <v>339</v>
      </c>
      <c r="G1596" s="59" t="s">
        <v>580</v>
      </c>
      <c r="H1596" s="60">
        <v>31.77</v>
      </c>
      <c r="I1596" s="60">
        <v>39.130000000000003</v>
      </c>
      <c r="J1596" s="60">
        <v>49.35</v>
      </c>
      <c r="K1596" s="60">
        <v>0</v>
      </c>
      <c r="L1596" s="60">
        <v>0</v>
      </c>
      <c r="M1596" s="60">
        <v>0</v>
      </c>
      <c r="N1596" s="60">
        <v>0</v>
      </c>
      <c r="O1596" s="60">
        <v>0</v>
      </c>
      <c r="P1596" s="60">
        <v>0</v>
      </c>
      <c r="Q1596" s="60">
        <v>0</v>
      </c>
      <c r="R1596" s="60">
        <v>0</v>
      </c>
      <c r="S1596" s="60">
        <v>0</v>
      </c>
      <c r="T1596" s="60">
        <v>0</v>
      </c>
      <c r="U1596" s="60">
        <v>0</v>
      </c>
      <c r="V1596" s="60">
        <v>0</v>
      </c>
      <c r="W1596" s="60">
        <v>0</v>
      </c>
      <c r="X1596" s="60">
        <v>0</v>
      </c>
      <c r="Y1596" s="60">
        <v>0</v>
      </c>
      <c r="Z1596" s="60">
        <v>0</v>
      </c>
      <c r="AA1596" s="60">
        <v>0</v>
      </c>
      <c r="AB1596" s="60">
        <v>0</v>
      </c>
      <c r="AC1596" s="60">
        <v>0</v>
      </c>
      <c r="AD1596" s="60">
        <v>0</v>
      </c>
      <c r="AE1596" s="60">
        <v>0</v>
      </c>
      <c r="AF1596" s="60">
        <v>0</v>
      </c>
      <c r="AG1596" s="60">
        <v>0</v>
      </c>
      <c r="AH1596" s="60">
        <v>0</v>
      </c>
      <c r="AI1596" s="60">
        <v>31.77</v>
      </c>
      <c r="AJ1596" s="60">
        <v>39.130000000000003</v>
      </c>
      <c r="AK1596" s="60">
        <v>49.35</v>
      </c>
      <c r="AL1596" s="60">
        <v>0</v>
      </c>
      <c r="AM1596" s="60">
        <v>0</v>
      </c>
      <c r="AN1596" s="60">
        <v>0</v>
      </c>
      <c r="AO1596" s="60">
        <v>31.77</v>
      </c>
      <c r="AP1596" s="60">
        <v>39.130000000000003</v>
      </c>
      <c r="AQ1596" s="60">
        <v>49.35</v>
      </c>
      <c r="AR1596" s="61">
        <v>49.35</v>
      </c>
    </row>
    <row r="1597" spans="1:44" x14ac:dyDescent="0.35">
      <c r="A1597" s="49" t="str">
        <f t="shared" si="129"/>
        <v>12</v>
      </c>
      <c r="B1597" s="27">
        <v>62935</v>
      </c>
      <c r="C1597" s="25" t="str">
        <f t="shared" si="128"/>
        <v>0000000</v>
      </c>
      <c r="D1597" s="26" t="s">
        <v>3663</v>
      </c>
      <c r="E1597" s="25" t="s">
        <v>558</v>
      </c>
      <c r="F1597" s="25" t="s">
        <v>339</v>
      </c>
      <c r="G1597" s="59" t="s">
        <v>559</v>
      </c>
      <c r="H1597" s="60">
        <v>5.71</v>
      </c>
      <c r="I1597" s="60">
        <v>4.2</v>
      </c>
      <c r="J1597" s="60">
        <v>9.6</v>
      </c>
      <c r="K1597" s="60">
        <v>0</v>
      </c>
      <c r="L1597" s="60">
        <v>0</v>
      </c>
      <c r="M1597" s="60">
        <v>0</v>
      </c>
      <c r="N1597" s="60">
        <v>0</v>
      </c>
      <c r="O1597" s="60">
        <v>0</v>
      </c>
      <c r="P1597" s="60">
        <v>0</v>
      </c>
      <c r="Q1597" s="60">
        <v>0</v>
      </c>
      <c r="R1597" s="60">
        <v>0</v>
      </c>
      <c r="S1597" s="60">
        <v>0</v>
      </c>
      <c r="T1597" s="60">
        <v>0</v>
      </c>
      <c r="U1597" s="60">
        <v>0</v>
      </c>
      <c r="V1597" s="60">
        <v>0</v>
      </c>
      <c r="W1597" s="60">
        <v>0</v>
      </c>
      <c r="X1597" s="60">
        <v>0</v>
      </c>
      <c r="Y1597" s="60">
        <v>0</v>
      </c>
      <c r="Z1597" s="60">
        <v>0</v>
      </c>
      <c r="AA1597" s="60">
        <v>0</v>
      </c>
      <c r="AB1597" s="60">
        <v>0</v>
      </c>
      <c r="AC1597" s="60">
        <v>0</v>
      </c>
      <c r="AD1597" s="60">
        <v>0</v>
      </c>
      <c r="AE1597" s="60">
        <v>0</v>
      </c>
      <c r="AF1597" s="60">
        <v>0</v>
      </c>
      <c r="AG1597" s="60">
        <v>0</v>
      </c>
      <c r="AH1597" s="60">
        <v>0</v>
      </c>
      <c r="AI1597" s="60">
        <v>5.71</v>
      </c>
      <c r="AJ1597" s="60">
        <v>4.2</v>
      </c>
      <c r="AK1597" s="60">
        <v>9.6</v>
      </c>
      <c r="AL1597" s="60">
        <v>0</v>
      </c>
      <c r="AM1597" s="60">
        <v>0</v>
      </c>
      <c r="AN1597" s="60">
        <v>0</v>
      </c>
      <c r="AO1597" s="60">
        <v>5.71</v>
      </c>
      <c r="AP1597" s="60">
        <v>4.2</v>
      </c>
      <c r="AQ1597" s="60">
        <v>9.6</v>
      </c>
      <c r="AR1597" s="61">
        <v>9.6</v>
      </c>
    </row>
    <row r="1598" spans="1:44" x14ac:dyDescent="0.35">
      <c r="A1598" s="49" t="str">
        <f t="shared" si="129"/>
        <v>12</v>
      </c>
      <c r="B1598" s="27">
        <v>75515</v>
      </c>
      <c r="C1598" s="25" t="str">
        <f t="shared" si="128"/>
        <v>0000000</v>
      </c>
      <c r="D1598" s="26" t="s">
        <v>3663</v>
      </c>
      <c r="E1598" s="25" t="s">
        <v>581</v>
      </c>
      <c r="F1598" s="25" t="s">
        <v>339</v>
      </c>
      <c r="G1598" s="59" t="s">
        <v>582</v>
      </c>
      <c r="H1598" s="60">
        <v>3211.5</v>
      </c>
      <c r="I1598" s="60">
        <v>3204.17</v>
      </c>
      <c r="J1598" s="60">
        <v>3449.54</v>
      </c>
      <c r="K1598" s="60">
        <v>0</v>
      </c>
      <c r="L1598" s="60">
        <v>0</v>
      </c>
      <c r="M1598" s="60">
        <v>0</v>
      </c>
      <c r="N1598" s="60">
        <v>0</v>
      </c>
      <c r="O1598" s="60">
        <v>0</v>
      </c>
      <c r="P1598" s="60">
        <v>0</v>
      </c>
      <c r="Q1598" s="60">
        <v>0</v>
      </c>
      <c r="R1598" s="60">
        <v>0</v>
      </c>
      <c r="S1598" s="60">
        <v>0</v>
      </c>
      <c r="T1598" s="60">
        <v>0</v>
      </c>
      <c r="U1598" s="60">
        <v>0</v>
      </c>
      <c r="V1598" s="60">
        <v>0</v>
      </c>
      <c r="W1598" s="60">
        <v>0</v>
      </c>
      <c r="X1598" s="60">
        <v>0</v>
      </c>
      <c r="Y1598" s="60">
        <v>0</v>
      </c>
      <c r="Z1598" s="60">
        <v>0</v>
      </c>
      <c r="AA1598" s="60">
        <v>0</v>
      </c>
      <c r="AB1598" s="60">
        <v>0</v>
      </c>
      <c r="AC1598" s="60">
        <v>0</v>
      </c>
      <c r="AD1598" s="60">
        <v>0</v>
      </c>
      <c r="AE1598" s="60">
        <v>0</v>
      </c>
      <c r="AF1598" s="60">
        <v>0</v>
      </c>
      <c r="AG1598" s="60">
        <v>0</v>
      </c>
      <c r="AH1598" s="60">
        <v>0</v>
      </c>
      <c r="AI1598" s="60">
        <v>3211.5</v>
      </c>
      <c r="AJ1598" s="60">
        <v>3204.17</v>
      </c>
      <c r="AK1598" s="60">
        <v>3449.54</v>
      </c>
      <c r="AL1598" s="60">
        <v>0</v>
      </c>
      <c r="AM1598" s="60">
        <v>0</v>
      </c>
      <c r="AN1598" s="60">
        <v>0</v>
      </c>
      <c r="AO1598" s="60">
        <v>3211.5</v>
      </c>
      <c r="AP1598" s="60">
        <v>3204.17</v>
      </c>
      <c r="AQ1598" s="60">
        <v>3449.54</v>
      </c>
      <c r="AR1598" s="61">
        <v>3449.54</v>
      </c>
    </row>
    <row r="1599" spans="1:44" x14ac:dyDescent="0.35">
      <c r="A1599" s="49" t="str">
        <f>TEXT(8,"00")</f>
        <v>08</v>
      </c>
      <c r="B1599" s="27">
        <v>10082</v>
      </c>
      <c r="C1599" s="25" t="str">
        <f t="shared" si="128"/>
        <v>0000000</v>
      </c>
      <c r="D1599" s="26" t="s">
        <v>3663</v>
      </c>
      <c r="E1599" s="25" t="s">
        <v>340</v>
      </c>
      <c r="F1599" s="25" t="s">
        <v>339</v>
      </c>
      <c r="G1599" s="59" t="s">
        <v>341</v>
      </c>
      <c r="H1599" s="60">
        <v>0</v>
      </c>
      <c r="I1599" s="60">
        <v>0</v>
      </c>
      <c r="J1599" s="60">
        <v>0</v>
      </c>
      <c r="K1599" s="60">
        <v>0</v>
      </c>
      <c r="L1599" s="60">
        <v>0</v>
      </c>
      <c r="M1599" s="60">
        <v>0</v>
      </c>
      <c r="N1599" s="60">
        <v>0</v>
      </c>
      <c r="O1599" s="60">
        <v>0</v>
      </c>
      <c r="P1599" s="60">
        <v>0</v>
      </c>
      <c r="Q1599" s="60">
        <v>0</v>
      </c>
      <c r="R1599" s="60">
        <v>0</v>
      </c>
      <c r="S1599" s="60">
        <v>0</v>
      </c>
      <c r="T1599" s="60">
        <v>13.57</v>
      </c>
      <c r="U1599" s="60">
        <v>14.57</v>
      </c>
      <c r="V1599" s="60">
        <v>27.96</v>
      </c>
      <c r="W1599" s="60">
        <v>12.78</v>
      </c>
      <c r="X1599" s="60">
        <v>16.66</v>
      </c>
      <c r="Y1599" s="60">
        <v>25.8</v>
      </c>
      <c r="Z1599" s="60">
        <v>357.7</v>
      </c>
      <c r="AA1599" s="60">
        <v>342.24</v>
      </c>
      <c r="AB1599" s="60">
        <v>316.38</v>
      </c>
      <c r="AC1599" s="60">
        <v>0</v>
      </c>
      <c r="AD1599" s="60">
        <v>0</v>
      </c>
      <c r="AE1599" s="60">
        <v>0</v>
      </c>
      <c r="AF1599" s="60">
        <v>0</v>
      </c>
      <c r="AG1599" s="60">
        <v>0</v>
      </c>
      <c r="AH1599" s="60">
        <v>0</v>
      </c>
      <c r="AI1599" s="60">
        <v>384.05</v>
      </c>
      <c r="AJ1599" s="60">
        <v>373.47</v>
      </c>
      <c r="AK1599" s="60">
        <v>370.14</v>
      </c>
      <c r="AL1599" s="60">
        <v>0</v>
      </c>
      <c r="AM1599" s="60">
        <v>0</v>
      </c>
      <c r="AN1599" s="60">
        <v>0</v>
      </c>
      <c r="AO1599" s="60">
        <v>384.05</v>
      </c>
      <c r="AP1599" s="60">
        <v>373.47</v>
      </c>
      <c r="AQ1599" s="60">
        <v>370.14</v>
      </c>
      <c r="AR1599" s="61">
        <v>384.05</v>
      </c>
    </row>
    <row r="1600" spans="1:44" x14ac:dyDescent="0.35">
      <c r="A1600" s="49" t="str">
        <f>TEXT(12,"00")</f>
        <v>12</v>
      </c>
      <c r="B1600" s="27">
        <v>76802</v>
      </c>
      <c r="C1600" s="25" t="str">
        <f t="shared" si="128"/>
        <v>0000000</v>
      </c>
      <c r="D1600" s="26" t="s">
        <v>3663</v>
      </c>
      <c r="E1600" s="25" t="s">
        <v>585</v>
      </c>
      <c r="F1600" s="25" t="s">
        <v>339</v>
      </c>
      <c r="G1600" s="59" t="s">
        <v>586</v>
      </c>
      <c r="H1600" s="60">
        <v>1009.53</v>
      </c>
      <c r="I1600" s="60">
        <v>1060.6300000000001</v>
      </c>
      <c r="J1600" s="60">
        <v>1062.5899999999999</v>
      </c>
      <c r="K1600" s="60">
        <v>0</v>
      </c>
      <c r="L1600" s="60">
        <v>0</v>
      </c>
      <c r="M1600" s="60">
        <v>0</v>
      </c>
      <c r="N1600" s="60">
        <v>0</v>
      </c>
      <c r="O1600" s="60">
        <v>0</v>
      </c>
      <c r="P1600" s="60">
        <v>0</v>
      </c>
      <c r="Q1600" s="60">
        <v>0</v>
      </c>
      <c r="R1600" s="60">
        <v>0</v>
      </c>
      <c r="S1600" s="60">
        <v>0</v>
      </c>
      <c r="T1600" s="60">
        <v>0</v>
      </c>
      <c r="U1600" s="60">
        <v>0</v>
      </c>
      <c r="V1600" s="60">
        <v>0</v>
      </c>
      <c r="W1600" s="60">
        <v>0</v>
      </c>
      <c r="X1600" s="60">
        <v>0</v>
      </c>
      <c r="Y1600" s="60">
        <v>0</v>
      </c>
      <c r="Z1600" s="60">
        <v>0</v>
      </c>
      <c r="AA1600" s="60">
        <v>0</v>
      </c>
      <c r="AB1600" s="60">
        <v>0</v>
      </c>
      <c r="AC1600" s="60">
        <v>219.28</v>
      </c>
      <c r="AD1600" s="60">
        <v>217.48</v>
      </c>
      <c r="AE1600" s="60">
        <v>224.53</v>
      </c>
      <c r="AF1600" s="60">
        <v>0</v>
      </c>
      <c r="AG1600" s="60">
        <v>0</v>
      </c>
      <c r="AH1600" s="60">
        <v>0</v>
      </c>
      <c r="AI1600" s="60">
        <v>1228.81</v>
      </c>
      <c r="AJ1600" s="60">
        <v>1278.1099999999999</v>
      </c>
      <c r="AK1600" s="60">
        <v>1287.1199999999999</v>
      </c>
      <c r="AL1600" s="60">
        <v>0</v>
      </c>
      <c r="AM1600" s="60">
        <v>0</v>
      </c>
      <c r="AN1600" s="60">
        <v>0</v>
      </c>
      <c r="AO1600" s="60">
        <v>1228.81</v>
      </c>
      <c r="AP1600" s="60">
        <v>1278.1099999999999</v>
      </c>
      <c r="AQ1600" s="60">
        <v>1287.1199999999999</v>
      </c>
      <c r="AR1600" s="61">
        <v>1287.1199999999999</v>
      </c>
    </row>
    <row r="1601" spans="1:44" x14ac:dyDescent="0.35">
      <c r="A1601" s="49" t="str">
        <f>TEXT(12,"00")</f>
        <v>12</v>
      </c>
      <c r="B1601" s="27">
        <v>10124</v>
      </c>
      <c r="C1601" s="25" t="str">
        <f>TEXT(137364,"0000000")</f>
        <v>0137364</v>
      </c>
      <c r="D1601" s="27">
        <v>1957</v>
      </c>
      <c r="E1601" s="25" t="s">
        <v>520</v>
      </c>
      <c r="F1601" s="25" t="s">
        <v>339</v>
      </c>
      <c r="G1601" s="59" t="s">
        <v>521</v>
      </c>
      <c r="H1601" s="60">
        <v>0</v>
      </c>
      <c r="I1601" s="60">
        <v>0</v>
      </c>
      <c r="J1601" s="60">
        <v>0</v>
      </c>
      <c r="K1601" s="60">
        <v>0</v>
      </c>
      <c r="L1601" s="60">
        <v>0</v>
      </c>
      <c r="M1601" s="60">
        <v>0</v>
      </c>
      <c r="N1601" s="60">
        <v>0</v>
      </c>
      <c r="O1601" s="60">
        <v>0</v>
      </c>
      <c r="P1601" s="60">
        <v>0</v>
      </c>
      <c r="Q1601" s="60">
        <v>0</v>
      </c>
      <c r="R1601" s="60">
        <v>0</v>
      </c>
      <c r="S1601" s="60">
        <v>0</v>
      </c>
      <c r="T1601" s="60">
        <v>0</v>
      </c>
      <c r="U1601" s="60">
        <v>0</v>
      </c>
      <c r="V1601" s="60">
        <v>0</v>
      </c>
      <c r="W1601" s="60">
        <v>0</v>
      </c>
      <c r="X1601" s="60">
        <v>0</v>
      </c>
      <c r="Y1601" s="60">
        <v>0</v>
      </c>
      <c r="Z1601" s="60">
        <v>302.95</v>
      </c>
      <c r="AA1601" s="60">
        <v>311.92</v>
      </c>
      <c r="AB1601" s="60">
        <v>374.2</v>
      </c>
      <c r="AC1601" s="60">
        <v>0</v>
      </c>
      <c r="AD1601" s="60">
        <v>0</v>
      </c>
      <c r="AE1601" s="60">
        <v>0</v>
      </c>
      <c r="AF1601" s="60">
        <v>0</v>
      </c>
      <c r="AG1601" s="60">
        <v>0</v>
      </c>
      <c r="AH1601" s="60">
        <v>0</v>
      </c>
      <c r="AI1601" s="60">
        <v>302.95</v>
      </c>
      <c r="AJ1601" s="60">
        <v>311.92</v>
      </c>
      <c r="AK1601" s="60">
        <v>374.2</v>
      </c>
      <c r="AL1601" s="60">
        <v>0</v>
      </c>
      <c r="AM1601" s="60">
        <v>0</v>
      </c>
      <c r="AN1601" s="60">
        <v>0</v>
      </c>
      <c r="AO1601" s="60">
        <v>302.95</v>
      </c>
      <c r="AP1601" s="60">
        <v>311.92</v>
      </c>
      <c r="AQ1601" s="60">
        <v>374.2</v>
      </c>
      <c r="AR1601" s="61">
        <v>374.2</v>
      </c>
    </row>
    <row r="1602" spans="1:44" x14ac:dyDescent="0.35">
      <c r="A1602" s="49" t="str">
        <f>TEXT(12,"00")</f>
        <v>12</v>
      </c>
      <c r="B1602" s="27">
        <v>75515</v>
      </c>
      <c r="C1602" s="25" t="str">
        <f>TEXT(1230150,"0000000")</f>
        <v>1230150</v>
      </c>
      <c r="D1602" s="27">
        <v>1884</v>
      </c>
      <c r="E1602" s="25" t="s">
        <v>583</v>
      </c>
      <c r="F1602" s="25" t="s">
        <v>339</v>
      </c>
      <c r="G1602" s="59" t="s">
        <v>584</v>
      </c>
      <c r="H1602" s="60">
        <v>0</v>
      </c>
      <c r="I1602" s="60">
        <v>0</v>
      </c>
      <c r="J1602" s="60">
        <v>0</v>
      </c>
      <c r="K1602" s="60">
        <v>0</v>
      </c>
      <c r="L1602" s="60">
        <v>0</v>
      </c>
      <c r="M1602" s="60">
        <v>0</v>
      </c>
      <c r="N1602" s="60">
        <v>0</v>
      </c>
      <c r="O1602" s="60">
        <v>0</v>
      </c>
      <c r="P1602" s="60">
        <v>0</v>
      </c>
      <c r="Q1602" s="60">
        <v>0</v>
      </c>
      <c r="R1602" s="60">
        <v>0</v>
      </c>
      <c r="S1602" s="60">
        <v>0</v>
      </c>
      <c r="T1602" s="60">
        <v>0</v>
      </c>
      <c r="U1602" s="60">
        <v>0</v>
      </c>
      <c r="V1602" s="60">
        <v>0</v>
      </c>
      <c r="W1602" s="60">
        <v>0</v>
      </c>
      <c r="X1602" s="60">
        <v>0</v>
      </c>
      <c r="Y1602" s="60">
        <v>0</v>
      </c>
      <c r="Z1602" s="60">
        <v>0</v>
      </c>
      <c r="AA1602" s="60">
        <v>0</v>
      </c>
      <c r="AB1602" s="60">
        <v>0</v>
      </c>
      <c r="AC1602" s="60">
        <v>141.16</v>
      </c>
      <c r="AD1602" s="60">
        <v>145.1</v>
      </c>
      <c r="AE1602" s="60">
        <v>189.39</v>
      </c>
      <c r="AF1602" s="60">
        <v>0</v>
      </c>
      <c r="AG1602" s="60">
        <v>0</v>
      </c>
      <c r="AH1602" s="60">
        <v>0</v>
      </c>
      <c r="AI1602" s="60">
        <v>141.16</v>
      </c>
      <c r="AJ1602" s="60">
        <v>145.1</v>
      </c>
      <c r="AK1602" s="60">
        <v>189.39</v>
      </c>
      <c r="AL1602" s="60">
        <v>0</v>
      </c>
      <c r="AM1602" s="60">
        <v>0</v>
      </c>
      <c r="AN1602" s="60">
        <v>0</v>
      </c>
      <c r="AO1602" s="60">
        <v>141.16</v>
      </c>
      <c r="AP1602" s="60">
        <v>145.1</v>
      </c>
      <c r="AQ1602" s="60">
        <v>189.39</v>
      </c>
      <c r="AR1602" s="61">
        <v>189.39</v>
      </c>
    </row>
    <row r="1603" spans="1:44" x14ac:dyDescent="0.35">
      <c r="A1603" s="49" t="str">
        <f t="shared" ref="A1603:A1623" si="130">TEXT(24,"00")</f>
        <v>24</v>
      </c>
      <c r="B1603" s="27">
        <v>10249</v>
      </c>
      <c r="C1603" s="25" t="str">
        <f t="shared" ref="C1603:C1634" si="131">TEXT(,"0000000")</f>
        <v>0000000</v>
      </c>
      <c r="D1603" s="26" t="s">
        <v>3663</v>
      </c>
      <c r="E1603" s="25" t="s">
        <v>1323</v>
      </c>
      <c r="F1603" s="25" t="s">
        <v>1324</v>
      </c>
      <c r="G1603" s="59" t="s">
        <v>1324</v>
      </c>
      <c r="H1603" s="60">
        <v>0</v>
      </c>
      <c r="I1603" s="60">
        <v>0</v>
      </c>
      <c r="J1603" s="60">
        <v>0</v>
      </c>
      <c r="K1603" s="60">
        <v>0</v>
      </c>
      <c r="L1603" s="60">
        <v>0</v>
      </c>
      <c r="M1603" s="60">
        <v>0</v>
      </c>
      <c r="N1603" s="60">
        <v>0</v>
      </c>
      <c r="O1603" s="60">
        <v>0</v>
      </c>
      <c r="P1603" s="60">
        <v>0</v>
      </c>
      <c r="Q1603" s="60">
        <v>0</v>
      </c>
      <c r="R1603" s="60">
        <v>0</v>
      </c>
      <c r="S1603" s="60">
        <v>0</v>
      </c>
      <c r="T1603" s="60">
        <v>257.57</v>
      </c>
      <c r="U1603" s="60">
        <v>177.18</v>
      </c>
      <c r="V1603" s="60">
        <v>277.49</v>
      </c>
      <c r="W1603" s="60">
        <v>898</v>
      </c>
      <c r="X1603" s="60">
        <v>880.87</v>
      </c>
      <c r="Y1603" s="60">
        <v>917.61</v>
      </c>
      <c r="Z1603" s="60">
        <v>337.11</v>
      </c>
      <c r="AA1603" s="60">
        <v>288.37</v>
      </c>
      <c r="AB1603" s="60">
        <v>213.77</v>
      </c>
      <c r="AC1603" s="60">
        <v>0</v>
      </c>
      <c r="AD1603" s="60">
        <v>0</v>
      </c>
      <c r="AE1603" s="60">
        <v>0</v>
      </c>
      <c r="AF1603" s="60">
        <v>0</v>
      </c>
      <c r="AG1603" s="60">
        <v>0</v>
      </c>
      <c r="AH1603" s="60">
        <v>0</v>
      </c>
      <c r="AI1603" s="60">
        <v>1492.68</v>
      </c>
      <c r="AJ1603" s="60">
        <v>1346.42</v>
      </c>
      <c r="AK1603" s="60">
        <v>1408.87</v>
      </c>
      <c r="AL1603" s="60">
        <v>0</v>
      </c>
      <c r="AM1603" s="60">
        <v>0</v>
      </c>
      <c r="AN1603" s="60">
        <v>0</v>
      </c>
      <c r="AO1603" s="60">
        <v>1492.68</v>
      </c>
      <c r="AP1603" s="60">
        <v>1346.42</v>
      </c>
      <c r="AQ1603" s="60">
        <v>1408.87</v>
      </c>
      <c r="AR1603" s="61">
        <v>1492.68</v>
      </c>
    </row>
    <row r="1604" spans="1:44" x14ac:dyDescent="0.35">
      <c r="A1604" s="49" t="str">
        <f t="shared" si="130"/>
        <v>24</v>
      </c>
      <c r="B1604" s="27">
        <v>65631</v>
      </c>
      <c r="C1604" s="25" t="str">
        <f t="shared" si="131"/>
        <v>0000000</v>
      </c>
      <c r="D1604" s="26" t="s">
        <v>3663</v>
      </c>
      <c r="E1604" s="25" t="s">
        <v>1325</v>
      </c>
      <c r="F1604" s="25" t="s">
        <v>1324</v>
      </c>
      <c r="G1604" s="59" t="s">
        <v>1326</v>
      </c>
      <c r="H1604" s="60">
        <v>4621.75</v>
      </c>
      <c r="I1604" s="60">
        <v>4438.6499999999996</v>
      </c>
      <c r="J1604" s="60">
        <v>4770.18</v>
      </c>
      <c r="K1604" s="60">
        <v>0</v>
      </c>
      <c r="L1604" s="60">
        <v>0</v>
      </c>
      <c r="M1604" s="60">
        <v>0</v>
      </c>
      <c r="N1604" s="60">
        <v>0</v>
      </c>
      <c r="O1604" s="60">
        <v>0</v>
      </c>
      <c r="P1604" s="60">
        <v>0</v>
      </c>
      <c r="Q1604" s="60">
        <v>0</v>
      </c>
      <c r="R1604" s="60">
        <v>0</v>
      </c>
      <c r="S1604" s="60">
        <v>0</v>
      </c>
      <c r="T1604" s="60">
        <v>0</v>
      </c>
      <c r="U1604" s="60">
        <v>0</v>
      </c>
      <c r="V1604" s="60">
        <v>0</v>
      </c>
      <c r="W1604" s="60">
        <v>0</v>
      </c>
      <c r="X1604" s="60">
        <v>0</v>
      </c>
      <c r="Y1604" s="60">
        <v>0</v>
      </c>
      <c r="Z1604" s="60">
        <v>0</v>
      </c>
      <c r="AA1604" s="60">
        <v>0</v>
      </c>
      <c r="AB1604" s="60">
        <v>0</v>
      </c>
      <c r="AC1604" s="60">
        <v>0</v>
      </c>
      <c r="AD1604" s="60">
        <v>0</v>
      </c>
      <c r="AE1604" s="60">
        <v>0</v>
      </c>
      <c r="AF1604" s="60">
        <v>0</v>
      </c>
      <c r="AG1604" s="60">
        <v>0</v>
      </c>
      <c r="AH1604" s="60">
        <v>0</v>
      </c>
      <c r="AI1604" s="60">
        <v>4621.75</v>
      </c>
      <c r="AJ1604" s="60">
        <v>4438.6499999999996</v>
      </c>
      <c r="AK1604" s="60">
        <v>4770.18</v>
      </c>
      <c r="AL1604" s="60">
        <v>0</v>
      </c>
      <c r="AM1604" s="60">
        <v>0</v>
      </c>
      <c r="AN1604" s="60">
        <v>0</v>
      </c>
      <c r="AO1604" s="60">
        <v>4621.75</v>
      </c>
      <c r="AP1604" s="60">
        <v>4438.6499999999996</v>
      </c>
      <c r="AQ1604" s="60">
        <v>4770.18</v>
      </c>
      <c r="AR1604" s="61">
        <v>4770.18</v>
      </c>
    </row>
    <row r="1605" spans="1:44" x14ac:dyDescent="0.35">
      <c r="A1605" s="49" t="str">
        <f t="shared" si="130"/>
        <v>24</v>
      </c>
      <c r="B1605" s="27">
        <v>65649</v>
      </c>
      <c r="C1605" s="25" t="str">
        <f t="shared" si="131"/>
        <v>0000000</v>
      </c>
      <c r="D1605" s="26" t="s">
        <v>3663</v>
      </c>
      <c r="E1605" s="25" t="s">
        <v>1327</v>
      </c>
      <c r="F1605" s="25" t="s">
        <v>1324</v>
      </c>
      <c r="G1605" s="59" t="s">
        <v>1328</v>
      </c>
      <c r="H1605" s="60">
        <v>39.35</v>
      </c>
      <c r="I1605" s="60">
        <v>42.02</v>
      </c>
      <c r="J1605" s="60">
        <v>45.17</v>
      </c>
      <c r="K1605" s="60">
        <v>0</v>
      </c>
      <c r="L1605" s="60">
        <v>0</v>
      </c>
      <c r="M1605" s="60">
        <v>0</v>
      </c>
      <c r="N1605" s="60">
        <v>0</v>
      </c>
      <c r="O1605" s="60">
        <v>0</v>
      </c>
      <c r="P1605" s="60">
        <v>0</v>
      </c>
      <c r="Q1605" s="60">
        <v>0</v>
      </c>
      <c r="R1605" s="60">
        <v>0</v>
      </c>
      <c r="S1605" s="60">
        <v>0</v>
      </c>
      <c r="T1605" s="60">
        <v>0</v>
      </c>
      <c r="U1605" s="60">
        <v>0</v>
      </c>
      <c r="V1605" s="60">
        <v>0</v>
      </c>
      <c r="W1605" s="60">
        <v>0</v>
      </c>
      <c r="X1605" s="60">
        <v>0</v>
      </c>
      <c r="Y1605" s="60">
        <v>0</v>
      </c>
      <c r="Z1605" s="60">
        <v>0</v>
      </c>
      <c r="AA1605" s="60">
        <v>0</v>
      </c>
      <c r="AB1605" s="60">
        <v>0</v>
      </c>
      <c r="AC1605" s="60">
        <v>302.14</v>
      </c>
      <c r="AD1605" s="60">
        <v>298.57</v>
      </c>
      <c r="AE1605" s="60">
        <v>326.27999999999997</v>
      </c>
      <c r="AF1605" s="60">
        <v>0</v>
      </c>
      <c r="AG1605" s="60">
        <v>0</v>
      </c>
      <c r="AH1605" s="60">
        <v>0</v>
      </c>
      <c r="AI1605" s="60">
        <v>341.49</v>
      </c>
      <c r="AJ1605" s="60">
        <v>340.59</v>
      </c>
      <c r="AK1605" s="60">
        <v>371.45</v>
      </c>
      <c r="AL1605" s="60">
        <v>0</v>
      </c>
      <c r="AM1605" s="60">
        <v>0</v>
      </c>
      <c r="AN1605" s="60">
        <v>0</v>
      </c>
      <c r="AO1605" s="60">
        <v>341.49</v>
      </c>
      <c r="AP1605" s="60">
        <v>340.59</v>
      </c>
      <c r="AQ1605" s="60">
        <v>371.45</v>
      </c>
      <c r="AR1605" s="61">
        <v>371.45</v>
      </c>
    </row>
    <row r="1606" spans="1:44" x14ac:dyDescent="0.35">
      <c r="A1606" s="49" t="str">
        <f t="shared" si="130"/>
        <v>24</v>
      </c>
      <c r="B1606" s="27">
        <v>65680</v>
      </c>
      <c r="C1606" s="25" t="str">
        <f t="shared" si="131"/>
        <v>0000000</v>
      </c>
      <c r="D1606" s="26" t="s">
        <v>3663</v>
      </c>
      <c r="E1606" s="25" t="s">
        <v>1329</v>
      </c>
      <c r="F1606" s="25" t="s">
        <v>1324</v>
      </c>
      <c r="G1606" s="59" t="s">
        <v>1330</v>
      </c>
      <c r="H1606" s="60">
        <v>138.63999999999999</v>
      </c>
      <c r="I1606" s="60">
        <v>142.96</v>
      </c>
      <c r="J1606" s="60">
        <v>151.66</v>
      </c>
      <c r="K1606" s="60">
        <v>0</v>
      </c>
      <c r="L1606" s="60">
        <v>0</v>
      </c>
      <c r="M1606" s="60">
        <v>0</v>
      </c>
      <c r="N1606" s="60">
        <v>0</v>
      </c>
      <c r="O1606" s="60">
        <v>0</v>
      </c>
      <c r="P1606" s="60">
        <v>0</v>
      </c>
      <c r="Q1606" s="60">
        <v>0</v>
      </c>
      <c r="R1606" s="60">
        <v>0</v>
      </c>
      <c r="S1606" s="60">
        <v>0</v>
      </c>
      <c r="T1606" s="60">
        <v>0</v>
      </c>
      <c r="U1606" s="60">
        <v>0</v>
      </c>
      <c r="V1606" s="60">
        <v>0</v>
      </c>
      <c r="W1606" s="60">
        <v>0</v>
      </c>
      <c r="X1606" s="60">
        <v>0</v>
      </c>
      <c r="Y1606" s="60">
        <v>0</v>
      </c>
      <c r="Z1606" s="60">
        <v>0</v>
      </c>
      <c r="AA1606" s="60">
        <v>0</v>
      </c>
      <c r="AB1606" s="60">
        <v>0</v>
      </c>
      <c r="AC1606" s="60">
        <v>0</v>
      </c>
      <c r="AD1606" s="60">
        <v>0</v>
      </c>
      <c r="AE1606" s="60">
        <v>0</v>
      </c>
      <c r="AF1606" s="60">
        <v>0</v>
      </c>
      <c r="AG1606" s="60">
        <v>0</v>
      </c>
      <c r="AH1606" s="60">
        <v>0</v>
      </c>
      <c r="AI1606" s="60">
        <v>138.63999999999999</v>
      </c>
      <c r="AJ1606" s="60">
        <v>142.96</v>
      </c>
      <c r="AK1606" s="60">
        <v>151.66</v>
      </c>
      <c r="AL1606" s="60">
        <v>0</v>
      </c>
      <c r="AM1606" s="60">
        <v>0</v>
      </c>
      <c r="AN1606" s="60">
        <v>0</v>
      </c>
      <c r="AO1606" s="60">
        <v>138.63999999999999</v>
      </c>
      <c r="AP1606" s="60">
        <v>142.96</v>
      </c>
      <c r="AQ1606" s="60">
        <v>151.66</v>
      </c>
      <c r="AR1606" s="61">
        <v>151.66</v>
      </c>
    </row>
    <row r="1607" spans="1:44" x14ac:dyDescent="0.35">
      <c r="A1607" s="49" t="str">
        <f t="shared" si="130"/>
        <v>24</v>
      </c>
      <c r="B1607" s="27">
        <v>73619</v>
      </c>
      <c r="C1607" s="25" t="str">
        <f t="shared" si="131"/>
        <v>0000000</v>
      </c>
      <c r="D1607" s="26" t="s">
        <v>3663</v>
      </c>
      <c r="E1607" s="25" t="s">
        <v>1357</v>
      </c>
      <c r="F1607" s="25" t="s">
        <v>1324</v>
      </c>
      <c r="G1607" s="59" t="s">
        <v>1358</v>
      </c>
      <c r="H1607" s="60">
        <v>1587.56</v>
      </c>
      <c r="I1607" s="60">
        <v>1568.27</v>
      </c>
      <c r="J1607" s="60">
        <v>1728.53</v>
      </c>
      <c r="K1607" s="60">
        <v>0</v>
      </c>
      <c r="L1607" s="60">
        <v>0</v>
      </c>
      <c r="M1607" s="60">
        <v>0</v>
      </c>
      <c r="N1607" s="60">
        <v>0</v>
      </c>
      <c r="O1607" s="60">
        <v>0</v>
      </c>
      <c r="P1607" s="60">
        <v>0</v>
      </c>
      <c r="Q1607" s="60">
        <v>0</v>
      </c>
      <c r="R1607" s="60">
        <v>0</v>
      </c>
      <c r="S1607" s="60">
        <v>0</v>
      </c>
      <c r="T1607" s="60">
        <v>0</v>
      </c>
      <c r="U1607" s="60">
        <v>0</v>
      </c>
      <c r="V1607" s="60">
        <v>0</v>
      </c>
      <c r="W1607" s="60">
        <v>0</v>
      </c>
      <c r="X1607" s="60">
        <v>0</v>
      </c>
      <c r="Y1607" s="60">
        <v>0</v>
      </c>
      <c r="Z1607" s="60">
        <v>0</v>
      </c>
      <c r="AA1607" s="60">
        <v>0</v>
      </c>
      <c r="AB1607" s="60">
        <v>0</v>
      </c>
      <c r="AC1607" s="60">
        <v>0</v>
      </c>
      <c r="AD1607" s="60">
        <v>0</v>
      </c>
      <c r="AE1607" s="60">
        <v>0</v>
      </c>
      <c r="AF1607" s="60">
        <v>0</v>
      </c>
      <c r="AG1607" s="60">
        <v>0</v>
      </c>
      <c r="AH1607" s="60">
        <v>0</v>
      </c>
      <c r="AI1607" s="60">
        <v>1587.56</v>
      </c>
      <c r="AJ1607" s="60">
        <v>1568.27</v>
      </c>
      <c r="AK1607" s="60">
        <v>1728.53</v>
      </c>
      <c r="AL1607" s="60">
        <v>0</v>
      </c>
      <c r="AM1607" s="60">
        <v>0</v>
      </c>
      <c r="AN1607" s="60">
        <v>0</v>
      </c>
      <c r="AO1607" s="60">
        <v>1587.56</v>
      </c>
      <c r="AP1607" s="60">
        <v>1568.27</v>
      </c>
      <c r="AQ1607" s="60">
        <v>1728.53</v>
      </c>
      <c r="AR1607" s="61">
        <v>1728.53</v>
      </c>
    </row>
    <row r="1608" spans="1:44" x14ac:dyDescent="0.35">
      <c r="A1608" s="49" t="str">
        <f t="shared" si="130"/>
        <v>24</v>
      </c>
      <c r="B1608" s="27">
        <v>65698</v>
      </c>
      <c r="C1608" s="25" t="str">
        <f t="shared" si="131"/>
        <v>0000000</v>
      </c>
      <c r="D1608" s="26" t="s">
        <v>3663</v>
      </c>
      <c r="E1608" s="25" t="s">
        <v>1331</v>
      </c>
      <c r="F1608" s="25" t="s">
        <v>1324</v>
      </c>
      <c r="G1608" s="59" t="s">
        <v>1332</v>
      </c>
      <c r="H1608" s="60">
        <v>2168.9</v>
      </c>
      <c r="I1608" s="60">
        <v>2097.6</v>
      </c>
      <c r="J1608" s="60">
        <v>2258.71</v>
      </c>
      <c r="K1608" s="60">
        <v>0</v>
      </c>
      <c r="L1608" s="60">
        <v>0</v>
      </c>
      <c r="M1608" s="60">
        <v>0</v>
      </c>
      <c r="N1608" s="60">
        <v>0</v>
      </c>
      <c r="O1608" s="60">
        <v>0</v>
      </c>
      <c r="P1608" s="60">
        <v>0</v>
      </c>
      <c r="Q1608" s="60">
        <v>0</v>
      </c>
      <c r="R1608" s="60">
        <v>0</v>
      </c>
      <c r="S1608" s="60">
        <v>0</v>
      </c>
      <c r="T1608" s="60">
        <v>0</v>
      </c>
      <c r="U1608" s="60">
        <v>0</v>
      </c>
      <c r="V1608" s="60">
        <v>0</v>
      </c>
      <c r="W1608" s="60">
        <v>0</v>
      </c>
      <c r="X1608" s="60">
        <v>0</v>
      </c>
      <c r="Y1608" s="60">
        <v>0</v>
      </c>
      <c r="Z1608" s="60">
        <v>0</v>
      </c>
      <c r="AA1608" s="60">
        <v>0</v>
      </c>
      <c r="AB1608" s="60">
        <v>0</v>
      </c>
      <c r="AC1608" s="60">
        <v>0</v>
      </c>
      <c r="AD1608" s="60">
        <v>0</v>
      </c>
      <c r="AE1608" s="60">
        <v>0</v>
      </c>
      <c r="AF1608" s="60">
        <v>0</v>
      </c>
      <c r="AG1608" s="60">
        <v>0</v>
      </c>
      <c r="AH1608" s="60">
        <v>0</v>
      </c>
      <c r="AI1608" s="60">
        <v>2168.9</v>
      </c>
      <c r="AJ1608" s="60">
        <v>2097.6</v>
      </c>
      <c r="AK1608" s="60">
        <v>2258.71</v>
      </c>
      <c r="AL1608" s="60">
        <v>0</v>
      </c>
      <c r="AM1608" s="60">
        <v>0</v>
      </c>
      <c r="AN1608" s="60">
        <v>0</v>
      </c>
      <c r="AO1608" s="60">
        <v>2168.9</v>
      </c>
      <c r="AP1608" s="60">
        <v>2097.6</v>
      </c>
      <c r="AQ1608" s="60">
        <v>2258.71</v>
      </c>
      <c r="AR1608" s="61">
        <v>2258.71</v>
      </c>
    </row>
    <row r="1609" spans="1:44" x14ac:dyDescent="0.35">
      <c r="A1609" s="49" t="str">
        <f t="shared" si="130"/>
        <v>24</v>
      </c>
      <c r="B1609" s="27">
        <v>65722</v>
      </c>
      <c r="C1609" s="25" t="str">
        <f t="shared" si="131"/>
        <v>0000000</v>
      </c>
      <c r="D1609" s="26" t="s">
        <v>3663</v>
      </c>
      <c r="E1609" s="25" t="s">
        <v>1333</v>
      </c>
      <c r="F1609" s="25" t="s">
        <v>1324</v>
      </c>
      <c r="G1609" s="59" t="s">
        <v>1334</v>
      </c>
      <c r="H1609" s="60">
        <v>314.47000000000003</v>
      </c>
      <c r="I1609" s="60">
        <v>320.23</v>
      </c>
      <c r="J1609" s="60">
        <v>342.61</v>
      </c>
      <c r="K1609" s="60">
        <v>0</v>
      </c>
      <c r="L1609" s="60">
        <v>0</v>
      </c>
      <c r="M1609" s="60">
        <v>0</v>
      </c>
      <c r="N1609" s="60">
        <v>0</v>
      </c>
      <c r="O1609" s="60">
        <v>0</v>
      </c>
      <c r="P1609" s="60">
        <v>0</v>
      </c>
      <c r="Q1609" s="60">
        <v>0</v>
      </c>
      <c r="R1609" s="60">
        <v>0</v>
      </c>
      <c r="S1609" s="60">
        <v>0</v>
      </c>
      <c r="T1609" s="60">
        <v>0</v>
      </c>
      <c r="U1609" s="60">
        <v>0</v>
      </c>
      <c r="V1609" s="60">
        <v>0</v>
      </c>
      <c r="W1609" s="60">
        <v>0</v>
      </c>
      <c r="X1609" s="60">
        <v>0</v>
      </c>
      <c r="Y1609" s="60">
        <v>0</v>
      </c>
      <c r="Z1609" s="60">
        <v>0</v>
      </c>
      <c r="AA1609" s="60">
        <v>0</v>
      </c>
      <c r="AB1609" s="60">
        <v>0</v>
      </c>
      <c r="AC1609" s="60">
        <v>0</v>
      </c>
      <c r="AD1609" s="60">
        <v>0</v>
      </c>
      <c r="AE1609" s="60">
        <v>0</v>
      </c>
      <c r="AF1609" s="60">
        <v>0</v>
      </c>
      <c r="AG1609" s="60">
        <v>0</v>
      </c>
      <c r="AH1609" s="60">
        <v>0</v>
      </c>
      <c r="AI1609" s="60">
        <v>314.47000000000003</v>
      </c>
      <c r="AJ1609" s="60">
        <v>320.23</v>
      </c>
      <c r="AK1609" s="60">
        <v>342.61</v>
      </c>
      <c r="AL1609" s="60">
        <v>0</v>
      </c>
      <c r="AM1609" s="60">
        <v>0</v>
      </c>
      <c r="AN1609" s="60">
        <v>0</v>
      </c>
      <c r="AO1609" s="60">
        <v>314.47000000000003</v>
      </c>
      <c r="AP1609" s="60">
        <v>320.23</v>
      </c>
      <c r="AQ1609" s="60">
        <v>342.61</v>
      </c>
      <c r="AR1609" s="61">
        <v>342.61</v>
      </c>
    </row>
    <row r="1610" spans="1:44" x14ac:dyDescent="0.35">
      <c r="A1610" s="49" t="str">
        <f t="shared" si="130"/>
        <v>24</v>
      </c>
      <c r="B1610" s="27">
        <v>65748</v>
      </c>
      <c r="C1610" s="25" t="str">
        <f t="shared" si="131"/>
        <v>0000000</v>
      </c>
      <c r="D1610" s="26" t="s">
        <v>3663</v>
      </c>
      <c r="E1610" s="25" t="s">
        <v>1337</v>
      </c>
      <c r="F1610" s="25" t="s">
        <v>1324</v>
      </c>
      <c r="G1610" s="59" t="s">
        <v>1338</v>
      </c>
      <c r="H1610" s="60">
        <v>2354.27</v>
      </c>
      <c r="I1610" s="60">
        <v>2240.04</v>
      </c>
      <c r="J1610" s="60">
        <v>2413.89</v>
      </c>
      <c r="K1610" s="60">
        <v>0</v>
      </c>
      <c r="L1610" s="60">
        <v>0</v>
      </c>
      <c r="M1610" s="60">
        <v>0</v>
      </c>
      <c r="N1610" s="60">
        <v>0</v>
      </c>
      <c r="O1610" s="60">
        <v>0</v>
      </c>
      <c r="P1610" s="60">
        <v>0</v>
      </c>
      <c r="Q1610" s="60">
        <v>0</v>
      </c>
      <c r="R1610" s="60">
        <v>0</v>
      </c>
      <c r="S1610" s="60">
        <v>0</v>
      </c>
      <c r="T1610" s="60">
        <v>0</v>
      </c>
      <c r="U1610" s="60">
        <v>0</v>
      </c>
      <c r="V1610" s="60">
        <v>0</v>
      </c>
      <c r="W1610" s="60">
        <v>0</v>
      </c>
      <c r="X1610" s="60">
        <v>0</v>
      </c>
      <c r="Y1610" s="60">
        <v>0</v>
      </c>
      <c r="Z1610" s="60">
        <v>0</v>
      </c>
      <c r="AA1610" s="60">
        <v>0</v>
      </c>
      <c r="AB1610" s="60">
        <v>0</v>
      </c>
      <c r="AC1610" s="60">
        <v>0</v>
      </c>
      <c r="AD1610" s="60">
        <v>0</v>
      </c>
      <c r="AE1610" s="60">
        <v>0</v>
      </c>
      <c r="AF1610" s="60">
        <v>0</v>
      </c>
      <c r="AG1610" s="60">
        <v>0</v>
      </c>
      <c r="AH1610" s="60">
        <v>0</v>
      </c>
      <c r="AI1610" s="60">
        <v>2354.27</v>
      </c>
      <c r="AJ1610" s="60">
        <v>2240.04</v>
      </c>
      <c r="AK1610" s="60">
        <v>2413.89</v>
      </c>
      <c r="AL1610" s="60">
        <v>0</v>
      </c>
      <c r="AM1610" s="60">
        <v>0</v>
      </c>
      <c r="AN1610" s="60">
        <v>0</v>
      </c>
      <c r="AO1610" s="60">
        <v>2354.27</v>
      </c>
      <c r="AP1610" s="60">
        <v>2240.04</v>
      </c>
      <c r="AQ1610" s="60">
        <v>2413.89</v>
      </c>
      <c r="AR1610" s="61">
        <v>2413.89</v>
      </c>
    </row>
    <row r="1611" spans="1:44" x14ac:dyDescent="0.35">
      <c r="A1611" s="49" t="str">
        <f t="shared" si="130"/>
        <v>24</v>
      </c>
      <c r="B1611" s="27">
        <v>65755</v>
      </c>
      <c r="C1611" s="25" t="str">
        <f t="shared" si="131"/>
        <v>0000000</v>
      </c>
      <c r="D1611" s="26" t="s">
        <v>3663</v>
      </c>
      <c r="E1611" s="25" t="s">
        <v>1339</v>
      </c>
      <c r="F1611" s="25" t="s">
        <v>1324</v>
      </c>
      <c r="G1611" s="59" t="s">
        <v>1340</v>
      </c>
      <c r="H1611" s="60">
        <v>10043.48</v>
      </c>
      <c r="I1611" s="60">
        <v>9693.5</v>
      </c>
      <c r="J1611" s="60">
        <v>10490.48</v>
      </c>
      <c r="K1611" s="60">
        <v>0</v>
      </c>
      <c r="L1611" s="60">
        <v>0</v>
      </c>
      <c r="M1611" s="60">
        <v>0</v>
      </c>
      <c r="N1611" s="60">
        <v>0</v>
      </c>
      <c r="O1611" s="60">
        <v>0</v>
      </c>
      <c r="P1611" s="60">
        <v>0</v>
      </c>
      <c r="Q1611" s="60">
        <v>0</v>
      </c>
      <c r="R1611" s="60">
        <v>0</v>
      </c>
      <c r="S1611" s="60">
        <v>0</v>
      </c>
      <c r="T1611" s="60">
        <v>0</v>
      </c>
      <c r="U1611" s="60">
        <v>0</v>
      </c>
      <c r="V1611" s="60">
        <v>0</v>
      </c>
      <c r="W1611" s="60">
        <v>0</v>
      </c>
      <c r="X1611" s="60">
        <v>0</v>
      </c>
      <c r="Y1611" s="60">
        <v>0</v>
      </c>
      <c r="Z1611" s="60">
        <v>0</v>
      </c>
      <c r="AA1611" s="60">
        <v>0</v>
      </c>
      <c r="AB1611" s="60">
        <v>0</v>
      </c>
      <c r="AC1611" s="60">
        <v>0</v>
      </c>
      <c r="AD1611" s="60">
        <v>0</v>
      </c>
      <c r="AE1611" s="60">
        <v>0</v>
      </c>
      <c r="AF1611" s="60">
        <v>0</v>
      </c>
      <c r="AG1611" s="60">
        <v>0</v>
      </c>
      <c r="AH1611" s="60">
        <v>0</v>
      </c>
      <c r="AI1611" s="60">
        <v>10043.48</v>
      </c>
      <c r="AJ1611" s="60">
        <v>9693.5</v>
      </c>
      <c r="AK1611" s="60">
        <v>10490.48</v>
      </c>
      <c r="AL1611" s="60">
        <v>0</v>
      </c>
      <c r="AM1611" s="60">
        <v>0</v>
      </c>
      <c r="AN1611" s="60">
        <v>0</v>
      </c>
      <c r="AO1611" s="60">
        <v>10043.48</v>
      </c>
      <c r="AP1611" s="60">
        <v>9693.5</v>
      </c>
      <c r="AQ1611" s="60">
        <v>10490.48</v>
      </c>
      <c r="AR1611" s="61">
        <v>10490.48</v>
      </c>
    </row>
    <row r="1612" spans="1:44" x14ac:dyDescent="0.35">
      <c r="A1612" s="49" t="str">
        <f t="shared" si="130"/>
        <v>24</v>
      </c>
      <c r="B1612" s="27">
        <v>65763</v>
      </c>
      <c r="C1612" s="25" t="str">
        <f t="shared" si="131"/>
        <v>0000000</v>
      </c>
      <c r="D1612" s="26" t="s">
        <v>3663</v>
      </c>
      <c r="E1612" s="25" t="s">
        <v>1341</v>
      </c>
      <c r="F1612" s="25" t="s">
        <v>1324</v>
      </c>
      <c r="G1612" s="59" t="s">
        <v>1342</v>
      </c>
      <c r="H1612" s="60">
        <v>836.48</v>
      </c>
      <c r="I1612" s="60">
        <v>783.03</v>
      </c>
      <c r="J1612" s="60">
        <v>834.52</v>
      </c>
      <c r="K1612" s="60">
        <v>0</v>
      </c>
      <c r="L1612" s="60">
        <v>0</v>
      </c>
      <c r="M1612" s="60">
        <v>0</v>
      </c>
      <c r="N1612" s="60">
        <v>0</v>
      </c>
      <c r="O1612" s="60">
        <v>0</v>
      </c>
      <c r="P1612" s="60">
        <v>0</v>
      </c>
      <c r="Q1612" s="60">
        <v>0</v>
      </c>
      <c r="R1612" s="60">
        <v>0</v>
      </c>
      <c r="S1612" s="60">
        <v>0</v>
      </c>
      <c r="T1612" s="60">
        <v>0</v>
      </c>
      <c r="U1612" s="60">
        <v>0</v>
      </c>
      <c r="V1612" s="60">
        <v>0</v>
      </c>
      <c r="W1612" s="60">
        <v>0</v>
      </c>
      <c r="X1612" s="60">
        <v>0</v>
      </c>
      <c r="Y1612" s="60">
        <v>0</v>
      </c>
      <c r="Z1612" s="60">
        <v>0</v>
      </c>
      <c r="AA1612" s="60">
        <v>0</v>
      </c>
      <c r="AB1612" s="60">
        <v>0</v>
      </c>
      <c r="AC1612" s="60">
        <v>0</v>
      </c>
      <c r="AD1612" s="60">
        <v>0</v>
      </c>
      <c r="AE1612" s="60">
        <v>0</v>
      </c>
      <c r="AF1612" s="60">
        <v>0</v>
      </c>
      <c r="AG1612" s="60">
        <v>0</v>
      </c>
      <c r="AH1612" s="60">
        <v>0</v>
      </c>
      <c r="AI1612" s="60">
        <v>836.48</v>
      </c>
      <c r="AJ1612" s="60">
        <v>783.03</v>
      </c>
      <c r="AK1612" s="60">
        <v>834.52</v>
      </c>
      <c r="AL1612" s="60">
        <v>0</v>
      </c>
      <c r="AM1612" s="60">
        <v>0</v>
      </c>
      <c r="AN1612" s="60">
        <v>0</v>
      </c>
      <c r="AO1612" s="60">
        <v>836.48</v>
      </c>
      <c r="AP1612" s="60">
        <v>783.03</v>
      </c>
      <c r="AQ1612" s="60">
        <v>834.52</v>
      </c>
      <c r="AR1612" s="61">
        <v>836.48</v>
      </c>
    </row>
    <row r="1613" spans="1:44" x14ac:dyDescent="0.35">
      <c r="A1613" s="49" t="str">
        <f t="shared" si="130"/>
        <v>24</v>
      </c>
      <c r="B1613" s="27">
        <v>65771</v>
      </c>
      <c r="C1613" s="25" t="str">
        <f t="shared" si="131"/>
        <v>0000000</v>
      </c>
      <c r="D1613" s="26" t="s">
        <v>3663</v>
      </c>
      <c r="E1613" s="25" t="s">
        <v>1343</v>
      </c>
      <c r="F1613" s="25" t="s">
        <v>1324</v>
      </c>
      <c r="G1613" s="59" t="s">
        <v>1344</v>
      </c>
      <c r="H1613" s="60">
        <v>10038.66</v>
      </c>
      <c r="I1613" s="60">
        <v>9521.6299999999992</v>
      </c>
      <c r="J1613" s="60">
        <v>10574.58</v>
      </c>
      <c r="K1613" s="60">
        <v>0</v>
      </c>
      <c r="L1613" s="60">
        <v>0</v>
      </c>
      <c r="M1613" s="60">
        <v>0</v>
      </c>
      <c r="N1613" s="60">
        <v>0</v>
      </c>
      <c r="O1613" s="60">
        <v>0</v>
      </c>
      <c r="P1613" s="60">
        <v>0</v>
      </c>
      <c r="Q1613" s="60">
        <v>0</v>
      </c>
      <c r="R1613" s="60">
        <v>0</v>
      </c>
      <c r="S1613" s="60">
        <v>0</v>
      </c>
      <c r="T1613" s="60">
        <v>0</v>
      </c>
      <c r="U1613" s="60">
        <v>0</v>
      </c>
      <c r="V1613" s="60">
        <v>0</v>
      </c>
      <c r="W1613" s="60">
        <v>0</v>
      </c>
      <c r="X1613" s="60">
        <v>0</v>
      </c>
      <c r="Y1613" s="60">
        <v>0</v>
      </c>
      <c r="Z1613" s="60">
        <v>0</v>
      </c>
      <c r="AA1613" s="60">
        <v>0</v>
      </c>
      <c r="AB1613" s="60">
        <v>0</v>
      </c>
      <c r="AC1613" s="60">
        <v>0</v>
      </c>
      <c r="AD1613" s="60">
        <v>0</v>
      </c>
      <c r="AE1613" s="60">
        <v>0</v>
      </c>
      <c r="AF1613" s="60">
        <v>0</v>
      </c>
      <c r="AG1613" s="60">
        <v>0</v>
      </c>
      <c r="AH1613" s="60">
        <v>0</v>
      </c>
      <c r="AI1613" s="60">
        <v>10038.66</v>
      </c>
      <c r="AJ1613" s="60">
        <v>9521.6299999999992</v>
      </c>
      <c r="AK1613" s="60">
        <v>10574.58</v>
      </c>
      <c r="AL1613" s="60">
        <v>0</v>
      </c>
      <c r="AM1613" s="60">
        <v>0</v>
      </c>
      <c r="AN1613" s="60">
        <v>0</v>
      </c>
      <c r="AO1613" s="60">
        <v>10038.66</v>
      </c>
      <c r="AP1613" s="60">
        <v>9521.6299999999992</v>
      </c>
      <c r="AQ1613" s="60">
        <v>10574.58</v>
      </c>
      <c r="AR1613" s="61">
        <v>10574.58</v>
      </c>
    </row>
    <row r="1614" spans="1:44" x14ac:dyDescent="0.35">
      <c r="A1614" s="49" t="str">
        <f t="shared" si="130"/>
        <v>24</v>
      </c>
      <c r="B1614" s="27">
        <v>65789</v>
      </c>
      <c r="C1614" s="25" t="str">
        <f t="shared" si="131"/>
        <v>0000000</v>
      </c>
      <c r="D1614" s="26" t="s">
        <v>3663</v>
      </c>
      <c r="E1614" s="25" t="s">
        <v>1345</v>
      </c>
      <c r="F1614" s="25" t="s">
        <v>1324</v>
      </c>
      <c r="G1614" s="59" t="s">
        <v>1346</v>
      </c>
      <c r="H1614" s="60">
        <v>10316.379999999999</v>
      </c>
      <c r="I1614" s="60">
        <v>10024.98</v>
      </c>
      <c r="J1614" s="60">
        <v>10165.450000000001</v>
      </c>
      <c r="K1614" s="60">
        <v>0</v>
      </c>
      <c r="L1614" s="60">
        <v>0</v>
      </c>
      <c r="M1614" s="60">
        <v>0</v>
      </c>
      <c r="N1614" s="60">
        <v>0</v>
      </c>
      <c r="O1614" s="60">
        <v>0</v>
      </c>
      <c r="P1614" s="60">
        <v>0</v>
      </c>
      <c r="Q1614" s="60">
        <v>0</v>
      </c>
      <c r="R1614" s="60">
        <v>0</v>
      </c>
      <c r="S1614" s="60">
        <v>0</v>
      </c>
      <c r="T1614" s="60">
        <v>0</v>
      </c>
      <c r="U1614" s="60">
        <v>0</v>
      </c>
      <c r="V1614" s="60">
        <v>0</v>
      </c>
      <c r="W1614" s="60">
        <v>0</v>
      </c>
      <c r="X1614" s="60">
        <v>0</v>
      </c>
      <c r="Y1614" s="60">
        <v>0</v>
      </c>
      <c r="Z1614" s="60">
        <v>0</v>
      </c>
      <c r="AA1614" s="60">
        <v>0</v>
      </c>
      <c r="AB1614" s="60">
        <v>0</v>
      </c>
      <c r="AC1614" s="60">
        <v>0</v>
      </c>
      <c r="AD1614" s="60">
        <v>0</v>
      </c>
      <c r="AE1614" s="60">
        <v>0</v>
      </c>
      <c r="AF1614" s="60">
        <v>0</v>
      </c>
      <c r="AG1614" s="60">
        <v>0</v>
      </c>
      <c r="AH1614" s="60">
        <v>0</v>
      </c>
      <c r="AI1614" s="60">
        <v>10316.379999999999</v>
      </c>
      <c r="AJ1614" s="60">
        <v>10024.98</v>
      </c>
      <c r="AK1614" s="60">
        <v>10165.450000000001</v>
      </c>
      <c r="AL1614" s="60">
        <v>0</v>
      </c>
      <c r="AM1614" s="60">
        <v>0</v>
      </c>
      <c r="AN1614" s="60">
        <v>0</v>
      </c>
      <c r="AO1614" s="60">
        <v>10316.379999999999</v>
      </c>
      <c r="AP1614" s="60">
        <v>10024.98</v>
      </c>
      <c r="AQ1614" s="60">
        <v>10165.450000000001</v>
      </c>
      <c r="AR1614" s="61">
        <v>10316.379999999999</v>
      </c>
    </row>
    <row r="1615" spans="1:44" x14ac:dyDescent="0.35">
      <c r="A1615" s="49" t="str">
        <f t="shared" si="130"/>
        <v>24</v>
      </c>
      <c r="B1615" s="27">
        <v>73726</v>
      </c>
      <c r="C1615" s="25" t="str">
        <f t="shared" si="131"/>
        <v>0000000</v>
      </c>
      <c r="D1615" s="26" t="s">
        <v>3663</v>
      </c>
      <c r="E1615" s="25" t="s">
        <v>1359</v>
      </c>
      <c r="F1615" s="25" t="s">
        <v>1324</v>
      </c>
      <c r="G1615" s="59" t="s">
        <v>1360</v>
      </c>
      <c r="H1615" s="60">
        <v>263.54000000000002</v>
      </c>
      <c r="I1615" s="60">
        <v>219.94</v>
      </c>
      <c r="J1615" s="60">
        <v>193.16</v>
      </c>
      <c r="K1615" s="60">
        <v>0</v>
      </c>
      <c r="L1615" s="60">
        <v>0</v>
      </c>
      <c r="M1615" s="60">
        <v>0</v>
      </c>
      <c r="N1615" s="60">
        <v>0</v>
      </c>
      <c r="O1615" s="60">
        <v>0</v>
      </c>
      <c r="P1615" s="60">
        <v>0</v>
      </c>
      <c r="Q1615" s="60">
        <v>0</v>
      </c>
      <c r="R1615" s="60">
        <v>0</v>
      </c>
      <c r="S1615" s="60">
        <v>0</v>
      </c>
      <c r="T1615" s="60">
        <v>0</v>
      </c>
      <c r="U1615" s="60">
        <v>0</v>
      </c>
      <c r="V1615" s="60">
        <v>0</v>
      </c>
      <c r="W1615" s="60">
        <v>0</v>
      </c>
      <c r="X1615" s="60">
        <v>0</v>
      </c>
      <c r="Y1615" s="60">
        <v>0</v>
      </c>
      <c r="Z1615" s="60">
        <v>0</v>
      </c>
      <c r="AA1615" s="60">
        <v>0</v>
      </c>
      <c r="AB1615" s="60">
        <v>0</v>
      </c>
      <c r="AC1615" s="60">
        <v>0</v>
      </c>
      <c r="AD1615" s="60">
        <v>0</v>
      </c>
      <c r="AE1615" s="60">
        <v>0</v>
      </c>
      <c r="AF1615" s="60">
        <v>0</v>
      </c>
      <c r="AG1615" s="60">
        <v>0</v>
      </c>
      <c r="AH1615" s="60">
        <v>0</v>
      </c>
      <c r="AI1615" s="60">
        <v>263.54000000000002</v>
      </c>
      <c r="AJ1615" s="60">
        <v>219.94</v>
      </c>
      <c r="AK1615" s="60">
        <v>193.16</v>
      </c>
      <c r="AL1615" s="60">
        <v>0</v>
      </c>
      <c r="AM1615" s="60">
        <v>0</v>
      </c>
      <c r="AN1615" s="60">
        <v>0</v>
      </c>
      <c r="AO1615" s="60">
        <v>263.54000000000002</v>
      </c>
      <c r="AP1615" s="60">
        <v>219.94</v>
      </c>
      <c r="AQ1615" s="60">
        <v>193.16</v>
      </c>
      <c r="AR1615" s="61">
        <v>263.54000000000002</v>
      </c>
    </row>
    <row r="1616" spans="1:44" x14ac:dyDescent="0.35">
      <c r="A1616" s="49" t="str">
        <f t="shared" si="130"/>
        <v>24</v>
      </c>
      <c r="B1616" s="27">
        <v>65821</v>
      </c>
      <c r="C1616" s="25" t="str">
        <f t="shared" si="131"/>
        <v>0000000</v>
      </c>
      <c r="D1616" s="26" t="s">
        <v>3663</v>
      </c>
      <c r="E1616" s="25" t="s">
        <v>1349</v>
      </c>
      <c r="F1616" s="25" t="s">
        <v>1324</v>
      </c>
      <c r="G1616" s="59" t="s">
        <v>1350</v>
      </c>
      <c r="H1616" s="60">
        <v>816.67</v>
      </c>
      <c r="I1616" s="60">
        <v>770.81</v>
      </c>
      <c r="J1616" s="60">
        <v>801.1</v>
      </c>
      <c r="K1616" s="60">
        <v>0</v>
      </c>
      <c r="L1616" s="60">
        <v>0</v>
      </c>
      <c r="M1616" s="60">
        <v>0</v>
      </c>
      <c r="N1616" s="60">
        <v>0</v>
      </c>
      <c r="O1616" s="60">
        <v>0</v>
      </c>
      <c r="P1616" s="60">
        <v>0</v>
      </c>
      <c r="Q1616" s="60">
        <v>0</v>
      </c>
      <c r="R1616" s="60">
        <v>0</v>
      </c>
      <c r="S1616" s="60">
        <v>0</v>
      </c>
      <c r="T1616" s="60">
        <v>0</v>
      </c>
      <c r="U1616" s="60">
        <v>0</v>
      </c>
      <c r="V1616" s="60">
        <v>0</v>
      </c>
      <c r="W1616" s="60">
        <v>0</v>
      </c>
      <c r="X1616" s="60">
        <v>0</v>
      </c>
      <c r="Y1616" s="60">
        <v>0</v>
      </c>
      <c r="Z1616" s="60">
        <v>0</v>
      </c>
      <c r="AA1616" s="60">
        <v>0</v>
      </c>
      <c r="AB1616" s="60">
        <v>0</v>
      </c>
      <c r="AC1616" s="60">
        <v>0</v>
      </c>
      <c r="AD1616" s="60">
        <v>0</v>
      </c>
      <c r="AE1616" s="60">
        <v>0</v>
      </c>
      <c r="AF1616" s="60">
        <v>0</v>
      </c>
      <c r="AG1616" s="60">
        <v>0</v>
      </c>
      <c r="AH1616" s="60">
        <v>0</v>
      </c>
      <c r="AI1616" s="60">
        <v>816.67</v>
      </c>
      <c r="AJ1616" s="60">
        <v>770.81</v>
      </c>
      <c r="AK1616" s="60">
        <v>801.1</v>
      </c>
      <c r="AL1616" s="60">
        <v>0</v>
      </c>
      <c r="AM1616" s="60">
        <v>0</v>
      </c>
      <c r="AN1616" s="60">
        <v>0</v>
      </c>
      <c r="AO1616" s="60">
        <v>816.67</v>
      </c>
      <c r="AP1616" s="60">
        <v>770.81</v>
      </c>
      <c r="AQ1616" s="60">
        <v>801.1</v>
      </c>
      <c r="AR1616" s="61">
        <v>816.67</v>
      </c>
    </row>
    <row r="1617" spans="1:44" x14ac:dyDescent="0.35">
      <c r="A1617" s="49" t="str">
        <f t="shared" si="130"/>
        <v>24</v>
      </c>
      <c r="B1617" s="27">
        <v>65862</v>
      </c>
      <c r="C1617" s="25" t="str">
        <f t="shared" si="131"/>
        <v>0000000</v>
      </c>
      <c r="D1617" s="26" t="s">
        <v>3663</v>
      </c>
      <c r="E1617" s="25" t="s">
        <v>1353</v>
      </c>
      <c r="F1617" s="25" t="s">
        <v>1324</v>
      </c>
      <c r="G1617" s="59" t="s">
        <v>1354</v>
      </c>
      <c r="H1617" s="60">
        <v>2897.4</v>
      </c>
      <c r="I1617" s="60">
        <v>2675.37</v>
      </c>
      <c r="J1617" s="60">
        <v>2786.06</v>
      </c>
      <c r="K1617" s="60">
        <v>0</v>
      </c>
      <c r="L1617" s="60">
        <v>0</v>
      </c>
      <c r="M1617" s="60">
        <v>0</v>
      </c>
      <c r="N1617" s="60">
        <v>0</v>
      </c>
      <c r="O1617" s="60">
        <v>0</v>
      </c>
      <c r="P1617" s="60">
        <v>0</v>
      </c>
      <c r="Q1617" s="60">
        <v>0</v>
      </c>
      <c r="R1617" s="60">
        <v>0</v>
      </c>
      <c r="S1617" s="60">
        <v>0</v>
      </c>
      <c r="T1617" s="60">
        <v>0</v>
      </c>
      <c r="U1617" s="60">
        <v>0</v>
      </c>
      <c r="V1617" s="60">
        <v>0</v>
      </c>
      <c r="W1617" s="60">
        <v>0</v>
      </c>
      <c r="X1617" s="60">
        <v>0</v>
      </c>
      <c r="Y1617" s="60">
        <v>0</v>
      </c>
      <c r="Z1617" s="60">
        <v>0</v>
      </c>
      <c r="AA1617" s="60">
        <v>0</v>
      </c>
      <c r="AB1617" s="60">
        <v>0</v>
      </c>
      <c r="AC1617" s="60">
        <v>0</v>
      </c>
      <c r="AD1617" s="60">
        <v>0</v>
      </c>
      <c r="AE1617" s="60">
        <v>0</v>
      </c>
      <c r="AF1617" s="60">
        <v>0</v>
      </c>
      <c r="AG1617" s="60">
        <v>0</v>
      </c>
      <c r="AH1617" s="60">
        <v>0</v>
      </c>
      <c r="AI1617" s="60">
        <v>2897.4</v>
      </c>
      <c r="AJ1617" s="60">
        <v>2675.37</v>
      </c>
      <c r="AK1617" s="60">
        <v>2786.06</v>
      </c>
      <c r="AL1617" s="60">
        <v>0</v>
      </c>
      <c r="AM1617" s="60">
        <v>0</v>
      </c>
      <c r="AN1617" s="60">
        <v>0</v>
      </c>
      <c r="AO1617" s="60">
        <v>2897.4</v>
      </c>
      <c r="AP1617" s="60">
        <v>2675.37</v>
      </c>
      <c r="AQ1617" s="60">
        <v>2786.06</v>
      </c>
      <c r="AR1617" s="61">
        <v>2897.4</v>
      </c>
    </row>
    <row r="1618" spans="1:44" x14ac:dyDescent="0.35">
      <c r="A1618" s="49" t="str">
        <f t="shared" si="130"/>
        <v>24</v>
      </c>
      <c r="B1618" s="27">
        <v>65870</v>
      </c>
      <c r="C1618" s="25" t="str">
        <f t="shared" si="131"/>
        <v>0000000</v>
      </c>
      <c r="D1618" s="26" t="s">
        <v>3663</v>
      </c>
      <c r="E1618" s="25" t="s">
        <v>1355</v>
      </c>
      <c r="F1618" s="25" t="s">
        <v>1324</v>
      </c>
      <c r="G1618" s="59" t="s">
        <v>1356</v>
      </c>
      <c r="H1618" s="60">
        <v>1762.84</v>
      </c>
      <c r="I1618" s="60">
        <v>1590.11</v>
      </c>
      <c r="J1618" s="60">
        <v>1946.43</v>
      </c>
      <c r="K1618" s="60">
        <v>0</v>
      </c>
      <c r="L1618" s="60">
        <v>0</v>
      </c>
      <c r="M1618" s="60">
        <v>0</v>
      </c>
      <c r="N1618" s="60">
        <v>0</v>
      </c>
      <c r="O1618" s="60">
        <v>0</v>
      </c>
      <c r="P1618" s="60">
        <v>0</v>
      </c>
      <c r="Q1618" s="60">
        <v>0</v>
      </c>
      <c r="R1618" s="60">
        <v>0</v>
      </c>
      <c r="S1618" s="60">
        <v>0</v>
      </c>
      <c r="T1618" s="60">
        <v>0</v>
      </c>
      <c r="U1618" s="60">
        <v>0</v>
      </c>
      <c r="V1618" s="60">
        <v>0</v>
      </c>
      <c r="W1618" s="60">
        <v>0</v>
      </c>
      <c r="X1618" s="60">
        <v>0</v>
      </c>
      <c r="Y1618" s="60">
        <v>0</v>
      </c>
      <c r="Z1618" s="60">
        <v>0</v>
      </c>
      <c r="AA1618" s="60">
        <v>0</v>
      </c>
      <c r="AB1618" s="60">
        <v>0</v>
      </c>
      <c r="AC1618" s="60">
        <v>0</v>
      </c>
      <c r="AD1618" s="60">
        <v>0</v>
      </c>
      <c r="AE1618" s="60">
        <v>0</v>
      </c>
      <c r="AF1618" s="60">
        <v>0</v>
      </c>
      <c r="AG1618" s="60">
        <v>0</v>
      </c>
      <c r="AH1618" s="60">
        <v>0</v>
      </c>
      <c r="AI1618" s="60">
        <v>1762.84</v>
      </c>
      <c r="AJ1618" s="60">
        <v>1590.11</v>
      </c>
      <c r="AK1618" s="60">
        <v>1946.43</v>
      </c>
      <c r="AL1618" s="60">
        <v>0</v>
      </c>
      <c r="AM1618" s="60">
        <v>0</v>
      </c>
      <c r="AN1618" s="60">
        <v>0</v>
      </c>
      <c r="AO1618" s="60">
        <v>1762.84</v>
      </c>
      <c r="AP1618" s="60">
        <v>1590.11</v>
      </c>
      <c r="AQ1618" s="60">
        <v>1946.43</v>
      </c>
      <c r="AR1618" s="61">
        <v>1946.43</v>
      </c>
    </row>
    <row r="1619" spans="1:44" x14ac:dyDescent="0.35">
      <c r="A1619" s="49" t="str">
        <f t="shared" si="130"/>
        <v>24</v>
      </c>
      <c r="B1619" s="27">
        <v>65730</v>
      </c>
      <c r="C1619" s="25" t="str">
        <f t="shared" si="131"/>
        <v>0000000</v>
      </c>
      <c r="D1619" s="26" t="s">
        <v>3663</v>
      </c>
      <c r="E1619" s="25" t="s">
        <v>1335</v>
      </c>
      <c r="F1619" s="25" t="s">
        <v>1324</v>
      </c>
      <c r="G1619" s="59" t="s">
        <v>1336</v>
      </c>
      <c r="H1619" s="60">
        <v>484.02</v>
      </c>
      <c r="I1619" s="60">
        <v>497.68</v>
      </c>
      <c r="J1619" s="60">
        <v>492.43</v>
      </c>
      <c r="K1619" s="60">
        <v>0</v>
      </c>
      <c r="L1619" s="60">
        <v>0</v>
      </c>
      <c r="M1619" s="60">
        <v>0</v>
      </c>
      <c r="N1619" s="60">
        <v>0</v>
      </c>
      <c r="O1619" s="60">
        <v>0</v>
      </c>
      <c r="P1619" s="60">
        <v>0</v>
      </c>
      <c r="Q1619" s="60">
        <v>0</v>
      </c>
      <c r="R1619" s="60">
        <v>0</v>
      </c>
      <c r="S1619" s="60">
        <v>0</v>
      </c>
      <c r="T1619" s="60">
        <v>0</v>
      </c>
      <c r="U1619" s="60">
        <v>0</v>
      </c>
      <c r="V1619" s="60">
        <v>0</v>
      </c>
      <c r="W1619" s="60">
        <v>0</v>
      </c>
      <c r="X1619" s="60">
        <v>0</v>
      </c>
      <c r="Y1619" s="60">
        <v>0</v>
      </c>
      <c r="Z1619" s="60">
        <v>0</v>
      </c>
      <c r="AA1619" s="60">
        <v>0</v>
      </c>
      <c r="AB1619" s="60">
        <v>0</v>
      </c>
      <c r="AC1619" s="60">
        <v>0</v>
      </c>
      <c r="AD1619" s="60">
        <v>0</v>
      </c>
      <c r="AE1619" s="60">
        <v>0</v>
      </c>
      <c r="AF1619" s="60">
        <v>0</v>
      </c>
      <c r="AG1619" s="60">
        <v>0</v>
      </c>
      <c r="AH1619" s="60">
        <v>0</v>
      </c>
      <c r="AI1619" s="60">
        <v>484.02</v>
      </c>
      <c r="AJ1619" s="60">
        <v>497.68</v>
      </c>
      <c r="AK1619" s="60">
        <v>492.43</v>
      </c>
      <c r="AL1619" s="60">
        <v>0</v>
      </c>
      <c r="AM1619" s="60">
        <v>0</v>
      </c>
      <c r="AN1619" s="60">
        <v>0</v>
      </c>
      <c r="AO1619" s="60">
        <v>484.02</v>
      </c>
      <c r="AP1619" s="60">
        <v>497.68</v>
      </c>
      <c r="AQ1619" s="60">
        <v>492.43</v>
      </c>
      <c r="AR1619" s="61">
        <v>497.68</v>
      </c>
    </row>
    <row r="1620" spans="1:44" x14ac:dyDescent="0.35">
      <c r="A1620" s="49" t="str">
        <f t="shared" si="130"/>
        <v>24</v>
      </c>
      <c r="B1620" s="27">
        <v>65839</v>
      </c>
      <c r="C1620" s="25" t="str">
        <f t="shared" si="131"/>
        <v>0000000</v>
      </c>
      <c r="D1620" s="26" t="s">
        <v>3663</v>
      </c>
      <c r="E1620" s="25" t="s">
        <v>1351</v>
      </c>
      <c r="F1620" s="25" t="s">
        <v>1324</v>
      </c>
      <c r="G1620" s="59" t="s">
        <v>1352</v>
      </c>
      <c r="H1620" s="60">
        <v>49.93</v>
      </c>
      <c r="I1620" s="60">
        <v>51.6</v>
      </c>
      <c r="J1620" s="60">
        <v>76.41</v>
      </c>
      <c r="K1620" s="60">
        <v>0</v>
      </c>
      <c r="L1620" s="60">
        <v>0</v>
      </c>
      <c r="M1620" s="60">
        <v>0</v>
      </c>
      <c r="N1620" s="60">
        <v>0</v>
      </c>
      <c r="O1620" s="60">
        <v>0</v>
      </c>
      <c r="P1620" s="60">
        <v>0</v>
      </c>
      <c r="Q1620" s="60">
        <v>0</v>
      </c>
      <c r="R1620" s="60">
        <v>0</v>
      </c>
      <c r="S1620" s="60">
        <v>0</v>
      </c>
      <c r="T1620" s="60">
        <v>0</v>
      </c>
      <c r="U1620" s="60">
        <v>0</v>
      </c>
      <c r="V1620" s="60">
        <v>0</v>
      </c>
      <c r="W1620" s="60">
        <v>0</v>
      </c>
      <c r="X1620" s="60">
        <v>0</v>
      </c>
      <c r="Y1620" s="60">
        <v>0</v>
      </c>
      <c r="Z1620" s="60">
        <v>0</v>
      </c>
      <c r="AA1620" s="60">
        <v>0</v>
      </c>
      <c r="AB1620" s="60">
        <v>0</v>
      </c>
      <c r="AC1620" s="60">
        <v>0</v>
      </c>
      <c r="AD1620" s="60">
        <v>0</v>
      </c>
      <c r="AE1620" s="60">
        <v>0</v>
      </c>
      <c r="AF1620" s="60">
        <v>0</v>
      </c>
      <c r="AG1620" s="60">
        <v>0</v>
      </c>
      <c r="AH1620" s="60">
        <v>0</v>
      </c>
      <c r="AI1620" s="60">
        <v>49.93</v>
      </c>
      <c r="AJ1620" s="60">
        <v>51.6</v>
      </c>
      <c r="AK1620" s="60">
        <v>76.41</v>
      </c>
      <c r="AL1620" s="60">
        <v>0</v>
      </c>
      <c r="AM1620" s="60">
        <v>0</v>
      </c>
      <c r="AN1620" s="60">
        <v>0</v>
      </c>
      <c r="AO1620" s="60">
        <v>49.93</v>
      </c>
      <c r="AP1620" s="60">
        <v>51.6</v>
      </c>
      <c r="AQ1620" s="60">
        <v>76.41</v>
      </c>
      <c r="AR1620" s="61">
        <v>76.41</v>
      </c>
    </row>
    <row r="1621" spans="1:44" x14ac:dyDescent="0.35">
      <c r="A1621" s="49" t="str">
        <f t="shared" si="130"/>
        <v>24</v>
      </c>
      <c r="B1621" s="27">
        <v>75317</v>
      </c>
      <c r="C1621" s="25" t="str">
        <f t="shared" si="131"/>
        <v>0000000</v>
      </c>
      <c r="D1621" s="26" t="s">
        <v>3663</v>
      </c>
      <c r="E1621" s="25" t="s">
        <v>1361</v>
      </c>
      <c r="F1621" s="25" t="s">
        <v>1324</v>
      </c>
      <c r="G1621" s="59" t="s">
        <v>1362</v>
      </c>
      <c r="H1621" s="60">
        <v>2098.79</v>
      </c>
      <c r="I1621" s="60">
        <v>1975.29</v>
      </c>
      <c r="J1621" s="60">
        <v>2220.42</v>
      </c>
      <c r="K1621" s="60">
        <v>0</v>
      </c>
      <c r="L1621" s="60">
        <v>0</v>
      </c>
      <c r="M1621" s="60">
        <v>0</v>
      </c>
      <c r="N1621" s="60">
        <v>0</v>
      </c>
      <c r="O1621" s="60">
        <v>0</v>
      </c>
      <c r="P1621" s="60">
        <v>0</v>
      </c>
      <c r="Q1621" s="60">
        <v>0</v>
      </c>
      <c r="R1621" s="60">
        <v>0</v>
      </c>
      <c r="S1621" s="60">
        <v>0</v>
      </c>
      <c r="T1621" s="60">
        <v>0</v>
      </c>
      <c r="U1621" s="60">
        <v>0</v>
      </c>
      <c r="V1621" s="60">
        <v>0</v>
      </c>
      <c r="W1621" s="60">
        <v>0</v>
      </c>
      <c r="X1621" s="60">
        <v>0</v>
      </c>
      <c r="Y1621" s="60">
        <v>0</v>
      </c>
      <c r="Z1621" s="60">
        <v>0</v>
      </c>
      <c r="AA1621" s="60">
        <v>0</v>
      </c>
      <c r="AB1621" s="60">
        <v>0</v>
      </c>
      <c r="AC1621" s="60">
        <v>0</v>
      </c>
      <c r="AD1621" s="60">
        <v>0</v>
      </c>
      <c r="AE1621" s="60">
        <v>0</v>
      </c>
      <c r="AF1621" s="60">
        <v>0</v>
      </c>
      <c r="AG1621" s="60">
        <v>0</v>
      </c>
      <c r="AH1621" s="60">
        <v>0</v>
      </c>
      <c r="AI1621" s="60">
        <v>2098.79</v>
      </c>
      <c r="AJ1621" s="60">
        <v>1975.29</v>
      </c>
      <c r="AK1621" s="60">
        <v>2220.42</v>
      </c>
      <c r="AL1621" s="60">
        <v>0</v>
      </c>
      <c r="AM1621" s="60">
        <v>0</v>
      </c>
      <c r="AN1621" s="60">
        <v>0</v>
      </c>
      <c r="AO1621" s="60">
        <v>2098.79</v>
      </c>
      <c r="AP1621" s="60">
        <v>1975.29</v>
      </c>
      <c r="AQ1621" s="60">
        <v>2220.42</v>
      </c>
      <c r="AR1621" s="61">
        <v>2220.42</v>
      </c>
    </row>
    <row r="1622" spans="1:44" x14ac:dyDescent="0.35">
      <c r="A1622" s="49" t="str">
        <f t="shared" si="130"/>
        <v>24</v>
      </c>
      <c r="B1622" s="27">
        <v>75366</v>
      </c>
      <c r="C1622" s="25" t="str">
        <f t="shared" si="131"/>
        <v>0000000</v>
      </c>
      <c r="D1622" s="26" t="s">
        <v>3663</v>
      </c>
      <c r="E1622" s="25" t="s">
        <v>1363</v>
      </c>
      <c r="F1622" s="25" t="s">
        <v>1324</v>
      </c>
      <c r="G1622" s="59" t="s">
        <v>1364</v>
      </c>
      <c r="H1622" s="60">
        <v>2225</v>
      </c>
      <c r="I1622" s="60">
        <v>2198.21</v>
      </c>
      <c r="J1622" s="60">
        <v>2458.62</v>
      </c>
      <c r="K1622" s="60">
        <v>0</v>
      </c>
      <c r="L1622" s="60">
        <v>0</v>
      </c>
      <c r="M1622" s="60">
        <v>0</v>
      </c>
      <c r="N1622" s="60">
        <v>0</v>
      </c>
      <c r="O1622" s="60">
        <v>0</v>
      </c>
      <c r="P1622" s="60">
        <v>0</v>
      </c>
      <c r="Q1622" s="60">
        <v>0</v>
      </c>
      <c r="R1622" s="60">
        <v>0</v>
      </c>
      <c r="S1622" s="60">
        <v>0</v>
      </c>
      <c r="T1622" s="60">
        <v>0</v>
      </c>
      <c r="U1622" s="60">
        <v>0</v>
      </c>
      <c r="V1622" s="60">
        <v>0</v>
      </c>
      <c r="W1622" s="60">
        <v>0</v>
      </c>
      <c r="X1622" s="60">
        <v>0</v>
      </c>
      <c r="Y1622" s="60">
        <v>0</v>
      </c>
      <c r="Z1622" s="60">
        <v>0</v>
      </c>
      <c r="AA1622" s="60">
        <v>0</v>
      </c>
      <c r="AB1622" s="60">
        <v>0</v>
      </c>
      <c r="AC1622" s="60">
        <v>0</v>
      </c>
      <c r="AD1622" s="60">
        <v>0</v>
      </c>
      <c r="AE1622" s="60">
        <v>0</v>
      </c>
      <c r="AF1622" s="60">
        <v>0</v>
      </c>
      <c r="AG1622" s="60">
        <v>0</v>
      </c>
      <c r="AH1622" s="60">
        <v>0</v>
      </c>
      <c r="AI1622" s="60">
        <v>2225</v>
      </c>
      <c r="AJ1622" s="60">
        <v>2198.21</v>
      </c>
      <c r="AK1622" s="60">
        <v>2458.62</v>
      </c>
      <c r="AL1622" s="60">
        <v>0</v>
      </c>
      <c r="AM1622" s="60">
        <v>0</v>
      </c>
      <c r="AN1622" s="60">
        <v>0</v>
      </c>
      <c r="AO1622" s="60">
        <v>2225</v>
      </c>
      <c r="AP1622" s="60">
        <v>2198.21</v>
      </c>
      <c r="AQ1622" s="60">
        <v>2458.62</v>
      </c>
      <c r="AR1622" s="61">
        <v>2458.62</v>
      </c>
    </row>
    <row r="1623" spans="1:44" x14ac:dyDescent="0.35">
      <c r="A1623" s="49" t="str">
        <f t="shared" si="130"/>
        <v>24</v>
      </c>
      <c r="B1623" s="27">
        <v>65813</v>
      </c>
      <c r="C1623" s="25" t="str">
        <f t="shared" si="131"/>
        <v>0000000</v>
      </c>
      <c r="D1623" s="26" t="s">
        <v>3663</v>
      </c>
      <c r="E1623" s="25" t="s">
        <v>1347</v>
      </c>
      <c r="F1623" s="25" t="s">
        <v>1324</v>
      </c>
      <c r="G1623" s="59" t="s">
        <v>1348</v>
      </c>
      <c r="H1623" s="60">
        <v>99.91</v>
      </c>
      <c r="I1623" s="60">
        <v>99.76</v>
      </c>
      <c r="J1623" s="60">
        <v>104.99</v>
      </c>
      <c r="K1623" s="60">
        <v>0</v>
      </c>
      <c r="L1623" s="60">
        <v>0</v>
      </c>
      <c r="M1623" s="60">
        <v>0</v>
      </c>
      <c r="N1623" s="60">
        <v>0</v>
      </c>
      <c r="O1623" s="60">
        <v>0</v>
      </c>
      <c r="P1623" s="60">
        <v>0</v>
      </c>
      <c r="Q1623" s="60">
        <v>0</v>
      </c>
      <c r="R1623" s="60">
        <v>0</v>
      </c>
      <c r="S1623" s="60">
        <v>0</v>
      </c>
      <c r="T1623" s="60">
        <v>0</v>
      </c>
      <c r="U1623" s="60">
        <v>0</v>
      </c>
      <c r="V1623" s="60">
        <v>0</v>
      </c>
      <c r="W1623" s="60">
        <v>0</v>
      </c>
      <c r="X1623" s="60">
        <v>0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0">
        <v>0</v>
      </c>
      <c r="AE1623" s="60">
        <v>0</v>
      </c>
      <c r="AF1623" s="60">
        <v>0</v>
      </c>
      <c r="AG1623" s="60">
        <v>0</v>
      </c>
      <c r="AH1623" s="60">
        <v>0</v>
      </c>
      <c r="AI1623" s="60">
        <v>99.91</v>
      </c>
      <c r="AJ1623" s="60">
        <v>99.76</v>
      </c>
      <c r="AK1623" s="60">
        <v>104.99</v>
      </c>
      <c r="AL1623" s="60">
        <v>0</v>
      </c>
      <c r="AM1623" s="60">
        <v>0</v>
      </c>
      <c r="AN1623" s="60">
        <v>0</v>
      </c>
      <c r="AO1623" s="60">
        <v>99.91</v>
      </c>
      <c r="AP1623" s="60">
        <v>99.76</v>
      </c>
      <c r="AQ1623" s="60">
        <v>104.99</v>
      </c>
      <c r="AR1623" s="61">
        <v>104.99</v>
      </c>
    </row>
    <row r="1624" spans="1:44" x14ac:dyDescent="0.35">
      <c r="A1624" s="49" t="str">
        <f>TEXT(38,"00")</f>
        <v>38</v>
      </c>
      <c r="B1624" s="27">
        <v>68478</v>
      </c>
      <c r="C1624" s="25" t="str">
        <f t="shared" si="131"/>
        <v>0000000</v>
      </c>
      <c r="D1624" s="26" t="s">
        <v>3663</v>
      </c>
      <c r="E1624" s="25" t="s">
        <v>2379</v>
      </c>
      <c r="F1624" s="25" t="s">
        <v>2380</v>
      </c>
      <c r="G1624" s="59" t="s">
        <v>2380</v>
      </c>
      <c r="H1624" s="60">
        <v>44871.12</v>
      </c>
      <c r="I1624" s="60">
        <v>44638.55</v>
      </c>
      <c r="J1624" s="60">
        <v>50226.6</v>
      </c>
      <c r="K1624" s="60">
        <v>0</v>
      </c>
      <c r="L1624" s="60">
        <v>0</v>
      </c>
      <c r="M1624" s="60">
        <v>0</v>
      </c>
      <c r="N1624" s="60">
        <v>0</v>
      </c>
      <c r="O1624" s="60">
        <v>0</v>
      </c>
      <c r="P1624" s="60">
        <v>0</v>
      </c>
      <c r="Q1624" s="60">
        <v>0</v>
      </c>
      <c r="R1624" s="60">
        <v>0</v>
      </c>
      <c r="S1624" s="60">
        <v>0</v>
      </c>
      <c r="T1624" s="60">
        <v>0</v>
      </c>
      <c r="U1624" s="60">
        <v>0</v>
      </c>
      <c r="V1624" s="60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0</v>
      </c>
      <c r="AB1624" s="60">
        <v>0</v>
      </c>
      <c r="AC1624" s="60">
        <v>1148.26</v>
      </c>
      <c r="AD1624" s="60">
        <v>1425.21</v>
      </c>
      <c r="AE1624" s="60">
        <v>1501.13</v>
      </c>
      <c r="AF1624" s="60">
        <v>0</v>
      </c>
      <c r="AG1624" s="60">
        <v>0</v>
      </c>
      <c r="AH1624" s="60">
        <v>0</v>
      </c>
      <c r="AI1624" s="60">
        <v>46019.38</v>
      </c>
      <c r="AJ1624" s="60">
        <v>46063.76</v>
      </c>
      <c r="AK1624" s="60">
        <v>51727.73</v>
      </c>
      <c r="AL1624" s="60">
        <v>0</v>
      </c>
      <c r="AM1624" s="60">
        <v>0</v>
      </c>
      <c r="AN1624" s="60">
        <v>0</v>
      </c>
      <c r="AO1624" s="60">
        <v>46019.38</v>
      </c>
      <c r="AP1624" s="60">
        <v>46063.76</v>
      </c>
      <c r="AQ1624" s="60">
        <v>51727.73</v>
      </c>
      <c r="AR1624" s="61">
        <v>51727.73</v>
      </c>
    </row>
    <row r="1625" spans="1:44" x14ac:dyDescent="0.35">
      <c r="A1625" s="49" t="str">
        <f>TEXT(38,"00")</f>
        <v>38</v>
      </c>
      <c r="B1625" s="27">
        <v>10389</v>
      </c>
      <c r="C1625" s="25" t="str">
        <f t="shared" si="131"/>
        <v>0000000</v>
      </c>
      <c r="D1625" s="26" t="s">
        <v>3663</v>
      </c>
      <c r="E1625" s="25" t="s">
        <v>2381</v>
      </c>
      <c r="F1625" s="25" t="s">
        <v>2380</v>
      </c>
      <c r="G1625" s="59" t="s">
        <v>2382</v>
      </c>
      <c r="H1625" s="60">
        <v>0</v>
      </c>
      <c r="I1625" s="60">
        <v>0</v>
      </c>
      <c r="J1625" s="60">
        <v>0</v>
      </c>
      <c r="K1625" s="60">
        <v>0</v>
      </c>
      <c r="L1625" s="60">
        <v>0</v>
      </c>
      <c r="M1625" s="60">
        <v>0</v>
      </c>
      <c r="N1625" s="60">
        <v>0</v>
      </c>
      <c r="O1625" s="60">
        <v>0</v>
      </c>
      <c r="P1625" s="60">
        <v>0</v>
      </c>
      <c r="Q1625" s="60">
        <v>0</v>
      </c>
      <c r="R1625" s="60">
        <v>0</v>
      </c>
      <c r="S1625" s="60">
        <v>0</v>
      </c>
      <c r="T1625" s="60">
        <v>28.82</v>
      </c>
      <c r="U1625" s="60">
        <v>18.260000000000002</v>
      </c>
      <c r="V1625" s="60">
        <v>51.29</v>
      </c>
      <c r="W1625" s="60">
        <v>32.92</v>
      </c>
      <c r="X1625" s="60">
        <v>24.73</v>
      </c>
      <c r="Y1625" s="60">
        <v>38.6</v>
      </c>
      <c r="Z1625" s="60">
        <v>0</v>
      </c>
      <c r="AA1625" s="60">
        <v>0</v>
      </c>
      <c r="AB1625" s="60">
        <v>0</v>
      </c>
      <c r="AC1625" s="60">
        <v>0</v>
      </c>
      <c r="AD1625" s="60">
        <v>0</v>
      </c>
      <c r="AE1625" s="60">
        <v>0</v>
      </c>
      <c r="AF1625" s="60">
        <v>0</v>
      </c>
      <c r="AG1625" s="60">
        <v>0</v>
      </c>
      <c r="AH1625" s="60">
        <v>0</v>
      </c>
      <c r="AI1625" s="60">
        <v>61.74</v>
      </c>
      <c r="AJ1625" s="60">
        <v>42.99</v>
      </c>
      <c r="AK1625" s="60">
        <v>89.89</v>
      </c>
      <c r="AL1625" s="60">
        <v>0</v>
      </c>
      <c r="AM1625" s="60">
        <v>0</v>
      </c>
      <c r="AN1625" s="60">
        <v>0</v>
      </c>
      <c r="AO1625" s="60">
        <v>61.74</v>
      </c>
      <c r="AP1625" s="60">
        <v>42.99</v>
      </c>
      <c r="AQ1625" s="60">
        <v>89.89</v>
      </c>
      <c r="AR1625" s="61">
        <v>89.89</v>
      </c>
    </row>
    <row r="1626" spans="1:44" x14ac:dyDescent="0.35">
      <c r="A1626" s="49" t="str">
        <f t="shared" ref="A1626:A1649" si="132">TEXT(50,"00")</f>
        <v>50</v>
      </c>
      <c r="B1626" s="27">
        <v>10504</v>
      </c>
      <c r="C1626" s="25" t="str">
        <f t="shared" si="131"/>
        <v>0000000</v>
      </c>
      <c r="D1626" s="26" t="s">
        <v>3663</v>
      </c>
      <c r="E1626" s="25" t="s">
        <v>3160</v>
      </c>
      <c r="F1626" s="25" t="s">
        <v>3161</v>
      </c>
      <c r="G1626" s="59" t="s">
        <v>3161</v>
      </c>
      <c r="H1626" s="60">
        <v>0</v>
      </c>
      <c r="I1626" s="60">
        <v>0</v>
      </c>
      <c r="J1626" s="60">
        <v>0</v>
      </c>
      <c r="K1626" s="60">
        <v>0</v>
      </c>
      <c r="L1626" s="60">
        <v>0</v>
      </c>
      <c r="M1626" s="60">
        <v>0</v>
      </c>
      <c r="N1626" s="60">
        <v>0</v>
      </c>
      <c r="O1626" s="60">
        <v>0</v>
      </c>
      <c r="P1626" s="60">
        <v>0</v>
      </c>
      <c r="Q1626" s="60">
        <v>0</v>
      </c>
      <c r="R1626" s="60">
        <v>0</v>
      </c>
      <c r="S1626" s="60">
        <v>0</v>
      </c>
      <c r="T1626" s="60">
        <v>90.6</v>
      </c>
      <c r="U1626" s="60">
        <v>84.36</v>
      </c>
      <c r="V1626" s="60">
        <v>119.16</v>
      </c>
      <c r="W1626" s="60">
        <v>1375</v>
      </c>
      <c r="X1626" s="60">
        <v>1513.35</v>
      </c>
      <c r="Y1626" s="60">
        <v>2259.65</v>
      </c>
      <c r="Z1626" s="60">
        <v>0</v>
      </c>
      <c r="AA1626" s="60">
        <v>0</v>
      </c>
      <c r="AB1626" s="60">
        <v>0</v>
      </c>
      <c r="AC1626" s="60">
        <v>0</v>
      </c>
      <c r="AD1626" s="60">
        <v>0</v>
      </c>
      <c r="AE1626" s="60">
        <v>0</v>
      </c>
      <c r="AF1626" s="60">
        <v>0</v>
      </c>
      <c r="AG1626" s="60">
        <v>0</v>
      </c>
      <c r="AH1626" s="60">
        <v>0</v>
      </c>
      <c r="AI1626" s="60">
        <v>1465.6</v>
      </c>
      <c r="AJ1626" s="60">
        <v>1597.71</v>
      </c>
      <c r="AK1626" s="60">
        <v>2378.81</v>
      </c>
      <c r="AL1626" s="60">
        <v>0</v>
      </c>
      <c r="AM1626" s="60">
        <v>0</v>
      </c>
      <c r="AN1626" s="60">
        <v>0</v>
      </c>
      <c r="AO1626" s="60">
        <v>1465.6</v>
      </c>
      <c r="AP1626" s="60">
        <v>1597.71</v>
      </c>
      <c r="AQ1626" s="60">
        <v>2378.81</v>
      </c>
      <c r="AR1626" s="61">
        <v>2378.81</v>
      </c>
    </row>
    <row r="1627" spans="1:44" x14ac:dyDescent="0.35">
      <c r="A1627" s="49" t="str">
        <f t="shared" si="132"/>
        <v>50</v>
      </c>
      <c r="B1627" s="27">
        <v>71043</v>
      </c>
      <c r="C1627" s="25" t="str">
        <f t="shared" si="131"/>
        <v>0000000</v>
      </c>
      <c r="D1627" s="26" t="s">
        <v>3663</v>
      </c>
      <c r="E1627" s="25" t="s">
        <v>3162</v>
      </c>
      <c r="F1627" s="25" t="s">
        <v>3161</v>
      </c>
      <c r="G1627" s="59" t="s">
        <v>3163</v>
      </c>
      <c r="H1627" s="60">
        <v>12340.63</v>
      </c>
      <c r="I1627" s="60">
        <v>11636.31</v>
      </c>
      <c r="J1627" s="60">
        <v>13189.3</v>
      </c>
      <c r="K1627" s="60">
        <v>0</v>
      </c>
      <c r="L1627" s="60">
        <v>0</v>
      </c>
      <c r="M1627" s="60">
        <v>0</v>
      </c>
      <c r="N1627" s="60">
        <v>0</v>
      </c>
      <c r="O1627" s="60">
        <v>0</v>
      </c>
      <c r="P1627" s="60">
        <v>0</v>
      </c>
      <c r="Q1627" s="60">
        <v>0</v>
      </c>
      <c r="R1627" s="60">
        <v>0</v>
      </c>
      <c r="S1627" s="60">
        <v>0</v>
      </c>
      <c r="T1627" s="60">
        <v>0</v>
      </c>
      <c r="U1627" s="60">
        <v>0</v>
      </c>
      <c r="V1627" s="60">
        <v>0</v>
      </c>
      <c r="W1627" s="60">
        <v>0</v>
      </c>
      <c r="X1627" s="60">
        <v>0</v>
      </c>
      <c r="Y1627" s="60">
        <v>0</v>
      </c>
      <c r="Z1627" s="60">
        <v>0</v>
      </c>
      <c r="AA1627" s="60">
        <v>0</v>
      </c>
      <c r="AB1627" s="60">
        <v>0</v>
      </c>
      <c r="AC1627" s="60">
        <v>481.42</v>
      </c>
      <c r="AD1627" s="60">
        <v>482.4</v>
      </c>
      <c r="AE1627" s="60">
        <v>554.48</v>
      </c>
      <c r="AF1627" s="60">
        <v>0</v>
      </c>
      <c r="AG1627" s="60">
        <v>0</v>
      </c>
      <c r="AH1627" s="60">
        <v>0</v>
      </c>
      <c r="AI1627" s="60">
        <v>12822.05</v>
      </c>
      <c r="AJ1627" s="60">
        <v>12118.71</v>
      </c>
      <c r="AK1627" s="60">
        <v>13743.78</v>
      </c>
      <c r="AL1627" s="60">
        <v>0</v>
      </c>
      <c r="AM1627" s="60">
        <v>0</v>
      </c>
      <c r="AN1627" s="60">
        <v>0</v>
      </c>
      <c r="AO1627" s="60">
        <v>12822.05</v>
      </c>
      <c r="AP1627" s="60">
        <v>12118.71</v>
      </c>
      <c r="AQ1627" s="60">
        <v>13743.78</v>
      </c>
      <c r="AR1627" s="61">
        <v>13743.78</v>
      </c>
    </row>
    <row r="1628" spans="1:44" x14ac:dyDescent="0.35">
      <c r="A1628" s="49" t="str">
        <f t="shared" si="132"/>
        <v>50</v>
      </c>
      <c r="B1628" s="27">
        <v>71076</v>
      </c>
      <c r="C1628" s="25" t="str">
        <f t="shared" si="131"/>
        <v>0000000</v>
      </c>
      <c r="D1628" s="26" t="s">
        <v>3663</v>
      </c>
      <c r="E1628" s="25" t="s">
        <v>3171</v>
      </c>
      <c r="F1628" s="25" t="s">
        <v>3161</v>
      </c>
      <c r="G1628" s="59" t="s">
        <v>3172</v>
      </c>
      <c r="H1628" s="60">
        <v>2551.02</v>
      </c>
      <c r="I1628" s="60">
        <v>2447.37</v>
      </c>
      <c r="J1628" s="60">
        <v>2824.53</v>
      </c>
      <c r="K1628" s="60">
        <v>0</v>
      </c>
      <c r="L1628" s="60">
        <v>0</v>
      </c>
      <c r="M1628" s="60">
        <v>0</v>
      </c>
      <c r="N1628" s="60">
        <v>0</v>
      </c>
      <c r="O1628" s="60">
        <v>0</v>
      </c>
      <c r="P1628" s="60">
        <v>0</v>
      </c>
      <c r="Q1628" s="60">
        <v>0</v>
      </c>
      <c r="R1628" s="60">
        <v>0</v>
      </c>
      <c r="S1628" s="60">
        <v>0</v>
      </c>
      <c r="T1628" s="60">
        <v>0</v>
      </c>
      <c r="U1628" s="60">
        <v>0</v>
      </c>
      <c r="V1628" s="60">
        <v>0</v>
      </c>
      <c r="W1628" s="60">
        <v>0</v>
      </c>
      <c r="X1628" s="60">
        <v>0</v>
      </c>
      <c r="Y1628" s="60">
        <v>0</v>
      </c>
      <c r="Z1628" s="60">
        <v>0</v>
      </c>
      <c r="AA1628" s="60">
        <v>0</v>
      </c>
      <c r="AB1628" s="60">
        <v>0</v>
      </c>
      <c r="AC1628" s="60">
        <v>0</v>
      </c>
      <c r="AD1628" s="60">
        <v>0</v>
      </c>
      <c r="AE1628" s="60">
        <v>0</v>
      </c>
      <c r="AF1628" s="60">
        <v>0</v>
      </c>
      <c r="AG1628" s="60">
        <v>0</v>
      </c>
      <c r="AH1628" s="60">
        <v>0</v>
      </c>
      <c r="AI1628" s="60">
        <v>2551.02</v>
      </c>
      <c r="AJ1628" s="60">
        <v>2447.37</v>
      </c>
      <c r="AK1628" s="60">
        <v>2824.53</v>
      </c>
      <c r="AL1628" s="60">
        <v>0</v>
      </c>
      <c r="AM1628" s="60">
        <v>0</v>
      </c>
      <c r="AN1628" s="60">
        <v>0</v>
      </c>
      <c r="AO1628" s="60">
        <v>2551.02</v>
      </c>
      <c r="AP1628" s="60">
        <v>2447.37</v>
      </c>
      <c r="AQ1628" s="60">
        <v>2824.53</v>
      </c>
      <c r="AR1628" s="61">
        <v>2824.53</v>
      </c>
    </row>
    <row r="1629" spans="1:44" x14ac:dyDescent="0.35">
      <c r="A1629" s="49" t="str">
        <f t="shared" si="132"/>
        <v>50</v>
      </c>
      <c r="B1629" s="27">
        <v>73601</v>
      </c>
      <c r="C1629" s="25" t="str">
        <f t="shared" si="131"/>
        <v>0000000</v>
      </c>
      <c r="D1629" s="26" t="s">
        <v>3663</v>
      </c>
      <c r="E1629" s="25" t="s">
        <v>3209</v>
      </c>
      <c r="F1629" s="25" t="s">
        <v>3161</v>
      </c>
      <c r="G1629" s="59" t="s">
        <v>3210</v>
      </c>
      <c r="H1629" s="60">
        <v>2877.97</v>
      </c>
      <c r="I1629" s="60">
        <v>2831.62</v>
      </c>
      <c r="J1629" s="60">
        <v>3070.88</v>
      </c>
      <c r="K1629" s="60">
        <v>0</v>
      </c>
      <c r="L1629" s="60">
        <v>0</v>
      </c>
      <c r="M1629" s="60">
        <v>0</v>
      </c>
      <c r="N1629" s="60">
        <v>0</v>
      </c>
      <c r="O1629" s="60">
        <v>0</v>
      </c>
      <c r="P1629" s="60">
        <v>0</v>
      </c>
      <c r="Q1629" s="60">
        <v>0</v>
      </c>
      <c r="R1629" s="60">
        <v>0</v>
      </c>
      <c r="S1629" s="60">
        <v>0</v>
      </c>
      <c r="T1629" s="60">
        <v>0</v>
      </c>
      <c r="U1629" s="60">
        <v>0</v>
      </c>
      <c r="V1629" s="60">
        <v>0</v>
      </c>
      <c r="W1629" s="60">
        <v>0</v>
      </c>
      <c r="X1629" s="60">
        <v>0</v>
      </c>
      <c r="Y1629" s="60">
        <v>0</v>
      </c>
      <c r="Z1629" s="60">
        <v>0</v>
      </c>
      <c r="AA1629" s="60">
        <v>0</v>
      </c>
      <c r="AB1629" s="60">
        <v>0</v>
      </c>
      <c r="AC1629" s="60">
        <v>0</v>
      </c>
      <c r="AD1629" s="60">
        <v>0</v>
      </c>
      <c r="AE1629" s="60">
        <v>0</v>
      </c>
      <c r="AF1629" s="60">
        <v>0</v>
      </c>
      <c r="AG1629" s="60">
        <v>0</v>
      </c>
      <c r="AH1629" s="60">
        <v>0</v>
      </c>
      <c r="AI1629" s="60">
        <v>2877.97</v>
      </c>
      <c r="AJ1629" s="60">
        <v>2831.62</v>
      </c>
      <c r="AK1629" s="60">
        <v>3070.88</v>
      </c>
      <c r="AL1629" s="60">
        <v>0</v>
      </c>
      <c r="AM1629" s="60">
        <v>0</v>
      </c>
      <c r="AN1629" s="60">
        <v>0</v>
      </c>
      <c r="AO1629" s="60">
        <v>2877.97</v>
      </c>
      <c r="AP1629" s="60">
        <v>2831.62</v>
      </c>
      <c r="AQ1629" s="60">
        <v>3070.88</v>
      </c>
      <c r="AR1629" s="61">
        <v>3070.88</v>
      </c>
    </row>
    <row r="1630" spans="1:44" x14ac:dyDescent="0.35">
      <c r="A1630" s="49" t="str">
        <f t="shared" si="132"/>
        <v>50</v>
      </c>
      <c r="B1630" s="27">
        <v>75564</v>
      </c>
      <c r="C1630" s="25" t="str">
        <f t="shared" si="131"/>
        <v>0000000</v>
      </c>
      <c r="D1630" s="26" t="s">
        <v>3663</v>
      </c>
      <c r="E1630" s="25" t="s">
        <v>3215</v>
      </c>
      <c r="F1630" s="25" t="s">
        <v>3161</v>
      </c>
      <c r="G1630" s="59" t="s">
        <v>3216</v>
      </c>
      <c r="H1630" s="60">
        <v>4771.8999999999996</v>
      </c>
      <c r="I1630" s="60">
        <v>4745.28</v>
      </c>
      <c r="J1630" s="60">
        <v>5101.6899999999996</v>
      </c>
      <c r="K1630" s="60">
        <v>0</v>
      </c>
      <c r="L1630" s="60">
        <v>0</v>
      </c>
      <c r="M1630" s="60">
        <v>0</v>
      </c>
      <c r="N1630" s="60">
        <v>0</v>
      </c>
      <c r="O1630" s="60">
        <v>0</v>
      </c>
      <c r="P1630" s="60">
        <v>0</v>
      </c>
      <c r="Q1630" s="60">
        <v>0</v>
      </c>
      <c r="R1630" s="60">
        <v>0</v>
      </c>
      <c r="S1630" s="60">
        <v>0</v>
      </c>
      <c r="T1630" s="60">
        <v>0</v>
      </c>
      <c r="U1630" s="60">
        <v>0</v>
      </c>
      <c r="V1630" s="60">
        <v>0</v>
      </c>
      <c r="W1630" s="60">
        <v>0</v>
      </c>
      <c r="X1630" s="60">
        <v>0</v>
      </c>
      <c r="Y1630" s="60">
        <v>0</v>
      </c>
      <c r="Z1630" s="60">
        <v>0</v>
      </c>
      <c r="AA1630" s="60">
        <v>0</v>
      </c>
      <c r="AB1630" s="60">
        <v>0</v>
      </c>
      <c r="AC1630" s="60">
        <v>57.86</v>
      </c>
      <c r="AD1630" s="60">
        <v>54.54</v>
      </c>
      <c r="AE1630" s="60">
        <v>67.47</v>
      </c>
      <c r="AF1630" s="60">
        <v>0</v>
      </c>
      <c r="AG1630" s="60">
        <v>0</v>
      </c>
      <c r="AH1630" s="60">
        <v>0</v>
      </c>
      <c r="AI1630" s="60">
        <v>4829.76</v>
      </c>
      <c r="AJ1630" s="60">
        <v>4799.82</v>
      </c>
      <c r="AK1630" s="60">
        <v>5169.16</v>
      </c>
      <c r="AL1630" s="60">
        <v>0</v>
      </c>
      <c r="AM1630" s="60">
        <v>0</v>
      </c>
      <c r="AN1630" s="60">
        <v>0</v>
      </c>
      <c r="AO1630" s="60">
        <v>4829.76</v>
      </c>
      <c r="AP1630" s="60">
        <v>4799.82</v>
      </c>
      <c r="AQ1630" s="60">
        <v>5169.16</v>
      </c>
      <c r="AR1630" s="61">
        <v>5169.16</v>
      </c>
    </row>
    <row r="1631" spans="1:44" x14ac:dyDescent="0.35">
      <c r="A1631" s="49" t="str">
        <f t="shared" si="132"/>
        <v>50</v>
      </c>
      <c r="B1631" s="27">
        <v>71217</v>
      </c>
      <c r="C1631" s="25" t="str">
        <f t="shared" si="131"/>
        <v>0000000</v>
      </c>
      <c r="D1631" s="26" t="s">
        <v>3663</v>
      </c>
      <c r="E1631" s="25" t="s">
        <v>3195</v>
      </c>
      <c r="F1631" s="25" t="s">
        <v>3161</v>
      </c>
      <c r="G1631" s="59" t="s">
        <v>3196</v>
      </c>
      <c r="H1631" s="60">
        <v>5664.94</v>
      </c>
      <c r="I1631" s="60">
        <v>5610.65</v>
      </c>
      <c r="J1631" s="60">
        <v>5814.81</v>
      </c>
      <c r="K1631" s="60">
        <v>0</v>
      </c>
      <c r="L1631" s="60">
        <v>0</v>
      </c>
      <c r="M1631" s="60">
        <v>0</v>
      </c>
      <c r="N1631" s="60">
        <v>0</v>
      </c>
      <c r="O1631" s="60">
        <v>0</v>
      </c>
      <c r="P1631" s="60">
        <v>0</v>
      </c>
      <c r="Q1631" s="60">
        <v>0</v>
      </c>
      <c r="R1631" s="60">
        <v>0</v>
      </c>
      <c r="S1631" s="60">
        <v>0</v>
      </c>
      <c r="T1631" s="60">
        <v>0</v>
      </c>
      <c r="U1631" s="60">
        <v>0</v>
      </c>
      <c r="V1631" s="60">
        <v>0</v>
      </c>
      <c r="W1631" s="60">
        <v>0</v>
      </c>
      <c r="X1631" s="60">
        <v>0</v>
      </c>
      <c r="Y1631" s="60">
        <v>0</v>
      </c>
      <c r="Z1631" s="60">
        <v>0</v>
      </c>
      <c r="AA1631" s="60">
        <v>0</v>
      </c>
      <c r="AB1631" s="60">
        <v>0</v>
      </c>
      <c r="AC1631" s="60">
        <v>0</v>
      </c>
      <c r="AD1631" s="60">
        <v>0</v>
      </c>
      <c r="AE1631" s="60">
        <v>0</v>
      </c>
      <c r="AF1631" s="60">
        <v>0</v>
      </c>
      <c r="AG1631" s="60">
        <v>0</v>
      </c>
      <c r="AH1631" s="60">
        <v>0</v>
      </c>
      <c r="AI1631" s="60">
        <v>5664.94</v>
      </c>
      <c r="AJ1631" s="60">
        <v>5610.65</v>
      </c>
      <c r="AK1631" s="60">
        <v>5814.81</v>
      </c>
      <c r="AL1631" s="60">
        <v>0</v>
      </c>
      <c r="AM1631" s="60">
        <v>0</v>
      </c>
      <c r="AN1631" s="60">
        <v>0</v>
      </c>
      <c r="AO1631" s="60">
        <v>5664.94</v>
      </c>
      <c r="AP1631" s="60">
        <v>5610.65</v>
      </c>
      <c r="AQ1631" s="60">
        <v>5814.81</v>
      </c>
      <c r="AR1631" s="61">
        <v>5814.81</v>
      </c>
    </row>
    <row r="1632" spans="1:44" x14ac:dyDescent="0.35">
      <c r="A1632" s="49" t="str">
        <f t="shared" si="132"/>
        <v>50</v>
      </c>
      <c r="B1632" s="27">
        <v>75556</v>
      </c>
      <c r="C1632" s="25" t="str">
        <f t="shared" si="131"/>
        <v>0000000</v>
      </c>
      <c r="D1632" s="26" t="s">
        <v>3663</v>
      </c>
      <c r="E1632" s="25" t="s">
        <v>3213</v>
      </c>
      <c r="F1632" s="25" t="s">
        <v>3161</v>
      </c>
      <c r="G1632" s="59" t="s">
        <v>3214</v>
      </c>
      <c r="H1632" s="60">
        <v>2178.29</v>
      </c>
      <c r="I1632" s="60">
        <v>2038.68</v>
      </c>
      <c r="J1632" s="60">
        <v>2275.73</v>
      </c>
      <c r="K1632" s="60">
        <v>0</v>
      </c>
      <c r="L1632" s="60">
        <v>0</v>
      </c>
      <c r="M1632" s="60">
        <v>0</v>
      </c>
      <c r="N1632" s="60">
        <v>0</v>
      </c>
      <c r="O1632" s="60">
        <v>0</v>
      </c>
      <c r="P1632" s="60">
        <v>0</v>
      </c>
      <c r="Q1632" s="60">
        <v>0</v>
      </c>
      <c r="R1632" s="60">
        <v>0</v>
      </c>
      <c r="S1632" s="60">
        <v>0</v>
      </c>
      <c r="T1632" s="60">
        <v>0</v>
      </c>
      <c r="U1632" s="60">
        <v>0</v>
      </c>
      <c r="V1632" s="60">
        <v>0</v>
      </c>
      <c r="W1632" s="60">
        <v>0</v>
      </c>
      <c r="X1632" s="60">
        <v>0</v>
      </c>
      <c r="Y1632" s="60">
        <v>0</v>
      </c>
      <c r="Z1632" s="60">
        <v>0</v>
      </c>
      <c r="AA1632" s="60">
        <v>0</v>
      </c>
      <c r="AB1632" s="60">
        <v>0</v>
      </c>
      <c r="AC1632" s="60">
        <v>537.73</v>
      </c>
      <c r="AD1632" s="60">
        <v>538.27</v>
      </c>
      <c r="AE1632" s="60">
        <v>566.28</v>
      </c>
      <c r="AF1632" s="60">
        <v>0</v>
      </c>
      <c r="AG1632" s="60">
        <v>0</v>
      </c>
      <c r="AH1632" s="60">
        <v>0</v>
      </c>
      <c r="AI1632" s="60">
        <v>2716.02</v>
      </c>
      <c r="AJ1632" s="60">
        <v>2576.9499999999998</v>
      </c>
      <c r="AK1632" s="60">
        <v>2842.01</v>
      </c>
      <c r="AL1632" s="60">
        <v>0</v>
      </c>
      <c r="AM1632" s="60">
        <v>0</v>
      </c>
      <c r="AN1632" s="60">
        <v>0</v>
      </c>
      <c r="AO1632" s="60">
        <v>2716.02</v>
      </c>
      <c r="AP1632" s="60">
        <v>2576.9499999999998</v>
      </c>
      <c r="AQ1632" s="60">
        <v>2842.01</v>
      </c>
      <c r="AR1632" s="61">
        <v>2842.01</v>
      </c>
    </row>
    <row r="1633" spans="1:44" x14ac:dyDescent="0.35">
      <c r="A1633" s="49" t="str">
        <f t="shared" si="132"/>
        <v>50</v>
      </c>
      <c r="B1633" s="27">
        <v>71282</v>
      </c>
      <c r="C1633" s="25" t="str">
        <f t="shared" si="131"/>
        <v>0000000</v>
      </c>
      <c r="D1633" s="26" t="s">
        <v>3663</v>
      </c>
      <c r="E1633" s="25" t="s">
        <v>3203</v>
      </c>
      <c r="F1633" s="25" t="s">
        <v>3161</v>
      </c>
      <c r="G1633" s="59" t="s">
        <v>3204</v>
      </c>
      <c r="H1633" s="60">
        <v>3168.81</v>
      </c>
      <c r="I1633" s="60">
        <v>3122.37</v>
      </c>
      <c r="J1633" s="60">
        <v>3395.79</v>
      </c>
      <c r="K1633" s="60">
        <v>0</v>
      </c>
      <c r="L1633" s="60">
        <v>0</v>
      </c>
      <c r="M1633" s="60">
        <v>0</v>
      </c>
      <c r="N1633" s="60">
        <v>0</v>
      </c>
      <c r="O1633" s="60">
        <v>0</v>
      </c>
      <c r="P1633" s="60">
        <v>0</v>
      </c>
      <c r="Q1633" s="60">
        <v>0</v>
      </c>
      <c r="R1633" s="60">
        <v>0</v>
      </c>
      <c r="S1633" s="60">
        <v>0</v>
      </c>
      <c r="T1633" s="60">
        <v>0</v>
      </c>
      <c r="U1633" s="60">
        <v>0</v>
      </c>
      <c r="V1633" s="60">
        <v>0</v>
      </c>
      <c r="W1633" s="60">
        <v>0</v>
      </c>
      <c r="X1633" s="60">
        <v>0</v>
      </c>
      <c r="Y1633" s="60">
        <v>0</v>
      </c>
      <c r="Z1633" s="60">
        <v>0</v>
      </c>
      <c r="AA1633" s="60">
        <v>0</v>
      </c>
      <c r="AB1633" s="60">
        <v>0</v>
      </c>
      <c r="AC1633" s="60">
        <v>0</v>
      </c>
      <c r="AD1633" s="60">
        <v>0</v>
      </c>
      <c r="AE1633" s="60">
        <v>0</v>
      </c>
      <c r="AF1633" s="60">
        <v>0</v>
      </c>
      <c r="AG1633" s="60">
        <v>0</v>
      </c>
      <c r="AH1633" s="60">
        <v>0</v>
      </c>
      <c r="AI1633" s="60">
        <v>3168.81</v>
      </c>
      <c r="AJ1633" s="60">
        <v>3122.37</v>
      </c>
      <c r="AK1633" s="60">
        <v>3395.79</v>
      </c>
      <c r="AL1633" s="60">
        <v>0</v>
      </c>
      <c r="AM1633" s="60">
        <v>0</v>
      </c>
      <c r="AN1633" s="60">
        <v>0</v>
      </c>
      <c r="AO1633" s="60">
        <v>3168.81</v>
      </c>
      <c r="AP1633" s="60">
        <v>3122.37</v>
      </c>
      <c r="AQ1633" s="60">
        <v>3395.79</v>
      </c>
      <c r="AR1633" s="61">
        <v>3395.79</v>
      </c>
    </row>
    <row r="1634" spans="1:44" x14ac:dyDescent="0.35">
      <c r="A1634" s="49" t="str">
        <f t="shared" si="132"/>
        <v>50</v>
      </c>
      <c r="B1634" s="27">
        <v>71290</v>
      </c>
      <c r="C1634" s="25" t="str">
        <f t="shared" si="131"/>
        <v>0000000</v>
      </c>
      <c r="D1634" s="26" t="s">
        <v>3663</v>
      </c>
      <c r="E1634" s="25" t="s">
        <v>3205</v>
      </c>
      <c r="F1634" s="25" t="s">
        <v>3161</v>
      </c>
      <c r="G1634" s="59" t="s">
        <v>3206</v>
      </c>
      <c r="H1634" s="60">
        <v>7449.68</v>
      </c>
      <c r="I1634" s="60">
        <v>6929.46</v>
      </c>
      <c r="J1634" s="60">
        <v>7843.1</v>
      </c>
      <c r="K1634" s="60">
        <v>0</v>
      </c>
      <c r="L1634" s="60">
        <v>0</v>
      </c>
      <c r="M1634" s="60">
        <v>0</v>
      </c>
      <c r="N1634" s="60">
        <v>0</v>
      </c>
      <c r="O1634" s="60">
        <v>0</v>
      </c>
      <c r="P1634" s="60">
        <v>0</v>
      </c>
      <c r="Q1634" s="60">
        <v>0</v>
      </c>
      <c r="R1634" s="60">
        <v>0</v>
      </c>
      <c r="S1634" s="60">
        <v>0</v>
      </c>
      <c r="T1634" s="60">
        <v>0</v>
      </c>
      <c r="U1634" s="60">
        <v>0</v>
      </c>
      <c r="V1634" s="60">
        <v>0</v>
      </c>
      <c r="W1634" s="60">
        <v>0</v>
      </c>
      <c r="X1634" s="60">
        <v>0</v>
      </c>
      <c r="Y1634" s="60">
        <v>0</v>
      </c>
      <c r="Z1634" s="60">
        <v>0</v>
      </c>
      <c r="AA1634" s="60">
        <v>0</v>
      </c>
      <c r="AB1634" s="60">
        <v>0</v>
      </c>
      <c r="AC1634" s="60">
        <v>794.53</v>
      </c>
      <c r="AD1634" s="60">
        <v>781.41</v>
      </c>
      <c r="AE1634" s="60">
        <v>886.43</v>
      </c>
      <c r="AF1634" s="60">
        <v>0</v>
      </c>
      <c r="AG1634" s="60">
        <v>0</v>
      </c>
      <c r="AH1634" s="60">
        <v>0</v>
      </c>
      <c r="AI1634" s="60">
        <v>8244.2099999999991</v>
      </c>
      <c r="AJ1634" s="60">
        <v>7710.87</v>
      </c>
      <c r="AK1634" s="60">
        <v>8729.5300000000007</v>
      </c>
      <c r="AL1634" s="60">
        <v>0</v>
      </c>
      <c r="AM1634" s="60">
        <v>0</v>
      </c>
      <c r="AN1634" s="60">
        <v>0</v>
      </c>
      <c r="AO1634" s="60">
        <v>8244.2099999999991</v>
      </c>
      <c r="AP1634" s="60">
        <v>7710.87</v>
      </c>
      <c r="AQ1634" s="60">
        <v>8729.5300000000007</v>
      </c>
      <c r="AR1634" s="61">
        <v>8729.5300000000007</v>
      </c>
    </row>
    <row r="1635" spans="1:44" x14ac:dyDescent="0.35">
      <c r="A1635" s="49" t="str">
        <f t="shared" si="132"/>
        <v>50</v>
      </c>
      <c r="B1635" s="27">
        <v>75572</v>
      </c>
      <c r="C1635" s="25" t="str">
        <f t="shared" ref="C1635:C1652" si="133">TEXT(,"0000000")</f>
        <v>0000000</v>
      </c>
      <c r="D1635" s="26" t="s">
        <v>3663</v>
      </c>
      <c r="E1635" s="25" t="s">
        <v>3217</v>
      </c>
      <c r="F1635" s="25" t="s">
        <v>3161</v>
      </c>
      <c r="G1635" s="59" t="s">
        <v>3218</v>
      </c>
      <c r="H1635" s="60">
        <v>1658.39</v>
      </c>
      <c r="I1635" s="60">
        <v>1594.82</v>
      </c>
      <c r="J1635" s="60">
        <v>1723.69</v>
      </c>
      <c r="K1635" s="60">
        <v>0</v>
      </c>
      <c r="L1635" s="60">
        <v>0</v>
      </c>
      <c r="M1635" s="60">
        <v>0</v>
      </c>
      <c r="N1635" s="60">
        <v>0</v>
      </c>
      <c r="O1635" s="60">
        <v>0</v>
      </c>
      <c r="P1635" s="60">
        <v>0</v>
      </c>
      <c r="Q1635" s="60">
        <v>0</v>
      </c>
      <c r="R1635" s="60">
        <v>0</v>
      </c>
      <c r="S1635" s="60">
        <v>0</v>
      </c>
      <c r="T1635" s="60">
        <v>0</v>
      </c>
      <c r="U1635" s="60">
        <v>0</v>
      </c>
      <c r="V1635" s="60">
        <v>0</v>
      </c>
      <c r="W1635" s="60">
        <v>0</v>
      </c>
      <c r="X1635" s="60">
        <v>0</v>
      </c>
      <c r="Y1635" s="60">
        <v>0</v>
      </c>
      <c r="Z1635" s="60">
        <v>0</v>
      </c>
      <c r="AA1635" s="60">
        <v>0</v>
      </c>
      <c r="AB1635" s="60">
        <v>0</v>
      </c>
      <c r="AC1635" s="60">
        <v>763.53</v>
      </c>
      <c r="AD1635" s="60">
        <v>989.47</v>
      </c>
      <c r="AE1635" s="60">
        <v>1424.52</v>
      </c>
      <c r="AF1635" s="60">
        <v>0</v>
      </c>
      <c r="AG1635" s="60">
        <v>0</v>
      </c>
      <c r="AH1635" s="60">
        <v>0</v>
      </c>
      <c r="AI1635" s="60">
        <v>2421.92</v>
      </c>
      <c r="AJ1635" s="60">
        <v>2584.29</v>
      </c>
      <c r="AK1635" s="60">
        <v>3148.21</v>
      </c>
      <c r="AL1635" s="60">
        <v>0</v>
      </c>
      <c r="AM1635" s="60">
        <v>0</v>
      </c>
      <c r="AN1635" s="60">
        <v>0</v>
      </c>
      <c r="AO1635" s="60">
        <v>2421.92</v>
      </c>
      <c r="AP1635" s="60">
        <v>2584.29</v>
      </c>
      <c r="AQ1635" s="60">
        <v>3148.21</v>
      </c>
      <c r="AR1635" s="61">
        <v>3148.21</v>
      </c>
    </row>
    <row r="1636" spans="1:44" x14ac:dyDescent="0.35">
      <c r="A1636" s="49" t="str">
        <f t="shared" si="132"/>
        <v>50</v>
      </c>
      <c r="B1636" s="27">
        <v>71068</v>
      </c>
      <c r="C1636" s="25" t="str">
        <f t="shared" si="133"/>
        <v>0000000</v>
      </c>
      <c r="D1636" s="26" t="s">
        <v>3663</v>
      </c>
      <c r="E1636" s="25" t="s">
        <v>3169</v>
      </c>
      <c r="F1636" s="25" t="s">
        <v>3161</v>
      </c>
      <c r="G1636" s="59" t="s">
        <v>3170</v>
      </c>
      <c r="H1636" s="60">
        <v>497.5</v>
      </c>
      <c r="I1636" s="60">
        <v>457.75</v>
      </c>
      <c r="J1636" s="60">
        <v>496.26</v>
      </c>
      <c r="K1636" s="60">
        <v>0</v>
      </c>
      <c r="L1636" s="60">
        <v>0</v>
      </c>
      <c r="M1636" s="60">
        <v>0</v>
      </c>
      <c r="N1636" s="60">
        <v>0</v>
      </c>
      <c r="O1636" s="60">
        <v>0</v>
      </c>
      <c r="P1636" s="60">
        <v>0</v>
      </c>
      <c r="Q1636" s="60">
        <v>0</v>
      </c>
      <c r="R1636" s="60">
        <v>0</v>
      </c>
      <c r="S1636" s="60">
        <v>0</v>
      </c>
      <c r="T1636" s="60">
        <v>0</v>
      </c>
      <c r="U1636" s="60">
        <v>0</v>
      </c>
      <c r="V1636" s="60">
        <v>0</v>
      </c>
      <c r="W1636" s="60">
        <v>0</v>
      </c>
      <c r="X1636" s="60">
        <v>0</v>
      </c>
      <c r="Y1636" s="60">
        <v>0</v>
      </c>
      <c r="Z1636" s="60">
        <v>0</v>
      </c>
      <c r="AA1636" s="60">
        <v>0</v>
      </c>
      <c r="AB1636" s="60">
        <v>0</v>
      </c>
      <c r="AC1636" s="60">
        <v>715.55</v>
      </c>
      <c r="AD1636" s="60">
        <v>672.01</v>
      </c>
      <c r="AE1636" s="60">
        <v>756.84</v>
      </c>
      <c r="AF1636" s="60">
        <v>0</v>
      </c>
      <c r="AG1636" s="60">
        <v>0</v>
      </c>
      <c r="AH1636" s="60">
        <v>0</v>
      </c>
      <c r="AI1636" s="60">
        <v>1213.05</v>
      </c>
      <c r="AJ1636" s="60">
        <v>1129.76</v>
      </c>
      <c r="AK1636" s="60">
        <v>1253.0999999999999</v>
      </c>
      <c r="AL1636" s="60">
        <v>0</v>
      </c>
      <c r="AM1636" s="60">
        <v>0</v>
      </c>
      <c r="AN1636" s="60">
        <v>0</v>
      </c>
      <c r="AO1636" s="60">
        <v>1213.05</v>
      </c>
      <c r="AP1636" s="60">
        <v>1129.76</v>
      </c>
      <c r="AQ1636" s="60">
        <v>1253.0999999999999</v>
      </c>
      <c r="AR1636" s="61">
        <v>1253.0999999999999</v>
      </c>
    </row>
    <row r="1637" spans="1:44" x14ac:dyDescent="0.35">
      <c r="A1637" s="49" t="str">
        <f t="shared" si="132"/>
        <v>50</v>
      </c>
      <c r="B1637" s="27">
        <v>71134</v>
      </c>
      <c r="C1637" s="25" t="str">
        <f t="shared" si="133"/>
        <v>0000000</v>
      </c>
      <c r="D1637" s="26" t="s">
        <v>3663</v>
      </c>
      <c r="E1637" s="25" t="s">
        <v>3179</v>
      </c>
      <c r="F1637" s="25" t="s">
        <v>3161</v>
      </c>
      <c r="G1637" s="59" t="s">
        <v>3180</v>
      </c>
      <c r="H1637" s="60">
        <v>657.89</v>
      </c>
      <c r="I1637" s="60">
        <v>664.4</v>
      </c>
      <c r="J1637" s="60">
        <v>736.2</v>
      </c>
      <c r="K1637" s="60">
        <v>0</v>
      </c>
      <c r="L1637" s="60">
        <v>0</v>
      </c>
      <c r="M1637" s="60">
        <v>0</v>
      </c>
      <c r="N1637" s="60">
        <v>0</v>
      </c>
      <c r="O1637" s="60">
        <v>0</v>
      </c>
      <c r="P1637" s="60">
        <v>0</v>
      </c>
      <c r="Q1637" s="60">
        <v>0</v>
      </c>
      <c r="R1637" s="60">
        <v>0</v>
      </c>
      <c r="S1637" s="60">
        <v>0</v>
      </c>
      <c r="T1637" s="60">
        <v>0</v>
      </c>
      <c r="U1637" s="60">
        <v>0</v>
      </c>
      <c r="V1637" s="60">
        <v>0</v>
      </c>
      <c r="W1637" s="60">
        <v>0</v>
      </c>
      <c r="X1637" s="60">
        <v>0</v>
      </c>
      <c r="Y1637" s="60">
        <v>0</v>
      </c>
      <c r="Z1637" s="60">
        <v>0</v>
      </c>
      <c r="AA1637" s="60">
        <v>0</v>
      </c>
      <c r="AB1637" s="60">
        <v>0</v>
      </c>
      <c r="AC1637" s="60">
        <v>314.36</v>
      </c>
      <c r="AD1637" s="60">
        <v>327.11</v>
      </c>
      <c r="AE1637" s="60">
        <v>344.46</v>
      </c>
      <c r="AF1637" s="60">
        <v>0</v>
      </c>
      <c r="AG1637" s="60">
        <v>0</v>
      </c>
      <c r="AH1637" s="60">
        <v>0</v>
      </c>
      <c r="AI1637" s="60">
        <v>972.25</v>
      </c>
      <c r="AJ1637" s="60">
        <v>991.51</v>
      </c>
      <c r="AK1637" s="60">
        <v>1080.6600000000001</v>
      </c>
      <c r="AL1637" s="60">
        <v>0</v>
      </c>
      <c r="AM1637" s="60">
        <v>0</v>
      </c>
      <c r="AN1637" s="60">
        <v>0</v>
      </c>
      <c r="AO1637" s="60">
        <v>972.25</v>
      </c>
      <c r="AP1637" s="60">
        <v>991.51</v>
      </c>
      <c r="AQ1637" s="60">
        <v>1080.6600000000001</v>
      </c>
      <c r="AR1637" s="61">
        <v>1080.6600000000001</v>
      </c>
    </row>
    <row r="1638" spans="1:44" x14ac:dyDescent="0.35">
      <c r="A1638" s="49" t="str">
        <f t="shared" si="132"/>
        <v>50</v>
      </c>
      <c r="B1638" s="27">
        <v>71266</v>
      </c>
      <c r="C1638" s="25" t="str">
        <f t="shared" si="133"/>
        <v>0000000</v>
      </c>
      <c r="D1638" s="26" t="s">
        <v>3663</v>
      </c>
      <c r="E1638" s="25" t="s">
        <v>3199</v>
      </c>
      <c r="F1638" s="25" t="s">
        <v>3161</v>
      </c>
      <c r="G1638" s="59" t="s">
        <v>3200</v>
      </c>
      <c r="H1638" s="60">
        <v>2005.55</v>
      </c>
      <c r="I1638" s="60">
        <v>2010.45</v>
      </c>
      <c r="J1638" s="60">
        <v>2202.08</v>
      </c>
      <c r="K1638" s="60">
        <v>0</v>
      </c>
      <c r="L1638" s="60">
        <v>0</v>
      </c>
      <c r="M1638" s="60">
        <v>0</v>
      </c>
      <c r="N1638" s="60">
        <v>0</v>
      </c>
      <c r="O1638" s="60">
        <v>0</v>
      </c>
      <c r="P1638" s="60">
        <v>0</v>
      </c>
      <c r="Q1638" s="60">
        <v>0</v>
      </c>
      <c r="R1638" s="60">
        <v>0</v>
      </c>
      <c r="S1638" s="60">
        <v>0</v>
      </c>
      <c r="T1638" s="60">
        <v>0</v>
      </c>
      <c r="U1638" s="60">
        <v>0</v>
      </c>
      <c r="V1638" s="60">
        <v>0</v>
      </c>
      <c r="W1638" s="60">
        <v>0</v>
      </c>
      <c r="X1638" s="60">
        <v>0</v>
      </c>
      <c r="Y1638" s="60">
        <v>0</v>
      </c>
      <c r="Z1638" s="60">
        <v>0</v>
      </c>
      <c r="AA1638" s="60">
        <v>0</v>
      </c>
      <c r="AB1638" s="60">
        <v>0</v>
      </c>
      <c r="AC1638" s="60">
        <v>769.95</v>
      </c>
      <c r="AD1638" s="60">
        <v>763.02</v>
      </c>
      <c r="AE1638" s="60">
        <v>896.07</v>
      </c>
      <c r="AF1638" s="60">
        <v>0</v>
      </c>
      <c r="AG1638" s="60">
        <v>0</v>
      </c>
      <c r="AH1638" s="60">
        <v>0</v>
      </c>
      <c r="AI1638" s="60">
        <v>2775.5</v>
      </c>
      <c r="AJ1638" s="60">
        <v>2773.47</v>
      </c>
      <c r="AK1638" s="60">
        <v>3098.15</v>
      </c>
      <c r="AL1638" s="60">
        <v>0</v>
      </c>
      <c r="AM1638" s="60">
        <v>0</v>
      </c>
      <c r="AN1638" s="60">
        <v>0</v>
      </c>
      <c r="AO1638" s="60">
        <v>2775.5</v>
      </c>
      <c r="AP1638" s="60">
        <v>2773.47</v>
      </c>
      <c r="AQ1638" s="60">
        <v>3098.15</v>
      </c>
      <c r="AR1638" s="61">
        <v>3098.15</v>
      </c>
    </row>
    <row r="1639" spans="1:44" x14ac:dyDescent="0.35">
      <c r="A1639" s="49" t="str">
        <f t="shared" si="132"/>
        <v>50</v>
      </c>
      <c r="B1639" s="27">
        <v>71050</v>
      </c>
      <c r="C1639" s="25" t="str">
        <f t="shared" si="133"/>
        <v>0000000</v>
      </c>
      <c r="D1639" s="26" t="s">
        <v>3663</v>
      </c>
      <c r="E1639" s="25" t="s">
        <v>3167</v>
      </c>
      <c r="F1639" s="25" t="s">
        <v>3161</v>
      </c>
      <c r="G1639" s="59" t="s">
        <v>3168</v>
      </c>
      <c r="H1639" s="60">
        <v>526.41</v>
      </c>
      <c r="I1639" s="60">
        <v>504.81</v>
      </c>
      <c r="J1639" s="60">
        <v>560.67999999999995</v>
      </c>
      <c r="K1639" s="60">
        <v>0</v>
      </c>
      <c r="L1639" s="60">
        <v>0</v>
      </c>
      <c r="M1639" s="60">
        <v>0</v>
      </c>
      <c r="N1639" s="60">
        <v>0</v>
      </c>
      <c r="O1639" s="60">
        <v>0</v>
      </c>
      <c r="P1639" s="60">
        <v>0</v>
      </c>
      <c r="Q1639" s="60">
        <v>0</v>
      </c>
      <c r="R1639" s="60">
        <v>0</v>
      </c>
      <c r="S1639" s="60">
        <v>0</v>
      </c>
      <c r="T1639" s="60">
        <v>0</v>
      </c>
      <c r="U1639" s="60">
        <v>0</v>
      </c>
      <c r="V1639" s="60">
        <v>0</v>
      </c>
      <c r="W1639" s="60">
        <v>0</v>
      </c>
      <c r="X1639" s="60">
        <v>0</v>
      </c>
      <c r="Y1639" s="60">
        <v>0</v>
      </c>
      <c r="Z1639" s="60">
        <v>0</v>
      </c>
      <c r="AA1639" s="60">
        <v>0</v>
      </c>
      <c r="AB1639" s="60">
        <v>0</v>
      </c>
      <c r="AC1639" s="60">
        <v>0</v>
      </c>
      <c r="AD1639" s="60">
        <v>0</v>
      </c>
      <c r="AE1639" s="60">
        <v>0</v>
      </c>
      <c r="AF1639" s="60">
        <v>0</v>
      </c>
      <c r="AG1639" s="60">
        <v>0</v>
      </c>
      <c r="AH1639" s="60">
        <v>0</v>
      </c>
      <c r="AI1639" s="60">
        <v>526.41</v>
      </c>
      <c r="AJ1639" s="60">
        <v>504.81</v>
      </c>
      <c r="AK1639" s="60">
        <v>560.67999999999995</v>
      </c>
      <c r="AL1639" s="60">
        <v>0</v>
      </c>
      <c r="AM1639" s="60">
        <v>0</v>
      </c>
      <c r="AN1639" s="60">
        <v>0</v>
      </c>
      <c r="AO1639" s="60">
        <v>526.41</v>
      </c>
      <c r="AP1639" s="60">
        <v>504.81</v>
      </c>
      <c r="AQ1639" s="60">
        <v>560.67999999999995</v>
      </c>
      <c r="AR1639" s="61">
        <v>560.67999999999995</v>
      </c>
    </row>
    <row r="1640" spans="1:44" x14ac:dyDescent="0.35">
      <c r="A1640" s="49" t="str">
        <f t="shared" si="132"/>
        <v>50</v>
      </c>
      <c r="B1640" s="27">
        <v>71092</v>
      </c>
      <c r="C1640" s="25" t="str">
        <f t="shared" si="133"/>
        <v>0000000</v>
      </c>
      <c r="D1640" s="26" t="s">
        <v>3663</v>
      </c>
      <c r="E1640" s="25" t="s">
        <v>3175</v>
      </c>
      <c r="F1640" s="25" t="s">
        <v>3161</v>
      </c>
      <c r="G1640" s="59" t="s">
        <v>3176</v>
      </c>
      <c r="H1640" s="60">
        <v>692.53</v>
      </c>
      <c r="I1640" s="60">
        <v>716.79</v>
      </c>
      <c r="J1640" s="60">
        <v>777.15</v>
      </c>
      <c r="K1640" s="60">
        <v>0</v>
      </c>
      <c r="L1640" s="60">
        <v>0</v>
      </c>
      <c r="M1640" s="60">
        <v>0</v>
      </c>
      <c r="N1640" s="60">
        <v>0</v>
      </c>
      <c r="O1640" s="60">
        <v>0</v>
      </c>
      <c r="P1640" s="60">
        <v>0</v>
      </c>
      <c r="Q1640" s="60">
        <v>0</v>
      </c>
      <c r="R1640" s="60">
        <v>0</v>
      </c>
      <c r="S1640" s="60">
        <v>0</v>
      </c>
      <c r="T1640" s="60">
        <v>0</v>
      </c>
      <c r="U1640" s="60">
        <v>0</v>
      </c>
      <c r="V1640" s="60">
        <v>0</v>
      </c>
      <c r="W1640" s="60">
        <v>0</v>
      </c>
      <c r="X1640" s="60">
        <v>0</v>
      </c>
      <c r="Y1640" s="60">
        <v>0</v>
      </c>
      <c r="Z1640" s="60">
        <v>0</v>
      </c>
      <c r="AA1640" s="60">
        <v>0</v>
      </c>
      <c r="AB1640" s="60">
        <v>0</v>
      </c>
      <c r="AC1640" s="60">
        <v>433.49</v>
      </c>
      <c r="AD1640" s="60">
        <v>447.04</v>
      </c>
      <c r="AE1640" s="60">
        <v>400.72</v>
      </c>
      <c r="AF1640" s="60">
        <v>0</v>
      </c>
      <c r="AG1640" s="60">
        <v>0</v>
      </c>
      <c r="AH1640" s="60">
        <v>0</v>
      </c>
      <c r="AI1640" s="60">
        <v>1126.02</v>
      </c>
      <c r="AJ1640" s="60">
        <v>1163.83</v>
      </c>
      <c r="AK1640" s="60">
        <v>1177.8699999999999</v>
      </c>
      <c r="AL1640" s="60">
        <v>0</v>
      </c>
      <c r="AM1640" s="60">
        <v>0</v>
      </c>
      <c r="AN1640" s="60">
        <v>0</v>
      </c>
      <c r="AO1640" s="60">
        <v>1126.02</v>
      </c>
      <c r="AP1640" s="60">
        <v>1163.83</v>
      </c>
      <c r="AQ1640" s="60">
        <v>1177.8699999999999</v>
      </c>
      <c r="AR1640" s="61">
        <v>1177.8699999999999</v>
      </c>
    </row>
    <row r="1641" spans="1:44" x14ac:dyDescent="0.35">
      <c r="A1641" s="49" t="str">
        <f t="shared" si="132"/>
        <v>50</v>
      </c>
      <c r="B1641" s="27">
        <v>71209</v>
      </c>
      <c r="C1641" s="25" t="str">
        <f t="shared" si="133"/>
        <v>0000000</v>
      </c>
      <c r="D1641" s="26" t="s">
        <v>3663</v>
      </c>
      <c r="E1641" s="25" t="s">
        <v>3193</v>
      </c>
      <c r="F1641" s="25" t="s">
        <v>3161</v>
      </c>
      <c r="G1641" s="59" t="s">
        <v>3194</v>
      </c>
      <c r="H1641" s="60">
        <v>65.790000000000006</v>
      </c>
      <c r="I1641" s="60">
        <v>77.28</v>
      </c>
      <c r="J1641" s="60">
        <v>77.91</v>
      </c>
      <c r="K1641" s="60">
        <v>0</v>
      </c>
      <c r="L1641" s="60">
        <v>0</v>
      </c>
      <c r="M1641" s="60">
        <v>0</v>
      </c>
      <c r="N1641" s="60">
        <v>0</v>
      </c>
      <c r="O1641" s="60">
        <v>0</v>
      </c>
      <c r="P1641" s="60">
        <v>0</v>
      </c>
      <c r="Q1641" s="60">
        <v>0</v>
      </c>
      <c r="R1641" s="60">
        <v>0</v>
      </c>
      <c r="S1641" s="60">
        <v>0</v>
      </c>
      <c r="T1641" s="60">
        <v>0</v>
      </c>
      <c r="U1641" s="60">
        <v>0</v>
      </c>
      <c r="V1641" s="60">
        <v>0</v>
      </c>
      <c r="W1641" s="60">
        <v>0</v>
      </c>
      <c r="X1641" s="60">
        <v>0</v>
      </c>
      <c r="Y1641" s="60">
        <v>0</v>
      </c>
      <c r="Z1641" s="60">
        <v>0</v>
      </c>
      <c r="AA1641" s="60">
        <v>0</v>
      </c>
      <c r="AB1641" s="60">
        <v>0</v>
      </c>
      <c r="AC1641" s="60">
        <v>113.55</v>
      </c>
      <c r="AD1641" s="60">
        <v>107.14</v>
      </c>
      <c r="AE1641" s="60">
        <v>99.22</v>
      </c>
      <c r="AF1641" s="60">
        <v>0</v>
      </c>
      <c r="AG1641" s="60">
        <v>0</v>
      </c>
      <c r="AH1641" s="60">
        <v>0</v>
      </c>
      <c r="AI1641" s="60">
        <v>179.34</v>
      </c>
      <c r="AJ1641" s="60">
        <v>184.42</v>
      </c>
      <c r="AK1641" s="60">
        <v>177.13</v>
      </c>
      <c r="AL1641" s="60">
        <v>0</v>
      </c>
      <c r="AM1641" s="60">
        <v>0</v>
      </c>
      <c r="AN1641" s="60">
        <v>0</v>
      </c>
      <c r="AO1641" s="60">
        <v>179.34</v>
      </c>
      <c r="AP1641" s="60">
        <v>184.42</v>
      </c>
      <c r="AQ1641" s="60">
        <v>177.13</v>
      </c>
      <c r="AR1641" s="61">
        <v>184.42</v>
      </c>
    </row>
    <row r="1642" spans="1:44" x14ac:dyDescent="0.35">
      <c r="A1642" s="49" t="str">
        <f t="shared" si="132"/>
        <v>50</v>
      </c>
      <c r="B1642" s="27">
        <v>71100</v>
      </c>
      <c r="C1642" s="25" t="str">
        <f t="shared" si="133"/>
        <v>0000000</v>
      </c>
      <c r="D1642" s="26" t="s">
        <v>3663</v>
      </c>
      <c r="E1642" s="25" t="s">
        <v>3177</v>
      </c>
      <c r="F1642" s="25" t="s">
        <v>3161</v>
      </c>
      <c r="G1642" s="59" t="s">
        <v>3178</v>
      </c>
      <c r="H1642" s="60">
        <v>0</v>
      </c>
      <c r="I1642" s="60">
        <v>0</v>
      </c>
      <c r="J1642" s="60">
        <v>0</v>
      </c>
      <c r="K1642" s="60">
        <v>0</v>
      </c>
      <c r="L1642" s="60">
        <v>0</v>
      </c>
      <c r="M1642" s="60">
        <v>0</v>
      </c>
      <c r="N1642" s="60">
        <v>0</v>
      </c>
      <c r="O1642" s="60">
        <v>0</v>
      </c>
      <c r="P1642" s="60">
        <v>0</v>
      </c>
      <c r="Q1642" s="60">
        <v>0</v>
      </c>
      <c r="R1642" s="60">
        <v>0</v>
      </c>
      <c r="S1642" s="60">
        <v>0</v>
      </c>
      <c r="T1642" s="60">
        <v>0</v>
      </c>
      <c r="U1642" s="60">
        <v>0</v>
      </c>
      <c r="V1642" s="60">
        <v>0</v>
      </c>
      <c r="W1642" s="60">
        <v>0</v>
      </c>
      <c r="X1642" s="60">
        <v>0</v>
      </c>
      <c r="Y1642" s="60">
        <v>0</v>
      </c>
      <c r="Z1642" s="60">
        <v>0</v>
      </c>
      <c r="AA1642" s="60">
        <v>0</v>
      </c>
      <c r="AB1642" s="60">
        <v>0</v>
      </c>
      <c r="AC1642" s="60">
        <v>948.01</v>
      </c>
      <c r="AD1642" s="60">
        <v>996.85</v>
      </c>
      <c r="AE1642" s="60">
        <v>1022.73</v>
      </c>
      <c r="AF1642" s="60">
        <v>0</v>
      </c>
      <c r="AG1642" s="60">
        <v>0</v>
      </c>
      <c r="AH1642" s="60">
        <v>0</v>
      </c>
      <c r="AI1642" s="60">
        <v>948.01</v>
      </c>
      <c r="AJ1642" s="60">
        <v>996.85</v>
      </c>
      <c r="AK1642" s="60">
        <v>1022.73</v>
      </c>
      <c r="AL1642" s="60">
        <v>0</v>
      </c>
      <c r="AM1642" s="60">
        <v>0</v>
      </c>
      <c r="AN1642" s="60">
        <v>0</v>
      </c>
      <c r="AO1642" s="60">
        <v>948.01</v>
      </c>
      <c r="AP1642" s="60">
        <v>996.85</v>
      </c>
      <c r="AQ1642" s="60">
        <v>1022.73</v>
      </c>
      <c r="AR1642" s="61">
        <v>1022.73</v>
      </c>
    </row>
    <row r="1643" spans="1:44" x14ac:dyDescent="0.35">
      <c r="A1643" s="49" t="str">
        <f t="shared" si="132"/>
        <v>50</v>
      </c>
      <c r="B1643" s="27">
        <v>75549</v>
      </c>
      <c r="C1643" s="25" t="str">
        <f t="shared" si="133"/>
        <v>0000000</v>
      </c>
      <c r="D1643" s="26" t="s">
        <v>3663</v>
      </c>
      <c r="E1643" s="25" t="s">
        <v>3211</v>
      </c>
      <c r="F1643" s="25" t="s">
        <v>3161</v>
      </c>
      <c r="G1643" s="59" t="s">
        <v>3212</v>
      </c>
      <c r="H1643" s="60">
        <v>1994.75</v>
      </c>
      <c r="I1643" s="60">
        <v>1927.92</v>
      </c>
      <c r="J1643" s="60">
        <v>2017.78</v>
      </c>
      <c r="K1643" s="60">
        <v>0</v>
      </c>
      <c r="L1643" s="60">
        <v>0</v>
      </c>
      <c r="M1643" s="60">
        <v>0</v>
      </c>
      <c r="N1643" s="60">
        <v>0</v>
      </c>
      <c r="O1643" s="60">
        <v>0</v>
      </c>
      <c r="P1643" s="60">
        <v>0</v>
      </c>
      <c r="Q1643" s="60">
        <v>0</v>
      </c>
      <c r="R1643" s="60">
        <v>0</v>
      </c>
      <c r="S1643" s="60">
        <v>0</v>
      </c>
      <c r="T1643" s="60">
        <v>0</v>
      </c>
      <c r="U1643" s="60">
        <v>0</v>
      </c>
      <c r="V1643" s="60">
        <v>0</v>
      </c>
      <c r="W1643" s="60">
        <v>0</v>
      </c>
      <c r="X1643" s="60">
        <v>0</v>
      </c>
      <c r="Y1643" s="60">
        <v>0</v>
      </c>
      <c r="Z1643" s="60">
        <v>0</v>
      </c>
      <c r="AA1643" s="60">
        <v>0</v>
      </c>
      <c r="AB1643" s="60">
        <v>0</v>
      </c>
      <c r="AC1643" s="60">
        <v>0</v>
      </c>
      <c r="AD1643" s="60">
        <v>0</v>
      </c>
      <c r="AE1643" s="60">
        <v>0</v>
      </c>
      <c r="AF1643" s="60">
        <v>0</v>
      </c>
      <c r="AG1643" s="60">
        <v>0</v>
      </c>
      <c r="AH1643" s="60">
        <v>0</v>
      </c>
      <c r="AI1643" s="60">
        <v>1994.75</v>
      </c>
      <c r="AJ1643" s="60">
        <v>1927.92</v>
      </c>
      <c r="AK1643" s="60">
        <v>2017.78</v>
      </c>
      <c r="AL1643" s="60">
        <v>0</v>
      </c>
      <c r="AM1643" s="60">
        <v>0</v>
      </c>
      <c r="AN1643" s="60">
        <v>0</v>
      </c>
      <c r="AO1643" s="60">
        <v>1994.75</v>
      </c>
      <c r="AP1643" s="60">
        <v>1927.92</v>
      </c>
      <c r="AQ1643" s="60">
        <v>2017.78</v>
      </c>
      <c r="AR1643" s="61">
        <v>2017.78</v>
      </c>
    </row>
    <row r="1644" spans="1:44" x14ac:dyDescent="0.35">
      <c r="A1644" s="49" t="str">
        <f t="shared" si="132"/>
        <v>50</v>
      </c>
      <c r="B1644" s="27">
        <v>71084</v>
      </c>
      <c r="C1644" s="25" t="str">
        <f t="shared" si="133"/>
        <v>0000000</v>
      </c>
      <c r="D1644" s="26" t="s">
        <v>3663</v>
      </c>
      <c r="E1644" s="25" t="s">
        <v>3173</v>
      </c>
      <c r="F1644" s="25" t="s">
        <v>3161</v>
      </c>
      <c r="G1644" s="59" t="s">
        <v>3174</v>
      </c>
      <c r="H1644" s="60">
        <v>22.36</v>
      </c>
      <c r="I1644" s="60">
        <v>14.87</v>
      </c>
      <c r="J1644" s="60">
        <v>9.48</v>
      </c>
      <c r="K1644" s="60">
        <v>0</v>
      </c>
      <c r="L1644" s="60">
        <v>0</v>
      </c>
      <c r="M1644" s="60">
        <v>0</v>
      </c>
      <c r="N1644" s="60">
        <v>0</v>
      </c>
      <c r="O1644" s="60">
        <v>0</v>
      </c>
      <c r="P1644" s="60">
        <v>0</v>
      </c>
      <c r="Q1644" s="60">
        <v>0</v>
      </c>
      <c r="R1644" s="60">
        <v>0</v>
      </c>
      <c r="S1644" s="60">
        <v>0</v>
      </c>
      <c r="T1644" s="60">
        <v>0</v>
      </c>
      <c r="U1644" s="60">
        <v>0</v>
      </c>
      <c r="V1644" s="60">
        <v>0</v>
      </c>
      <c r="W1644" s="60">
        <v>0</v>
      </c>
      <c r="X1644" s="60">
        <v>0</v>
      </c>
      <c r="Y1644" s="60">
        <v>0</v>
      </c>
      <c r="Z1644" s="60">
        <v>0</v>
      </c>
      <c r="AA1644" s="60">
        <v>0</v>
      </c>
      <c r="AB1644" s="60">
        <v>0</v>
      </c>
      <c r="AC1644" s="60">
        <v>119.06</v>
      </c>
      <c r="AD1644" s="60">
        <v>125.83</v>
      </c>
      <c r="AE1644" s="60">
        <v>140.9</v>
      </c>
      <c r="AF1644" s="60">
        <v>0</v>
      </c>
      <c r="AG1644" s="60">
        <v>0</v>
      </c>
      <c r="AH1644" s="60">
        <v>0</v>
      </c>
      <c r="AI1644" s="60">
        <v>141.41999999999999</v>
      </c>
      <c r="AJ1644" s="60">
        <v>140.69999999999999</v>
      </c>
      <c r="AK1644" s="60">
        <v>150.38</v>
      </c>
      <c r="AL1644" s="60">
        <v>0</v>
      </c>
      <c r="AM1644" s="60">
        <v>0</v>
      </c>
      <c r="AN1644" s="60">
        <v>0</v>
      </c>
      <c r="AO1644" s="60">
        <v>141.41999999999999</v>
      </c>
      <c r="AP1644" s="60">
        <v>140.69999999999999</v>
      </c>
      <c r="AQ1644" s="60">
        <v>150.38</v>
      </c>
      <c r="AR1644" s="61">
        <v>150.38</v>
      </c>
    </row>
    <row r="1645" spans="1:44" x14ac:dyDescent="0.35">
      <c r="A1645" s="49" t="str">
        <f t="shared" si="132"/>
        <v>50</v>
      </c>
      <c r="B1645" s="27">
        <v>71142</v>
      </c>
      <c r="C1645" s="25" t="str">
        <f t="shared" si="133"/>
        <v>0000000</v>
      </c>
      <c r="D1645" s="26" t="s">
        <v>3663</v>
      </c>
      <c r="E1645" s="25" t="s">
        <v>3181</v>
      </c>
      <c r="F1645" s="25" t="s">
        <v>3161</v>
      </c>
      <c r="G1645" s="59" t="s">
        <v>3182</v>
      </c>
      <c r="H1645" s="60">
        <v>108.65</v>
      </c>
      <c r="I1645" s="60">
        <v>124.39</v>
      </c>
      <c r="J1645" s="60">
        <v>151.46</v>
      </c>
      <c r="K1645" s="60">
        <v>0</v>
      </c>
      <c r="L1645" s="60">
        <v>0</v>
      </c>
      <c r="M1645" s="60">
        <v>0</v>
      </c>
      <c r="N1645" s="60">
        <v>0</v>
      </c>
      <c r="O1645" s="60">
        <v>0</v>
      </c>
      <c r="P1645" s="60">
        <v>0</v>
      </c>
      <c r="Q1645" s="60">
        <v>0</v>
      </c>
      <c r="R1645" s="60">
        <v>0</v>
      </c>
      <c r="S1645" s="60">
        <v>0</v>
      </c>
      <c r="T1645" s="60">
        <v>0</v>
      </c>
      <c r="U1645" s="60">
        <v>0</v>
      </c>
      <c r="V1645" s="60">
        <v>0</v>
      </c>
      <c r="W1645" s="60">
        <v>0</v>
      </c>
      <c r="X1645" s="60">
        <v>0</v>
      </c>
      <c r="Y1645" s="60">
        <v>0</v>
      </c>
      <c r="Z1645" s="60">
        <v>0</v>
      </c>
      <c r="AA1645" s="60">
        <v>0</v>
      </c>
      <c r="AB1645" s="60">
        <v>0</v>
      </c>
      <c r="AC1645" s="60">
        <v>0</v>
      </c>
      <c r="AD1645" s="60">
        <v>0</v>
      </c>
      <c r="AE1645" s="60">
        <v>0</v>
      </c>
      <c r="AF1645" s="60">
        <v>0</v>
      </c>
      <c r="AG1645" s="60">
        <v>0</v>
      </c>
      <c r="AH1645" s="60">
        <v>0</v>
      </c>
      <c r="AI1645" s="60">
        <v>108.65</v>
      </c>
      <c r="AJ1645" s="60">
        <v>124.39</v>
      </c>
      <c r="AK1645" s="60">
        <v>151.46</v>
      </c>
      <c r="AL1645" s="60">
        <v>0</v>
      </c>
      <c r="AM1645" s="60">
        <v>0</v>
      </c>
      <c r="AN1645" s="60">
        <v>0</v>
      </c>
      <c r="AO1645" s="60">
        <v>108.65</v>
      </c>
      <c r="AP1645" s="60">
        <v>124.39</v>
      </c>
      <c r="AQ1645" s="60">
        <v>151.46</v>
      </c>
      <c r="AR1645" s="61">
        <v>151.46</v>
      </c>
    </row>
    <row r="1646" spans="1:44" x14ac:dyDescent="0.35">
      <c r="A1646" s="49" t="str">
        <f t="shared" si="132"/>
        <v>50</v>
      </c>
      <c r="B1646" s="27">
        <v>71233</v>
      </c>
      <c r="C1646" s="25" t="str">
        <f t="shared" si="133"/>
        <v>0000000</v>
      </c>
      <c r="D1646" s="26" t="s">
        <v>3663</v>
      </c>
      <c r="E1646" s="25" t="s">
        <v>3197</v>
      </c>
      <c r="F1646" s="25" t="s">
        <v>3161</v>
      </c>
      <c r="G1646" s="59" t="s">
        <v>3198</v>
      </c>
      <c r="H1646" s="60">
        <v>24.05</v>
      </c>
      <c r="I1646" s="60">
        <v>111.98</v>
      </c>
      <c r="J1646" s="60">
        <v>121.73</v>
      </c>
      <c r="K1646" s="60">
        <v>0</v>
      </c>
      <c r="L1646" s="60">
        <v>0</v>
      </c>
      <c r="M1646" s="60">
        <v>0</v>
      </c>
      <c r="N1646" s="60">
        <v>0</v>
      </c>
      <c r="O1646" s="60">
        <v>0</v>
      </c>
      <c r="P1646" s="60">
        <v>0</v>
      </c>
      <c r="Q1646" s="60">
        <v>0</v>
      </c>
      <c r="R1646" s="60">
        <v>0</v>
      </c>
      <c r="S1646" s="60">
        <v>0</v>
      </c>
      <c r="T1646" s="60">
        <v>0</v>
      </c>
      <c r="U1646" s="60">
        <v>0</v>
      </c>
      <c r="V1646" s="60">
        <v>0</v>
      </c>
      <c r="W1646" s="60">
        <v>0</v>
      </c>
      <c r="X1646" s="60">
        <v>0</v>
      </c>
      <c r="Y1646" s="60">
        <v>0</v>
      </c>
      <c r="Z1646" s="60">
        <v>0</v>
      </c>
      <c r="AA1646" s="60">
        <v>0</v>
      </c>
      <c r="AB1646" s="60">
        <v>0</v>
      </c>
      <c r="AC1646" s="60">
        <v>165.13</v>
      </c>
      <c r="AD1646" s="60">
        <v>44.34</v>
      </c>
      <c r="AE1646" s="60">
        <v>43.07</v>
      </c>
      <c r="AF1646" s="60">
        <v>0</v>
      </c>
      <c r="AG1646" s="60">
        <v>0</v>
      </c>
      <c r="AH1646" s="60">
        <v>0</v>
      </c>
      <c r="AI1646" s="60">
        <v>189.18</v>
      </c>
      <c r="AJ1646" s="60">
        <v>156.32</v>
      </c>
      <c r="AK1646" s="60">
        <v>164.8</v>
      </c>
      <c r="AL1646" s="60">
        <v>0</v>
      </c>
      <c r="AM1646" s="60">
        <v>0</v>
      </c>
      <c r="AN1646" s="60">
        <v>0</v>
      </c>
      <c r="AO1646" s="60">
        <v>189.18</v>
      </c>
      <c r="AP1646" s="60">
        <v>156.32</v>
      </c>
      <c r="AQ1646" s="60">
        <v>164.8</v>
      </c>
      <c r="AR1646" s="61">
        <v>189.18</v>
      </c>
    </row>
    <row r="1647" spans="1:44" x14ac:dyDescent="0.35">
      <c r="A1647" s="49" t="str">
        <f t="shared" si="132"/>
        <v>50</v>
      </c>
      <c r="B1647" s="27">
        <v>71274</v>
      </c>
      <c r="C1647" s="25" t="str">
        <f t="shared" si="133"/>
        <v>0000000</v>
      </c>
      <c r="D1647" s="26" t="s">
        <v>3663</v>
      </c>
      <c r="E1647" s="25" t="s">
        <v>3201</v>
      </c>
      <c r="F1647" s="25" t="s">
        <v>3161</v>
      </c>
      <c r="G1647" s="59" t="s">
        <v>3202</v>
      </c>
      <c r="H1647" s="60">
        <v>28.39</v>
      </c>
      <c r="I1647" s="60">
        <v>28.71</v>
      </c>
      <c r="J1647" s="60">
        <v>26.29</v>
      </c>
      <c r="K1647" s="60">
        <v>0</v>
      </c>
      <c r="L1647" s="60">
        <v>0</v>
      </c>
      <c r="M1647" s="60">
        <v>0</v>
      </c>
      <c r="N1647" s="60">
        <v>0</v>
      </c>
      <c r="O1647" s="60">
        <v>0</v>
      </c>
      <c r="P1647" s="60">
        <v>0</v>
      </c>
      <c r="Q1647" s="60">
        <v>0</v>
      </c>
      <c r="R1647" s="60">
        <v>0</v>
      </c>
      <c r="S1647" s="60">
        <v>0</v>
      </c>
      <c r="T1647" s="60">
        <v>0</v>
      </c>
      <c r="U1647" s="60">
        <v>0</v>
      </c>
      <c r="V1647" s="60">
        <v>0</v>
      </c>
      <c r="W1647" s="60">
        <v>0</v>
      </c>
      <c r="X1647" s="60">
        <v>0</v>
      </c>
      <c r="Y1647" s="60">
        <v>0</v>
      </c>
      <c r="Z1647" s="60">
        <v>0</v>
      </c>
      <c r="AA1647" s="60">
        <v>0</v>
      </c>
      <c r="AB1647" s="60">
        <v>0</v>
      </c>
      <c r="AC1647" s="60">
        <v>131.32</v>
      </c>
      <c r="AD1647" s="60">
        <v>137.51</v>
      </c>
      <c r="AE1647" s="60">
        <v>151.57</v>
      </c>
      <c r="AF1647" s="60">
        <v>0</v>
      </c>
      <c r="AG1647" s="60">
        <v>0</v>
      </c>
      <c r="AH1647" s="60">
        <v>0</v>
      </c>
      <c r="AI1647" s="60">
        <v>159.71</v>
      </c>
      <c r="AJ1647" s="60">
        <v>166.22</v>
      </c>
      <c r="AK1647" s="60">
        <v>177.86</v>
      </c>
      <c r="AL1647" s="60">
        <v>0</v>
      </c>
      <c r="AM1647" s="60">
        <v>0</v>
      </c>
      <c r="AN1647" s="60">
        <v>0</v>
      </c>
      <c r="AO1647" s="60">
        <v>159.71</v>
      </c>
      <c r="AP1647" s="60">
        <v>166.22</v>
      </c>
      <c r="AQ1647" s="60">
        <v>177.86</v>
      </c>
      <c r="AR1647" s="61">
        <v>177.86</v>
      </c>
    </row>
    <row r="1648" spans="1:44" x14ac:dyDescent="0.35">
      <c r="A1648" s="49" t="str">
        <f t="shared" si="132"/>
        <v>50</v>
      </c>
      <c r="B1648" s="27">
        <v>71324</v>
      </c>
      <c r="C1648" s="25" t="str">
        <f t="shared" si="133"/>
        <v>0000000</v>
      </c>
      <c r="D1648" s="26" t="s">
        <v>3663</v>
      </c>
      <c r="E1648" s="25" t="s">
        <v>3207</v>
      </c>
      <c r="F1648" s="25" t="s">
        <v>3161</v>
      </c>
      <c r="G1648" s="59" t="s">
        <v>3208</v>
      </c>
      <c r="H1648" s="60">
        <v>160.72999999999999</v>
      </c>
      <c r="I1648" s="60">
        <v>146.31</v>
      </c>
      <c r="J1648" s="60">
        <v>169.59</v>
      </c>
      <c r="K1648" s="60">
        <v>0</v>
      </c>
      <c r="L1648" s="60">
        <v>0</v>
      </c>
      <c r="M1648" s="60">
        <v>0</v>
      </c>
      <c r="N1648" s="60">
        <v>0</v>
      </c>
      <c r="O1648" s="60">
        <v>0</v>
      </c>
      <c r="P1648" s="60">
        <v>0</v>
      </c>
      <c r="Q1648" s="60">
        <v>0</v>
      </c>
      <c r="R1648" s="60">
        <v>0</v>
      </c>
      <c r="S1648" s="60">
        <v>0</v>
      </c>
      <c r="T1648" s="60">
        <v>0</v>
      </c>
      <c r="U1648" s="60">
        <v>0</v>
      </c>
      <c r="V1648" s="60">
        <v>0</v>
      </c>
      <c r="W1648" s="60">
        <v>0</v>
      </c>
      <c r="X1648" s="60">
        <v>0</v>
      </c>
      <c r="Y1648" s="60">
        <v>0</v>
      </c>
      <c r="Z1648" s="60">
        <v>0</v>
      </c>
      <c r="AA1648" s="60">
        <v>0</v>
      </c>
      <c r="AB1648" s="60">
        <v>0</v>
      </c>
      <c r="AC1648" s="60">
        <v>0</v>
      </c>
      <c r="AD1648" s="60">
        <v>0</v>
      </c>
      <c r="AE1648" s="60">
        <v>0</v>
      </c>
      <c r="AF1648" s="60">
        <v>0</v>
      </c>
      <c r="AG1648" s="60">
        <v>0</v>
      </c>
      <c r="AH1648" s="60">
        <v>0</v>
      </c>
      <c r="AI1648" s="60">
        <v>160.72999999999999</v>
      </c>
      <c r="AJ1648" s="60">
        <v>146.31</v>
      </c>
      <c r="AK1648" s="60">
        <v>169.59</v>
      </c>
      <c r="AL1648" s="60">
        <v>0</v>
      </c>
      <c r="AM1648" s="60">
        <v>0</v>
      </c>
      <c r="AN1648" s="60">
        <v>0</v>
      </c>
      <c r="AO1648" s="60">
        <v>160.72999999999999</v>
      </c>
      <c r="AP1648" s="60">
        <v>146.31</v>
      </c>
      <c r="AQ1648" s="60">
        <v>169.59</v>
      </c>
      <c r="AR1648" s="61">
        <v>169.59</v>
      </c>
    </row>
    <row r="1649" spans="1:44" x14ac:dyDescent="0.35">
      <c r="A1649" s="49" t="str">
        <f t="shared" si="132"/>
        <v>50</v>
      </c>
      <c r="B1649" s="27">
        <v>75739</v>
      </c>
      <c r="C1649" s="25" t="str">
        <f t="shared" si="133"/>
        <v>0000000</v>
      </c>
      <c r="D1649" s="26" t="s">
        <v>3663</v>
      </c>
      <c r="E1649" s="25" t="s">
        <v>3219</v>
      </c>
      <c r="F1649" s="25" t="s">
        <v>3161</v>
      </c>
      <c r="G1649" s="59" t="s">
        <v>3220</v>
      </c>
      <c r="H1649" s="60">
        <v>12327.5</v>
      </c>
      <c r="I1649" s="60">
        <v>12088.97</v>
      </c>
      <c r="J1649" s="60">
        <v>13340.85</v>
      </c>
      <c r="K1649" s="60">
        <v>0</v>
      </c>
      <c r="L1649" s="60">
        <v>0</v>
      </c>
      <c r="M1649" s="60">
        <v>0</v>
      </c>
      <c r="N1649" s="60">
        <v>0</v>
      </c>
      <c r="O1649" s="60">
        <v>0</v>
      </c>
      <c r="P1649" s="60">
        <v>0</v>
      </c>
      <c r="Q1649" s="60">
        <v>0</v>
      </c>
      <c r="R1649" s="60">
        <v>0</v>
      </c>
      <c r="S1649" s="60">
        <v>0</v>
      </c>
      <c r="T1649" s="60">
        <v>0</v>
      </c>
      <c r="U1649" s="60">
        <v>0</v>
      </c>
      <c r="V1649" s="60">
        <v>0</v>
      </c>
      <c r="W1649" s="60">
        <v>0</v>
      </c>
      <c r="X1649" s="60">
        <v>0</v>
      </c>
      <c r="Y1649" s="60">
        <v>0</v>
      </c>
      <c r="Z1649" s="60">
        <v>0</v>
      </c>
      <c r="AA1649" s="60">
        <v>0</v>
      </c>
      <c r="AB1649" s="60">
        <v>0</v>
      </c>
      <c r="AC1649" s="60">
        <v>199.19</v>
      </c>
      <c r="AD1649" s="60">
        <v>140.29</v>
      </c>
      <c r="AE1649" s="60">
        <v>193.45</v>
      </c>
      <c r="AF1649" s="60">
        <v>0</v>
      </c>
      <c r="AG1649" s="60">
        <v>0</v>
      </c>
      <c r="AH1649" s="60">
        <v>0</v>
      </c>
      <c r="AI1649" s="60">
        <v>12526.69</v>
      </c>
      <c r="AJ1649" s="60">
        <v>12229.26</v>
      </c>
      <c r="AK1649" s="60">
        <v>13534.3</v>
      </c>
      <c r="AL1649" s="60">
        <v>0</v>
      </c>
      <c r="AM1649" s="60">
        <v>0</v>
      </c>
      <c r="AN1649" s="60">
        <v>0</v>
      </c>
      <c r="AO1649" s="60">
        <v>12526.69</v>
      </c>
      <c r="AP1649" s="60">
        <v>12229.26</v>
      </c>
      <c r="AQ1649" s="60">
        <v>13534.3</v>
      </c>
      <c r="AR1649" s="61">
        <v>13534.3</v>
      </c>
    </row>
    <row r="1650" spans="1:44" x14ac:dyDescent="0.35">
      <c r="A1650" s="49" t="str">
        <f>TEXT(30,"00")</f>
        <v>30</v>
      </c>
      <c r="B1650" s="27">
        <v>73643</v>
      </c>
      <c r="C1650" s="25" t="str">
        <f t="shared" si="133"/>
        <v>0000000</v>
      </c>
      <c r="D1650" s="26" t="s">
        <v>3663</v>
      </c>
      <c r="E1650" s="25" t="s">
        <v>1617</v>
      </c>
      <c r="F1650" s="25" t="s">
        <v>1618</v>
      </c>
      <c r="G1650" s="59" t="s">
        <v>1618</v>
      </c>
      <c r="H1650" s="60">
        <v>20532.310000000001</v>
      </c>
      <c r="I1650" s="60">
        <v>20879.849999999999</v>
      </c>
      <c r="J1650" s="60">
        <v>22653.53</v>
      </c>
      <c r="K1650" s="60">
        <v>0</v>
      </c>
      <c r="L1650" s="60">
        <v>0</v>
      </c>
      <c r="M1650" s="60">
        <v>0</v>
      </c>
      <c r="N1650" s="60">
        <v>0</v>
      </c>
      <c r="O1650" s="60">
        <v>0</v>
      </c>
      <c r="P1650" s="60">
        <v>0</v>
      </c>
      <c r="Q1650" s="60">
        <v>0</v>
      </c>
      <c r="R1650" s="60">
        <v>0</v>
      </c>
      <c r="S1650" s="60">
        <v>0</v>
      </c>
      <c r="T1650" s="60">
        <v>0</v>
      </c>
      <c r="U1650" s="60">
        <v>0</v>
      </c>
      <c r="V1650" s="60">
        <v>0</v>
      </c>
      <c r="W1650" s="60">
        <v>0</v>
      </c>
      <c r="X1650" s="60">
        <v>0</v>
      </c>
      <c r="Y1650" s="60">
        <v>0</v>
      </c>
      <c r="Z1650" s="60">
        <v>0</v>
      </c>
      <c r="AA1650" s="60">
        <v>0</v>
      </c>
      <c r="AB1650" s="60">
        <v>0</v>
      </c>
      <c r="AC1650" s="60">
        <v>0</v>
      </c>
      <c r="AD1650" s="60">
        <v>0</v>
      </c>
      <c r="AE1650" s="60">
        <v>0</v>
      </c>
      <c r="AF1650" s="60">
        <v>0</v>
      </c>
      <c r="AG1650" s="60">
        <v>0</v>
      </c>
      <c r="AH1650" s="60">
        <v>0</v>
      </c>
      <c r="AI1650" s="60">
        <v>20532.310000000001</v>
      </c>
      <c r="AJ1650" s="60">
        <v>20879.849999999999</v>
      </c>
      <c r="AK1650" s="60">
        <v>22653.53</v>
      </c>
      <c r="AL1650" s="60">
        <v>0</v>
      </c>
      <c r="AM1650" s="60">
        <v>0</v>
      </c>
      <c r="AN1650" s="60">
        <v>0</v>
      </c>
      <c r="AO1650" s="60">
        <v>20532.310000000001</v>
      </c>
      <c r="AP1650" s="60">
        <v>20879.849999999999</v>
      </c>
      <c r="AQ1650" s="60">
        <v>22653.53</v>
      </c>
      <c r="AR1650" s="61">
        <v>22653.53</v>
      </c>
    </row>
    <row r="1651" spans="1:44" x14ac:dyDescent="0.35">
      <c r="A1651" s="49" t="str">
        <f>TEXT(50,"00")</f>
        <v>50</v>
      </c>
      <c r="B1651" s="27">
        <v>71175</v>
      </c>
      <c r="C1651" s="25" t="str">
        <f t="shared" si="133"/>
        <v>0000000</v>
      </c>
      <c r="D1651" s="26" t="s">
        <v>3663</v>
      </c>
      <c r="E1651" s="25" t="s">
        <v>3183</v>
      </c>
      <c r="F1651" s="25" t="s">
        <v>3184</v>
      </c>
      <c r="G1651" s="59" t="s">
        <v>3184</v>
      </c>
      <c r="H1651" s="60">
        <v>13951.4</v>
      </c>
      <c r="I1651" s="60">
        <v>13361.11</v>
      </c>
      <c r="J1651" s="60">
        <v>14125.46</v>
      </c>
      <c r="K1651" s="60">
        <v>0</v>
      </c>
      <c r="L1651" s="60">
        <v>0</v>
      </c>
      <c r="M1651" s="60">
        <v>0</v>
      </c>
      <c r="N1651" s="60">
        <v>0</v>
      </c>
      <c r="O1651" s="60">
        <v>0</v>
      </c>
      <c r="P1651" s="60">
        <v>0</v>
      </c>
      <c r="Q1651" s="60">
        <v>0</v>
      </c>
      <c r="R1651" s="60">
        <v>0</v>
      </c>
      <c r="S1651" s="60">
        <v>0</v>
      </c>
      <c r="T1651" s="60">
        <v>0</v>
      </c>
      <c r="U1651" s="60">
        <v>0</v>
      </c>
      <c r="V1651" s="60">
        <v>0</v>
      </c>
      <c r="W1651" s="60">
        <v>0</v>
      </c>
      <c r="X1651" s="60">
        <v>0</v>
      </c>
      <c r="Y1651" s="60">
        <v>0</v>
      </c>
      <c r="Z1651" s="60">
        <v>0</v>
      </c>
      <c r="AA1651" s="60">
        <v>0</v>
      </c>
      <c r="AB1651" s="60">
        <v>0</v>
      </c>
      <c r="AC1651" s="60">
        <v>0</v>
      </c>
      <c r="AD1651" s="60">
        <v>0</v>
      </c>
      <c r="AE1651" s="60">
        <v>0</v>
      </c>
      <c r="AF1651" s="60">
        <v>0</v>
      </c>
      <c r="AG1651" s="60">
        <v>0</v>
      </c>
      <c r="AH1651" s="60">
        <v>0</v>
      </c>
      <c r="AI1651" s="60">
        <v>13951.4</v>
      </c>
      <c r="AJ1651" s="60">
        <v>13361.11</v>
      </c>
      <c r="AK1651" s="60">
        <v>14125.46</v>
      </c>
      <c r="AL1651" s="60">
        <v>0</v>
      </c>
      <c r="AM1651" s="60">
        <v>0</v>
      </c>
      <c r="AN1651" s="60">
        <v>0</v>
      </c>
      <c r="AO1651" s="60">
        <v>13951.4</v>
      </c>
      <c r="AP1651" s="60">
        <v>13361.11</v>
      </c>
      <c r="AQ1651" s="60">
        <v>14125.46</v>
      </c>
      <c r="AR1651" s="61">
        <v>14125.46</v>
      </c>
    </row>
    <row r="1652" spans="1:44" x14ac:dyDescent="0.35">
      <c r="A1652" s="49" t="str">
        <f>TEXT(50,"00")</f>
        <v>50</v>
      </c>
      <c r="B1652" s="27">
        <v>71167</v>
      </c>
      <c r="C1652" s="25" t="str">
        <f t="shared" si="133"/>
        <v>0000000</v>
      </c>
      <c r="D1652" s="26" t="s">
        <v>3663</v>
      </c>
      <c r="E1652" s="25" t="s">
        <v>3185</v>
      </c>
      <c r="F1652" s="25" t="s">
        <v>3184</v>
      </c>
      <c r="G1652" s="59" t="s">
        <v>3186</v>
      </c>
      <c r="H1652" s="60">
        <v>12953.55</v>
      </c>
      <c r="I1652" s="60">
        <v>12039.11</v>
      </c>
      <c r="J1652" s="60">
        <v>14024.11</v>
      </c>
      <c r="K1652" s="60">
        <v>0</v>
      </c>
      <c r="L1652" s="60">
        <v>0</v>
      </c>
      <c r="M1652" s="60">
        <v>0</v>
      </c>
      <c r="N1652" s="60">
        <v>0</v>
      </c>
      <c r="O1652" s="60">
        <v>0</v>
      </c>
      <c r="P1652" s="60">
        <v>0</v>
      </c>
      <c r="Q1652" s="60">
        <v>0</v>
      </c>
      <c r="R1652" s="60">
        <v>0</v>
      </c>
      <c r="S1652" s="60">
        <v>0</v>
      </c>
      <c r="T1652" s="60">
        <v>0</v>
      </c>
      <c r="U1652" s="60">
        <v>0</v>
      </c>
      <c r="V1652" s="60">
        <v>0</v>
      </c>
      <c r="W1652" s="60">
        <v>0</v>
      </c>
      <c r="X1652" s="60">
        <v>0</v>
      </c>
      <c r="Y1652" s="60">
        <v>0</v>
      </c>
      <c r="Z1652" s="60">
        <v>0</v>
      </c>
      <c r="AA1652" s="60">
        <v>0</v>
      </c>
      <c r="AB1652" s="60">
        <v>0</v>
      </c>
      <c r="AC1652" s="60">
        <v>0</v>
      </c>
      <c r="AD1652" s="60">
        <v>0</v>
      </c>
      <c r="AE1652" s="60">
        <v>0</v>
      </c>
      <c r="AF1652" s="60">
        <v>0</v>
      </c>
      <c r="AG1652" s="60">
        <v>0</v>
      </c>
      <c r="AH1652" s="60">
        <v>0</v>
      </c>
      <c r="AI1652" s="60">
        <v>12953.55</v>
      </c>
      <c r="AJ1652" s="60">
        <v>12039.11</v>
      </c>
      <c r="AK1652" s="60">
        <v>14024.11</v>
      </c>
      <c r="AL1652" s="60">
        <v>0</v>
      </c>
      <c r="AM1652" s="60">
        <v>0</v>
      </c>
      <c r="AN1652" s="60">
        <v>0</v>
      </c>
      <c r="AO1652" s="60">
        <v>12953.55</v>
      </c>
      <c r="AP1652" s="60">
        <v>12039.11</v>
      </c>
      <c r="AQ1652" s="60">
        <v>14024.11</v>
      </c>
      <c r="AR1652" s="61">
        <v>14024.11</v>
      </c>
    </row>
    <row r="1653" spans="1:44" s="13" customFormat="1" x14ac:dyDescent="0.35">
      <c r="A1653" s="53" t="s">
        <v>3655</v>
      </c>
      <c r="B1653" s="54"/>
      <c r="C1653" s="54"/>
      <c r="D1653" s="54"/>
      <c r="E1653" s="54"/>
      <c r="F1653" s="55"/>
      <c r="G1653" s="55"/>
      <c r="H1653" s="56">
        <f>SUM(H5:H1652)</f>
        <v>4724909.28</v>
      </c>
      <c r="I1653" s="56">
        <f t="shared" ref="I1653:AR1653" si="134">SUM(I5:I1652)</f>
        <v>4683626.9300000006</v>
      </c>
      <c r="J1653" s="56">
        <f t="shared" si="134"/>
        <v>5207261.5500000017</v>
      </c>
      <c r="K1653" s="56">
        <f t="shared" si="134"/>
        <v>125.76</v>
      </c>
      <c r="L1653" s="56">
        <f t="shared" si="134"/>
        <v>113.65</v>
      </c>
      <c r="M1653" s="56">
        <f t="shared" si="134"/>
        <v>99.66</v>
      </c>
      <c r="N1653" s="56">
        <f t="shared" si="134"/>
        <v>1351.12</v>
      </c>
      <c r="O1653" s="56">
        <f t="shared" si="134"/>
        <v>1338.3199999999997</v>
      </c>
      <c r="P1653" s="56">
        <f t="shared" si="134"/>
        <v>1651.11</v>
      </c>
      <c r="Q1653" s="56">
        <f t="shared" si="134"/>
        <v>0</v>
      </c>
      <c r="R1653" s="56">
        <f t="shared" si="134"/>
        <v>0</v>
      </c>
      <c r="S1653" s="56">
        <f t="shared" si="134"/>
        <v>0</v>
      </c>
      <c r="T1653" s="56">
        <f t="shared" si="134"/>
        <v>9038.1699999999964</v>
      </c>
      <c r="U1653" s="56">
        <f t="shared" si="134"/>
        <v>7414.94</v>
      </c>
      <c r="V1653" s="56">
        <f t="shared" si="134"/>
        <v>14705.729999999998</v>
      </c>
      <c r="W1653" s="56">
        <f t="shared" si="134"/>
        <v>24049.169999999995</v>
      </c>
      <c r="X1653" s="56">
        <f t="shared" si="134"/>
        <v>23300.489999999991</v>
      </c>
      <c r="Y1653" s="56">
        <f t="shared" si="134"/>
        <v>27329.66</v>
      </c>
      <c r="Z1653" s="56">
        <f t="shared" si="134"/>
        <v>29934.36</v>
      </c>
      <c r="AA1653" s="56">
        <f t="shared" si="134"/>
        <v>28033.760000000002</v>
      </c>
      <c r="AB1653" s="56">
        <f t="shared" si="134"/>
        <v>30070.62</v>
      </c>
      <c r="AC1653" s="56">
        <f t="shared" si="134"/>
        <v>610495.79</v>
      </c>
      <c r="AD1653" s="56">
        <f t="shared" si="134"/>
        <v>596446.50999999966</v>
      </c>
      <c r="AE1653" s="56">
        <f t="shared" si="134"/>
        <v>619169.64</v>
      </c>
      <c r="AF1653" s="56">
        <f t="shared" si="134"/>
        <v>3500.6399999999994</v>
      </c>
      <c r="AG1653" s="56">
        <f t="shared" si="134"/>
        <v>3406.4900000000002</v>
      </c>
      <c r="AH1653" s="56">
        <f t="shared" si="134"/>
        <v>3182.22</v>
      </c>
      <c r="AI1653" s="56">
        <f t="shared" si="134"/>
        <v>6612051.7199999858</v>
      </c>
      <c r="AJ1653" s="56">
        <f t="shared" si="134"/>
        <v>6528099.9600000037</v>
      </c>
      <c r="AK1653" s="56">
        <f t="shared" si="134"/>
        <v>7261900.1900000134</v>
      </c>
      <c r="AL1653" s="56">
        <f t="shared" si="134"/>
        <v>0</v>
      </c>
      <c r="AM1653" s="56">
        <f t="shared" si="134"/>
        <v>6.8212102632969618E-13</v>
      </c>
      <c r="AN1653" s="56">
        <f t="shared" si="134"/>
        <v>-5.6843418860808015E-14</v>
      </c>
      <c r="AO1653" s="56">
        <f t="shared" si="134"/>
        <v>6612051.7199999858</v>
      </c>
      <c r="AP1653" s="56">
        <f t="shared" si="134"/>
        <v>6528099.9600000018</v>
      </c>
      <c r="AQ1653" s="56">
        <f t="shared" si="134"/>
        <v>7261900.1900000125</v>
      </c>
      <c r="AR1653" s="57">
        <f t="shared" si="134"/>
        <v>7320463.9400000097</v>
      </c>
    </row>
    <row r="1654" spans="1:44" s="2" customFormat="1" x14ac:dyDescent="0.35">
      <c r="A1654" s="9" t="s">
        <v>3656</v>
      </c>
      <c r="B1654" s="4"/>
      <c r="C1654" s="4"/>
      <c r="D1654" s="4"/>
      <c r="E1654" s="4"/>
    </row>
    <row r="1655" spans="1:44" s="2" customFormat="1" x14ac:dyDescent="0.35">
      <c r="A1655" s="12" t="s">
        <v>3657</v>
      </c>
      <c r="B1655" s="4"/>
      <c r="C1655" s="4"/>
      <c r="D1655" s="4"/>
      <c r="E1655" s="4"/>
    </row>
    <row r="1656" spans="1:44" s="2" customFormat="1" x14ac:dyDescent="0.35">
      <c r="A1656" s="12" t="s">
        <v>3658</v>
      </c>
      <c r="B1656" s="4"/>
      <c r="C1656" s="4"/>
      <c r="D1656" s="4"/>
      <c r="E1656" s="4"/>
    </row>
    <row r="1657" spans="1:44" s="2" customFormat="1" x14ac:dyDescent="0.35">
      <c r="A1657" s="28" t="s">
        <v>3660</v>
      </c>
      <c r="B1657" s="4"/>
      <c r="C1657" s="4"/>
      <c r="D1657" s="4"/>
      <c r="E1657" s="4"/>
    </row>
  </sheetData>
  <pageMargins left="0.7" right="0.7" top="0.75" bottom="0.75" header="0.3" footer="0.3"/>
  <ignoredErrors>
    <ignoredError sqref="D19:D23" numberStoredAsText="1"/>
  </ignoredErrors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P2 AB602 ADA</vt:lpstr>
      <vt:lpstr>ANR1 AB602 ADA </vt:lpstr>
      <vt:lpstr>ANR3 AB602 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Recip-24: AB 602 ADA, FY 24-25 P-2 - Principal Apportionment (CA Dept of Education)</dc:title>
  <dc:subject>Special Education Assembly Bill (AB) 602 average daily attendance (ADA) for fiscal year (FY) 24-25 Second Principal Apportionment (P-2), 23-24 First Annual Recertification, and 2022-23 Third Annual Recertification.</dc:subject>
  <dc:creator/>
  <cp:lastModifiedBy/>
  <dcterms:created xsi:type="dcterms:W3CDTF">2025-02-11T17:42:48Z</dcterms:created>
  <dcterms:modified xsi:type="dcterms:W3CDTF">2025-05-29T21:05:14Z</dcterms:modified>
</cp:coreProperties>
</file>